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3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4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5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o.dang\Dropbox\Analytics\2018 Performance vs Target\"/>
    </mc:Choice>
  </mc:AlternateContent>
  <xr:revisionPtr revIDLastSave="0" documentId="13_ncr:1_{C09557AD-AF39-4675-BCC3-B0EA0E958837}" xr6:coauthVersionLast="36" xr6:coauthVersionMax="36" xr10:uidLastSave="{00000000-0000-0000-0000-000000000000}"/>
  <bookViews>
    <workbookView xWindow="525" yWindow="465" windowWidth="28125" windowHeight="16020" tabRatio="663" firstSheet="2" activeTab="8" xr2:uid="{00000000-000D-0000-FFFF-FFFF00000000}"/>
  </bookViews>
  <sheets>
    <sheet name="Current month" sheetId="24" r:id="rId1"/>
    <sheet name="Revenue Summary" sheetId="23" r:id="rId2"/>
    <sheet name="Monthly graphs" sheetId="26" r:id="rId3"/>
    <sheet name="VN_Graphs" sheetId="4" r:id="rId4"/>
    <sheet name="TH_Graphs" sheetId="19" r:id="rId5"/>
    <sheet name="VN_YouTube Performance" sheetId="2" r:id="rId6"/>
    <sheet name="TH_YouTube Performance" sheetId="20" r:id="rId7"/>
    <sheet name="VN_Data" sheetId="3" r:id="rId8"/>
    <sheet name="TH_Data" sheetId="21" r:id="rId9"/>
    <sheet name="Playback" sheetId="16" r:id="rId10"/>
    <sheet name="Past data" sheetId="25" r:id="rId11"/>
    <sheet name="2018 VN YouTube View" sheetId="10" r:id="rId12"/>
    <sheet name="2018 TH YouTube View &amp; Rev" sheetId="11" r:id="rId13"/>
    <sheet name="2018-Q1 graphs" sheetId="18" r:id="rId14"/>
    <sheet name="2018-Q2 graphs" sheetId="27" r:id="rId15"/>
    <sheet name="2018 Summary" sheetId="12" state="hidden" r:id="rId16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Summary'!$AR$50:$BE$50</definedName>
    <definedName name="RS_TH_Actual_BD">'Revenue Summary'!$AR$44:$BE$47</definedName>
    <definedName name="RS_TH_Actual_RBT">'Revenue Summary'!$AR$41:$BE$41</definedName>
    <definedName name="RS_TH_Actual_YT">'Revenue Summary'!$AR$35:$BE$38</definedName>
    <definedName name="RS_TH_Forecast_APP">'Revenue Summary'!$X$50:$AK$50</definedName>
    <definedName name="RS_TH_Forecast_BD">'Revenue Summary'!$X$44:$AK$47</definedName>
    <definedName name="RS_TH_Forecast_RBT">'Revenue Summary'!$X$41:$AK$41</definedName>
    <definedName name="RS_TH_Forecast_YT">'Revenue Summary'!$X$35:$AK$38</definedName>
    <definedName name="RS_TH_Target_APP">'Revenue Summary'!$D$50:$Q$50</definedName>
    <definedName name="RS_TH_Target_BD">'Revenue Summary'!$D$44:$Q$47</definedName>
    <definedName name="RS_TH_Target_RBT">'Revenue Summary'!$D$41:$Q$41</definedName>
    <definedName name="RS_TH_Target_YT">'Revenue Summary'!$D$35:$Q$38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74" i="23" l="1"/>
  <c r="E4" i="23" a="1"/>
  <c r="M53" i="23"/>
  <c r="E5" i="23" a="1"/>
  <c r="F5" i="23" s="1"/>
  <c r="M5" i="23"/>
  <c r="M26" i="23" s="1"/>
  <c r="M63" i="23" s="1"/>
  <c r="M54" i="23"/>
  <c r="E6" i="23" a="1"/>
  <c r="M55" i="23"/>
  <c r="E7" i="23" a="1"/>
  <c r="M7" i="23"/>
  <c r="M28" i="23" s="1"/>
  <c r="M56" i="23"/>
  <c r="M29" i="23"/>
  <c r="M57" i="23"/>
  <c r="M66" i="23" s="1"/>
  <c r="M30" i="23"/>
  <c r="M67" i="23"/>
  <c r="BA55" i="23"/>
  <c r="BA29" i="23"/>
  <c r="BA57" i="23"/>
  <c r="BA30" i="23"/>
  <c r="T81" i="26"/>
  <c r="V81" i="26"/>
  <c r="V82" i="26" s="1"/>
  <c r="V83" i="26" s="1"/>
  <c r="V84" i="26" s="1"/>
  <c r="V85" i="26" s="1"/>
  <c r="V86" i="26" s="1"/>
  <c r="V87" i="26" s="1"/>
  <c r="V88" i="26" s="1"/>
  <c r="T82" i="26"/>
  <c r="T83" i="26"/>
  <c r="T84" i="26"/>
  <c r="T85" i="26"/>
  <c r="T86" i="26"/>
  <c r="T87" i="26"/>
  <c r="T88" i="26"/>
  <c r="AZ9" i="23"/>
  <c r="AZ18" i="23"/>
  <c r="DH18" i="23" s="1"/>
  <c r="AZ12" i="23"/>
  <c r="AZ43" i="23"/>
  <c r="AZ4" i="23"/>
  <c r="AZ5" i="23"/>
  <c r="AZ6" i="23"/>
  <c r="AZ27" i="23" s="1"/>
  <c r="AZ7" i="23"/>
  <c r="AZ35" i="23"/>
  <c r="AZ36" i="23"/>
  <c r="AZ54" i="23" s="1"/>
  <c r="AZ38" i="23"/>
  <c r="AZ56" i="23" s="1"/>
  <c r="AS25" i="23"/>
  <c r="AT25" i="23"/>
  <c r="AU25" i="23"/>
  <c r="AV25" i="23"/>
  <c r="AW4" i="23"/>
  <c r="AX4" i="23"/>
  <c r="AX25" i="23"/>
  <c r="AY4" i="23"/>
  <c r="AZ25" i="23"/>
  <c r="AS26" i="23"/>
  <c r="AT26" i="23"/>
  <c r="AU26" i="23"/>
  <c r="AV26" i="23"/>
  <c r="AW5" i="23"/>
  <c r="AW26" i="23"/>
  <c r="AX5" i="23"/>
  <c r="AX26" i="23" s="1"/>
  <c r="AY5" i="23"/>
  <c r="AZ26" i="23"/>
  <c r="AZ63" i="23" s="1"/>
  <c r="AS27" i="23"/>
  <c r="AT27" i="23"/>
  <c r="AT64" i="23" s="1"/>
  <c r="AU27" i="23"/>
  <c r="AV27" i="23"/>
  <c r="AV64" i="23" s="1"/>
  <c r="AW6" i="23"/>
  <c r="AW27" i="23"/>
  <c r="AX6" i="23"/>
  <c r="AX27" i="23"/>
  <c r="AY6" i="23"/>
  <c r="AY27" i="23"/>
  <c r="AS28" i="23"/>
  <c r="AT28" i="23"/>
  <c r="AU28" i="23"/>
  <c r="AV28" i="23"/>
  <c r="AW7" i="23"/>
  <c r="AX7" i="23"/>
  <c r="AX28" i="23"/>
  <c r="AY7" i="23"/>
  <c r="AY28" i="23" s="1"/>
  <c r="AZ28" i="23"/>
  <c r="AS29" i="23"/>
  <c r="AT29" i="23"/>
  <c r="AU29" i="23"/>
  <c r="AV29" i="23"/>
  <c r="AW29" i="23"/>
  <c r="AX29" i="23"/>
  <c r="AY29" i="23"/>
  <c r="AZ29" i="23"/>
  <c r="AS30" i="23"/>
  <c r="AT30" i="23"/>
  <c r="AU30" i="23"/>
  <c r="AV30" i="23"/>
  <c r="AW30" i="23"/>
  <c r="AX30" i="23"/>
  <c r="AY30" i="23"/>
  <c r="AZ30" i="23"/>
  <c r="AZ55" i="23"/>
  <c r="AZ57" i="23"/>
  <c r="AX35" i="23"/>
  <c r="AX53" i="23" s="1"/>
  <c r="AX36" i="23"/>
  <c r="AX54" i="23" s="1"/>
  <c r="AX63" i="23"/>
  <c r="AX55" i="23"/>
  <c r="AX64" i="23"/>
  <c r="AX38" i="23"/>
  <c r="AX56" i="23"/>
  <c r="AX57" i="23"/>
  <c r="AW35" i="23"/>
  <c r="AW36" i="23"/>
  <c r="AW54" i="23"/>
  <c r="AW55" i="23"/>
  <c r="AW38" i="23"/>
  <c r="AW56" i="23"/>
  <c r="AW57" i="23"/>
  <c r="AW66" i="23"/>
  <c r="AW67" i="23"/>
  <c r="AV53" i="23"/>
  <c r="AV62" i="23"/>
  <c r="AV54" i="23"/>
  <c r="AV63" i="23" s="1"/>
  <c r="AV55" i="23"/>
  <c r="AV56" i="23"/>
  <c r="AV65" i="23" s="1"/>
  <c r="AV57" i="23"/>
  <c r="AU53" i="23"/>
  <c r="AU62" i="23"/>
  <c r="AU54" i="23"/>
  <c r="AU55" i="23"/>
  <c r="AU64" i="23"/>
  <c r="AU56" i="23"/>
  <c r="AU57" i="23"/>
  <c r="AU66" i="23"/>
  <c r="AU67" i="23"/>
  <c r="AT53" i="23"/>
  <c r="AT62" i="23"/>
  <c r="AT54" i="23"/>
  <c r="AT55" i="23"/>
  <c r="AT56" i="23"/>
  <c r="AT65" i="23" s="1"/>
  <c r="AT57" i="23"/>
  <c r="AS53" i="23"/>
  <c r="AS54" i="23"/>
  <c r="AS63" i="23" s="1"/>
  <c r="AS55" i="23"/>
  <c r="AS64" i="23"/>
  <c r="AS56" i="23"/>
  <c r="AS57" i="23"/>
  <c r="AS66" i="23"/>
  <c r="AS67" i="23"/>
  <c r="U89" i="26"/>
  <c r="U90" i="26"/>
  <c r="U91" i="26"/>
  <c r="U92" i="26"/>
  <c r="T89" i="26"/>
  <c r="T90" i="26"/>
  <c r="T91" i="26"/>
  <c r="T92" i="26"/>
  <c r="AS3" i="23"/>
  <c r="Y51" i="26" s="1"/>
  <c r="AY9" i="23"/>
  <c r="AY18" i="23"/>
  <c r="AY35" i="23"/>
  <c r="AY34" i="23" s="1"/>
  <c r="AY36" i="23"/>
  <c r="AY38" i="23"/>
  <c r="Z29" i="23"/>
  <c r="AA27" i="23"/>
  <c r="F7" i="23"/>
  <c r="H7" i="23"/>
  <c r="AD28" i="23"/>
  <c r="Q22" i="23"/>
  <c r="Y24" i="24"/>
  <c r="X32" i="24"/>
  <c r="X69" i="24"/>
  <c r="Q16" i="23"/>
  <c r="Y18" i="24" s="1"/>
  <c r="Y31" i="24" s="1"/>
  <c r="Y59" i="24"/>
  <c r="AD59" i="24" s="1"/>
  <c r="L7" i="23"/>
  <c r="P7" i="23"/>
  <c r="Y58" i="24"/>
  <c r="E6" i="23"/>
  <c r="BM6" i="23" s="1"/>
  <c r="BM27" i="23" s="1"/>
  <c r="F6" i="23"/>
  <c r="H6" i="23"/>
  <c r="Q15" i="23"/>
  <c r="Y17" i="24"/>
  <c r="Q19" i="23"/>
  <c r="Y21" i="24" s="1"/>
  <c r="Y20" i="24"/>
  <c r="Y57" i="24"/>
  <c r="H5" i="23"/>
  <c r="P5" i="23"/>
  <c r="Q14" i="23"/>
  <c r="Y16" i="24" s="1"/>
  <c r="Y56" i="24"/>
  <c r="Q10" i="23"/>
  <c r="Y12" i="24"/>
  <c r="Y11" i="24"/>
  <c r="Q13" i="23"/>
  <c r="Y15" i="24" s="1"/>
  <c r="Y55" i="24"/>
  <c r="Y45" i="24"/>
  <c r="AD45" i="24" s="1"/>
  <c r="Y36" i="24"/>
  <c r="X23" i="24"/>
  <c r="AX9" i="23"/>
  <c r="AX18" i="23"/>
  <c r="DF18" i="23" s="1"/>
  <c r="AX12" i="23"/>
  <c r="AX43" i="23"/>
  <c r="BG30" i="23"/>
  <c r="BG67" i="23"/>
  <c r="AP30" i="23"/>
  <c r="AP67" i="23" s="1"/>
  <c r="AO30" i="23"/>
  <c r="AO67" i="23"/>
  <c r="AN30" i="23"/>
  <c r="AN67" i="23" s="1"/>
  <c r="AM30" i="23"/>
  <c r="AM67" i="23"/>
  <c r="V10" i="23"/>
  <c r="V13" i="23"/>
  <c r="V35" i="23"/>
  <c r="V41" i="23"/>
  <c r="V53" i="23" s="1"/>
  <c r="V44" i="23"/>
  <c r="V14" i="23"/>
  <c r="V36" i="23"/>
  <c r="V45" i="23"/>
  <c r="V43" i="23" s="1"/>
  <c r="V15" i="23"/>
  <c r="V19" i="23"/>
  <c r="V37" i="23"/>
  <c r="V55" i="23" s="1"/>
  <c r="V46" i="23"/>
  <c r="V50" i="23"/>
  <c r="V38" i="23"/>
  <c r="V16" i="23"/>
  <c r="V29" i="23"/>
  <c r="V47" i="23"/>
  <c r="V57" i="23" s="1"/>
  <c r="V22" i="23"/>
  <c r="V30" i="23"/>
  <c r="V67" i="23"/>
  <c r="U10" i="23"/>
  <c r="U13" i="23"/>
  <c r="U35" i="23"/>
  <c r="U41" i="23"/>
  <c r="U44" i="23"/>
  <c r="U14" i="23"/>
  <c r="U36" i="23"/>
  <c r="U45" i="23"/>
  <c r="U15" i="23"/>
  <c r="U19" i="23"/>
  <c r="U18" i="23" s="1"/>
  <c r="U37" i="23"/>
  <c r="U46" i="23"/>
  <c r="U50" i="23"/>
  <c r="U55" i="23"/>
  <c r="U38" i="23"/>
  <c r="U56" i="23" s="1"/>
  <c r="U16" i="23"/>
  <c r="U29" i="23" s="1"/>
  <c r="U66" i="23" s="1"/>
  <c r="U47" i="23"/>
  <c r="U57" i="23" s="1"/>
  <c r="U22" i="23"/>
  <c r="T10" i="23"/>
  <c r="T13" i="23"/>
  <c r="T35" i="23"/>
  <c r="T53" i="23" s="1"/>
  <c r="T41" i="23"/>
  <c r="T44" i="23"/>
  <c r="T14" i="23"/>
  <c r="T36" i="23"/>
  <c r="T45" i="23"/>
  <c r="T54" i="23"/>
  <c r="T15" i="23"/>
  <c r="T19" i="23"/>
  <c r="T37" i="23"/>
  <c r="T46" i="23"/>
  <c r="T50" i="23"/>
  <c r="T38" i="23"/>
  <c r="T56" i="23"/>
  <c r="T16" i="23"/>
  <c r="T29" i="23" s="1"/>
  <c r="T47" i="23"/>
  <c r="T57" i="23"/>
  <c r="T22" i="23"/>
  <c r="S10" i="23"/>
  <c r="S13" i="23"/>
  <c r="S35" i="23"/>
  <c r="S53" i="23" s="1"/>
  <c r="S41" i="23"/>
  <c r="S44" i="23"/>
  <c r="S14" i="23"/>
  <c r="S12" i="23" s="1"/>
  <c r="S36" i="23"/>
  <c r="S45" i="23"/>
  <c r="S15" i="23"/>
  <c r="S19" i="23"/>
  <c r="S37" i="23"/>
  <c r="S55" i="23" s="1"/>
  <c r="S46" i="23"/>
  <c r="S50" i="23"/>
  <c r="S38" i="23"/>
  <c r="S56" i="23"/>
  <c r="S16" i="23"/>
  <c r="S29" i="23" s="1"/>
  <c r="S47" i="23"/>
  <c r="S57" i="23" s="1"/>
  <c r="S66" i="23"/>
  <c r="S22" i="23"/>
  <c r="S30" i="23"/>
  <c r="Q30" i="23"/>
  <c r="Q67" i="23"/>
  <c r="P30" i="23"/>
  <c r="P67" i="23"/>
  <c r="O30" i="23"/>
  <c r="O67" i="23"/>
  <c r="N30" i="23"/>
  <c r="N67" i="23"/>
  <c r="L30" i="23"/>
  <c r="L67" i="23"/>
  <c r="K30" i="23"/>
  <c r="K67" i="23"/>
  <c r="J30" i="23"/>
  <c r="J67" i="23"/>
  <c r="I30" i="23"/>
  <c r="I67" i="23"/>
  <c r="H30" i="23"/>
  <c r="H67" i="23"/>
  <c r="G30" i="23"/>
  <c r="G67" i="23"/>
  <c r="F30" i="23"/>
  <c r="F67" i="23"/>
  <c r="E30" i="23"/>
  <c r="E67" i="23"/>
  <c r="Y30" i="23"/>
  <c r="Y67" i="23"/>
  <c r="Z30" i="23"/>
  <c r="AA30" i="23"/>
  <c r="AB30" i="23"/>
  <c r="AB67" i="23" s="1"/>
  <c r="AC30" i="23"/>
  <c r="AC67" i="23"/>
  <c r="AD30" i="23"/>
  <c r="AE30" i="23"/>
  <c r="AE67" i="23"/>
  <c r="AF30" i="23"/>
  <c r="AF67" i="23" s="1"/>
  <c r="AG30" i="23"/>
  <c r="AG67" i="23"/>
  <c r="AH30" i="23"/>
  <c r="AH67" i="23" s="1"/>
  <c r="AI30" i="23"/>
  <c r="AI67" i="23"/>
  <c r="AJ30" i="23"/>
  <c r="AJ67" i="23" s="1"/>
  <c r="BB30" i="23"/>
  <c r="BC30" i="23"/>
  <c r="BD30" i="23"/>
  <c r="BD67" i="23"/>
  <c r="BH30" i="23"/>
  <c r="BI30" i="23"/>
  <c r="BI67" i="23" s="1"/>
  <c r="BJ30" i="23"/>
  <c r="BM30" i="23"/>
  <c r="BN30" i="23"/>
  <c r="BO30" i="23"/>
  <c r="BP30" i="23"/>
  <c r="BQ30" i="23"/>
  <c r="BR30" i="23"/>
  <c r="BS30" i="23"/>
  <c r="BT30" i="23"/>
  <c r="BU30" i="23"/>
  <c r="BV30" i="23"/>
  <c r="BW30" i="23"/>
  <c r="BX30" i="23"/>
  <c r="BY30" i="23"/>
  <c r="CA30" i="23"/>
  <c r="DO30" i="23" s="1"/>
  <c r="CB30" i="23"/>
  <c r="DP30" i="23" s="1"/>
  <c r="CC30" i="23"/>
  <c r="DQ30" i="23" s="1"/>
  <c r="CD30" i="23"/>
  <c r="DR30" i="23"/>
  <c r="AD4" i="27"/>
  <c r="U4" i="27"/>
  <c r="V4" i="27"/>
  <c r="L4" i="27"/>
  <c r="C4" i="27"/>
  <c r="AB32" i="24"/>
  <c r="AC32" i="24" s="1"/>
  <c r="AC69" i="24"/>
  <c r="O32" i="24"/>
  <c r="S32" i="24"/>
  <c r="T32" i="24" s="1"/>
  <c r="U32" i="24"/>
  <c r="V32" i="24" s="1"/>
  <c r="V69" i="24" s="1"/>
  <c r="T69" i="24"/>
  <c r="F32" i="24"/>
  <c r="F69" i="24" s="1"/>
  <c r="L32" i="24"/>
  <c r="L69" i="24" s="1"/>
  <c r="J32" i="24"/>
  <c r="J69" i="24" s="1"/>
  <c r="AC24" i="24"/>
  <c r="G24" i="24"/>
  <c r="AB23" i="24"/>
  <c r="U23" i="24"/>
  <c r="S23" i="24"/>
  <c r="T23" i="24" s="1"/>
  <c r="O23" i="24"/>
  <c r="L23" i="24"/>
  <c r="J23" i="24"/>
  <c r="K23" i="24" s="1"/>
  <c r="F23" i="24"/>
  <c r="M23" i="24"/>
  <c r="DL22" i="23"/>
  <c r="DK22" i="23"/>
  <c r="DJ22" i="23"/>
  <c r="DI22" i="23"/>
  <c r="DH22" i="23"/>
  <c r="DG22" i="23"/>
  <c r="DF22" i="23"/>
  <c r="DE22" i="23"/>
  <c r="DD22" i="23"/>
  <c r="DC22" i="23"/>
  <c r="DB22" i="23"/>
  <c r="DA22" i="23"/>
  <c r="CR22" i="23"/>
  <c r="CQ22" i="23"/>
  <c r="CP22" i="23"/>
  <c r="CO22" i="23"/>
  <c r="CN22" i="23"/>
  <c r="CM22" i="23"/>
  <c r="CL22" i="23"/>
  <c r="CK22" i="23"/>
  <c r="CJ22" i="23"/>
  <c r="CI22" i="23"/>
  <c r="CH22" i="23"/>
  <c r="CG22" i="23"/>
  <c r="CD22" i="23"/>
  <c r="CC22" i="23"/>
  <c r="BQ22" i="23"/>
  <c r="BP22" i="23"/>
  <c r="BP21" i="23" s="1"/>
  <c r="AN22" i="23"/>
  <c r="AN21" i="23"/>
  <c r="BO22" i="23"/>
  <c r="BO21" i="23" s="1"/>
  <c r="BN22" i="23"/>
  <c r="BM22" i="23"/>
  <c r="BX21" i="23"/>
  <c r="BW21" i="23"/>
  <c r="BV21" i="23"/>
  <c r="BU21" i="23"/>
  <c r="BT21" i="23"/>
  <c r="BS21" i="23"/>
  <c r="BR21" i="23"/>
  <c r="BE22" i="23"/>
  <c r="AP22" i="23"/>
  <c r="AO22" i="23"/>
  <c r="AM22" i="23"/>
  <c r="AM21" i="23"/>
  <c r="AK22" i="23"/>
  <c r="AK21" i="23" s="1"/>
  <c r="AJ21" i="23"/>
  <c r="AI21" i="23"/>
  <c r="AH21" i="23"/>
  <c r="BB21" i="23"/>
  <c r="DJ21" i="23"/>
  <c r="AG21" i="23"/>
  <c r="AF21" i="23"/>
  <c r="AE21" i="23"/>
  <c r="AD21" i="23"/>
  <c r="DF21" i="23" s="1"/>
  <c r="AX21" i="23"/>
  <c r="AC21" i="23"/>
  <c r="AB21" i="23"/>
  <c r="AA21" i="23"/>
  <c r="Z21" i="23"/>
  <c r="Y21" i="23"/>
  <c r="BJ22" i="23"/>
  <c r="BI22" i="23"/>
  <c r="CW22" i="23" s="1"/>
  <c r="BH22" i="23"/>
  <c r="BG22" i="23"/>
  <c r="V21" i="23"/>
  <c r="BI21" i="23"/>
  <c r="BH21" i="23"/>
  <c r="BD21" i="23"/>
  <c r="DL21" i="23"/>
  <c r="BC21" i="23"/>
  <c r="BA21" i="23"/>
  <c r="M21" i="23"/>
  <c r="CO21" i="23"/>
  <c r="AZ21" i="23"/>
  <c r="DH21" i="23"/>
  <c r="AY21" i="23"/>
  <c r="AW21" i="23"/>
  <c r="DE21" i="23" s="1"/>
  <c r="I21" i="23"/>
  <c r="AV21" i="23"/>
  <c r="DD21" i="23"/>
  <c r="AU21" i="23"/>
  <c r="AT21" i="23"/>
  <c r="AS21" i="23"/>
  <c r="DA21" i="23"/>
  <c r="E21" i="23"/>
  <c r="CG21" i="23"/>
  <c r="T21" i="23"/>
  <c r="S21" i="23"/>
  <c r="P21" i="23"/>
  <c r="O21" i="23"/>
  <c r="N21" i="23"/>
  <c r="L21" i="23"/>
  <c r="K21" i="23"/>
  <c r="CM21" i="23" s="1"/>
  <c r="J21" i="23"/>
  <c r="H21" i="23"/>
  <c r="G21" i="23"/>
  <c r="F21" i="23"/>
  <c r="AO21" i="23"/>
  <c r="DB21" i="23"/>
  <c r="BM21" i="23"/>
  <c r="DG21" i="23"/>
  <c r="AP21" i="23"/>
  <c r="Q21" i="23"/>
  <c r="C66" i="20"/>
  <c r="C67" i="20"/>
  <c r="C68" i="20"/>
  <c r="C69" i="20"/>
  <c r="C70" i="20"/>
  <c r="C66" i="2"/>
  <c r="C67" i="2"/>
  <c r="C68" i="2"/>
  <c r="C69" i="2"/>
  <c r="C70" i="2"/>
  <c r="BM15" i="23"/>
  <c r="BM19" i="23"/>
  <c r="BM37" i="23"/>
  <c r="BM46" i="23"/>
  <c r="BM55" i="23" s="1"/>
  <c r="BM50" i="23"/>
  <c r="AA66" i="2"/>
  <c r="AB66" i="2"/>
  <c r="AA67" i="2"/>
  <c r="AB67" i="2"/>
  <c r="AA68" i="2"/>
  <c r="AB68" i="2"/>
  <c r="AA69" i="2"/>
  <c r="AB69" i="2"/>
  <c r="U404" i="3"/>
  <c r="AA70" i="2"/>
  <c r="AB70" i="2"/>
  <c r="AA71" i="2"/>
  <c r="AB71" i="2"/>
  <c r="AA72" i="2"/>
  <c r="AB72" i="2"/>
  <c r="AA73" i="2"/>
  <c r="AB73" i="2"/>
  <c r="AA74" i="2"/>
  <c r="AB74" i="2"/>
  <c r="AA75" i="2"/>
  <c r="AB75" i="2"/>
  <c r="AA76" i="2"/>
  <c r="AB76" i="2"/>
  <c r="AA77" i="2"/>
  <c r="AB77" i="2"/>
  <c r="AV9" i="23"/>
  <c r="AV18" i="23"/>
  <c r="AA54" i="26" s="1"/>
  <c r="AU9" i="23"/>
  <c r="AU18" i="23"/>
  <c r="AA53" i="26"/>
  <c r="AT9" i="23"/>
  <c r="F9" i="23"/>
  <c r="AT18" i="23"/>
  <c r="AA52" i="26"/>
  <c r="AT3" i="23"/>
  <c r="AT34" i="23"/>
  <c r="AT12" i="23"/>
  <c r="AT43" i="23"/>
  <c r="Z52" i="26" s="1"/>
  <c r="AS9" i="23"/>
  <c r="AS18" i="23"/>
  <c r="AV12" i="23"/>
  <c r="Z54" i="26" s="1"/>
  <c r="AV43" i="23"/>
  <c r="AU12" i="23"/>
  <c r="AU43" i="23"/>
  <c r="AS12" i="23"/>
  <c r="AS43" i="23"/>
  <c r="AV3" i="23"/>
  <c r="AV34" i="23"/>
  <c r="AU3" i="23"/>
  <c r="Y53" i="26" s="1"/>
  <c r="AU34" i="23"/>
  <c r="AS34" i="23"/>
  <c r="AW9" i="23"/>
  <c r="AW18" i="23"/>
  <c r="AC34" i="23"/>
  <c r="AW12" i="23"/>
  <c r="AW43" i="23"/>
  <c r="Z55" i="26"/>
  <c r="AC57" i="23"/>
  <c r="DE57" i="23" s="1"/>
  <c r="AC25" i="23"/>
  <c r="AC53" i="23"/>
  <c r="AC26" i="23"/>
  <c r="AC54" i="23"/>
  <c r="AC63" i="23"/>
  <c r="AC27" i="23"/>
  <c r="AC55" i="23"/>
  <c r="AC28" i="23"/>
  <c r="AC56" i="23"/>
  <c r="AC29" i="23"/>
  <c r="E65" i="2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Y130" i="3"/>
  <c r="Y131" i="3"/>
  <c r="Y132" i="3"/>
  <c r="Y133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AE70" i="2"/>
  <c r="D37" i="3"/>
  <c r="D66" i="3"/>
  <c r="D98" i="3"/>
  <c r="D129" i="3"/>
  <c r="D161" i="3"/>
  <c r="D192" i="3"/>
  <c r="D224" i="3"/>
  <c r="D256" i="3"/>
  <c r="D287" i="3"/>
  <c r="D319" i="3"/>
  <c r="D350" i="3"/>
  <c r="P37" i="3"/>
  <c r="P66" i="3"/>
  <c r="P98" i="3"/>
  <c r="P129" i="3"/>
  <c r="P161" i="3"/>
  <c r="P192" i="3"/>
  <c r="P224" i="3"/>
  <c r="P256" i="3"/>
  <c r="P287" i="3"/>
  <c r="P319" i="3"/>
  <c r="P350" i="3"/>
  <c r="C37" i="3"/>
  <c r="C66" i="3"/>
  <c r="C98" i="3"/>
  <c r="C129" i="3"/>
  <c r="C161" i="3"/>
  <c r="C192" i="3"/>
  <c r="C224" i="3"/>
  <c r="C256" i="3"/>
  <c r="C287" i="3"/>
  <c r="C319" i="3"/>
  <c r="C350" i="3"/>
  <c r="F65" i="2"/>
  <c r="BY110" i="16"/>
  <c r="BY112" i="16" s="1"/>
  <c r="E53" i="23"/>
  <c r="CG53" i="23"/>
  <c r="E54" i="23"/>
  <c r="E55" i="23"/>
  <c r="E56" i="23"/>
  <c r="E29" i="23"/>
  <c r="CG29" i="23"/>
  <c r="E57" i="23"/>
  <c r="Y53" i="23"/>
  <c r="G18" i="23"/>
  <c r="G12" i="23"/>
  <c r="G9" i="2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E71" i="2"/>
  <c r="Y390" i="3" s="1"/>
  <c r="AE68" i="2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2" i="3"/>
  <c r="W163" i="3"/>
  <c r="W164" i="3"/>
  <c r="AC71" i="2"/>
  <c r="AC69" i="2"/>
  <c r="AC70" i="2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8" i="3"/>
  <c r="W277" i="3"/>
  <c r="W279" i="3"/>
  <c r="W280" i="3"/>
  <c r="W281" i="3"/>
  <c r="W282" i="3"/>
  <c r="W283" i="3"/>
  <c r="W284" i="3"/>
  <c r="W285" i="3"/>
  <c r="W286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U99" i="3"/>
  <c r="U100" i="3"/>
  <c r="U101" i="3"/>
  <c r="U102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2" i="3"/>
  <c r="U163" i="3"/>
  <c r="U164" i="3"/>
  <c r="U165" i="3"/>
  <c r="U390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8" i="3"/>
  <c r="U275" i="3"/>
  <c r="U276" i="3"/>
  <c r="U277" i="3"/>
  <c r="U279" i="3"/>
  <c r="U280" i="3"/>
  <c r="U281" i="3"/>
  <c r="U282" i="3"/>
  <c r="U283" i="3"/>
  <c r="U284" i="3"/>
  <c r="U285" i="3"/>
  <c r="U286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V141" i="3"/>
  <c r="V142" i="3"/>
  <c r="V143" i="3"/>
  <c r="V144" i="3"/>
  <c r="V145" i="3"/>
  <c r="V146" i="3"/>
  <c r="V147" i="3"/>
  <c r="V148" i="3"/>
  <c r="V130" i="3"/>
  <c r="V131" i="3"/>
  <c r="V132" i="3"/>
  <c r="V133" i="3"/>
  <c r="V134" i="3"/>
  <c r="V135" i="3"/>
  <c r="V136" i="3"/>
  <c r="V137" i="3"/>
  <c r="V138" i="3"/>
  <c r="V139" i="3"/>
  <c r="V140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2" i="3"/>
  <c r="V163" i="3"/>
  <c r="V164" i="3"/>
  <c r="V16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8" i="3"/>
  <c r="V276" i="3"/>
  <c r="V277" i="3"/>
  <c r="V279" i="3"/>
  <c r="V280" i="3"/>
  <c r="V281" i="3"/>
  <c r="V282" i="3"/>
  <c r="V283" i="3"/>
  <c r="V284" i="3"/>
  <c r="V285" i="3"/>
  <c r="AB14" i="2" s="1"/>
  <c r="V286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20" i="3"/>
  <c r="V319" i="3" s="1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Z141" i="3"/>
  <c r="Z142" i="3"/>
  <c r="Z143" i="3"/>
  <c r="Z144" i="3"/>
  <c r="Z145" i="3"/>
  <c r="Z146" i="3"/>
  <c r="Z147" i="3"/>
  <c r="Z148" i="3"/>
  <c r="Z130" i="3"/>
  <c r="Z131" i="3"/>
  <c r="Z132" i="3"/>
  <c r="Z133" i="3"/>
  <c r="Z134" i="3"/>
  <c r="Z135" i="3"/>
  <c r="Z136" i="3"/>
  <c r="Z137" i="3"/>
  <c r="Z138" i="3"/>
  <c r="Z139" i="3"/>
  <c r="Z140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Z350" i="3"/>
  <c r="U73" i="2"/>
  <c r="AF73" i="2" s="1"/>
  <c r="Y408" i="3"/>
  <c r="X141" i="3"/>
  <c r="X142" i="3"/>
  <c r="X143" i="3"/>
  <c r="X144" i="3"/>
  <c r="X145" i="3"/>
  <c r="X146" i="3"/>
  <c r="X147" i="3"/>
  <c r="X148" i="3"/>
  <c r="X130" i="3"/>
  <c r="X131" i="3"/>
  <c r="X132" i="3"/>
  <c r="X133" i="3"/>
  <c r="X134" i="3"/>
  <c r="X135" i="3"/>
  <c r="X136" i="3"/>
  <c r="X137" i="3"/>
  <c r="X138" i="3"/>
  <c r="X139" i="3"/>
  <c r="X140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1" i="3"/>
  <c r="X352" i="3"/>
  <c r="X350" i="3" s="1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AC76" i="2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161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D4" i="18"/>
  <c r="AE4" i="18"/>
  <c r="AF4" i="18"/>
  <c r="AG4" i="18" s="1"/>
  <c r="U4" i="18"/>
  <c r="V4" i="18"/>
  <c r="W4" i="18"/>
  <c r="X4" i="18" s="1"/>
  <c r="L4" i="18"/>
  <c r="M4" i="18"/>
  <c r="N4" i="18"/>
  <c r="O4" i="18" s="1"/>
  <c r="E4" i="18"/>
  <c r="D4" i="18"/>
  <c r="C4" i="18"/>
  <c r="X81" i="24"/>
  <c r="AB59" i="24"/>
  <c r="F12" i="24"/>
  <c r="F15" i="24"/>
  <c r="G15" i="24"/>
  <c r="J7" i="24"/>
  <c r="J16" i="24"/>
  <c r="F16" i="24"/>
  <c r="L8" i="24"/>
  <c r="L6" i="24"/>
  <c r="L7" i="24"/>
  <c r="L9" i="24"/>
  <c r="L30" i="24"/>
  <c r="J9" i="24"/>
  <c r="J30" i="24"/>
  <c r="J40" i="24"/>
  <c r="J58" i="24"/>
  <c r="J37" i="24"/>
  <c r="J46" i="24"/>
  <c r="F39" i="24"/>
  <c r="L39" i="24"/>
  <c r="J39" i="24"/>
  <c r="G40" i="24"/>
  <c r="F17" i="24"/>
  <c r="G17" i="24"/>
  <c r="F21" i="24"/>
  <c r="F18" i="24"/>
  <c r="F31" i="24"/>
  <c r="L18" i="24"/>
  <c r="L31" i="24" s="1"/>
  <c r="F46" i="24"/>
  <c r="F47" i="24"/>
  <c r="G47" i="24"/>
  <c r="I47" i="24"/>
  <c r="F48" i="24"/>
  <c r="J48" i="24"/>
  <c r="F49" i="24"/>
  <c r="G49" i="24"/>
  <c r="G59" i="24" s="1"/>
  <c r="J49" i="24"/>
  <c r="J59" i="24" s="1"/>
  <c r="G12" i="24"/>
  <c r="G16" i="24"/>
  <c r="G21" i="24"/>
  <c r="G18" i="24"/>
  <c r="G31" i="24"/>
  <c r="G68" i="24"/>
  <c r="L49" i="24"/>
  <c r="L48" i="24"/>
  <c r="L46" i="24"/>
  <c r="L47" i="24"/>
  <c r="L21" i="24"/>
  <c r="L17" i="24"/>
  <c r="L16" i="24"/>
  <c r="L15" i="24"/>
  <c r="L12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16" i="23"/>
  <c r="AB18" i="24"/>
  <c r="AB31" i="24" s="1"/>
  <c r="AB68" i="24"/>
  <c r="AK7" i="23"/>
  <c r="AB9" i="24"/>
  <c r="AB30" i="24" s="1"/>
  <c r="AB58" i="24"/>
  <c r="AD58" i="24" s="1"/>
  <c r="AB57" i="24"/>
  <c r="AD57" i="24"/>
  <c r="AK6" i="23"/>
  <c r="AB8" i="24" s="1"/>
  <c r="AK15" i="23"/>
  <c r="AB17" i="24" s="1"/>
  <c r="AK19" i="23"/>
  <c r="AK5" i="23"/>
  <c r="AB7" i="24" s="1"/>
  <c r="AK14" i="23"/>
  <c r="AB16" i="24"/>
  <c r="AB56" i="24"/>
  <c r="AK4" i="23"/>
  <c r="AB6" i="24" s="1"/>
  <c r="AK10" i="23"/>
  <c r="AK13" i="23"/>
  <c r="AB15" i="24"/>
  <c r="AB55" i="24"/>
  <c r="AD55" i="24"/>
  <c r="AB45" i="24"/>
  <c r="AD49" i="24"/>
  <c r="AD48" i="24"/>
  <c r="AD47" i="24"/>
  <c r="AD46" i="24"/>
  <c r="AD40" i="24"/>
  <c r="AD39" i="24"/>
  <c r="AD38" i="24"/>
  <c r="AD37" i="24"/>
  <c r="AB36" i="24"/>
  <c r="AD36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L40" i="24"/>
  <c r="L58" i="24"/>
  <c r="L38" i="24"/>
  <c r="L37" i="24"/>
  <c r="E26" i="25"/>
  <c r="E53" i="25"/>
  <c r="E62" i="25" s="1"/>
  <c r="F26" i="25"/>
  <c r="F53" i="25"/>
  <c r="G26" i="25"/>
  <c r="G62" i="25" s="1"/>
  <c r="G53" i="25"/>
  <c r="H26" i="25"/>
  <c r="H53" i="25"/>
  <c r="H62" i="25"/>
  <c r="I26" i="25"/>
  <c r="I53" i="25"/>
  <c r="J26" i="25"/>
  <c r="J53" i="25"/>
  <c r="K26" i="25"/>
  <c r="K53" i="25"/>
  <c r="L26" i="25"/>
  <c r="L53" i="25"/>
  <c r="L62" i="25" s="1"/>
  <c r="M26" i="25"/>
  <c r="M53" i="25"/>
  <c r="M62" i="25"/>
  <c r="N26" i="25"/>
  <c r="N62" i="25" s="1"/>
  <c r="N53" i="25"/>
  <c r="O26" i="25"/>
  <c r="P26" i="25"/>
  <c r="P62" i="25" s="1"/>
  <c r="P53" i="25"/>
  <c r="P22" i="25"/>
  <c r="P49" i="25"/>
  <c r="P58" i="25"/>
  <c r="P23" i="25"/>
  <c r="P50" i="25"/>
  <c r="P59" i="25"/>
  <c r="P24" i="25"/>
  <c r="P60" i="25" s="1"/>
  <c r="P51" i="25"/>
  <c r="P25" i="25"/>
  <c r="P61" i="25" s="1"/>
  <c r="P52" i="25"/>
  <c r="P57" i="25"/>
  <c r="O53" i="25"/>
  <c r="V16" i="25"/>
  <c r="V43" i="25"/>
  <c r="V53" i="25"/>
  <c r="U16" i="25"/>
  <c r="U26" i="25"/>
  <c r="U43" i="25"/>
  <c r="U53" i="25"/>
  <c r="T16" i="25"/>
  <c r="T26" i="25" s="1"/>
  <c r="T43" i="25"/>
  <c r="T53" i="25" s="1"/>
  <c r="S16" i="25"/>
  <c r="S26" i="25"/>
  <c r="S43" i="25"/>
  <c r="S53" i="25" s="1"/>
  <c r="E25" i="25"/>
  <c r="E52" i="25"/>
  <c r="F25" i="25"/>
  <c r="F61" i="25" s="1"/>
  <c r="F52" i="25"/>
  <c r="G25" i="25"/>
  <c r="G52" i="25"/>
  <c r="H25" i="25"/>
  <c r="I25" i="25"/>
  <c r="I52" i="25"/>
  <c r="I61" i="25" s="1"/>
  <c r="J25" i="25"/>
  <c r="J52" i="25"/>
  <c r="K25" i="25"/>
  <c r="K61" i="25" s="1"/>
  <c r="K52" i="25"/>
  <c r="L25" i="25"/>
  <c r="M25" i="25"/>
  <c r="M52" i="25"/>
  <c r="N25" i="25"/>
  <c r="N52" i="25"/>
  <c r="O25" i="25"/>
  <c r="O52" i="25"/>
  <c r="O61" i="25"/>
  <c r="H52" i="25"/>
  <c r="L52" i="25"/>
  <c r="V7" i="25"/>
  <c r="V25" i="25"/>
  <c r="V34" i="25"/>
  <c r="V52" i="25"/>
  <c r="U7" i="25"/>
  <c r="U34" i="25"/>
  <c r="U52" i="25" s="1"/>
  <c r="T7" i="25"/>
  <c r="T25" i="25" s="1"/>
  <c r="T34" i="25"/>
  <c r="T52" i="25"/>
  <c r="S7" i="25"/>
  <c r="S25" i="25"/>
  <c r="S34" i="25"/>
  <c r="S52" i="25" s="1"/>
  <c r="S61" i="25"/>
  <c r="E24" i="25"/>
  <c r="E51" i="25"/>
  <c r="F24" i="25"/>
  <c r="G24" i="25"/>
  <c r="G60" i="25" s="1"/>
  <c r="G51" i="25"/>
  <c r="H24" i="25"/>
  <c r="H51" i="25"/>
  <c r="H60" i="25"/>
  <c r="I24" i="25"/>
  <c r="I51" i="25"/>
  <c r="I60" i="25" s="1"/>
  <c r="J24" i="25"/>
  <c r="J60" i="25" s="1"/>
  <c r="J51" i="25"/>
  <c r="K24" i="25"/>
  <c r="K51" i="25"/>
  <c r="L24" i="25"/>
  <c r="L60" i="25" s="1"/>
  <c r="L51" i="25"/>
  <c r="M24" i="25"/>
  <c r="M51" i="25"/>
  <c r="M60" i="25"/>
  <c r="N24" i="25"/>
  <c r="N51" i="25"/>
  <c r="N60" i="25"/>
  <c r="O24" i="25"/>
  <c r="O60" i="25" s="1"/>
  <c r="O57" i="25" s="1"/>
  <c r="O51" i="25"/>
  <c r="F51" i="25"/>
  <c r="V6" i="25"/>
  <c r="V15" i="25"/>
  <c r="V24" i="25" s="1"/>
  <c r="V19" i="25"/>
  <c r="V18" i="25" s="1"/>
  <c r="V33" i="25"/>
  <c r="V30" i="25" s="1"/>
  <c r="V42" i="25"/>
  <c r="V46" i="25"/>
  <c r="V45" i="25" s="1"/>
  <c r="U6" i="25"/>
  <c r="U15" i="25"/>
  <c r="U19" i="25"/>
  <c r="U24" i="25"/>
  <c r="U33" i="25"/>
  <c r="U42" i="25"/>
  <c r="U51" i="25" s="1"/>
  <c r="U46" i="25"/>
  <c r="T6" i="25"/>
  <c r="T15" i="25"/>
  <c r="T19" i="25"/>
  <c r="T18" i="25" s="1"/>
  <c r="T33" i="25"/>
  <c r="T42" i="25"/>
  <c r="T40" i="25"/>
  <c r="T41" i="25"/>
  <c r="T39" i="25"/>
  <c r="T46" i="25"/>
  <c r="S6" i="25"/>
  <c r="S15" i="25"/>
  <c r="S19" i="25"/>
  <c r="S18" i="25" s="1"/>
  <c r="S33" i="25"/>
  <c r="S42" i="25"/>
  <c r="S46" i="25"/>
  <c r="E23" i="25"/>
  <c r="E50" i="25"/>
  <c r="E59" i="25"/>
  <c r="F50" i="25"/>
  <c r="Q50" i="25" s="1"/>
  <c r="G50" i="25"/>
  <c r="H50" i="25"/>
  <c r="I50" i="25"/>
  <c r="J50" i="25"/>
  <c r="J59" i="25" s="1"/>
  <c r="K50" i="25"/>
  <c r="L50" i="25"/>
  <c r="M50" i="25"/>
  <c r="N50" i="25"/>
  <c r="O50" i="25"/>
  <c r="F23" i="25"/>
  <c r="G23" i="25"/>
  <c r="G59" i="25"/>
  <c r="H23" i="25"/>
  <c r="I23" i="25"/>
  <c r="J23" i="25"/>
  <c r="K23" i="25"/>
  <c r="K59" i="25" s="1"/>
  <c r="L23" i="25"/>
  <c r="L59" i="25"/>
  <c r="M23" i="25"/>
  <c r="M59" i="25" s="1"/>
  <c r="N23" i="25"/>
  <c r="N59" i="25" s="1"/>
  <c r="O23" i="25"/>
  <c r="O59" i="25" s="1"/>
  <c r="I59" i="25"/>
  <c r="V5" i="25"/>
  <c r="V14" i="25"/>
  <c r="V32" i="25"/>
  <c r="V41" i="25"/>
  <c r="V50" i="25" s="1"/>
  <c r="U5" i="25"/>
  <c r="U14" i="25"/>
  <c r="U23" i="25" s="1"/>
  <c r="U32" i="25"/>
  <c r="U41" i="25"/>
  <c r="T5" i="25"/>
  <c r="T14" i="25"/>
  <c r="T32" i="25"/>
  <c r="S5" i="25"/>
  <c r="S23" i="25" s="1"/>
  <c r="S14" i="25"/>
  <c r="S32" i="25"/>
  <c r="S30" i="25" s="1"/>
  <c r="S41" i="25"/>
  <c r="S50" i="25"/>
  <c r="E22" i="25"/>
  <c r="E49" i="25"/>
  <c r="F22" i="25"/>
  <c r="F58" i="25" s="1"/>
  <c r="F49" i="25"/>
  <c r="G22" i="25"/>
  <c r="G58" i="25" s="1"/>
  <c r="G49" i="25"/>
  <c r="H22" i="25"/>
  <c r="H49" i="25"/>
  <c r="H58" i="25"/>
  <c r="I22" i="25"/>
  <c r="I49" i="25"/>
  <c r="J22" i="25"/>
  <c r="J49" i="25"/>
  <c r="K22" i="25"/>
  <c r="L22" i="25"/>
  <c r="L58" i="25" s="1"/>
  <c r="L49" i="25"/>
  <c r="M22" i="25"/>
  <c r="M58" i="25" s="1"/>
  <c r="M49" i="25"/>
  <c r="N22" i="25"/>
  <c r="N49" i="25"/>
  <c r="O22" i="25"/>
  <c r="K49" i="25"/>
  <c r="O49" i="25"/>
  <c r="V4" i="25"/>
  <c r="V10" i="25"/>
  <c r="V9" i="25"/>
  <c r="V13" i="25"/>
  <c r="V31" i="25"/>
  <c r="V37" i="25"/>
  <c r="V40" i="25"/>
  <c r="U4" i="25"/>
  <c r="U10" i="25"/>
  <c r="U13" i="25"/>
  <c r="U31" i="25"/>
  <c r="U37" i="25"/>
  <c r="U40" i="25"/>
  <c r="T4" i="25"/>
  <c r="T10" i="25"/>
  <c r="T13" i="25"/>
  <c r="T31" i="25"/>
  <c r="T30" i="25" s="1"/>
  <c r="T37" i="25"/>
  <c r="T36" i="25" s="1"/>
  <c r="S4" i="25"/>
  <c r="S10" i="25"/>
  <c r="S9" i="25"/>
  <c r="S13" i="25"/>
  <c r="S31" i="25"/>
  <c r="S37" i="25"/>
  <c r="S36" i="25"/>
  <c r="S40" i="25"/>
  <c r="Q46" i="25"/>
  <c r="Q45" i="25" s="1"/>
  <c r="Q40" i="25"/>
  <c r="Q41" i="25"/>
  <c r="Q42" i="25"/>
  <c r="Q39" i="25" s="1"/>
  <c r="Q43" i="25"/>
  <c r="Q37" i="25"/>
  <c r="Q36" i="25"/>
  <c r="Q31" i="25"/>
  <c r="Q32" i="25"/>
  <c r="Q33" i="25"/>
  <c r="Q34" i="25"/>
  <c r="P45" i="25"/>
  <c r="P39" i="25"/>
  <c r="P36" i="25"/>
  <c r="P30" i="25"/>
  <c r="P48" i="25"/>
  <c r="O45" i="25"/>
  <c r="O39" i="25"/>
  <c r="O36" i="25"/>
  <c r="O30" i="25"/>
  <c r="N45" i="25"/>
  <c r="N39" i="25"/>
  <c r="N36" i="25"/>
  <c r="N30" i="25"/>
  <c r="M45" i="25"/>
  <c r="M39" i="25"/>
  <c r="M36" i="25"/>
  <c r="M30" i="25"/>
  <c r="L45" i="25"/>
  <c r="L39" i="25"/>
  <c r="L36" i="25"/>
  <c r="L30" i="25"/>
  <c r="K45" i="25"/>
  <c r="K39" i="25"/>
  <c r="K36" i="25"/>
  <c r="K30" i="25"/>
  <c r="J45" i="25"/>
  <c r="J39" i="25"/>
  <c r="J36" i="25"/>
  <c r="J48" i="25" s="1"/>
  <c r="J30" i="25"/>
  <c r="I45" i="25"/>
  <c r="I39" i="25"/>
  <c r="I36" i="25"/>
  <c r="I30" i="25"/>
  <c r="H45" i="25"/>
  <c r="H39" i="25"/>
  <c r="H48" i="25" s="1"/>
  <c r="H36" i="25"/>
  <c r="H30" i="25"/>
  <c r="G45" i="25"/>
  <c r="G39" i="25"/>
  <c r="G36" i="25"/>
  <c r="G48" i="25" s="1"/>
  <c r="G30" i="25"/>
  <c r="F45" i="25"/>
  <c r="F39" i="25"/>
  <c r="F36" i="25"/>
  <c r="F30" i="25"/>
  <c r="E45" i="25"/>
  <c r="E39" i="25"/>
  <c r="E36" i="25"/>
  <c r="E30" i="25"/>
  <c r="V36" i="25"/>
  <c r="U45" i="25"/>
  <c r="T45" i="25"/>
  <c r="S45" i="25"/>
  <c r="Q19" i="25"/>
  <c r="Q18" i="25" s="1"/>
  <c r="Q13" i="25"/>
  <c r="Q14" i="25"/>
  <c r="Q15" i="25"/>
  <c r="Q16" i="25"/>
  <c r="Q10" i="25"/>
  <c r="Q9" i="25" s="1"/>
  <c r="Q4" i="25"/>
  <c r="Q5" i="25"/>
  <c r="Q6" i="25"/>
  <c r="Q3" i="25" s="1"/>
  <c r="Q7" i="25"/>
  <c r="P18" i="25"/>
  <c r="P12" i="25"/>
  <c r="P9" i="25"/>
  <c r="P3" i="25"/>
  <c r="O18" i="25"/>
  <c r="O12" i="25"/>
  <c r="O9" i="25"/>
  <c r="O3" i="25"/>
  <c r="N18" i="25"/>
  <c r="N12" i="25"/>
  <c r="N21" i="25" s="1"/>
  <c r="N9" i="25"/>
  <c r="N3" i="25"/>
  <c r="M18" i="25"/>
  <c r="M12" i="25"/>
  <c r="M9" i="25"/>
  <c r="M3" i="25"/>
  <c r="M21" i="25"/>
  <c r="L18" i="25"/>
  <c r="L12" i="25"/>
  <c r="L9" i="25"/>
  <c r="L3" i="25"/>
  <c r="K18" i="25"/>
  <c r="K12" i="25"/>
  <c r="K9" i="25"/>
  <c r="K3" i="25"/>
  <c r="J18" i="25"/>
  <c r="J12" i="25"/>
  <c r="J9" i="25"/>
  <c r="J3" i="25"/>
  <c r="J21" i="25"/>
  <c r="I18" i="25"/>
  <c r="I12" i="25"/>
  <c r="I9" i="25"/>
  <c r="I3" i="25"/>
  <c r="H18" i="25"/>
  <c r="H12" i="25"/>
  <c r="H9" i="25"/>
  <c r="H3" i="25"/>
  <c r="G18" i="25"/>
  <c r="G12" i="25"/>
  <c r="G9" i="25"/>
  <c r="G3" i="25"/>
  <c r="F18" i="25"/>
  <c r="F12" i="25"/>
  <c r="F9" i="25"/>
  <c r="F3" i="25"/>
  <c r="E18" i="25"/>
  <c r="E12" i="25"/>
  <c r="E9" i="25"/>
  <c r="E21" i="25" s="1"/>
  <c r="E3" i="25"/>
  <c r="U18" i="25"/>
  <c r="T9" i="25"/>
  <c r="G48" i="24"/>
  <c r="J47" i="24"/>
  <c r="K46" i="24"/>
  <c r="G46" i="24"/>
  <c r="J38" i="24"/>
  <c r="G39" i="24"/>
  <c r="G38" i="24"/>
  <c r="G56" i="24" s="1"/>
  <c r="G37" i="24"/>
  <c r="G58" i="24"/>
  <c r="J18" i="24"/>
  <c r="J31" i="24"/>
  <c r="J8" i="24"/>
  <c r="J17" i="24"/>
  <c r="J21" i="24"/>
  <c r="J20" i="24"/>
  <c r="J57" i="24"/>
  <c r="J6" i="24"/>
  <c r="J5" i="24" s="1"/>
  <c r="J12" i="24"/>
  <c r="J15" i="24"/>
  <c r="F51" i="24"/>
  <c r="L51" i="24"/>
  <c r="J51" i="24"/>
  <c r="G51" i="24"/>
  <c r="F42" i="24"/>
  <c r="L42" i="24"/>
  <c r="J42" i="24"/>
  <c r="G42" i="24"/>
  <c r="G11" i="24"/>
  <c r="BQ37" i="23"/>
  <c r="BQ35" i="23"/>
  <c r="BQ36" i="23"/>
  <c r="BQ38" i="23"/>
  <c r="BQ50" i="23"/>
  <c r="CB50" i="23" s="1"/>
  <c r="BP50" i="23"/>
  <c r="BQ49" i="23"/>
  <c r="BQ44" i="23"/>
  <c r="BQ45" i="23"/>
  <c r="BQ46" i="23"/>
  <c r="BQ47" i="23"/>
  <c r="BQ57" i="23" s="1"/>
  <c r="BQ41" i="23"/>
  <c r="BQ40" i="23"/>
  <c r="BQ10" i="23"/>
  <c r="BQ9" i="23"/>
  <c r="BQ13" i="23"/>
  <c r="BP13" i="23"/>
  <c r="AN13" i="23"/>
  <c r="BQ19" i="23"/>
  <c r="BQ16" i="23"/>
  <c r="BQ15" i="23"/>
  <c r="BP15" i="23"/>
  <c r="CB15" i="23"/>
  <c r="BQ14" i="23"/>
  <c r="CD47" i="23"/>
  <c r="CD57" i="23" s="1"/>
  <c r="AP47" i="23"/>
  <c r="CC47" i="23"/>
  <c r="BP47" i="23"/>
  <c r="BP57" i="23" s="1"/>
  <c r="BP66" i="23" s="1"/>
  <c r="AN47" i="23"/>
  <c r="AN57" i="23" s="1"/>
  <c r="BM47" i="23"/>
  <c r="BN47" i="23"/>
  <c r="BO47" i="23"/>
  <c r="BO57" i="23" s="1"/>
  <c r="BR57" i="23"/>
  <c r="BS57" i="23"/>
  <c r="BT57" i="23"/>
  <c r="BU57" i="23"/>
  <c r="BV57" i="23"/>
  <c r="BW57" i="23"/>
  <c r="BX57" i="23"/>
  <c r="CD38" i="23"/>
  <c r="CC38" i="23"/>
  <c r="BM38" i="23"/>
  <c r="BM56" i="23"/>
  <c r="BN38" i="23"/>
  <c r="BN56" i="23"/>
  <c r="BO38" i="23"/>
  <c r="BR56" i="23"/>
  <c r="BS56" i="23"/>
  <c r="BT56" i="23"/>
  <c r="BU56" i="23"/>
  <c r="BV56" i="23"/>
  <c r="BW56" i="23"/>
  <c r="BX56" i="23"/>
  <c r="CD37" i="23"/>
  <c r="CD46" i="23"/>
  <c r="CD55" i="23" s="1"/>
  <c r="CD50" i="23"/>
  <c r="CC37" i="23"/>
  <c r="CC46" i="23"/>
  <c r="CC50" i="23"/>
  <c r="AO37" i="23"/>
  <c r="AO46" i="23"/>
  <c r="AO50" i="23"/>
  <c r="BP37" i="23"/>
  <c r="BP46" i="23"/>
  <c r="AN37" i="23"/>
  <c r="AN46" i="23"/>
  <c r="AN50" i="23"/>
  <c r="AN49" i="23" s="1"/>
  <c r="BN46" i="23"/>
  <c r="BO46" i="23"/>
  <c r="BN50" i="23"/>
  <c r="BO50" i="23"/>
  <c r="BN37" i="23"/>
  <c r="BN55" i="23"/>
  <c r="BO37" i="23"/>
  <c r="BR55" i="23"/>
  <c r="BS55" i="23"/>
  <c r="BS64" i="23" s="1"/>
  <c r="BS27" i="23"/>
  <c r="BT55" i="23"/>
  <c r="BT27" i="23"/>
  <c r="BT64" i="23" s="1"/>
  <c r="BU55" i="23"/>
  <c r="BV55" i="23"/>
  <c r="BW55" i="23"/>
  <c r="BX55" i="23"/>
  <c r="CD36" i="23"/>
  <c r="CD45" i="23"/>
  <c r="CD54" i="23"/>
  <c r="AP36" i="23"/>
  <c r="AP45" i="23"/>
  <c r="CC36" i="23"/>
  <c r="CC45" i="23"/>
  <c r="AO36" i="23"/>
  <c r="DQ36" i="23" s="1"/>
  <c r="AO45" i="23"/>
  <c r="BP45" i="23"/>
  <c r="BM45" i="23"/>
  <c r="BN45" i="23"/>
  <c r="BN44" i="23"/>
  <c r="BN43" i="23"/>
  <c r="BO45" i="23"/>
  <c r="BM36" i="23"/>
  <c r="BN36" i="23"/>
  <c r="BN54" i="23"/>
  <c r="BO36" i="23"/>
  <c r="BR54" i="23"/>
  <c r="BS54" i="23"/>
  <c r="BT54" i="23"/>
  <c r="BT63" i="23" s="1"/>
  <c r="BT26" i="23"/>
  <c r="BU54" i="23"/>
  <c r="BV54" i="23"/>
  <c r="BW54" i="23"/>
  <c r="BX54" i="23"/>
  <c r="CD35" i="23"/>
  <c r="CD41" i="23"/>
  <c r="CD44" i="23"/>
  <c r="AP35" i="23"/>
  <c r="AP41" i="23"/>
  <c r="AP44" i="23"/>
  <c r="AP53" i="23"/>
  <c r="CC35" i="23"/>
  <c r="CC41" i="23"/>
  <c r="CC44" i="23"/>
  <c r="AO35" i="23"/>
  <c r="AO41" i="23"/>
  <c r="AO40" i="23"/>
  <c r="AO44" i="23"/>
  <c r="BP41" i="23"/>
  <c r="BP40" i="23" s="1"/>
  <c r="BP44" i="23"/>
  <c r="BM44" i="23"/>
  <c r="BO44" i="23"/>
  <c r="CA44" i="23"/>
  <c r="AM44" i="23"/>
  <c r="BM41" i="23"/>
  <c r="BN41" i="23"/>
  <c r="BN35" i="23"/>
  <c r="BN53" i="23" s="1"/>
  <c r="BO41" i="23"/>
  <c r="BO40" i="23" s="1"/>
  <c r="BM35" i="23"/>
  <c r="BM53" i="23" s="1"/>
  <c r="BO35" i="23"/>
  <c r="BO53" i="23" s="1"/>
  <c r="BR53" i="23"/>
  <c r="BS53" i="23"/>
  <c r="BT53" i="23"/>
  <c r="BU53" i="23"/>
  <c r="BV53" i="23"/>
  <c r="BW53" i="23"/>
  <c r="BX53" i="23"/>
  <c r="BX25" i="23"/>
  <c r="BJ47" i="23"/>
  <c r="BI47" i="23"/>
  <c r="BI57" i="23" s="1"/>
  <c r="CW57" i="23" s="1"/>
  <c r="BH47" i="23"/>
  <c r="BG47" i="23"/>
  <c r="Z57" i="23"/>
  <c r="Z66" i="23" s="1"/>
  <c r="AB57" i="23"/>
  <c r="DD57" i="23"/>
  <c r="AD57" i="23"/>
  <c r="AY57" i="23"/>
  <c r="CM57" i="23" s="1"/>
  <c r="K57" i="23"/>
  <c r="AE57" i="23"/>
  <c r="AF57" i="23"/>
  <c r="L57" i="23"/>
  <c r="BB57" i="23"/>
  <c r="N57" i="23"/>
  <c r="BC57" i="23"/>
  <c r="DK57" i="23" s="1"/>
  <c r="AI57" i="23"/>
  <c r="O57" i="23"/>
  <c r="O66" i="23" s="1"/>
  <c r="BD57" i="23"/>
  <c r="P57" i="23"/>
  <c r="AJ57" i="23"/>
  <c r="BG38" i="23"/>
  <c r="BJ37" i="23"/>
  <c r="CX37" i="23" s="1"/>
  <c r="BJ50" i="23"/>
  <c r="BJ49" i="23" s="1"/>
  <c r="BJ46" i="23"/>
  <c r="BI37" i="23"/>
  <c r="CW37" i="23" s="1"/>
  <c r="BI46" i="23"/>
  <c r="CW46" i="23" s="1"/>
  <c r="BI50" i="23"/>
  <c r="BH37" i="23"/>
  <c r="BH50" i="23"/>
  <c r="BH46" i="23"/>
  <c r="BG46" i="23"/>
  <c r="BG50" i="23"/>
  <c r="BG49" i="23" s="1"/>
  <c r="BG37" i="23"/>
  <c r="Z55" i="23"/>
  <c r="DB55" i="23" s="1"/>
  <c r="AA55" i="23"/>
  <c r="AA64" i="23" s="1"/>
  <c r="J55" i="23"/>
  <c r="AY55" i="23"/>
  <c r="K55" i="23"/>
  <c r="CM55" i="23"/>
  <c r="L55" i="23"/>
  <c r="CN55" i="23"/>
  <c r="AG55" i="23"/>
  <c r="BB55" i="23"/>
  <c r="AH55" i="23"/>
  <c r="BC55" i="23"/>
  <c r="AI55" i="23"/>
  <c r="O55" i="23"/>
  <c r="BD55" i="23"/>
  <c r="CR55" i="23" s="1"/>
  <c r="AJ55" i="23"/>
  <c r="P55" i="23"/>
  <c r="BJ45" i="23"/>
  <c r="BI45" i="23"/>
  <c r="CW45" i="23"/>
  <c r="BH45" i="23"/>
  <c r="CV45" i="23"/>
  <c r="BG45" i="23"/>
  <c r="BG36" i="23"/>
  <c r="BJ41" i="23"/>
  <c r="BJ44" i="23"/>
  <c r="BI41" i="23"/>
  <c r="BI44" i="23"/>
  <c r="BH41" i="23"/>
  <c r="BH44" i="23"/>
  <c r="BG44" i="23"/>
  <c r="BG41" i="23"/>
  <c r="BG35" i="23"/>
  <c r="BG53" i="23"/>
  <c r="F53" i="23"/>
  <c r="AO47" i="23"/>
  <c r="AO57" i="23" s="1"/>
  <c r="AM47" i="23"/>
  <c r="AM57" i="23" s="1"/>
  <c r="Y57" i="23"/>
  <c r="AA57" i="23"/>
  <c r="DC57" i="23"/>
  <c r="AG57" i="23"/>
  <c r="AH57" i="23"/>
  <c r="AP38" i="23"/>
  <c r="AP56" i="23"/>
  <c r="AO38" i="23"/>
  <c r="AO56" i="23"/>
  <c r="AN38" i="23"/>
  <c r="AN56" i="23"/>
  <c r="AN7" i="23"/>
  <c r="AN28" i="23"/>
  <c r="AN65" i="23" s="1"/>
  <c r="AM38" i="23"/>
  <c r="AM56" i="23" s="1"/>
  <c r="Y56" i="23"/>
  <c r="Z56" i="23"/>
  <c r="AA56" i="23"/>
  <c r="AB56" i="23"/>
  <c r="AD56" i="23"/>
  <c r="AE56" i="23"/>
  <c r="AF56" i="23"/>
  <c r="AG56" i="23"/>
  <c r="AH56" i="23"/>
  <c r="AI56" i="23"/>
  <c r="AJ56" i="23"/>
  <c r="AP37" i="23"/>
  <c r="AP46" i="23"/>
  <c r="AP50" i="23"/>
  <c r="AM37" i="23"/>
  <c r="AM46" i="23"/>
  <c r="AM50" i="23"/>
  <c r="AM49" i="23" s="1"/>
  <c r="Y55" i="23"/>
  <c r="AB55" i="23"/>
  <c r="AD55" i="23"/>
  <c r="AE55" i="23"/>
  <c r="AF55" i="23"/>
  <c r="AN36" i="23"/>
  <c r="AN45" i="23"/>
  <c r="AN54" i="23" s="1"/>
  <c r="AM36" i="23"/>
  <c r="AM45" i="23"/>
  <c r="AM54" i="23"/>
  <c r="Y54" i="23"/>
  <c r="Z54" i="23"/>
  <c r="AA54" i="23"/>
  <c r="AB54" i="23"/>
  <c r="AD54" i="23"/>
  <c r="AE54" i="23"/>
  <c r="AF54" i="23"/>
  <c r="AG54" i="23"/>
  <c r="AH54" i="23"/>
  <c r="AI54" i="23"/>
  <c r="AJ54" i="23"/>
  <c r="AN35" i="23"/>
  <c r="AN41" i="23"/>
  <c r="AN40" i="23" s="1"/>
  <c r="AN44" i="23"/>
  <c r="AM35" i="23"/>
  <c r="AM41" i="23"/>
  <c r="AM40" i="23" s="1"/>
  <c r="Z53" i="23"/>
  <c r="AA53" i="23"/>
  <c r="AB53" i="23"/>
  <c r="AD53" i="23"/>
  <c r="AE53" i="23"/>
  <c r="AF53" i="23"/>
  <c r="AG53" i="23"/>
  <c r="AH53" i="23"/>
  <c r="AI53" i="23"/>
  <c r="AJ53" i="23"/>
  <c r="AK50" i="23"/>
  <c r="AJ49" i="23"/>
  <c r="DL49" i="23" s="1"/>
  <c r="AI49" i="23"/>
  <c r="AH49" i="23"/>
  <c r="BB49" i="23"/>
  <c r="DJ49" i="23"/>
  <c r="AG49" i="23"/>
  <c r="AG43" i="23"/>
  <c r="AG40" i="23"/>
  <c r="AG34" i="23"/>
  <c r="AF49" i="23"/>
  <c r="DH49" i="23" s="1"/>
  <c r="AE49" i="23"/>
  <c r="AD49" i="23"/>
  <c r="AC49" i="23"/>
  <c r="AC43" i="23"/>
  <c r="AC40" i="23"/>
  <c r="AC52" i="23"/>
  <c r="AB49" i="23"/>
  <c r="AA49" i="23"/>
  <c r="Z49" i="23"/>
  <c r="Y49" i="23"/>
  <c r="AK47" i="23"/>
  <c r="AK46" i="23"/>
  <c r="DM46" i="23" s="1"/>
  <c r="AK45" i="23"/>
  <c r="AK44" i="23"/>
  <c r="AJ43" i="23"/>
  <c r="AI43" i="23"/>
  <c r="AH43" i="23"/>
  <c r="BB43" i="23"/>
  <c r="DJ43" i="23" s="1"/>
  <c r="AF43" i="23"/>
  <c r="AE43" i="23"/>
  <c r="AD43" i="23"/>
  <c r="AB43" i="23"/>
  <c r="DD43" i="23" s="1"/>
  <c r="AA43" i="23"/>
  <c r="Z43" i="23"/>
  <c r="DB43" i="23" s="1"/>
  <c r="Y43" i="23"/>
  <c r="Y52" i="23" s="1"/>
  <c r="AK41" i="23"/>
  <c r="AK40" i="23"/>
  <c r="AJ40" i="23"/>
  <c r="BD40" i="23"/>
  <c r="DL40" i="23" s="1"/>
  <c r="AI40" i="23"/>
  <c r="AH40" i="23"/>
  <c r="AF40" i="23"/>
  <c r="AZ40" i="23"/>
  <c r="DH40" i="23"/>
  <c r="AE40" i="23"/>
  <c r="AD40" i="23"/>
  <c r="AB40" i="23"/>
  <c r="AA40" i="23"/>
  <c r="Z40" i="23"/>
  <c r="Y40" i="23"/>
  <c r="AK38" i="23"/>
  <c r="AK37" i="23"/>
  <c r="AK36" i="23"/>
  <c r="AK35" i="23"/>
  <c r="AJ34" i="23"/>
  <c r="AI34" i="23"/>
  <c r="AH34" i="23"/>
  <c r="AF34" i="23"/>
  <c r="AE34" i="23"/>
  <c r="AE52" i="23" s="1"/>
  <c r="AD34" i="23"/>
  <c r="AB34" i="23"/>
  <c r="AA34" i="23"/>
  <c r="Z34" i="23"/>
  <c r="DB34" i="23" s="1"/>
  <c r="Y34" i="23"/>
  <c r="J57" i="23"/>
  <c r="I57" i="23"/>
  <c r="H57" i="23"/>
  <c r="F57" i="23"/>
  <c r="Q57" i="23" s="1"/>
  <c r="G57" i="23"/>
  <c r="P56" i="23"/>
  <c r="O56" i="23"/>
  <c r="N56" i="23"/>
  <c r="L56" i="23"/>
  <c r="K56" i="23"/>
  <c r="J56" i="23"/>
  <c r="I56" i="23"/>
  <c r="H56" i="23"/>
  <c r="G56" i="23"/>
  <c r="F56" i="23"/>
  <c r="CH56" i="23" s="1"/>
  <c r="N55" i="23"/>
  <c r="I55" i="23"/>
  <c r="H55" i="23"/>
  <c r="CJ55" i="23" s="1"/>
  <c r="G55" i="23"/>
  <c r="F55" i="23"/>
  <c r="P54" i="23"/>
  <c r="O54" i="23"/>
  <c r="N54" i="23"/>
  <c r="L54" i="23"/>
  <c r="K54" i="23"/>
  <c r="J54" i="23"/>
  <c r="I54" i="23"/>
  <c r="H54" i="23"/>
  <c r="G54" i="23"/>
  <c r="F54" i="23"/>
  <c r="CH54" i="23" s="1"/>
  <c r="P53" i="23"/>
  <c r="O53" i="23"/>
  <c r="N53" i="23"/>
  <c r="L53" i="23"/>
  <c r="K53" i="23"/>
  <c r="J53" i="23"/>
  <c r="I53" i="23"/>
  <c r="H53" i="23"/>
  <c r="G53" i="23"/>
  <c r="CD16" i="23"/>
  <c r="CD29" i="23" s="1"/>
  <c r="CC16" i="23"/>
  <c r="CC29" i="23" s="1"/>
  <c r="BP16" i="23"/>
  <c r="BM16" i="23"/>
  <c r="BM29" i="23" s="1"/>
  <c r="BN16" i="23"/>
  <c r="BN57" i="23"/>
  <c r="BO16" i="23"/>
  <c r="CD7" i="23"/>
  <c r="AP7" i="23"/>
  <c r="AP28" i="23" s="1"/>
  <c r="AP65" i="23"/>
  <c r="CC7" i="23"/>
  <c r="CC28" i="23"/>
  <c r="CD6" i="23"/>
  <c r="CD15" i="23"/>
  <c r="AP15" i="23"/>
  <c r="DR15" i="23"/>
  <c r="CD19" i="23"/>
  <c r="CC6" i="23"/>
  <c r="AO6" i="23"/>
  <c r="DQ6" i="23"/>
  <c r="CC15" i="23"/>
  <c r="CC13" i="23"/>
  <c r="DQ13" i="23" s="1"/>
  <c r="CC14" i="23"/>
  <c r="CC12" i="23"/>
  <c r="CC19" i="23"/>
  <c r="BP19" i="23"/>
  <c r="BN15" i="23"/>
  <c r="BO15" i="23"/>
  <c r="BN19" i="23"/>
  <c r="BN18" i="23" s="1"/>
  <c r="BO19" i="23"/>
  <c r="BO18" i="23" s="1"/>
  <c r="CD5" i="23"/>
  <c r="CD14" i="23"/>
  <c r="CC5" i="23"/>
  <c r="CC26" i="23"/>
  <c r="BP14" i="23"/>
  <c r="BM14" i="23"/>
  <c r="BN14" i="23"/>
  <c r="BO14" i="23"/>
  <c r="CD4" i="23"/>
  <c r="CD10" i="23"/>
  <c r="CD13" i="23"/>
  <c r="CC4" i="23"/>
  <c r="CC25" i="23" s="1"/>
  <c r="CC10" i="23"/>
  <c r="BP10" i="23"/>
  <c r="BP9" i="23" s="1"/>
  <c r="BM10" i="23"/>
  <c r="BN10" i="23"/>
  <c r="BN9" i="23" s="1"/>
  <c r="BN13" i="23"/>
  <c r="BN6" i="23"/>
  <c r="BO10" i="23"/>
  <c r="BM13" i="23"/>
  <c r="BO13" i="23"/>
  <c r="BQ29" i="23"/>
  <c r="BQ66" i="23" s="1"/>
  <c r="BR29" i="23"/>
  <c r="BR66" i="23" s="1"/>
  <c r="BS29" i="23"/>
  <c r="BT29" i="23"/>
  <c r="BU29" i="23"/>
  <c r="BU66" i="23" s="1"/>
  <c r="BV29" i="23"/>
  <c r="BV66" i="23" s="1"/>
  <c r="BW29" i="23"/>
  <c r="BX29" i="23"/>
  <c r="BX66" i="23"/>
  <c r="BR28" i="23"/>
  <c r="BR65" i="23"/>
  <c r="BS28" i="23"/>
  <c r="BS65" i="23"/>
  <c r="BT28" i="23"/>
  <c r="BU28" i="23"/>
  <c r="BU65" i="23" s="1"/>
  <c r="BV28" i="23"/>
  <c r="BW28" i="23"/>
  <c r="BW65" i="23" s="1"/>
  <c r="BX28" i="23"/>
  <c r="BR27" i="23"/>
  <c r="BR64" i="23"/>
  <c r="BU27" i="23"/>
  <c r="BV27" i="23"/>
  <c r="BV64" i="23" s="1"/>
  <c r="BW27" i="23"/>
  <c r="BW64" i="23" s="1"/>
  <c r="BX27" i="23"/>
  <c r="BX64" i="23" s="1"/>
  <c r="BR26" i="23"/>
  <c r="BR63" i="23" s="1"/>
  <c r="BR25" i="23"/>
  <c r="BS26" i="23"/>
  <c r="BU26" i="23"/>
  <c r="BU63" i="23"/>
  <c r="BV26" i="23"/>
  <c r="BV63" i="23"/>
  <c r="BW26" i="23"/>
  <c r="BX26" i="23"/>
  <c r="BS25" i="23"/>
  <c r="BT25" i="23"/>
  <c r="BU25" i="23"/>
  <c r="BU62" i="23"/>
  <c r="BV25" i="23"/>
  <c r="BV62" i="23"/>
  <c r="BW25" i="23"/>
  <c r="BW62" i="23"/>
  <c r="BS62" i="23"/>
  <c r="BJ16" i="23"/>
  <c r="BJ29" i="23" s="1"/>
  <c r="CX29" i="23" s="1"/>
  <c r="BI16" i="23"/>
  <c r="CW16" i="23" s="1"/>
  <c r="BH16" i="23"/>
  <c r="BH29" i="23" s="1"/>
  <c r="BG16" i="23"/>
  <c r="BG29" i="23" s="1"/>
  <c r="CU29" i="23"/>
  <c r="BG7" i="23"/>
  <c r="BG28" i="23"/>
  <c r="BJ15" i="23"/>
  <c r="BJ19" i="23"/>
  <c r="BI15" i="23"/>
  <c r="CW15" i="23" s="1"/>
  <c r="BI19" i="23"/>
  <c r="BH15" i="23"/>
  <c r="CV15" i="23"/>
  <c r="BH19" i="23"/>
  <c r="BG6" i="23"/>
  <c r="BG15" i="23"/>
  <c r="CU15" i="23"/>
  <c r="BG19" i="23"/>
  <c r="BJ14" i="23"/>
  <c r="CX14" i="23" s="1"/>
  <c r="BI14" i="23"/>
  <c r="CW14" i="23"/>
  <c r="BH14" i="23"/>
  <c r="BG5" i="23"/>
  <c r="BG26" i="23" s="1"/>
  <c r="BG14" i="23"/>
  <c r="BJ10" i="23"/>
  <c r="BJ13" i="23"/>
  <c r="BI10" i="23"/>
  <c r="BI13" i="23"/>
  <c r="BH10" i="23"/>
  <c r="BH13" i="23"/>
  <c r="CV13" i="23" s="1"/>
  <c r="BG4" i="23"/>
  <c r="BG10" i="23"/>
  <c r="BG13" i="23"/>
  <c r="J29" i="23"/>
  <c r="AF29" i="23"/>
  <c r="AG29" i="23"/>
  <c r="AG66" i="23"/>
  <c r="BB29" i="23"/>
  <c r="AH29" i="23"/>
  <c r="N29" i="23"/>
  <c r="N66" i="23"/>
  <c r="BC29" i="23"/>
  <c r="AI29" i="23"/>
  <c r="O29" i="23"/>
  <c r="BD29" i="23"/>
  <c r="P29" i="23"/>
  <c r="AP16" i="23"/>
  <c r="AP29" i="23"/>
  <c r="AO16" i="23"/>
  <c r="AO29" i="23"/>
  <c r="AN16" i="23"/>
  <c r="AN29" i="23"/>
  <c r="AM16" i="23"/>
  <c r="AM29" i="23"/>
  <c r="AM66" i="23" s="1"/>
  <c r="AO7" i="23"/>
  <c r="AM7" i="23"/>
  <c r="AM28" i="23" s="1"/>
  <c r="AM65" i="23"/>
  <c r="AP6" i="23"/>
  <c r="AP19" i="23"/>
  <c r="AO15" i="23"/>
  <c r="AO19" i="23"/>
  <c r="AN6" i="23"/>
  <c r="AN15" i="23"/>
  <c r="AN27" i="23" s="1"/>
  <c r="AN64" i="23" s="1"/>
  <c r="AN19" i="23"/>
  <c r="AM6" i="23"/>
  <c r="AM15" i="23"/>
  <c r="AM27" i="23" s="1"/>
  <c r="AM19" i="23"/>
  <c r="AP5" i="23"/>
  <c r="AP14" i="23"/>
  <c r="AP26" i="23" s="1"/>
  <c r="AO5" i="23"/>
  <c r="DQ5" i="23" s="1"/>
  <c r="AO14" i="23"/>
  <c r="AO13" i="23"/>
  <c r="AO12" i="23" s="1"/>
  <c r="AN5" i="23"/>
  <c r="AN3" i="23" s="1"/>
  <c r="AN14" i="23"/>
  <c r="AM5" i="23"/>
  <c r="AM4" i="23"/>
  <c r="AM10" i="23"/>
  <c r="AM13" i="23"/>
  <c r="AM12" i="23" s="1"/>
  <c r="AM14" i="23"/>
  <c r="AM18" i="23"/>
  <c r="AM9" i="23"/>
  <c r="AP4" i="23"/>
  <c r="AP10" i="23"/>
  <c r="AP9" i="23" s="1"/>
  <c r="AP13" i="23"/>
  <c r="AO4" i="23"/>
  <c r="AO10" i="23"/>
  <c r="AN4" i="23"/>
  <c r="AN10" i="23"/>
  <c r="Y29" i="23"/>
  <c r="DA29" i="23" s="1"/>
  <c r="Y66" i="23"/>
  <c r="DA66" i="23" s="1"/>
  <c r="AA29" i="23"/>
  <c r="AB29" i="23"/>
  <c r="AB66" i="23"/>
  <c r="AD29" i="23"/>
  <c r="AD66" i="23"/>
  <c r="AE29" i="23"/>
  <c r="AE66" i="23" s="1"/>
  <c r="AH66" i="23"/>
  <c r="AJ29" i="23"/>
  <c r="AJ66" i="23"/>
  <c r="Y28" i="23"/>
  <c r="Z28" i="23"/>
  <c r="DB28" i="23" s="1"/>
  <c r="AA28" i="23"/>
  <c r="AA65" i="23"/>
  <c r="AB28" i="23"/>
  <c r="AB65" i="23"/>
  <c r="AE28" i="23"/>
  <c r="AE65" i="23"/>
  <c r="AF28" i="23"/>
  <c r="AF65" i="23"/>
  <c r="AG28" i="23"/>
  <c r="AH28" i="23"/>
  <c r="AI28" i="23"/>
  <c r="AI65" i="23"/>
  <c r="AJ28" i="23"/>
  <c r="AJ65" i="23"/>
  <c r="Y27" i="23"/>
  <c r="DA27" i="23"/>
  <c r="Z27" i="23"/>
  <c r="Z64" i="23"/>
  <c r="AB27" i="23"/>
  <c r="AD27" i="23"/>
  <c r="AD64" i="23"/>
  <c r="AE27" i="23"/>
  <c r="AE64" i="23"/>
  <c r="AF27" i="23"/>
  <c r="AF64" i="23"/>
  <c r="AG27" i="23"/>
  <c r="AG64" i="23"/>
  <c r="AH27" i="23"/>
  <c r="AH64" i="23"/>
  <c r="AI27" i="23"/>
  <c r="AI64" i="23"/>
  <c r="AJ27" i="23"/>
  <c r="Y26" i="23"/>
  <c r="Z26" i="23"/>
  <c r="AA26" i="23"/>
  <c r="DC26" i="23"/>
  <c r="AB26" i="23"/>
  <c r="AB63" i="23"/>
  <c r="AD26" i="23"/>
  <c r="AE26" i="23"/>
  <c r="AF26" i="23"/>
  <c r="AF63" i="23"/>
  <c r="AG26" i="23"/>
  <c r="AH26" i="23"/>
  <c r="AI26" i="23"/>
  <c r="AI63" i="23"/>
  <c r="AJ26" i="23"/>
  <c r="AJ63" i="23"/>
  <c r="Y25" i="23"/>
  <c r="Y62" i="23" s="1"/>
  <c r="Z25" i="23"/>
  <c r="Z62" i="23" s="1"/>
  <c r="AA25" i="23"/>
  <c r="AB25" i="23"/>
  <c r="DD25" i="23"/>
  <c r="AD25" i="23"/>
  <c r="AD62" i="23"/>
  <c r="AE25" i="23"/>
  <c r="AF25" i="23"/>
  <c r="AG25" i="23"/>
  <c r="AG62" i="23"/>
  <c r="AH25" i="23"/>
  <c r="AI25" i="23"/>
  <c r="AJ25" i="23"/>
  <c r="AJ62" i="23"/>
  <c r="F29" i="23"/>
  <c r="F66" i="23"/>
  <c r="G29" i="23"/>
  <c r="H29" i="23"/>
  <c r="I29" i="23"/>
  <c r="K29" i="23"/>
  <c r="K66" i="23" s="1"/>
  <c r="L29" i="23"/>
  <c r="L66" i="23" s="1"/>
  <c r="CI57" i="23"/>
  <c r="DE55" i="23"/>
  <c r="CD49" i="23"/>
  <c r="AP40" i="23"/>
  <c r="CC49" i="23"/>
  <c r="AO43" i="23"/>
  <c r="AN43" i="23"/>
  <c r="BE50" i="23"/>
  <c r="BE49" i="23"/>
  <c r="BE44" i="23"/>
  <c r="BE45" i="23"/>
  <c r="BE46" i="23"/>
  <c r="CS46" i="23" s="1"/>
  <c r="Q46" i="23"/>
  <c r="BE47" i="23"/>
  <c r="BE41" i="23"/>
  <c r="BE40" i="23"/>
  <c r="Q41" i="23"/>
  <c r="Q40" i="23"/>
  <c r="BE37" i="23"/>
  <c r="DM37" i="23" s="1"/>
  <c r="BD49" i="23"/>
  <c r="BD43" i="23"/>
  <c r="BC49" i="23"/>
  <c r="BC43" i="23"/>
  <c r="DK43" i="23" s="1"/>
  <c r="BC40" i="23"/>
  <c r="AI52" i="23"/>
  <c r="BB40" i="23"/>
  <c r="BA49" i="23"/>
  <c r="BA43" i="23"/>
  <c r="BA40" i="23"/>
  <c r="AZ49" i="23"/>
  <c r="L43" i="23"/>
  <c r="AY49" i="23"/>
  <c r="CM49" i="23" s="1"/>
  <c r="AY43" i="23"/>
  <c r="AY40" i="23"/>
  <c r="DG40" i="23" s="1"/>
  <c r="K40" i="23"/>
  <c r="CM40" i="23"/>
  <c r="AX49" i="23"/>
  <c r="CL49" i="23" s="1"/>
  <c r="AX40" i="23"/>
  <c r="AW49" i="23"/>
  <c r="AW40" i="23"/>
  <c r="AV49" i="23"/>
  <c r="DD49" i="23" s="1"/>
  <c r="AV40" i="23"/>
  <c r="AU49" i="23"/>
  <c r="AU40" i="23"/>
  <c r="AT49" i="23"/>
  <c r="CH49" i="23" s="1"/>
  <c r="AT40" i="23"/>
  <c r="AS49" i="23"/>
  <c r="AS40" i="23"/>
  <c r="V49" i="23"/>
  <c r="V40" i="23"/>
  <c r="BJ40" i="23"/>
  <c r="CX40" i="23" s="1"/>
  <c r="BI40" i="23"/>
  <c r="U49" i="23"/>
  <c r="U43" i="23"/>
  <c r="U34" i="23"/>
  <c r="T49" i="23"/>
  <c r="T43" i="23"/>
  <c r="BH40" i="23"/>
  <c r="T40" i="23"/>
  <c r="CV40" i="23" s="1"/>
  <c r="T34" i="23"/>
  <c r="BG43" i="23"/>
  <c r="S40" i="23"/>
  <c r="S49" i="23"/>
  <c r="S34" i="23"/>
  <c r="Q50" i="23"/>
  <c r="Q49" i="23" s="1"/>
  <c r="Q44" i="23"/>
  <c r="Q45" i="23"/>
  <c r="Q47" i="23"/>
  <c r="Q35" i="23"/>
  <c r="Q36" i="23"/>
  <c r="Q34" i="23" s="1"/>
  <c r="Q37" i="23"/>
  <c r="Q38" i="23"/>
  <c r="P49" i="23"/>
  <c r="CR49" i="23" s="1"/>
  <c r="P43" i="23"/>
  <c r="P40" i="23"/>
  <c r="P34" i="23"/>
  <c r="O49" i="23"/>
  <c r="O43" i="23"/>
  <c r="O40" i="23"/>
  <c r="CQ40" i="23" s="1"/>
  <c r="O34" i="23"/>
  <c r="N49" i="23"/>
  <c r="N43" i="23"/>
  <c r="N40" i="23"/>
  <c r="N34" i="23"/>
  <c r="M49" i="23"/>
  <c r="M43" i="23"/>
  <c r="M52" i="23" s="1"/>
  <c r="M40" i="23"/>
  <c r="M34" i="23"/>
  <c r="L49" i="23"/>
  <c r="L52" i="23" s="1"/>
  <c r="L40" i="23"/>
  <c r="L34" i="23"/>
  <c r="K49" i="23"/>
  <c r="K43" i="23"/>
  <c r="K34" i="23"/>
  <c r="J49" i="23"/>
  <c r="J43" i="23"/>
  <c r="J40" i="23"/>
  <c r="CL40" i="23"/>
  <c r="J34" i="23"/>
  <c r="I49" i="23"/>
  <c r="I43" i="23"/>
  <c r="I40" i="23"/>
  <c r="CK40" i="23" s="1"/>
  <c r="I34" i="23"/>
  <c r="H49" i="23"/>
  <c r="CJ49" i="23"/>
  <c r="H43" i="23"/>
  <c r="H40" i="23"/>
  <c r="H34" i="23"/>
  <c r="H52" i="23"/>
  <c r="G49" i="23"/>
  <c r="G43" i="23"/>
  <c r="G40" i="23"/>
  <c r="G34" i="23"/>
  <c r="CI34" i="23" s="1"/>
  <c r="F49" i="23"/>
  <c r="F43" i="23"/>
  <c r="F40" i="23"/>
  <c r="F34" i="23"/>
  <c r="CH34" i="23" s="1"/>
  <c r="E49" i="23"/>
  <c r="E43" i="23"/>
  <c r="CG43" i="23"/>
  <c r="E40" i="23"/>
  <c r="E34" i="23"/>
  <c r="BY46" i="23"/>
  <c r="BX49" i="23"/>
  <c r="BX43" i="23"/>
  <c r="BX40" i="23"/>
  <c r="BX34" i="23"/>
  <c r="BW49" i="23"/>
  <c r="BW43" i="23"/>
  <c r="BW40" i="23"/>
  <c r="BW34" i="23"/>
  <c r="BV49" i="23"/>
  <c r="BV43" i="23"/>
  <c r="BV40" i="23"/>
  <c r="BV52" i="23" s="1"/>
  <c r="BV34" i="23"/>
  <c r="BU49" i="23"/>
  <c r="BU43" i="23"/>
  <c r="BU52" i="23" s="1"/>
  <c r="BU40" i="23"/>
  <c r="BU34" i="23"/>
  <c r="BT49" i="23"/>
  <c r="BT43" i="23"/>
  <c r="BT40" i="23"/>
  <c r="BT34" i="23"/>
  <c r="BS49" i="23"/>
  <c r="BS43" i="23"/>
  <c r="BS40" i="23"/>
  <c r="BS34" i="23"/>
  <c r="BS52" i="23"/>
  <c r="BR49" i="23"/>
  <c r="BR43" i="23"/>
  <c r="BR52" i="23" s="1"/>
  <c r="BR40" i="23"/>
  <c r="BR34" i="23"/>
  <c r="BP49" i="23"/>
  <c r="BO49" i="23"/>
  <c r="BO34" i="23"/>
  <c r="BN49" i="23"/>
  <c r="BN40" i="23"/>
  <c r="BN34" i="23"/>
  <c r="BM34" i="23"/>
  <c r="DL50" i="23"/>
  <c r="DK50" i="23"/>
  <c r="DJ50" i="23"/>
  <c r="DI50" i="23"/>
  <c r="DH50" i="23"/>
  <c r="DG50" i="23"/>
  <c r="DF50" i="23"/>
  <c r="DE50" i="23"/>
  <c r="DD50" i="23"/>
  <c r="DC50" i="23"/>
  <c r="DB50" i="23"/>
  <c r="DA50" i="23"/>
  <c r="CX50" i="23"/>
  <c r="CU50" i="23"/>
  <c r="CR50" i="23"/>
  <c r="CQ50" i="23"/>
  <c r="CP50" i="23"/>
  <c r="CO50" i="23"/>
  <c r="CN50" i="23"/>
  <c r="CM50" i="23"/>
  <c r="CL50" i="23"/>
  <c r="CK50" i="23"/>
  <c r="CJ50" i="23"/>
  <c r="CI50" i="23"/>
  <c r="CH50" i="23"/>
  <c r="CG50" i="23"/>
  <c r="DK49" i="23"/>
  <c r="DG49" i="23"/>
  <c r="CQ49" i="23"/>
  <c r="CP49" i="23"/>
  <c r="CN49" i="23"/>
  <c r="CI49" i="23"/>
  <c r="DM47" i="23"/>
  <c r="DL47" i="23"/>
  <c r="DK47" i="23"/>
  <c r="DJ47" i="23"/>
  <c r="DI47" i="23"/>
  <c r="DH47" i="23"/>
  <c r="DG47" i="23"/>
  <c r="DF47" i="23"/>
  <c r="DE47" i="23"/>
  <c r="DD47" i="23"/>
  <c r="DC47" i="23"/>
  <c r="DB47" i="23"/>
  <c r="DA47" i="23"/>
  <c r="CR47" i="23"/>
  <c r="CQ47" i="23"/>
  <c r="CP47" i="23"/>
  <c r="CO47" i="23"/>
  <c r="CN47" i="23"/>
  <c r="CM47" i="23"/>
  <c r="CL47" i="23"/>
  <c r="CK47" i="23"/>
  <c r="CJ47" i="23"/>
  <c r="CI47" i="23"/>
  <c r="CH47" i="23"/>
  <c r="CG47" i="23"/>
  <c r="DR46" i="23"/>
  <c r="DL46" i="23"/>
  <c r="DK46" i="23"/>
  <c r="DJ46" i="23"/>
  <c r="DI46" i="23"/>
  <c r="DH46" i="23"/>
  <c r="DG46" i="23"/>
  <c r="DF46" i="23"/>
  <c r="DE46" i="23"/>
  <c r="DD46" i="23"/>
  <c r="DC46" i="23"/>
  <c r="DB46" i="23"/>
  <c r="DA46" i="23"/>
  <c r="CX46" i="23"/>
  <c r="CU46" i="23"/>
  <c r="CR46" i="23"/>
  <c r="CQ46" i="23"/>
  <c r="CP46" i="23"/>
  <c r="CO46" i="23"/>
  <c r="CN46" i="23"/>
  <c r="CM46" i="23"/>
  <c r="CL46" i="23"/>
  <c r="CK46" i="23"/>
  <c r="CJ46" i="23"/>
  <c r="CI46" i="23"/>
  <c r="CH46" i="23"/>
  <c r="CG46" i="23"/>
  <c r="DL45" i="23"/>
  <c r="DK45" i="23"/>
  <c r="DJ45" i="23"/>
  <c r="DI45" i="23"/>
  <c r="DH45" i="23"/>
  <c r="DG45" i="23"/>
  <c r="DF45" i="23"/>
  <c r="DE45" i="23"/>
  <c r="DD45" i="23"/>
  <c r="DC45" i="23"/>
  <c r="DB45" i="23"/>
  <c r="DA45" i="23"/>
  <c r="CX45" i="23"/>
  <c r="CR45" i="23"/>
  <c r="CQ45" i="23"/>
  <c r="CP45" i="23"/>
  <c r="CO45" i="23"/>
  <c r="CN45" i="23"/>
  <c r="CM45" i="23"/>
  <c r="CL45" i="23"/>
  <c r="CK45" i="23"/>
  <c r="CJ45" i="23"/>
  <c r="CI45" i="23"/>
  <c r="CH45" i="23"/>
  <c r="CG45" i="23"/>
  <c r="DQ44" i="23"/>
  <c r="DM44" i="23"/>
  <c r="DL44" i="23"/>
  <c r="DK44" i="23"/>
  <c r="DJ44" i="23"/>
  <c r="DI44" i="23"/>
  <c r="DH44" i="23"/>
  <c r="DG44" i="23"/>
  <c r="DF44" i="23"/>
  <c r="DE44" i="23"/>
  <c r="DD44" i="23"/>
  <c r="DC44" i="23"/>
  <c r="DB44" i="23"/>
  <c r="DA44" i="23"/>
  <c r="CW44" i="23"/>
  <c r="CU44" i="23"/>
  <c r="CR44" i="23"/>
  <c r="CQ44" i="23"/>
  <c r="CP44" i="23"/>
  <c r="CO44" i="23"/>
  <c r="CN44" i="23"/>
  <c r="CM44" i="23"/>
  <c r="CL44" i="23"/>
  <c r="CK44" i="23"/>
  <c r="CJ44" i="23"/>
  <c r="CI44" i="23"/>
  <c r="CH44" i="23"/>
  <c r="CG44" i="23"/>
  <c r="DL43" i="23"/>
  <c r="DG43" i="23"/>
  <c r="DE43" i="23"/>
  <c r="DC43" i="23"/>
  <c r="CR43" i="23"/>
  <c r="CJ43" i="23"/>
  <c r="CH43" i="23"/>
  <c r="DM41" i="23"/>
  <c r="DL41" i="23"/>
  <c r="DK41" i="23"/>
  <c r="DJ41" i="23"/>
  <c r="DI41" i="23"/>
  <c r="DH41" i="23"/>
  <c r="DG41" i="23"/>
  <c r="DF41" i="23"/>
  <c r="DE41" i="23"/>
  <c r="DD41" i="23"/>
  <c r="DC41" i="23"/>
  <c r="DB41" i="23"/>
  <c r="DA41" i="23"/>
  <c r="CX41" i="23"/>
  <c r="CV41" i="23"/>
  <c r="CS41" i="23"/>
  <c r="CR41" i="23"/>
  <c r="CQ41" i="23"/>
  <c r="CP41" i="23"/>
  <c r="CO41" i="23"/>
  <c r="CN41" i="23"/>
  <c r="CM41" i="23"/>
  <c r="CL41" i="23"/>
  <c r="CK41" i="23"/>
  <c r="CJ41" i="23"/>
  <c r="CI41" i="23"/>
  <c r="CH41" i="23"/>
  <c r="CG41" i="23"/>
  <c r="DK40" i="23"/>
  <c r="DJ40" i="23"/>
  <c r="DI40" i="23"/>
  <c r="DF40" i="23"/>
  <c r="DE40" i="23"/>
  <c r="DC40" i="23"/>
  <c r="DB40" i="23"/>
  <c r="DA40" i="23"/>
  <c r="CP40" i="23"/>
  <c r="CO40" i="23"/>
  <c r="CN40" i="23"/>
  <c r="CI40" i="23"/>
  <c r="CH40" i="23"/>
  <c r="CG40" i="23"/>
  <c r="DC38" i="23"/>
  <c r="DB38" i="23"/>
  <c r="DA38" i="23"/>
  <c r="CI38" i="23"/>
  <c r="CH38" i="23"/>
  <c r="CG38" i="23"/>
  <c r="DL37" i="23"/>
  <c r="DK37" i="23"/>
  <c r="DJ37" i="23"/>
  <c r="DI37" i="23"/>
  <c r="DH37" i="23"/>
  <c r="DG37" i="23"/>
  <c r="DF37" i="23"/>
  <c r="DE37" i="23"/>
  <c r="DD37" i="23"/>
  <c r="DC37" i="23"/>
  <c r="DB37" i="23"/>
  <c r="DA37" i="23"/>
  <c r="CV37" i="23"/>
  <c r="CU37" i="23"/>
  <c r="CS37" i="23"/>
  <c r="CR37" i="23"/>
  <c r="CQ37" i="23"/>
  <c r="CP37" i="23"/>
  <c r="CO37" i="23"/>
  <c r="CN37" i="23"/>
  <c r="CM37" i="23"/>
  <c r="CL37" i="23"/>
  <c r="CK37" i="23"/>
  <c r="CJ37" i="23"/>
  <c r="CI37" i="23"/>
  <c r="CH37" i="23"/>
  <c r="CG37" i="23"/>
  <c r="DC36" i="23"/>
  <c r="DB36" i="23"/>
  <c r="DA36" i="23"/>
  <c r="CI36" i="23"/>
  <c r="CH36" i="23"/>
  <c r="CG36" i="23"/>
  <c r="DR35" i="23"/>
  <c r="DC35" i="23"/>
  <c r="DB35" i="23"/>
  <c r="DA35" i="23"/>
  <c r="CU35" i="23"/>
  <c r="CI35" i="23"/>
  <c r="CH35" i="23"/>
  <c r="CG35" i="23"/>
  <c r="DC34" i="23"/>
  <c r="DA34" i="23"/>
  <c r="CG34" i="23"/>
  <c r="BE14" i="23"/>
  <c r="CS14" i="23"/>
  <c r="BE15" i="23"/>
  <c r="DM15" i="23"/>
  <c r="BE16" i="23"/>
  <c r="BE13" i="23"/>
  <c r="CS13" i="23" s="1"/>
  <c r="BE19" i="23"/>
  <c r="BE10" i="23"/>
  <c r="CS10" i="23" s="1"/>
  <c r="BE9" i="23"/>
  <c r="BD18" i="23"/>
  <c r="DL18" i="23" s="1"/>
  <c r="BD12" i="23"/>
  <c r="AJ12" i="23"/>
  <c r="AJ18" i="23"/>
  <c r="AJ9" i="23"/>
  <c r="AJ24" i="23" s="1"/>
  <c r="AJ3" i="23"/>
  <c r="BD9" i="23"/>
  <c r="DL9" i="23"/>
  <c r="BC18" i="23"/>
  <c r="O18" i="23"/>
  <c r="CQ18" i="23" s="1"/>
  <c r="BC12" i="23"/>
  <c r="BC9" i="23"/>
  <c r="AI18" i="23"/>
  <c r="AI12" i="23"/>
  <c r="AI9" i="23"/>
  <c r="AI3" i="23"/>
  <c r="AI24" i="23"/>
  <c r="BB18" i="23"/>
  <c r="BB12" i="23"/>
  <c r="AH12" i="23"/>
  <c r="DJ12" i="23"/>
  <c r="BB9" i="23"/>
  <c r="AH18" i="23"/>
  <c r="AH9" i="23"/>
  <c r="DJ9" i="23"/>
  <c r="AH3" i="23"/>
  <c r="AH24" i="23"/>
  <c r="BA18" i="23"/>
  <c r="BA12" i="23"/>
  <c r="BA9" i="23"/>
  <c r="AG18" i="23"/>
  <c r="DI18" i="23" s="1"/>
  <c r="AG12" i="23"/>
  <c r="AG9" i="23"/>
  <c r="AG3" i="23"/>
  <c r="AF12" i="23"/>
  <c r="AF9" i="23"/>
  <c r="DH9" i="23" s="1"/>
  <c r="AF18" i="23"/>
  <c r="AF3" i="23"/>
  <c r="AY12" i="23"/>
  <c r="Z57" i="26" s="1"/>
  <c r="AE18" i="23"/>
  <c r="AE12" i="23"/>
  <c r="AE9" i="23"/>
  <c r="AE3" i="23"/>
  <c r="J18" i="23"/>
  <c r="CL18" i="23"/>
  <c r="AD12" i="23"/>
  <c r="DF12" i="23"/>
  <c r="AD18" i="23"/>
  <c r="AD9" i="23"/>
  <c r="AD3" i="23"/>
  <c r="AC18" i="23"/>
  <c r="AC12" i="23"/>
  <c r="DE12" i="23" s="1"/>
  <c r="AC9" i="23"/>
  <c r="AC3" i="23"/>
  <c r="AB18" i="23"/>
  <c r="AB12" i="23"/>
  <c r="DD12" i="23"/>
  <c r="AB9" i="23"/>
  <c r="AB3" i="23"/>
  <c r="AA18" i="23"/>
  <c r="DC18" i="23"/>
  <c r="AA12" i="23"/>
  <c r="AA9" i="23"/>
  <c r="AA3" i="23"/>
  <c r="AA24" i="23"/>
  <c r="AT24" i="23"/>
  <c r="Z18" i="23"/>
  <c r="DB18" i="23" s="1"/>
  <c r="Z12" i="23"/>
  <c r="Z9" i="23"/>
  <c r="DB9" i="23" s="1"/>
  <c r="Z3" i="23"/>
  <c r="DB3" i="23"/>
  <c r="Y18" i="23"/>
  <c r="DA18" i="23"/>
  <c r="Y12" i="23"/>
  <c r="Y9" i="23"/>
  <c r="DA9" i="23" s="1"/>
  <c r="Y3" i="23"/>
  <c r="DL19" i="23"/>
  <c r="DK19" i="23"/>
  <c r="DJ19" i="23"/>
  <c r="DI19" i="23"/>
  <c r="DH19" i="23"/>
  <c r="DG19" i="23"/>
  <c r="DF19" i="23"/>
  <c r="DE19" i="23"/>
  <c r="DD19" i="23"/>
  <c r="DC19" i="23"/>
  <c r="DB19" i="23"/>
  <c r="DA19" i="23"/>
  <c r="DJ18" i="23"/>
  <c r="DD18" i="23"/>
  <c r="DL16" i="23"/>
  <c r="DK16" i="23"/>
  <c r="DJ16" i="23"/>
  <c r="DI16" i="23"/>
  <c r="DH16" i="23"/>
  <c r="DG16" i="23"/>
  <c r="DF16" i="23"/>
  <c r="DE16" i="23"/>
  <c r="DD16" i="23"/>
  <c r="DC16" i="23"/>
  <c r="DB16" i="23"/>
  <c r="DA16" i="23"/>
  <c r="DL15" i="23"/>
  <c r="DK15" i="23"/>
  <c r="DJ15" i="23"/>
  <c r="DI15" i="23"/>
  <c r="DH15" i="23"/>
  <c r="DG15" i="23"/>
  <c r="DF15" i="23"/>
  <c r="DE15" i="23"/>
  <c r="DD15" i="23"/>
  <c r="DC15" i="23"/>
  <c r="DB15" i="23"/>
  <c r="DA15" i="23"/>
  <c r="DL14" i="23"/>
  <c r="DK14" i="23"/>
  <c r="DJ14" i="23"/>
  <c r="DI14" i="23"/>
  <c r="DH14" i="23"/>
  <c r="DG14" i="23"/>
  <c r="DF14" i="23"/>
  <c r="DE14" i="23"/>
  <c r="DD14" i="23"/>
  <c r="DC14" i="23"/>
  <c r="DB14" i="23"/>
  <c r="DA14" i="23"/>
  <c r="DL13" i="23"/>
  <c r="DK13" i="23"/>
  <c r="DJ13" i="23"/>
  <c r="DI13" i="23"/>
  <c r="DH13" i="23"/>
  <c r="DG13" i="23"/>
  <c r="DF13" i="23"/>
  <c r="DE13" i="23"/>
  <c r="DD13" i="23"/>
  <c r="DC13" i="23"/>
  <c r="DB13" i="23"/>
  <c r="DA13" i="23"/>
  <c r="DK12" i="23"/>
  <c r="DC12" i="23"/>
  <c r="DA12" i="23"/>
  <c r="DL10" i="23"/>
  <c r="DK10" i="23"/>
  <c r="DJ10" i="23"/>
  <c r="DI10" i="23"/>
  <c r="DH10" i="23"/>
  <c r="DG10" i="23"/>
  <c r="DF10" i="23"/>
  <c r="DE10" i="23"/>
  <c r="DD10" i="23"/>
  <c r="DC10" i="23"/>
  <c r="DB10" i="23"/>
  <c r="DA10" i="23"/>
  <c r="DK9" i="23"/>
  <c r="DI9" i="23"/>
  <c r="DE9" i="23"/>
  <c r="DC7" i="23"/>
  <c r="DB7" i="23"/>
  <c r="DA7" i="23"/>
  <c r="DC6" i="23"/>
  <c r="DB6" i="23"/>
  <c r="DA6" i="23"/>
  <c r="DC5" i="23"/>
  <c r="DB5" i="23"/>
  <c r="DA5" i="23"/>
  <c r="DC4" i="23"/>
  <c r="DB4" i="23"/>
  <c r="DC3" i="23"/>
  <c r="DA3" i="23"/>
  <c r="DA4" i="23"/>
  <c r="AP12" i="23"/>
  <c r="CD18" i="23"/>
  <c r="CD9" i="23"/>
  <c r="DR9" i="23" s="1"/>
  <c r="CC18" i="23"/>
  <c r="AO9" i="23"/>
  <c r="AN18" i="23"/>
  <c r="AN9" i="23"/>
  <c r="DQ16" i="23"/>
  <c r="DR13" i="23"/>
  <c r="DR10" i="23"/>
  <c r="DR4" i="23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57" i="21"/>
  <c r="B158" i="21"/>
  <c r="B159" i="21"/>
  <c r="B160" i="21"/>
  <c r="B162" i="21"/>
  <c r="B163" i="21"/>
  <c r="B164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218" i="21"/>
  <c r="B219" i="21"/>
  <c r="B220" i="21"/>
  <c r="B221" i="21"/>
  <c r="B222" i="21"/>
  <c r="B223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  <c r="B308" i="21"/>
  <c r="B309" i="21"/>
  <c r="B310" i="21"/>
  <c r="B311" i="21"/>
  <c r="B312" i="21"/>
  <c r="B313" i="21"/>
  <c r="B314" i="21"/>
  <c r="B315" i="21"/>
  <c r="B316" i="21"/>
  <c r="B317" i="21"/>
  <c r="B318" i="21"/>
  <c r="B320" i="21"/>
  <c r="B321" i="21"/>
  <c r="B322" i="21"/>
  <c r="B323" i="21"/>
  <c r="B324" i="21"/>
  <c r="B325" i="21"/>
  <c r="B326" i="21"/>
  <c r="B327" i="21"/>
  <c r="B328" i="21"/>
  <c r="B329" i="21"/>
  <c r="B330" i="21"/>
  <c r="B331" i="21"/>
  <c r="B332" i="21"/>
  <c r="B333" i="21"/>
  <c r="B334" i="21"/>
  <c r="B335" i="21"/>
  <c r="B336" i="21"/>
  <c r="B337" i="21"/>
  <c r="B338" i="21"/>
  <c r="B339" i="21"/>
  <c r="B340" i="21"/>
  <c r="B341" i="21"/>
  <c r="B342" i="21"/>
  <c r="B343" i="21"/>
  <c r="B344" i="21"/>
  <c r="B345" i="21"/>
  <c r="B346" i="21"/>
  <c r="B347" i="21"/>
  <c r="B348" i="21"/>
  <c r="B349" i="21"/>
  <c r="B351" i="21"/>
  <c r="B352" i="21"/>
  <c r="B353" i="21"/>
  <c r="B354" i="21"/>
  <c r="B355" i="21"/>
  <c r="B356" i="21"/>
  <c r="B357" i="21"/>
  <c r="B358" i="21"/>
  <c r="B359" i="21"/>
  <c r="B360" i="21"/>
  <c r="B361" i="21"/>
  <c r="B362" i="21"/>
  <c r="B363" i="21"/>
  <c r="B364" i="21"/>
  <c r="B365" i="21"/>
  <c r="B366" i="21"/>
  <c r="B367" i="21"/>
  <c r="B368" i="21"/>
  <c r="B369" i="21"/>
  <c r="B370" i="21"/>
  <c r="B371" i="21"/>
  <c r="B372" i="21"/>
  <c r="B373" i="21"/>
  <c r="B374" i="21"/>
  <c r="B375" i="21"/>
  <c r="B376" i="21"/>
  <c r="B377" i="21"/>
  <c r="B378" i="21"/>
  <c r="B379" i="21"/>
  <c r="B380" i="21"/>
  <c r="B381" i="21"/>
  <c r="M37" i="21"/>
  <c r="M66" i="21"/>
  <c r="M98" i="21"/>
  <c r="M129" i="21"/>
  <c r="M161" i="21"/>
  <c r="M192" i="21"/>
  <c r="M224" i="21"/>
  <c r="M256" i="21"/>
  <c r="M4" i="21" s="1"/>
  <c r="M287" i="21"/>
  <c r="M319" i="21"/>
  <c r="M350" i="21"/>
  <c r="Q16" i="20"/>
  <c r="C37" i="21"/>
  <c r="D386" i="21"/>
  <c r="C66" i="21"/>
  <c r="C98" i="21"/>
  <c r="C129" i="21"/>
  <c r="D389" i="21"/>
  <c r="C161" i="21"/>
  <c r="D390" i="21"/>
  <c r="C192" i="21"/>
  <c r="D391" i="21"/>
  <c r="C224" i="21"/>
  <c r="D392" i="21"/>
  <c r="C5" i="21"/>
  <c r="D385" i="21"/>
  <c r="D387" i="21"/>
  <c r="D388" i="21"/>
  <c r="C256" i="21"/>
  <c r="D393" i="21" s="1"/>
  <c r="D397" i="21" s="1"/>
  <c r="C287" i="21"/>
  <c r="D394" i="21" s="1"/>
  <c r="C319" i="21"/>
  <c r="D395" i="21" s="1"/>
  <c r="C350" i="21"/>
  <c r="D396" i="21" s="1"/>
  <c r="D37" i="21"/>
  <c r="D402" i="21" s="1"/>
  <c r="D66" i="21"/>
  <c r="D403" i="21" s="1"/>
  <c r="D98" i="21"/>
  <c r="D404" i="21" s="1"/>
  <c r="D129" i="21"/>
  <c r="D405" i="21"/>
  <c r="D161" i="21"/>
  <c r="D406" i="21"/>
  <c r="D5" i="21"/>
  <c r="D401" i="21"/>
  <c r="D192" i="21"/>
  <c r="D407" i="21" s="1"/>
  <c r="D224" i="21"/>
  <c r="D408" i="21" s="1"/>
  <c r="D256" i="21"/>
  <c r="D287" i="21"/>
  <c r="D410" i="21"/>
  <c r="D319" i="21"/>
  <c r="D411" i="21"/>
  <c r="D350" i="21"/>
  <c r="D412" i="21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BJ18" i="23"/>
  <c r="V18" i="23"/>
  <c r="CX18" i="23"/>
  <c r="Q18" i="23"/>
  <c r="BX18" i="23"/>
  <c r="BW18" i="23"/>
  <c r="BW12" i="23"/>
  <c r="BW9" i="23"/>
  <c r="BW3" i="23"/>
  <c r="BW24" i="23"/>
  <c r="BV18" i="23"/>
  <c r="BV12" i="23"/>
  <c r="BV9" i="23"/>
  <c r="BV3" i="23"/>
  <c r="BU18" i="23"/>
  <c r="BT18" i="23"/>
  <c r="BS18" i="23"/>
  <c r="BS12" i="23"/>
  <c r="BS9" i="23"/>
  <c r="BS24" i="23" s="1"/>
  <c r="BS3" i="23"/>
  <c r="BR18" i="23"/>
  <c r="BQ18" i="23"/>
  <c r="BG18" i="23"/>
  <c r="S18" i="23"/>
  <c r="CU18" i="23"/>
  <c r="T18" i="23"/>
  <c r="P18" i="23"/>
  <c r="N18" i="23"/>
  <c r="M18" i="23"/>
  <c r="CO18" i="23" s="1"/>
  <c r="L18" i="23"/>
  <c r="K18" i="23"/>
  <c r="CM18" i="23"/>
  <c r="I18" i="23"/>
  <c r="CK18" i="23"/>
  <c r="H18" i="23"/>
  <c r="F18" i="23"/>
  <c r="CH18" i="23" s="1"/>
  <c r="E18" i="23"/>
  <c r="CG18" i="23" s="1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U12" i="23"/>
  <c r="BX12" i="23"/>
  <c r="BU12" i="23"/>
  <c r="BU9" i="23"/>
  <c r="BU3" i="23"/>
  <c r="BT12" i="23"/>
  <c r="BR12" i="23"/>
  <c r="P12" i="23"/>
  <c r="CR12" i="23" s="1"/>
  <c r="O12" i="23"/>
  <c r="CQ12" i="23" s="1"/>
  <c r="N12" i="23"/>
  <c r="M12" i="23"/>
  <c r="L12" i="23"/>
  <c r="K12" i="23"/>
  <c r="J12" i="23"/>
  <c r="I12" i="23"/>
  <c r="CK12" i="23" s="1"/>
  <c r="H12" i="23"/>
  <c r="CJ12" i="23"/>
  <c r="F12" i="23"/>
  <c r="E12" i="23"/>
  <c r="CG12" i="23" s="1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BO9" i="23"/>
  <c r="BH9" i="23"/>
  <c r="BG9" i="23"/>
  <c r="S9" i="23"/>
  <c r="CU9" i="23"/>
  <c r="V9" i="23"/>
  <c r="T9" i="23"/>
  <c r="Q9" i="23"/>
  <c r="BX9" i="23"/>
  <c r="BX24" i="23" s="1"/>
  <c r="BX3" i="23"/>
  <c r="BT9" i="23"/>
  <c r="BR9" i="23"/>
  <c r="BR24" i="23" s="1"/>
  <c r="BR3" i="23"/>
  <c r="BJ9" i="23"/>
  <c r="CX9" i="23" s="1"/>
  <c r="P9" i="23"/>
  <c r="CR9" i="23"/>
  <c r="L9" i="23"/>
  <c r="H9" i="23"/>
  <c r="CJ9" i="23" s="1"/>
  <c r="U9" i="23"/>
  <c r="O9" i="23"/>
  <c r="CQ9" i="23"/>
  <c r="N9" i="23"/>
  <c r="CP9" i="23"/>
  <c r="M9" i="23"/>
  <c r="K9" i="23"/>
  <c r="J9" i="23"/>
  <c r="I9" i="23"/>
  <c r="E9" i="23"/>
  <c r="BT3" i="23"/>
  <c r="CW10" i="23"/>
  <c r="CU19" i="23"/>
  <c r="CN12" i="23"/>
  <c r="CP18" i="23"/>
  <c r="BI9" i="23"/>
  <c r="CW9" i="23"/>
  <c r="CU14" i="23"/>
  <c r="V12" i="23"/>
  <c r="CW13" i="23"/>
  <c r="CV19" i="23"/>
  <c r="BH18" i="23"/>
  <c r="CV18" i="23" s="1"/>
  <c r="CX13" i="23"/>
  <c r="CX15" i="23"/>
  <c r="CU10" i="23"/>
  <c r="CO12" i="23"/>
  <c r="CJ18" i="23"/>
  <c r="CR18" i="23"/>
  <c r="CO9" i="23"/>
  <c r="CX10" i="23"/>
  <c r="CW19" i="23"/>
  <c r="CV9" i="23"/>
  <c r="CV10" i="23"/>
  <c r="CH12" i="23"/>
  <c r="CP12" i="23"/>
  <c r="BY10" i="23"/>
  <c r="BY9" i="23" s="1"/>
  <c r="CX19" i="23"/>
  <c r="BI18" i="23"/>
  <c r="CW18" i="23" s="1"/>
  <c r="CV16" i="23"/>
  <c r="CI18" i="23"/>
  <c r="E401" i="21"/>
  <c r="E402" i="21"/>
  <c r="L402" i="21"/>
  <c r="S402" i="21" s="1"/>
  <c r="E403" i="21"/>
  <c r="E404" i="21"/>
  <c r="E405" i="21"/>
  <c r="E406" i="21"/>
  <c r="L406" i="21" s="1"/>
  <c r="E407" i="21"/>
  <c r="E408" i="21"/>
  <c r="L408" i="21"/>
  <c r="S408" i="21" s="1"/>
  <c r="E409" i="21"/>
  <c r="E410" i="21"/>
  <c r="E411" i="21"/>
  <c r="L411" i="21" s="1"/>
  <c r="E412" i="21"/>
  <c r="L412" i="21"/>
  <c r="G412" i="21"/>
  <c r="C412" i="21"/>
  <c r="Q412" i="21" s="1"/>
  <c r="J412" i="21"/>
  <c r="G411" i="21"/>
  <c r="N411" i="21" s="1"/>
  <c r="C411" i="21"/>
  <c r="J411" i="21" s="1"/>
  <c r="S411" i="21"/>
  <c r="L410" i="21"/>
  <c r="G410" i="21"/>
  <c r="C410" i="21"/>
  <c r="J410" i="21"/>
  <c r="G409" i="21"/>
  <c r="N409" i="21"/>
  <c r="C409" i="21"/>
  <c r="J409" i="21"/>
  <c r="Q409" i="21" s="1"/>
  <c r="G408" i="21"/>
  <c r="C408" i="21"/>
  <c r="G407" i="21"/>
  <c r="N407" i="21"/>
  <c r="U407" i="21" s="1"/>
  <c r="C407" i="21"/>
  <c r="J407" i="21"/>
  <c r="G406" i="21"/>
  <c r="C406" i="21"/>
  <c r="J406" i="21" s="1"/>
  <c r="G405" i="21"/>
  <c r="C405" i="21"/>
  <c r="J405" i="21" s="1"/>
  <c r="G404" i="21"/>
  <c r="C404" i="21"/>
  <c r="J404" i="21" s="1"/>
  <c r="C401" i="21"/>
  <c r="C413" i="21" s="1"/>
  <c r="C402" i="21"/>
  <c r="J402" i="21" s="1"/>
  <c r="C403" i="21"/>
  <c r="J403" i="21" s="1"/>
  <c r="G403" i="21"/>
  <c r="N403" i="21"/>
  <c r="U403" i="21" s="1"/>
  <c r="G402" i="21"/>
  <c r="G401" i="21"/>
  <c r="N401" i="21"/>
  <c r="G385" i="21"/>
  <c r="N385" i="21"/>
  <c r="G386" i="21"/>
  <c r="G387" i="21"/>
  <c r="G388" i="21"/>
  <c r="G389" i="21"/>
  <c r="N389" i="21" s="1"/>
  <c r="U389" i="21"/>
  <c r="G390" i="21"/>
  <c r="G391" i="21"/>
  <c r="N391" i="21" s="1"/>
  <c r="G392" i="21"/>
  <c r="N392" i="21" s="1"/>
  <c r="G393" i="21"/>
  <c r="U393" i="21" s="1"/>
  <c r="N393" i="21"/>
  <c r="G394" i="21"/>
  <c r="G395" i="21"/>
  <c r="G396" i="21"/>
  <c r="C396" i="21"/>
  <c r="J396" i="21" s="1"/>
  <c r="E396" i="21"/>
  <c r="L396" i="21" s="1"/>
  <c r="E395" i="21"/>
  <c r="C395" i="21"/>
  <c r="Q395" i="21" s="1"/>
  <c r="J395" i="21"/>
  <c r="N394" i="21"/>
  <c r="C394" i="21"/>
  <c r="J394" i="21" s="1"/>
  <c r="Q394" i="21"/>
  <c r="E394" i="21"/>
  <c r="L394" i="21"/>
  <c r="E393" i="21"/>
  <c r="L393" i="21" s="1"/>
  <c r="C393" i="21"/>
  <c r="U392" i="21"/>
  <c r="C392" i="21"/>
  <c r="J392" i="21"/>
  <c r="Q392" i="21" s="1"/>
  <c r="E392" i="21"/>
  <c r="E391" i="21"/>
  <c r="C391" i="21"/>
  <c r="Q391" i="21" s="1"/>
  <c r="J391" i="21"/>
  <c r="E390" i="21"/>
  <c r="N390" i="21"/>
  <c r="U390" i="21"/>
  <c r="C390" i="21"/>
  <c r="C389" i="21"/>
  <c r="J389" i="21" s="1"/>
  <c r="E389" i="21"/>
  <c r="L389" i="21" s="1"/>
  <c r="S389" i="21"/>
  <c r="E388" i="21"/>
  <c r="L388" i="21"/>
  <c r="N388" i="21"/>
  <c r="U388" i="21" s="1"/>
  <c r="C388" i="21"/>
  <c r="J388" i="21"/>
  <c r="C387" i="21"/>
  <c r="J387" i="21"/>
  <c r="E387" i="21"/>
  <c r="L387" i="21"/>
  <c r="E386" i="21"/>
  <c r="L386" i="21"/>
  <c r="S386" i="21" s="1"/>
  <c r="N386" i="21"/>
  <c r="U386" i="21" s="1"/>
  <c r="C386" i="21"/>
  <c r="J386" i="21" s="1"/>
  <c r="C385" i="21"/>
  <c r="E385" i="21"/>
  <c r="Y381" i="21"/>
  <c r="X381" i="21"/>
  <c r="V381" i="21"/>
  <c r="U381" i="21"/>
  <c r="T381" i="21"/>
  <c r="S381" i="21"/>
  <c r="R381" i="21"/>
  <c r="Q381" i="21"/>
  <c r="Y380" i="21"/>
  <c r="X380" i="21"/>
  <c r="V380" i="21"/>
  <c r="U380" i="21"/>
  <c r="T380" i="21"/>
  <c r="S380" i="21"/>
  <c r="R380" i="21"/>
  <c r="Q380" i="21"/>
  <c r="Y379" i="21"/>
  <c r="X379" i="21"/>
  <c r="V379" i="21"/>
  <c r="U379" i="21"/>
  <c r="T379" i="21"/>
  <c r="S379" i="21"/>
  <c r="R379" i="21"/>
  <c r="Q379" i="21"/>
  <c r="Y378" i="21"/>
  <c r="X378" i="21"/>
  <c r="V378" i="21"/>
  <c r="U378" i="21"/>
  <c r="T378" i="21"/>
  <c r="S378" i="21"/>
  <c r="R378" i="21"/>
  <c r="Q378" i="21"/>
  <c r="Y377" i="21"/>
  <c r="X377" i="21"/>
  <c r="V377" i="21"/>
  <c r="U377" i="21"/>
  <c r="T377" i="21"/>
  <c r="S377" i="21"/>
  <c r="R377" i="21"/>
  <c r="Q377" i="21"/>
  <c r="Y376" i="21"/>
  <c r="X376" i="21"/>
  <c r="V376" i="21"/>
  <c r="U376" i="21"/>
  <c r="T376" i="21"/>
  <c r="S376" i="21"/>
  <c r="R376" i="21"/>
  <c r="Q376" i="21"/>
  <c r="Y375" i="21"/>
  <c r="X375" i="21"/>
  <c r="V375" i="21"/>
  <c r="U375" i="21"/>
  <c r="T375" i="21"/>
  <c r="S375" i="21"/>
  <c r="R375" i="21"/>
  <c r="Q375" i="21"/>
  <c r="Y374" i="21"/>
  <c r="X374" i="21"/>
  <c r="V374" i="21"/>
  <c r="U374" i="21"/>
  <c r="T374" i="21"/>
  <c r="S374" i="21"/>
  <c r="R374" i="21"/>
  <c r="Q374" i="21"/>
  <c r="Y373" i="21"/>
  <c r="X373" i="21"/>
  <c r="V373" i="21"/>
  <c r="U373" i="21"/>
  <c r="T373" i="21"/>
  <c r="S373" i="21"/>
  <c r="R373" i="21"/>
  <c r="Q373" i="21"/>
  <c r="Y372" i="21"/>
  <c r="X372" i="21"/>
  <c r="V372" i="21"/>
  <c r="U372" i="21"/>
  <c r="T372" i="21"/>
  <c r="S372" i="21"/>
  <c r="R372" i="21"/>
  <c r="Q372" i="21"/>
  <c r="Y371" i="21"/>
  <c r="X371" i="21"/>
  <c r="V371" i="21"/>
  <c r="U371" i="21"/>
  <c r="T371" i="21"/>
  <c r="S371" i="21"/>
  <c r="R371" i="21"/>
  <c r="Q371" i="21"/>
  <c r="Y370" i="21"/>
  <c r="X370" i="21"/>
  <c r="V370" i="21"/>
  <c r="U370" i="21"/>
  <c r="T370" i="21"/>
  <c r="S370" i="21"/>
  <c r="R370" i="21"/>
  <c r="Q370" i="21"/>
  <c r="Y369" i="21"/>
  <c r="X369" i="21"/>
  <c r="V369" i="21"/>
  <c r="U369" i="21"/>
  <c r="T369" i="21"/>
  <c r="S369" i="21"/>
  <c r="R369" i="21"/>
  <c r="Q369" i="21"/>
  <c r="Y368" i="21"/>
  <c r="X368" i="21"/>
  <c r="V368" i="21"/>
  <c r="U368" i="21"/>
  <c r="T368" i="21"/>
  <c r="S368" i="21"/>
  <c r="R368" i="21"/>
  <c r="Q368" i="21"/>
  <c r="Y367" i="21"/>
  <c r="X367" i="21"/>
  <c r="V367" i="21"/>
  <c r="U367" i="21"/>
  <c r="T367" i="21"/>
  <c r="S367" i="21"/>
  <c r="R367" i="21"/>
  <c r="Q367" i="21"/>
  <c r="Y366" i="21"/>
  <c r="X366" i="21"/>
  <c r="V366" i="21"/>
  <c r="U366" i="21"/>
  <c r="T366" i="21"/>
  <c r="S366" i="21"/>
  <c r="R366" i="21"/>
  <c r="Q366" i="21"/>
  <c r="Y365" i="21"/>
  <c r="X365" i="21"/>
  <c r="V365" i="21"/>
  <c r="U365" i="21"/>
  <c r="T365" i="21"/>
  <c r="S365" i="21"/>
  <c r="R365" i="21"/>
  <c r="Q365" i="21"/>
  <c r="Y364" i="21"/>
  <c r="X364" i="21"/>
  <c r="V364" i="21"/>
  <c r="U364" i="21"/>
  <c r="T364" i="21"/>
  <c r="S364" i="21"/>
  <c r="R364" i="21"/>
  <c r="Q364" i="21"/>
  <c r="Y363" i="21"/>
  <c r="X363" i="21"/>
  <c r="V363" i="21"/>
  <c r="U363" i="21"/>
  <c r="T363" i="21"/>
  <c r="S363" i="21"/>
  <c r="R363" i="21"/>
  <c r="Q363" i="21"/>
  <c r="Y362" i="21"/>
  <c r="X362" i="21"/>
  <c r="V362" i="21"/>
  <c r="U362" i="21"/>
  <c r="T362" i="21"/>
  <c r="S362" i="21"/>
  <c r="R362" i="21"/>
  <c r="Q362" i="21"/>
  <c r="Y361" i="21"/>
  <c r="X361" i="21"/>
  <c r="V361" i="21"/>
  <c r="U361" i="21"/>
  <c r="T361" i="21"/>
  <c r="S361" i="21"/>
  <c r="R361" i="21"/>
  <c r="Q361" i="21"/>
  <c r="Y360" i="21"/>
  <c r="X360" i="21"/>
  <c r="V360" i="21"/>
  <c r="U360" i="21"/>
  <c r="T360" i="21"/>
  <c r="S360" i="21"/>
  <c r="R360" i="21"/>
  <c r="Q360" i="21"/>
  <c r="Y359" i="21"/>
  <c r="X359" i="21"/>
  <c r="V359" i="21"/>
  <c r="U359" i="21"/>
  <c r="T359" i="21"/>
  <c r="S359" i="21"/>
  <c r="R359" i="21"/>
  <c r="Q359" i="21"/>
  <c r="Y358" i="21"/>
  <c r="X358" i="21"/>
  <c r="V358" i="21"/>
  <c r="U358" i="21"/>
  <c r="T358" i="21"/>
  <c r="S358" i="21"/>
  <c r="R358" i="21"/>
  <c r="Q358" i="21"/>
  <c r="Y357" i="21"/>
  <c r="X357" i="21"/>
  <c r="V357" i="21"/>
  <c r="U357" i="21"/>
  <c r="T357" i="21"/>
  <c r="S357" i="21"/>
  <c r="R357" i="21"/>
  <c r="Q357" i="21"/>
  <c r="Y356" i="21"/>
  <c r="X356" i="21"/>
  <c r="V356" i="21"/>
  <c r="U356" i="21"/>
  <c r="T356" i="21"/>
  <c r="S356" i="21"/>
  <c r="R356" i="21"/>
  <c r="Q356" i="21"/>
  <c r="Y355" i="21"/>
  <c r="X355" i="21"/>
  <c r="V355" i="21"/>
  <c r="U355" i="21"/>
  <c r="T355" i="21"/>
  <c r="S355" i="21"/>
  <c r="R355" i="21"/>
  <c r="Q355" i="21"/>
  <c r="Y354" i="21"/>
  <c r="X354" i="21"/>
  <c r="V354" i="21"/>
  <c r="U354" i="21"/>
  <c r="T354" i="21"/>
  <c r="S354" i="21"/>
  <c r="R354" i="21"/>
  <c r="Q354" i="21"/>
  <c r="Y353" i="21"/>
  <c r="X353" i="21"/>
  <c r="V353" i="21"/>
  <c r="U353" i="21"/>
  <c r="T353" i="21"/>
  <c r="S353" i="21"/>
  <c r="R353" i="21"/>
  <c r="Q353" i="21"/>
  <c r="Y352" i="21"/>
  <c r="X352" i="21"/>
  <c r="V352" i="21"/>
  <c r="U352" i="21"/>
  <c r="T352" i="21"/>
  <c r="S352" i="21"/>
  <c r="R352" i="21"/>
  <c r="Q352" i="21"/>
  <c r="Y351" i="21"/>
  <c r="X351" i="21"/>
  <c r="V351" i="21"/>
  <c r="V350" i="21" s="1"/>
  <c r="V412" i="21" s="1"/>
  <c r="U351" i="21"/>
  <c r="U350" i="21"/>
  <c r="V396" i="21" s="1"/>
  <c r="T351" i="21"/>
  <c r="T350" i="21" s="1"/>
  <c r="T412" i="21" s="1"/>
  <c r="S351" i="21"/>
  <c r="R351" i="21"/>
  <c r="Q351" i="21"/>
  <c r="Q350" i="21"/>
  <c r="R396" i="21" s="1"/>
  <c r="O350" i="21"/>
  <c r="O412" i="21" s="1"/>
  <c r="N350" i="21"/>
  <c r="O396" i="21" s="1"/>
  <c r="M412" i="21"/>
  <c r="L350" i="21"/>
  <c r="M396" i="21"/>
  <c r="K350" i="21"/>
  <c r="K412" i="21"/>
  <c r="J350" i="21"/>
  <c r="K396" i="21"/>
  <c r="H350" i="21"/>
  <c r="H412" i="21"/>
  <c r="G350" i="21"/>
  <c r="H396" i="21"/>
  <c r="F350" i="21"/>
  <c r="F412" i="21"/>
  <c r="E350" i="21"/>
  <c r="F396" i="21"/>
  <c r="Y349" i="21"/>
  <c r="X349" i="21"/>
  <c r="V349" i="21"/>
  <c r="U349" i="21"/>
  <c r="T349" i="21"/>
  <c r="S349" i="21"/>
  <c r="R349" i="21"/>
  <c r="Q349" i="21"/>
  <c r="Y348" i="21"/>
  <c r="X348" i="21"/>
  <c r="V348" i="21"/>
  <c r="U348" i="21"/>
  <c r="T348" i="21"/>
  <c r="S348" i="21"/>
  <c r="R348" i="21"/>
  <c r="Q348" i="21"/>
  <c r="Y347" i="21"/>
  <c r="X347" i="21"/>
  <c r="V347" i="21"/>
  <c r="U347" i="21"/>
  <c r="T347" i="21"/>
  <c r="S347" i="21"/>
  <c r="R347" i="21"/>
  <c r="Q347" i="21"/>
  <c r="Y346" i="21"/>
  <c r="X346" i="21"/>
  <c r="V346" i="21"/>
  <c r="U346" i="21"/>
  <c r="T346" i="21"/>
  <c r="S346" i="21"/>
  <c r="R346" i="21"/>
  <c r="Q346" i="21"/>
  <c r="Y345" i="21"/>
  <c r="X345" i="21"/>
  <c r="V345" i="21"/>
  <c r="U345" i="21"/>
  <c r="T345" i="21"/>
  <c r="S345" i="21"/>
  <c r="R345" i="21"/>
  <c r="Q345" i="21"/>
  <c r="Y344" i="21"/>
  <c r="X344" i="21"/>
  <c r="V344" i="21"/>
  <c r="U344" i="21"/>
  <c r="T344" i="21"/>
  <c r="S344" i="21"/>
  <c r="R344" i="21"/>
  <c r="Q344" i="21"/>
  <c r="Y343" i="21"/>
  <c r="X343" i="21"/>
  <c r="V343" i="21"/>
  <c r="U343" i="21"/>
  <c r="T343" i="21"/>
  <c r="S343" i="21"/>
  <c r="R343" i="21"/>
  <c r="Q343" i="21"/>
  <c r="Y342" i="21"/>
  <c r="X342" i="21"/>
  <c r="V342" i="21"/>
  <c r="U342" i="21"/>
  <c r="T342" i="21"/>
  <c r="S342" i="21"/>
  <c r="R342" i="21"/>
  <c r="Q342" i="21"/>
  <c r="Y341" i="21"/>
  <c r="X341" i="21"/>
  <c r="V341" i="21"/>
  <c r="U341" i="21"/>
  <c r="T341" i="21"/>
  <c r="S341" i="21"/>
  <c r="R341" i="21"/>
  <c r="Q341" i="21"/>
  <c r="Y340" i="21"/>
  <c r="X340" i="21"/>
  <c r="V340" i="21"/>
  <c r="U340" i="21"/>
  <c r="T340" i="21"/>
  <c r="S340" i="21"/>
  <c r="R340" i="21"/>
  <c r="Q340" i="21"/>
  <c r="Y339" i="21"/>
  <c r="X339" i="21"/>
  <c r="V339" i="21"/>
  <c r="U339" i="21"/>
  <c r="T339" i="21"/>
  <c r="S339" i="21"/>
  <c r="R339" i="21"/>
  <c r="Q339" i="21"/>
  <c r="Y338" i="21"/>
  <c r="X338" i="21"/>
  <c r="V338" i="21"/>
  <c r="U338" i="21"/>
  <c r="T338" i="21"/>
  <c r="S338" i="21"/>
  <c r="R338" i="21"/>
  <c r="Q338" i="21"/>
  <c r="Y337" i="21"/>
  <c r="X337" i="21"/>
  <c r="V337" i="21"/>
  <c r="U337" i="21"/>
  <c r="T337" i="21"/>
  <c r="S337" i="21"/>
  <c r="R337" i="21"/>
  <c r="Q337" i="21"/>
  <c r="Y336" i="21"/>
  <c r="X336" i="21"/>
  <c r="V336" i="21"/>
  <c r="U336" i="21"/>
  <c r="T336" i="21"/>
  <c r="S336" i="21"/>
  <c r="R336" i="21"/>
  <c r="Q336" i="21"/>
  <c r="Y335" i="21"/>
  <c r="X335" i="21"/>
  <c r="V335" i="21"/>
  <c r="U335" i="21"/>
  <c r="T335" i="21"/>
  <c r="S335" i="21"/>
  <c r="R335" i="21"/>
  <c r="Q335" i="21"/>
  <c r="Y334" i="21"/>
  <c r="X334" i="21"/>
  <c r="V334" i="21"/>
  <c r="U334" i="21"/>
  <c r="T334" i="21"/>
  <c r="S334" i="21"/>
  <c r="R334" i="21"/>
  <c r="Q334" i="21"/>
  <c r="Y333" i="21"/>
  <c r="X333" i="21"/>
  <c r="V333" i="21"/>
  <c r="U333" i="21"/>
  <c r="T333" i="21"/>
  <c r="S333" i="21"/>
  <c r="R333" i="21"/>
  <c r="Q333" i="21"/>
  <c r="Y332" i="21"/>
  <c r="X332" i="21"/>
  <c r="V332" i="21"/>
  <c r="U332" i="21"/>
  <c r="T332" i="21"/>
  <c r="S332" i="21"/>
  <c r="R332" i="21"/>
  <c r="Q332" i="21"/>
  <c r="Y331" i="21"/>
  <c r="X331" i="21"/>
  <c r="V331" i="21"/>
  <c r="U331" i="21"/>
  <c r="T331" i="21"/>
  <c r="S331" i="21"/>
  <c r="R331" i="21"/>
  <c r="Q331" i="21"/>
  <c r="Y330" i="21"/>
  <c r="X330" i="21"/>
  <c r="V330" i="21"/>
  <c r="U330" i="21"/>
  <c r="T330" i="21"/>
  <c r="S330" i="21"/>
  <c r="R330" i="21"/>
  <c r="Q330" i="21"/>
  <c r="Y329" i="21"/>
  <c r="X329" i="21"/>
  <c r="V329" i="21"/>
  <c r="U329" i="21"/>
  <c r="T329" i="21"/>
  <c r="S329" i="21"/>
  <c r="R329" i="21"/>
  <c r="Q329" i="21"/>
  <c r="Y328" i="21"/>
  <c r="X328" i="21"/>
  <c r="V328" i="21"/>
  <c r="U328" i="21"/>
  <c r="T328" i="21"/>
  <c r="S328" i="21"/>
  <c r="R328" i="21"/>
  <c r="Q328" i="21"/>
  <c r="Y327" i="21"/>
  <c r="X327" i="21"/>
  <c r="V327" i="21"/>
  <c r="U327" i="21"/>
  <c r="T327" i="21"/>
  <c r="S327" i="21"/>
  <c r="R327" i="21"/>
  <c r="Q327" i="21"/>
  <c r="Y326" i="21"/>
  <c r="X326" i="21"/>
  <c r="V326" i="21"/>
  <c r="U326" i="21"/>
  <c r="T326" i="21"/>
  <c r="S326" i="21"/>
  <c r="R326" i="21"/>
  <c r="Q326" i="21"/>
  <c r="Y325" i="21"/>
  <c r="X325" i="21"/>
  <c r="V325" i="21"/>
  <c r="U325" i="21"/>
  <c r="T325" i="21"/>
  <c r="S325" i="21"/>
  <c r="R325" i="21"/>
  <c r="Q325" i="21"/>
  <c r="Y324" i="21"/>
  <c r="X324" i="21"/>
  <c r="V324" i="21"/>
  <c r="U324" i="21"/>
  <c r="T324" i="21"/>
  <c r="S324" i="21"/>
  <c r="R324" i="21"/>
  <c r="Q324" i="21"/>
  <c r="Y323" i="21"/>
  <c r="X323" i="21"/>
  <c r="V323" i="21"/>
  <c r="U323" i="21"/>
  <c r="T323" i="21"/>
  <c r="S323" i="21"/>
  <c r="R323" i="21"/>
  <c r="Q323" i="21"/>
  <c r="Y322" i="21"/>
  <c r="X322" i="21"/>
  <c r="V322" i="21"/>
  <c r="U322" i="21"/>
  <c r="T322" i="21"/>
  <c r="S322" i="21"/>
  <c r="R322" i="21"/>
  <c r="Q322" i="21"/>
  <c r="Y321" i="21"/>
  <c r="X321" i="21"/>
  <c r="V321" i="21"/>
  <c r="U321" i="21"/>
  <c r="T321" i="21"/>
  <c r="S321" i="21"/>
  <c r="R321" i="21"/>
  <c r="Q321" i="21"/>
  <c r="Y320" i="21"/>
  <c r="X320" i="21"/>
  <c r="V320" i="21"/>
  <c r="V319" i="21"/>
  <c r="V411" i="21" s="1"/>
  <c r="U320" i="21"/>
  <c r="U319" i="21" s="1"/>
  <c r="V395" i="21" s="1"/>
  <c r="T320" i="21"/>
  <c r="S320" i="21"/>
  <c r="R320" i="21"/>
  <c r="R319" i="21"/>
  <c r="R411" i="21" s="1"/>
  <c r="Q320" i="21"/>
  <c r="O319" i="21"/>
  <c r="O411" i="21"/>
  <c r="N319" i="21"/>
  <c r="O395" i="21"/>
  <c r="M411" i="21"/>
  <c r="L319" i="21"/>
  <c r="K319" i="21"/>
  <c r="K411" i="21" s="1"/>
  <c r="J319" i="21"/>
  <c r="K395" i="21" s="1"/>
  <c r="H319" i="21"/>
  <c r="H411" i="21" s="1"/>
  <c r="G319" i="21"/>
  <c r="H395" i="21" s="1"/>
  <c r="F319" i="21"/>
  <c r="F411" i="21" s="1"/>
  <c r="E319" i="21"/>
  <c r="F395" i="21" s="1"/>
  <c r="Y318" i="21"/>
  <c r="X318" i="21"/>
  <c r="V318" i="21"/>
  <c r="U318" i="21"/>
  <c r="T318" i="21"/>
  <c r="S318" i="21"/>
  <c r="R318" i="21"/>
  <c r="Q318" i="21"/>
  <c r="Y317" i="21"/>
  <c r="X317" i="21"/>
  <c r="V317" i="21"/>
  <c r="U317" i="21"/>
  <c r="T317" i="21"/>
  <c r="S317" i="21"/>
  <c r="R317" i="21"/>
  <c r="Q317" i="21"/>
  <c r="Y316" i="21"/>
  <c r="X316" i="21"/>
  <c r="V316" i="21"/>
  <c r="U316" i="21"/>
  <c r="T316" i="21"/>
  <c r="S316" i="21"/>
  <c r="R316" i="21"/>
  <c r="Q316" i="21"/>
  <c r="Y315" i="21"/>
  <c r="X315" i="21"/>
  <c r="V315" i="21"/>
  <c r="U315" i="21"/>
  <c r="T315" i="21"/>
  <c r="S315" i="21"/>
  <c r="R315" i="21"/>
  <c r="Q315" i="21"/>
  <c r="Y314" i="21"/>
  <c r="X314" i="21"/>
  <c r="V314" i="21"/>
  <c r="U314" i="21"/>
  <c r="T314" i="21"/>
  <c r="S314" i="21"/>
  <c r="R314" i="21"/>
  <c r="Q314" i="21"/>
  <c r="Y313" i="21"/>
  <c r="X313" i="21"/>
  <c r="V313" i="21"/>
  <c r="U313" i="21"/>
  <c r="T313" i="21"/>
  <c r="S313" i="21"/>
  <c r="R313" i="21"/>
  <c r="Q313" i="21"/>
  <c r="Y312" i="21"/>
  <c r="X312" i="21"/>
  <c r="V312" i="21"/>
  <c r="U312" i="21"/>
  <c r="T312" i="21"/>
  <c r="S312" i="21"/>
  <c r="R312" i="21"/>
  <c r="Q312" i="21"/>
  <c r="Y311" i="21"/>
  <c r="X311" i="21"/>
  <c r="V311" i="21"/>
  <c r="U311" i="21"/>
  <c r="T311" i="21"/>
  <c r="S311" i="21"/>
  <c r="R311" i="21"/>
  <c r="Q311" i="21"/>
  <c r="Y310" i="21"/>
  <c r="X310" i="21"/>
  <c r="V310" i="21"/>
  <c r="U310" i="21"/>
  <c r="T310" i="21"/>
  <c r="S310" i="21"/>
  <c r="R310" i="21"/>
  <c r="Q310" i="21"/>
  <c r="Y309" i="21"/>
  <c r="X309" i="21"/>
  <c r="V309" i="21"/>
  <c r="U309" i="21"/>
  <c r="T309" i="21"/>
  <c r="S309" i="21"/>
  <c r="R309" i="21"/>
  <c r="Q309" i="21"/>
  <c r="Y308" i="21"/>
  <c r="X308" i="21"/>
  <c r="V308" i="21"/>
  <c r="U308" i="21"/>
  <c r="T308" i="21"/>
  <c r="S308" i="21"/>
  <c r="R308" i="21"/>
  <c r="Q308" i="21"/>
  <c r="Y307" i="21"/>
  <c r="X307" i="21"/>
  <c r="V307" i="21"/>
  <c r="U307" i="21"/>
  <c r="T307" i="21"/>
  <c r="S307" i="21"/>
  <c r="R307" i="21"/>
  <c r="Q307" i="21"/>
  <c r="Y306" i="21"/>
  <c r="X306" i="21"/>
  <c r="V306" i="21"/>
  <c r="U306" i="21"/>
  <c r="T306" i="21"/>
  <c r="S306" i="21"/>
  <c r="R306" i="21"/>
  <c r="Q306" i="21"/>
  <c r="Y305" i="21"/>
  <c r="X305" i="21"/>
  <c r="V305" i="21"/>
  <c r="U305" i="21"/>
  <c r="T305" i="21"/>
  <c r="S305" i="21"/>
  <c r="R305" i="21"/>
  <c r="Q305" i="21"/>
  <c r="Y304" i="21"/>
  <c r="X304" i="21"/>
  <c r="V304" i="21"/>
  <c r="U304" i="21"/>
  <c r="T304" i="21"/>
  <c r="S304" i="21"/>
  <c r="R304" i="21"/>
  <c r="Q304" i="21"/>
  <c r="Y303" i="21"/>
  <c r="X303" i="21"/>
  <c r="V303" i="21"/>
  <c r="U303" i="21"/>
  <c r="T303" i="21"/>
  <c r="S303" i="21"/>
  <c r="R303" i="21"/>
  <c r="Q303" i="21"/>
  <c r="Y302" i="21"/>
  <c r="X302" i="21"/>
  <c r="V302" i="21"/>
  <c r="U302" i="21"/>
  <c r="T302" i="21"/>
  <c r="S302" i="21"/>
  <c r="R302" i="21"/>
  <c r="Q302" i="21"/>
  <c r="Y301" i="21"/>
  <c r="X301" i="21"/>
  <c r="V301" i="21"/>
  <c r="U301" i="21"/>
  <c r="T301" i="21"/>
  <c r="S301" i="21"/>
  <c r="R301" i="21"/>
  <c r="Q301" i="21"/>
  <c r="Y300" i="21"/>
  <c r="X300" i="21"/>
  <c r="V300" i="21"/>
  <c r="U300" i="21"/>
  <c r="T300" i="21"/>
  <c r="S300" i="21"/>
  <c r="R300" i="21"/>
  <c r="Q300" i="21"/>
  <c r="Y299" i="21"/>
  <c r="X299" i="21"/>
  <c r="V299" i="21"/>
  <c r="U299" i="21"/>
  <c r="T299" i="21"/>
  <c r="S299" i="21"/>
  <c r="R299" i="21"/>
  <c r="Q299" i="21"/>
  <c r="Y298" i="21"/>
  <c r="X298" i="21"/>
  <c r="V298" i="21"/>
  <c r="U298" i="21"/>
  <c r="T298" i="21"/>
  <c r="S298" i="21"/>
  <c r="R298" i="21"/>
  <c r="Q298" i="21"/>
  <c r="Y297" i="21"/>
  <c r="X297" i="21"/>
  <c r="V297" i="21"/>
  <c r="U297" i="21"/>
  <c r="T297" i="21"/>
  <c r="S297" i="21"/>
  <c r="R297" i="21"/>
  <c r="Q297" i="21"/>
  <c r="Y296" i="21"/>
  <c r="X296" i="21"/>
  <c r="V296" i="21"/>
  <c r="U296" i="21"/>
  <c r="T296" i="21"/>
  <c r="S296" i="21"/>
  <c r="R296" i="21"/>
  <c r="Q296" i="21"/>
  <c r="Y295" i="21"/>
  <c r="X295" i="21"/>
  <c r="V295" i="21"/>
  <c r="U295" i="21"/>
  <c r="T295" i="21"/>
  <c r="S295" i="21"/>
  <c r="R295" i="21"/>
  <c r="Q295" i="21"/>
  <c r="Y294" i="21"/>
  <c r="X294" i="21"/>
  <c r="V294" i="21"/>
  <c r="U294" i="21"/>
  <c r="T294" i="21"/>
  <c r="S294" i="21"/>
  <c r="R294" i="21"/>
  <c r="Q294" i="21"/>
  <c r="Y293" i="21"/>
  <c r="X293" i="21"/>
  <c r="V293" i="21"/>
  <c r="U293" i="21"/>
  <c r="T293" i="21"/>
  <c r="S293" i="21"/>
  <c r="R293" i="21"/>
  <c r="Q293" i="21"/>
  <c r="Y292" i="21"/>
  <c r="X292" i="21"/>
  <c r="V292" i="21"/>
  <c r="U292" i="21"/>
  <c r="T292" i="21"/>
  <c r="S292" i="21"/>
  <c r="R292" i="21"/>
  <c r="Q292" i="21"/>
  <c r="Y291" i="21"/>
  <c r="X291" i="21"/>
  <c r="V291" i="21"/>
  <c r="U291" i="21"/>
  <c r="T291" i="21"/>
  <c r="S291" i="21"/>
  <c r="R291" i="21"/>
  <c r="Q291" i="21"/>
  <c r="Y290" i="21"/>
  <c r="X290" i="21"/>
  <c r="V290" i="21"/>
  <c r="U290" i="21"/>
  <c r="T290" i="21"/>
  <c r="S290" i="21"/>
  <c r="R290" i="21"/>
  <c r="Q290" i="21"/>
  <c r="Y289" i="21"/>
  <c r="X289" i="21"/>
  <c r="V289" i="21"/>
  <c r="U289" i="21"/>
  <c r="T289" i="21"/>
  <c r="S289" i="21"/>
  <c r="R289" i="21"/>
  <c r="Q289" i="21"/>
  <c r="Y288" i="21"/>
  <c r="X288" i="21"/>
  <c r="V288" i="21"/>
  <c r="U288" i="21"/>
  <c r="U287" i="21"/>
  <c r="V394" i="21" s="1"/>
  <c r="T288" i="21"/>
  <c r="S288" i="21"/>
  <c r="S287" i="21"/>
  <c r="T394" i="21" s="1"/>
  <c r="R288" i="21"/>
  <c r="R287" i="21" s="1"/>
  <c r="R410" i="21" s="1"/>
  <c r="Q288" i="21"/>
  <c r="Q287" i="21"/>
  <c r="R394" i="21" s="1"/>
  <c r="O287" i="21"/>
  <c r="O410" i="21" s="1"/>
  <c r="N287" i="21"/>
  <c r="O394" i="21" s="1"/>
  <c r="M410" i="21"/>
  <c r="L287" i="21"/>
  <c r="M394" i="21"/>
  <c r="K287" i="21"/>
  <c r="K410" i="21"/>
  <c r="J287" i="21"/>
  <c r="K394" i="21"/>
  <c r="H287" i="21"/>
  <c r="H410" i="21"/>
  <c r="G287" i="21"/>
  <c r="H394" i="21"/>
  <c r="F287" i="21"/>
  <c r="F410" i="21"/>
  <c r="E287" i="21"/>
  <c r="F394" i="21"/>
  <c r="Y286" i="21"/>
  <c r="X286" i="21"/>
  <c r="V286" i="21"/>
  <c r="U286" i="21"/>
  <c r="T286" i="21"/>
  <c r="S286" i="21"/>
  <c r="R286" i="21"/>
  <c r="Q286" i="21"/>
  <c r="Y285" i="21"/>
  <c r="X285" i="21"/>
  <c r="V285" i="21"/>
  <c r="U285" i="21"/>
  <c r="T285" i="21"/>
  <c r="S285" i="21"/>
  <c r="R285" i="21"/>
  <c r="X14" i="20" s="1"/>
  <c r="Q285" i="21"/>
  <c r="Y284" i="21"/>
  <c r="X284" i="21"/>
  <c r="V284" i="21"/>
  <c r="U284" i="21"/>
  <c r="T284" i="21"/>
  <c r="S284" i="21"/>
  <c r="R284" i="21"/>
  <c r="Q284" i="21"/>
  <c r="Y283" i="21"/>
  <c r="X283" i="21"/>
  <c r="V283" i="21"/>
  <c r="U283" i="21"/>
  <c r="T283" i="21"/>
  <c r="S283" i="21"/>
  <c r="R283" i="21"/>
  <c r="Q283" i="21"/>
  <c r="Y282" i="21"/>
  <c r="X282" i="21"/>
  <c r="V282" i="21"/>
  <c r="U282" i="21"/>
  <c r="T282" i="21"/>
  <c r="S282" i="21"/>
  <c r="R282" i="21"/>
  <c r="Q282" i="21"/>
  <c r="Y281" i="21"/>
  <c r="X281" i="21"/>
  <c r="V281" i="21"/>
  <c r="U281" i="21"/>
  <c r="T281" i="21"/>
  <c r="S281" i="21"/>
  <c r="R281" i="21"/>
  <c r="Q281" i="21"/>
  <c r="Y280" i="21"/>
  <c r="X280" i="21"/>
  <c r="V280" i="21"/>
  <c r="U280" i="21"/>
  <c r="T280" i="21"/>
  <c r="S280" i="21"/>
  <c r="R280" i="21"/>
  <c r="Q280" i="21"/>
  <c r="Y279" i="21"/>
  <c r="X279" i="21"/>
  <c r="V279" i="21"/>
  <c r="U279" i="21"/>
  <c r="T279" i="21"/>
  <c r="S279" i="21"/>
  <c r="R279" i="21"/>
  <c r="Q279" i="21"/>
  <c r="Y278" i="21"/>
  <c r="X278" i="21"/>
  <c r="V278" i="21"/>
  <c r="U278" i="21"/>
  <c r="T278" i="21"/>
  <c r="S278" i="21"/>
  <c r="R278" i="21"/>
  <c r="Q278" i="21"/>
  <c r="Y277" i="21"/>
  <c r="X277" i="21"/>
  <c r="V277" i="21"/>
  <c r="U277" i="21"/>
  <c r="T277" i="21"/>
  <c r="S277" i="21"/>
  <c r="R277" i="21"/>
  <c r="Q277" i="21"/>
  <c r="Y276" i="21"/>
  <c r="X276" i="21"/>
  <c r="V276" i="21"/>
  <c r="U276" i="21"/>
  <c r="T276" i="21"/>
  <c r="S276" i="21"/>
  <c r="R276" i="21"/>
  <c r="Q276" i="21"/>
  <c r="Y275" i="21"/>
  <c r="X275" i="21"/>
  <c r="V275" i="21"/>
  <c r="U275" i="21"/>
  <c r="T275" i="21"/>
  <c r="S275" i="21"/>
  <c r="R275" i="21"/>
  <c r="Q275" i="21"/>
  <c r="Y274" i="21"/>
  <c r="X274" i="21"/>
  <c r="V274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37" i="21"/>
  <c r="V402" i="21" s="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29" i="21"/>
  <c r="V405" i="21" s="1"/>
  <c r="V162" i="21"/>
  <c r="V161" i="21" s="1"/>
  <c r="V406" i="21" s="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5" i="21"/>
  <c r="V226" i="21"/>
  <c r="V224" i="21" s="1"/>
  <c r="V408" i="21" s="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87" i="21"/>
  <c r="V410" i="21" s="1"/>
  <c r="U274" i="21"/>
  <c r="T274" i="21"/>
  <c r="S274" i="21"/>
  <c r="S257" i="21"/>
  <c r="S258" i="21"/>
  <c r="S259" i="21"/>
  <c r="S260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8" i="21"/>
  <c r="S39" i="21"/>
  <c r="S40" i="21"/>
  <c r="S37" i="21" s="1"/>
  <c r="T386" i="21" s="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S55" i="21"/>
  <c r="S56" i="21"/>
  <c r="S57" i="21"/>
  <c r="S58" i="21"/>
  <c r="S59" i="21"/>
  <c r="S60" i="21"/>
  <c r="S61" i="21"/>
  <c r="S62" i="21"/>
  <c r="S63" i="21"/>
  <c r="S64" i="21"/>
  <c r="S65" i="21"/>
  <c r="S67" i="21"/>
  <c r="S68" i="21"/>
  <c r="S66" i="21" s="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2" i="21"/>
  <c r="S161" i="21" s="1"/>
  <c r="T390" i="21" s="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93" i="21"/>
  <c r="S194" i="21"/>
  <c r="S192" i="21" s="1"/>
  <c r="T391" i="21" s="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214" i="21"/>
  <c r="S215" i="21"/>
  <c r="S216" i="21"/>
  <c r="S217" i="21"/>
  <c r="S218" i="21"/>
  <c r="S219" i="21"/>
  <c r="S220" i="21"/>
  <c r="S221" i="21"/>
  <c r="S222" i="21"/>
  <c r="S223" i="21"/>
  <c r="S225" i="21"/>
  <c r="S226" i="21"/>
  <c r="S224" i="21" s="1"/>
  <c r="S227" i="21"/>
  <c r="S228" i="21"/>
  <c r="S229" i="21"/>
  <c r="S230" i="21"/>
  <c r="S231" i="21"/>
  <c r="S232" i="21"/>
  <c r="S233" i="21"/>
  <c r="S234" i="21"/>
  <c r="S235" i="21"/>
  <c r="S236" i="21"/>
  <c r="S237" i="21"/>
  <c r="S238" i="21"/>
  <c r="S239" i="21"/>
  <c r="S240" i="21"/>
  <c r="S241" i="21"/>
  <c r="S242" i="21"/>
  <c r="S243" i="21"/>
  <c r="S244" i="21"/>
  <c r="S245" i="21"/>
  <c r="S246" i="21"/>
  <c r="S247" i="21"/>
  <c r="S248" i="21"/>
  <c r="S249" i="21"/>
  <c r="S250" i="21"/>
  <c r="S251" i="21"/>
  <c r="S252" i="21"/>
  <c r="S253" i="21"/>
  <c r="S254" i="21"/>
  <c r="S255" i="21"/>
  <c r="S261" i="21"/>
  <c r="S262" i="21"/>
  <c r="S263" i="21"/>
  <c r="S264" i="21"/>
  <c r="S265" i="21"/>
  <c r="S266" i="21"/>
  <c r="S267" i="21"/>
  <c r="S268" i="21"/>
  <c r="S269" i="21"/>
  <c r="S270" i="21"/>
  <c r="S271" i="21"/>
  <c r="S272" i="21"/>
  <c r="S273" i="21"/>
  <c r="S319" i="21"/>
  <c r="T395" i="21" s="1"/>
  <c r="S350" i="21"/>
  <c r="P74" i="20"/>
  <c r="Y74" i="20" s="1"/>
  <c r="R274" i="21"/>
  <c r="R257" i="21"/>
  <c r="R258" i="21"/>
  <c r="R259" i="21"/>
  <c r="R260" i="21"/>
  <c r="R261" i="21"/>
  <c r="R262" i="21"/>
  <c r="R263" i="21"/>
  <c r="R264" i="21"/>
  <c r="R265" i="21"/>
  <c r="R266" i="21"/>
  <c r="R267" i="21"/>
  <c r="R268" i="21"/>
  <c r="R269" i="21"/>
  <c r="R270" i="21"/>
  <c r="R271" i="21"/>
  <c r="R272" i="21"/>
  <c r="R273" i="21"/>
  <c r="R6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5" i="21"/>
  <c r="R401" i="21" s="1"/>
  <c r="R38" i="21"/>
  <c r="R39" i="21"/>
  <c r="R40" i="21"/>
  <c r="R37" i="21" s="1"/>
  <c r="R402" i="21" s="1"/>
  <c r="R41" i="21"/>
  <c r="R42" i="21"/>
  <c r="R43" i="21"/>
  <c r="R44" i="21"/>
  <c r="R45" i="21"/>
  <c r="R46" i="21"/>
  <c r="R47" i="21"/>
  <c r="R48" i="21"/>
  <c r="R49" i="21"/>
  <c r="R50" i="21"/>
  <c r="R51" i="21"/>
  <c r="R52" i="21"/>
  <c r="R53" i="21"/>
  <c r="R54" i="21"/>
  <c r="R55" i="21"/>
  <c r="R56" i="21"/>
  <c r="R57" i="21"/>
  <c r="R58" i="21"/>
  <c r="R59" i="21"/>
  <c r="R60" i="21"/>
  <c r="R61" i="21"/>
  <c r="R62" i="21"/>
  <c r="R63" i="21"/>
  <c r="R64" i="21"/>
  <c r="R65" i="21"/>
  <c r="R67" i="21"/>
  <c r="R68" i="21"/>
  <c r="R69" i="21"/>
  <c r="R70" i="21"/>
  <c r="R71" i="21"/>
  <c r="R72" i="21"/>
  <c r="R73" i="21"/>
  <c r="R74" i="21"/>
  <c r="R75" i="21"/>
  <c r="R76" i="21"/>
  <c r="R77" i="21"/>
  <c r="R78" i="21"/>
  <c r="R79" i="21"/>
  <c r="R80" i="21"/>
  <c r="R81" i="21"/>
  <c r="R82" i="21"/>
  <c r="R83" i="21"/>
  <c r="R84" i="21"/>
  <c r="R85" i="21"/>
  <c r="R86" i="21"/>
  <c r="R87" i="21"/>
  <c r="R88" i="21"/>
  <c r="R89" i="21"/>
  <c r="R90" i="21"/>
  <c r="R91" i="21"/>
  <c r="R92" i="21"/>
  <c r="R93" i="21"/>
  <c r="R94" i="21"/>
  <c r="R95" i="21"/>
  <c r="R96" i="21"/>
  <c r="R97" i="21"/>
  <c r="R99" i="21"/>
  <c r="R98" i="21" s="1"/>
  <c r="R404" i="21" s="1"/>
  <c r="R100" i="21"/>
  <c r="R101" i="21"/>
  <c r="R102" i="21"/>
  <c r="R103" i="21"/>
  <c r="R104" i="21"/>
  <c r="R105" i="21"/>
  <c r="R106" i="21"/>
  <c r="R107" i="21"/>
  <c r="R108" i="21"/>
  <c r="R109" i="21"/>
  <c r="R110" i="21"/>
  <c r="R111" i="21"/>
  <c r="R112" i="21"/>
  <c r="R113" i="21"/>
  <c r="R114" i="21"/>
  <c r="R115" i="21"/>
  <c r="R116" i="21"/>
  <c r="R117" i="21"/>
  <c r="R118" i="21"/>
  <c r="R119" i="21"/>
  <c r="R120" i="21"/>
  <c r="R121" i="21"/>
  <c r="R122" i="21"/>
  <c r="R123" i="21"/>
  <c r="R124" i="21"/>
  <c r="R125" i="21"/>
  <c r="R126" i="21"/>
  <c r="R127" i="21"/>
  <c r="R128" i="21"/>
  <c r="R130" i="21"/>
  <c r="R131" i="21"/>
  <c r="R129" i="21" s="1"/>
  <c r="R405" i="21" s="1"/>
  <c r="R132" i="21"/>
  <c r="R133" i="21"/>
  <c r="R134" i="21"/>
  <c r="R135" i="21"/>
  <c r="R136" i="21"/>
  <c r="R137" i="21"/>
  <c r="R138" i="21"/>
  <c r="R139" i="21"/>
  <c r="R140" i="21"/>
  <c r="R141" i="21"/>
  <c r="R142" i="21"/>
  <c r="R143" i="21"/>
  <c r="R144" i="21"/>
  <c r="R145" i="21"/>
  <c r="R146" i="21"/>
  <c r="R147" i="21"/>
  <c r="R148" i="21"/>
  <c r="R149" i="21"/>
  <c r="R150" i="21"/>
  <c r="R151" i="21"/>
  <c r="R152" i="21"/>
  <c r="R153" i="21"/>
  <c r="R154" i="21"/>
  <c r="R155" i="21"/>
  <c r="R156" i="21"/>
  <c r="R157" i="21"/>
  <c r="R158" i="21"/>
  <c r="R159" i="21"/>
  <c r="R160" i="21"/>
  <c r="R162" i="21"/>
  <c r="R163" i="21"/>
  <c r="R164" i="21"/>
  <c r="R165" i="21"/>
  <c r="R166" i="21"/>
  <c r="R167" i="21"/>
  <c r="R168" i="21"/>
  <c r="R169" i="21"/>
  <c r="R170" i="21"/>
  <c r="R171" i="21"/>
  <c r="R172" i="21"/>
  <c r="R173" i="21"/>
  <c r="R174" i="21"/>
  <c r="R175" i="21"/>
  <c r="R176" i="21"/>
  <c r="R177" i="21"/>
  <c r="R178" i="21"/>
  <c r="R179" i="21"/>
  <c r="R180" i="21"/>
  <c r="R181" i="21"/>
  <c r="R182" i="21"/>
  <c r="R183" i="21"/>
  <c r="R184" i="21"/>
  <c r="R185" i="21"/>
  <c r="R186" i="21"/>
  <c r="R187" i="21"/>
  <c r="R188" i="21"/>
  <c r="R189" i="21"/>
  <c r="R190" i="21"/>
  <c r="R191" i="21"/>
  <c r="R161" i="21"/>
  <c r="R406" i="21" s="1"/>
  <c r="R193" i="21"/>
  <c r="R194" i="21"/>
  <c r="R195" i="21"/>
  <c r="R196" i="21"/>
  <c r="R197" i="21"/>
  <c r="R198" i="21"/>
  <c r="R199" i="21"/>
  <c r="R200" i="21"/>
  <c r="R201" i="21"/>
  <c r="R202" i="21"/>
  <c r="R203" i="21"/>
  <c r="R204" i="21"/>
  <c r="R205" i="21"/>
  <c r="R206" i="21"/>
  <c r="R207" i="21"/>
  <c r="R208" i="21"/>
  <c r="R209" i="21"/>
  <c r="R210" i="21"/>
  <c r="R211" i="21"/>
  <c r="R212" i="21"/>
  <c r="R213" i="21"/>
  <c r="R214" i="21"/>
  <c r="R215" i="21"/>
  <c r="R216" i="21"/>
  <c r="R217" i="21"/>
  <c r="R218" i="21"/>
  <c r="R219" i="21"/>
  <c r="R220" i="21"/>
  <c r="R221" i="21"/>
  <c r="R222" i="21"/>
  <c r="R223" i="21"/>
  <c r="R225" i="21"/>
  <c r="R226" i="21"/>
  <c r="R227" i="21"/>
  <c r="R228" i="21"/>
  <c r="R229" i="21"/>
  <c r="R230" i="21"/>
  <c r="R231" i="21"/>
  <c r="R232" i="21"/>
  <c r="R233" i="21"/>
  <c r="R234" i="21"/>
  <c r="R235" i="21"/>
  <c r="R236" i="21"/>
  <c r="R237" i="21"/>
  <c r="R238" i="21"/>
  <c r="R239" i="21"/>
  <c r="R240" i="21"/>
  <c r="R241" i="21"/>
  <c r="R242" i="21"/>
  <c r="R243" i="21"/>
  <c r="R244" i="21"/>
  <c r="R245" i="21"/>
  <c r="R246" i="21"/>
  <c r="R247" i="21"/>
  <c r="R248" i="21"/>
  <c r="R249" i="21"/>
  <c r="R250" i="21"/>
  <c r="R251" i="21"/>
  <c r="R252" i="21"/>
  <c r="R253" i="21"/>
  <c r="R254" i="21"/>
  <c r="R255" i="21"/>
  <c r="R224" i="21"/>
  <c r="R408" i="21" s="1"/>
  <c r="Q274" i="21"/>
  <c r="Y273" i="21"/>
  <c r="X273" i="21"/>
  <c r="U273" i="21"/>
  <c r="T273" i="21"/>
  <c r="Q273" i="21"/>
  <c r="Y272" i="21"/>
  <c r="X272" i="21"/>
  <c r="U272" i="21"/>
  <c r="T272" i="21"/>
  <c r="Q272" i="21"/>
  <c r="Y271" i="21"/>
  <c r="X271" i="21"/>
  <c r="U271" i="21"/>
  <c r="T271" i="21"/>
  <c r="Q271" i="21"/>
  <c r="Y270" i="21"/>
  <c r="X270" i="21"/>
  <c r="U270" i="21"/>
  <c r="T270" i="21"/>
  <c r="Q270" i="21"/>
  <c r="Y269" i="21"/>
  <c r="X269" i="21"/>
  <c r="U269" i="21"/>
  <c r="T269" i="21"/>
  <c r="Q269" i="21"/>
  <c r="Y268" i="21"/>
  <c r="X268" i="21"/>
  <c r="U268" i="21"/>
  <c r="T268" i="21"/>
  <c r="Q268" i="21"/>
  <c r="Y267" i="21"/>
  <c r="X267" i="21"/>
  <c r="U267" i="21"/>
  <c r="T267" i="21"/>
  <c r="Q267" i="21"/>
  <c r="Y266" i="21"/>
  <c r="X266" i="21"/>
  <c r="U266" i="21"/>
  <c r="T266" i="21"/>
  <c r="Q266" i="21"/>
  <c r="Y265" i="21"/>
  <c r="X265" i="21"/>
  <c r="U265" i="21"/>
  <c r="T265" i="21"/>
  <c r="Q265" i="21"/>
  <c r="Y264" i="21"/>
  <c r="X264" i="21"/>
  <c r="U264" i="21"/>
  <c r="T264" i="21"/>
  <c r="Q264" i="21"/>
  <c r="Y263" i="21"/>
  <c r="X263" i="21"/>
  <c r="U263" i="21"/>
  <c r="T263" i="21"/>
  <c r="Q263" i="21"/>
  <c r="Y262" i="21"/>
  <c r="X262" i="21"/>
  <c r="U262" i="21"/>
  <c r="T262" i="21"/>
  <c r="Q262" i="21"/>
  <c r="Y261" i="21"/>
  <c r="X261" i="21"/>
  <c r="U261" i="21"/>
  <c r="T261" i="21"/>
  <c r="Q261" i="21"/>
  <c r="Y260" i="21"/>
  <c r="X260" i="21"/>
  <c r="U260" i="21"/>
  <c r="T260" i="21"/>
  <c r="Q260" i="21"/>
  <c r="Y259" i="21"/>
  <c r="X259" i="21"/>
  <c r="U259" i="21"/>
  <c r="T259" i="21"/>
  <c r="Q259" i="21"/>
  <c r="Q256" i="21" s="1"/>
  <c r="Y258" i="21"/>
  <c r="X258" i="21"/>
  <c r="U258" i="21"/>
  <c r="T258" i="21"/>
  <c r="Q258" i="21"/>
  <c r="Y257" i="21"/>
  <c r="X257" i="21"/>
  <c r="U257" i="21"/>
  <c r="AA14" i="20" s="1"/>
  <c r="AA54" i="20" s="1"/>
  <c r="T257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52" i="21"/>
  <c r="T53" i="21"/>
  <c r="T54" i="21"/>
  <c r="T55" i="21"/>
  <c r="T56" i="21"/>
  <c r="T57" i="21"/>
  <c r="T58" i="21"/>
  <c r="T59" i="21"/>
  <c r="T60" i="21"/>
  <c r="T61" i="21"/>
  <c r="T62" i="21"/>
  <c r="T63" i="21"/>
  <c r="T64" i="21"/>
  <c r="T65" i="21"/>
  <c r="T37" i="21"/>
  <c r="T402" i="21" s="1"/>
  <c r="T67" i="21"/>
  <c r="T68" i="21"/>
  <c r="T69" i="21"/>
  <c r="T70" i="21"/>
  <c r="T71" i="21"/>
  <c r="T72" i="21"/>
  <c r="T73" i="21"/>
  <c r="T74" i="21"/>
  <c r="T75" i="21"/>
  <c r="T76" i="21"/>
  <c r="T77" i="21"/>
  <c r="T78" i="21"/>
  <c r="T79" i="21"/>
  <c r="T80" i="21"/>
  <c r="T81" i="21"/>
  <c r="T82" i="21"/>
  <c r="T83" i="21"/>
  <c r="T84" i="21"/>
  <c r="T85" i="21"/>
  <c r="T86" i="21"/>
  <c r="T87" i="21"/>
  <c r="T88" i="21"/>
  <c r="T89" i="21"/>
  <c r="T90" i="21"/>
  <c r="T91" i="21"/>
  <c r="T92" i="21"/>
  <c r="T93" i="21"/>
  <c r="T94" i="21"/>
  <c r="T95" i="21"/>
  <c r="T96" i="21"/>
  <c r="T97" i="21"/>
  <c r="T99" i="21"/>
  <c r="T100" i="21"/>
  <c r="T101" i="21"/>
  <c r="T102" i="21"/>
  <c r="T103" i="21"/>
  <c r="T104" i="21"/>
  <c r="T105" i="21"/>
  <c r="T106" i="21"/>
  <c r="T107" i="21"/>
  <c r="T108" i="21"/>
  <c r="T109" i="21"/>
  <c r="T110" i="21"/>
  <c r="T111" i="21"/>
  <c r="T112" i="21"/>
  <c r="T113" i="21"/>
  <c r="T114" i="21"/>
  <c r="T115" i="21"/>
  <c r="T116" i="21"/>
  <c r="T117" i="21"/>
  <c r="T118" i="21"/>
  <c r="T119" i="21"/>
  <c r="T120" i="21"/>
  <c r="T121" i="21"/>
  <c r="T122" i="21"/>
  <c r="T123" i="21"/>
  <c r="T124" i="21"/>
  <c r="T125" i="21"/>
  <c r="T126" i="21"/>
  <c r="T127" i="21"/>
  <c r="T128" i="21"/>
  <c r="T130" i="21"/>
  <c r="T131" i="21"/>
  <c r="T129" i="21" s="1"/>
  <c r="T405" i="21" s="1"/>
  <c r="T132" i="21"/>
  <c r="T133" i="21"/>
  <c r="T134" i="21"/>
  <c r="T135" i="21"/>
  <c r="T136" i="21"/>
  <c r="T137" i="21"/>
  <c r="T138" i="21"/>
  <c r="T139" i="21"/>
  <c r="T140" i="21"/>
  <c r="T141" i="21"/>
  <c r="T142" i="21"/>
  <c r="T143" i="21"/>
  <c r="T144" i="21"/>
  <c r="T145" i="21"/>
  <c r="T146" i="21"/>
  <c r="T147" i="21"/>
  <c r="T148" i="21"/>
  <c r="T149" i="21"/>
  <c r="T150" i="21"/>
  <c r="T151" i="21"/>
  <c r="T152" i="21"/>
  <c r="T153" i="21"/>
  <c r="T154" i="21"/>
  <c r="T155" i="21"/>
  <c r="T156" i="21"/>
  <c r="T157" i="21"/>
  <c r="T158" i="21"/>
  <c r="T159" i="21"/>
  <c r="T160" i="21"/>
  <c r="T162" i="21"/>
  <c r="T161" i="21" s="1"/>
  <c r="T406" i="21" s="1"/>
  <c r="T163" i="21"/>
  <c r="T164" i="21"/>
  <c r="T165" i="21"/>
  <c r="T166" i="21"/>
  <c r="T167" i="21"/>
  <c r="T168" i="21"/>
  <c r="T169" i="21"/>
  <c r="T170" i="21"/>
  <c r="T171" i="21"/>
  <c r="T172" i="21"/>
  <c r="T173" i="21"/>
  <c r="T174" i="21"/>
  <c r="T175" i="21"/>
  <c r="T176" i="21"/>
  <c r="T177" i="21"/>
  <c r="T178" i="21"/>
  <c r="T179" i="21"/>
  <c r="T180" i="21"/>
  <c r="T181" i="21"/>
  <c r="T182" i="21"/>
  <c r="T183" i="21"/>
  <c r="T184" i="21"/>
  <c r="T185" i="21"/>
  <c r="T186" i="21"/>
  <c r="T187" i="21"/>
  <c r="T188" i="21"/>
  <c r="T189" i="21"/>
  <c r="T190" i="21"/>
  <c r="T191" i="21"/>
  <c r="T193" i="21"/>
  <c r="T194" i="21"/>
  <c r="T195" i="21"/>
  <c r="T196" i="21"/>
  <c r="T197" i="21"/>
  <c r="T198" i="21"/>
  <c r="T199" i="21"/>
  <c r="T200" i="21"/>
  <c r="T201" i="21"/>
  <c r="T202" i="21"/>
  <c r="T203" i="21"/>
  <c r="T204" i="21"/>
  <c r="T205" i="21"/>
  <c r="T206" i="21"/>
  <c r="T207" i="21"/>
  <c r="T208" i="21"/>
  <c r="T209" i="21"/>
  <c r="T210" i="21"/>
  <c r="T211" i="21"/>
  <c r="T212" i="21"/>
  <c r="T213" i="21"/>
  <c r="T214" i="21"/>
  <c r="T215" i="21"/>
  <c r="T216" i="21"/>
  <c r="T217" i="21"/>
  <c r="T218" i="21"/>
  <c r="T219" i="21"/>
  <c r="T220" i="21"/>
  <c r="T221" i="21"/>
  <c r="T222" i="21"/>
  <c r="T223" i="21"/>
  <c r="T225" i="21"/>
  <c r="T226" i="21"/>
  <c r="T224" i="21" s="1"/>
  <c r="T408" i="21" s="1"/>
  <c r="T227" i="21"/>
  <c r="T228" i="21"/>
  <c r="T229" i="21"/>
  <c r="T230" i="21"/>
  <c r="T231" i="21"/>
  <c r="T232" i="21"/>
  <c r="T233" i="21"/>
  <c r="T234" i="21"/>
  <c r="T235" i="21"/>
  <c r="T236" i="21"/>
  <c r="T237" i="21"/>
  <c r="T238" i="21"/>
  <c r="T239" i="21"/>
  <c r="T240" i="21"/>
  <c r="T241" i="21"/>
  <c r="T242" i="21"/>
  <c r="T243" i="21"/>
  <c r="T244" i="21"/>
  <c r="T245" i="21"/>
  <c r="T246" i="21"/>
  <c r="T247" i="21"/>
  <c r="T248" i="21"/>
  <c r="T249" i="21"/>
  <c r="T250" i="21"/>
  <c r="T251" i="21"/>
  <c r="T252" i="21"/>
  <c r="T253" i="21"/>
  <c r="T254" i="21"/>
  <c r="T255" i="21"/>
  <c r="T319" i="21"/>
  <c r="T411" i="21" s="1"/>
  <c r="Q257" i="21"/>
  <c r="O256" i="21"/>
  <c r="N256" i="21"/>
  <c r="O393" i="21" s="1"/>
  <c r="N5" i="21"/>
  <c r="O385" i="21" s="1"/>
  <c r="N37" i="21"/>
  <c r="O386" i="21" s="1"/>
  <c r="N66" i="21"/>
  <c r="O387" i="21" s="1"/>
  <c r="N98" i="21"/>
  <c r="O388" i="21" s="1"/>
  <c r="N129" i="21"/>
  <c r="O389" i="21" s="1"/>
  <c r="N161" i="21"/>
  <c r="O390" i="21" s="1"/>
  <c r="N192" i="21"/>
  <c r="O391" i="21" s="1"/>
  <c r="N224" i="21"/>
  <c r="O392" i="21" s="1"/>
  <c r="M409" i="21"/>
  <c r="M5" i="21"/>
  <c r="M401" i="21" s="1"/>
  <c r="M402" i="21"/>
  <c r="M403" i="21"/>
  <c r="M404" i="21"/>
  <c r="M405" i="21"/>
  <c r="M406" i="21"/>
  <c r="M407" i="21"/>
  <c r="M408" i="21"/>
  <c r="L256" i="21"/>
  <c r="M393" i="21" s="1"/>
  <c r="K256" i="21"/>
  <c r="J256" i="21"/>
  <c r="H256" i="21"/>
  <c r="H5" i="21"/>
  <c r="H401" i="21" s="1"/>
  <c r="H37" i="21"/>
  <c r="H402" i="21" s="1"/>
  <c r="H66" i="21"/>
  <c r="H403" i="21" s="1"/>
  <c r="H98" i="21"/>
  <c r="H404" i="21" s="1"/>
  <c r="H129" i="21"/>
  <c r="H405" i="21" s="1"/>
  <c r="H161" i="21"/>
  <c r="H406" i="21" s="1"/>
  <c r="H192" i="21"/>
  <c r="H407" i="21" s="1"/>
  <c r="H224" i="21"/>
  <c r="H408" i="21" s="1"/>
  <c r="G256" i="21"/>
  <c r="H393" i="21" s="1"/>
  <c r="H397" i="21" s="1"/>
  <c r="F256" i="21"/>
  <c r="F409" i="21" s="1"/>
  <c r="E256" i="21"/>
  <c r="F393" i="21" s="1"/>
  <c r="E5" i="21"/>
  <c r="F385" i="21"/>
  <c r="E37" i="21"/>
  <c r="F386" i="21"/>
  <c r="E66" i="21"/>
  <c r="F387" i="21"/>
  <c r="E98" i="21"/>
  <c r="F388" i="21"/>
  <c r="E129" i="21"/>
  <c r="F389" i="21"/>
  <c r="E161" i="21"/>
  <c r="F390" i="21"/>
  <c r="E192" i="21"/>
  <c r="F391" i="21"/>
  <c r="E224" i="21"/>
  <c r="F392" i="21"/>
  <c r="Y255" i="21"/>
  <c r="X255" i="21"/>
  <c r="U255" i="21"/>
  <c r="Q255" i="21"/>
  <c r="Y254" i="21"/>
  <c r="X254" i="21"/>
  <c r="U254" i="21"/>
  <c r="Q254" i="21"/>
  <c r="Y253" i="21"/>
  <c r="X253" i="21"/>
  <c r="U253" i="21"/>
  <c r="Q253" i="21"/>
  <c r="Y252" i="21"/>
  <c r="X252" i="21"/>
  <c r="U252" i="21"/>
  <c r="Q252" i="21"/>
  <c r="Y251" i="21"/>
  <c r="X251" i="21"/>
  <c r="U251" i="21"/>
  <c r="Q251" i="21"/>
  <c r="Y250" i="21"/>
  <c r="X250" i="21"/>
  <c r="U250" i="21"/>
  <c r="Q250" i="21"/>
  <c r="Y249" i="21"/>
  <c r="X249" i="21"/>
  <c r="U249" i="21"/>
  <c r="Q249" i="21"/>
  <c r="Y248" i="21"/>
  <c r="X248" i="21"/>
  <c r="U248" i="21"/>
  <c r="Q248" i="21"/>
  <c r="Y247" i="21"/>
  <c r="X247" i="21"/>
  <c r="U247" i="21"/>
  <c r="Q247" i="21"/>
  <c r="Y246" i="21"/>
  <c r="X246" i="21"/>
  <c r="U246" i="21"/>
  <c r="Q246" i="21"/>
  <c r="Y245" i="21"/>
  <c r="X245" i="21"/>
  <c r="U245" i="21"/>
  <c r="Q245" i="21"/>
  <c r="Y244" i="21"/>
  <c r="X244" i="21"/>
  <c r="U244" i="21"/>
  <c r="Q244" i="21"/>
  <c r="Y243" i="21"/>
  <c r="X243" i="21"/>
  <c r="U243" i="21"/>
  <c r="P73" i="20"/>
  <c r="N73" i="20"/>
  <c r="W73" i="20" s="1"/>
  <c r="R73" i="20"/>
  <c r="Q243" i="21"/>
  <c r="Y242" i="21"/>
  <c r="X242" i="21"/>
  <c r="S73" i="20"/>
  <c r="AB73" i="20" s="1"/>
  <c r="U242" i="21"/>
  <c r="Q242" i="21"/>
  <c r="Y241" i="21"/>
  <c r="X241" i="21"/>
  <c r="U241" i="21"/>
  <c r="Q241" i="21"/>
  <c r="Y240" i="21"/>
  <c r="X240" i="21"/>
  <c r="U240" i="21"/>
  <c r="Q240" i="21"/>
  <c r="Y239" i="21"/>
  <c r="X239" i="21"/>
  <c r="U239" i="21"/>
  <c r="Q239" i="21"/>
  <c r="Y238" i="21"/>
  <c r="X238" i="21"/>
  <c r="U238" i="21"/>
  <c r="Q238" i="21"/>
  <c r="Y237" i="21"/>
  <c r="X237" i="21"/>
  <c r="U237" i="21"/>
  <c r="Q237" i="21"/>
  <c r="Y236" i="21"/>
  <c r="X236" i="21"/>
  <c r="U236" i="21"/>
  <c r="Q236" i="21"/>
  <c r="Y235" i="21"/>
  <c r="X235" i="21"/>
  <c r="U235" i="21"/>
  <c r="T387" i="21"/>
  <c r="T396" i="21"/>
  <c r="Q235" i="21"/>
  <c r="Y234" i="21"/>
  <c r="X234" i="21"/>
  <c r="U234" i="21"/>
  <c r="Q234" i="21"/>
  <c r="Y233" i="21"/>
  <c r="X233" i="21"/>
  <c r="U233" i="21"/>
  <c r="Q233" i="21"/>
  <c r="Y232" i="21"/>
  <c r="X232" i="21"/>
  <c r="U232" i="21"/>
  <c r="Q232" i="21"/>
  <c r="Y231" i="21"/>
  <c r="X231" i="21"/>
  <c r="U231" i="21"/>
  <c r="Q231" i="21"/>
  <c r="Y230" i="21"/>
  <c r="X230" i="21"/>
  <c r="U230" i="21"/>
  <c r="Q230" i="21"/>
  <c r="Y229" i="21"/>
  <c r="X229" i="21"/>
  <c r="U229" i="21"/>
  <c r="Q229" i="21"/>
  <c r="Y228" i="21"/>
  <c r="X228" i="21"/>
  <c r="U228" i="21"/>
  <c r="Q228" i="21"/>
  <c r="Y227" i="21"/>
  <c r="X227" i="21"/>
  <c r="U227" i="21"/>
  <c r="Q227" i="21"/>
  <c r="Y226" i="21"/>
  <c r="X226" i="21"/>
  <c r="U226" i="21"/>
  <c r="Q226" i="21"/>
  <c r="Y225" i="21"/>
  <c r="X225" i="21"/>
  <c r="U225" i="21"/>
  <c r="Q225" i="21"/>
  <c r="O224" i="21"/>
  <c r="O408" i="21" s="1"/>
  <c r="L224" i="21"/>
  <c r="L5" i="21"/>
  <c r="M385" i="21"/>
  <c r="L37" i="21"/>
  <c r="M386" i="21"/>
  <c r="L66" i="21"/>
  <c r="M387" i="21"/>
  <c r="L98" i="21"/>
  <c r="M388" i="21"/>
  <c r="L129" i="21"/>
  <c r="M389" i="21"/>
  <c r="L161" i="21"/>
  <c r="M390" i="21"/>
  <c r="L192" i="21"/>
  <c r="M391" i="21"/>
  <c r="K224" i="21"/>
  <c r="K5" i="21"/>
  <c r="K401" i="21" s="1"/>
  <c r="K37" i="21"/>
  <c r="K402" i="21" s="1"/>
  <c r="K66" i="21"/>
  <c r="K403" i="21" s="1"/>
  <c r="K98" i="21"/>
  <c r="K404" i="21" s="1"/>
  <c r="K129" i="21"/>
  <c r="K405" i="21" s="1"/>
  <c r="K161" i="21"/>
  <c r="K406" i="21" s="1"/>
  <c r="K192" i="21"/>
  <c r="K407" i="21" s="1"/>
  <c r="J224" i="21"/>
  <c r="K392" i="21" s="1"/>
  <c r="J5" i="21"/>
  <c r="K385" i="21" s="1"/>
  <c r="J37" i="21"/>
  <c r="K386" i="21" s="1"/>
  <c r="J66" i="21"/>
  <c r="K387" i="21" s="1"/>
  <c r="J98" i="21"/>
  <c r="K388" i="21" s="1"/>
  <c r="J129" i="21"/>
  <c r="K389" i="21" s="1"/>
  <c r="J161" i="21"/>
  <c r="K390" i="21" s="1"/>
  <c r="J192" i="21"/>
  <c r="K391" i="21" s="1"/>
  <c r="G224" i="21"/>
  <c r="H392" i="21" s="1"/>
  <c r="G5" i="21"/>
  <c r="H385" i="21" s="1"/>
  <c r="G37" i="21"/>
  <c r="H386" i="21" s="1"/>
  <c r="G66" i="21"/>
  <c r="H387" i="21" s="1"/>
  <c r="G98" i="21"/>
  <c r="H388" i="21" s="1"/>
  <c r="G129" i="21"/>
  <c r="H389" i="21" s="1"/>
  <c r="G161" i="21"/>
  <c r="H390" i="21" s="1"/>
  <c r="G192" i="21"/>
  <c r="H391" i="21" s="1"/>
  <c r="F224" i="21"/>
  <c r="F408" i="21" s="1"/>
  <c r="F5" i="21"/>
  <c r="F401" i="21" s="1"/>
  <c r="F37" i="21"/>
  <c r="F402" i="21" s="1"/>
  <c r="F66" i="21"/>
  <c r="F403" i="21" s="1"/>
  <c r="F98" i="21"/>
  <c r="F404" i="21" s="1"/>
  <c r="F129" i="21"/>
  <c r="F405" i="21" s="1"/>
  <c r="F161" i="21"/>
  <c r="F406" i="21" s="1"/>
  <c r="F192" i="21"/>
  <c r="F407" i="21" s="1"/>
  <c r="Y223" i="21"/>
  <c r="X223" i="21"/>
  <c r="U223" i="21"/>
  <c r="Q223" i="21"/>
  <c r="Y222" i="21"/>
  <c r="X222" i="21"/>
  <c r="U222" i="21"/>
  <c r="Q222" i="21"/>
  <c r="Y221" i="21"/>
  <c r="X221" i="21"/>
  <c r="U221" i="21"/>
  <c r="Q221" i="21"/>
  <c r="Y220" i="21"/>
  <c r="X220" i="21"/>
  <c r="U220" i="21"/>
  <c r="Q220" i="21"/>
  <c r="Y219" i="21"/>
  <c r="X219" i="21"/>
  <c r="U219" i="21"/>
  <c r="Q219" i="21"/>
  <c r="Y218" i="21"/>
  <c r="X218" i="21"/>
  <c r="U218" i="21"/>
  <c r="Q218" i="21"/>
  <c r="Y217" i="21"/>
  <c r="X217" i="21"/>
  <c r="U217" i="21"/>
  <c r="Q217" i="21"/>
  <c r="Y216" i="21"/>
  <c r="X216" i="21"/>
  <c r="U216" i="21"/>
  <c r="Q216" i="21"/>
  <c r="Y215" i="21"/>
  <c r="X215" i="21"/>
  <c r="U215" i="21"/>
  <c r="Q215" i="21"/>
  <c r="Y214" i="21"/>
  <c r="X214" i="21"/>
  <c r="U214" i="21"/>
  <c r="Q214" i="21"/>
  <c r="Y213" i="21"/>
  <c r="X213" i="21"/>
  <c r="U213" i="21"/>
  <c r="Q213" i="21"/>
  <c r="Y212" i="21"/>
  <c r="X212" i="21"/>
  <c r="U212" i="21"/>
  <c r="Q212" i="21"/>
  <c r="Y211" i="21"/>
  <c r="X211" i="21"/>
  <c r="U211" i="21"/>
  <c r="Q211" i="21"/>
  <c r="Y210" i="21"/>
  <c r="X210" i="21"/>
  <c r="U210" i="21"/>
  <c r="Q210" i="21"/>
  <c r="Y209" i="21"/>
  <c r="X209" i="21"/>
  <c r="U209" i="21"/>
  <c r="Q209" i="21"/>
  <c r="Y208" i="21"/>
  <c r="X208" i="21"/>
  <c r="U208" i="21"/>
  <c r="Q208" i="21"/>
  <c r="Y207" i="21"/>
  <c r="X207" i="21"/>
  <c r="U207" i="21"/>
  <c r="Q207" i="21"/>
  <c r="Y206" i="21"/>
  <c r="X206" i="21"/>
  <c r="U206" i="21"/>
  <c r="Q206" i="21"/>
  <c r="Y205" i="21"/>
  <c r="X205" i="21"/>
  <c r="U205" i="21"/>
  <c r="Q205" i="21"/>
  <c r="Y204" i="21"/>
  <c r="X204" i="21"/>
  <c r="U204" i="21"/>
  <c r="Q204" i="21"/>
  <c r="Y203" i="21"/>
  <c r="X203" i="21"/>
  <c r="U203" i="21"/>
  <c r="Q203" i="21"/>
  <c r="Y202" i="21"/>
  <c r="X202" i="21"/>
  <c r="U202" i="21"/>
  <c r="Q202" i="21"/>
  <c r="Y201" i="21"/>
  <c r="X201" i="21"/>
  <c r="U201" i="21"/>
  <c r="Q201" i="21"/>
  <c r="Y200" i="21"/>
  <c r="X200" i="21"/>
  <c r="U200" i="21"/>
  <c r="Q200" i="21"/>
  <c r="Y199" i="21"/>
  <c r="X199" i="21"/>
  <c r="U199" i="21"/>
  <c r="Q199" i="21"/>
  <c r="Y198" i="21"/>
  <c r="X198" i="21"/>
  <c r="U198" i="21"/>
  <c r="Q198" i="21"/>
  <c r="Y197" i="21"/>
  <c r="X197" i="21"/>
  <c r="U197" i="21"/>
  <c r="Q197" i="21"/>
  <c r="Y196" i="21"/>
  <c r="X196" i="21"/>
  <c r="U196" i="21"/>
  <c r="Q196" i="21"/>
  <c r="Y195" i="21"/>
  <c r="X195" i="21"/>
  <c r="U195" i="21"/>
  <c r="Q195" i="21"/>
  <c r="Y194" i="21"/>
  <c r="X194" i="21"/>
  <c r="U194" i="21"/>
  <c r="Q194" i="21"/>
  <c r="Y193" i="21"/>
  <c r="X193" i="21"/>
  <c r="U193" i="21"/>
  <c r="Q193" i="21"/>
  <c r="O192" i="21"/>
  <c r="O407" i="21" s="1"/>
  <c r="Y191" i="21"/>
  <c r="X191" i="21"/>
  <c r="U191" i="21"/>
  <c r="Q191" i="21"/>
  <c r="Y190" i="21"/>
  <c r="X190" i="21"/>
  <c r="U190" i="21"/>
  <c r="Q190" i="21"/>
  <c r="Y189" i="21"/>
  <c r="X189" i="21"/>
  <c r="U189" i="21"/>
  <c r="Q189" i="21"/>
  <c r="Y188" i="21"/>
  <c r="X188" i="21"/>
  <c r="U188" i="21"/>
  <c r="Q188" i="21"/>
  <c r="Y187" i="21"/>
  <c r="X187" i="21"/>
  <c r="U187" i="21"/>
  <c r="Q187" i="21"/>
  <c r="Y186" i="21"/>
  <c r="X186" i="21"/>
  <c r="U186" i="21"/>
  <c r="Q186" i="21"/>
  <c r="Y185" i="21"/>
  <c r="X185" i="21"/>
  <c r="U185" i="21"/>
  <c r="Q185" i="21"/>
  <c r="Y184" i="21"/>
  <c r="X184" i="21"/>
  <c r="U184" i="21"/>
  <c r="Q184" i="21"/>
  <c r="Y183" i="21"/>
  <c r="X183" i="21"/>
  <c r="U183" i="21"/>
  <c r="Q183" i="21"/>
  <c r="Y182" i="21"/>
  <c r="X182" i="21"/>
  <c r="U182" i="21"/>
  <c r="Q182" i="21"/>
  <c r="Y181" i="21"/>
  <c r="X181" i="21"/>
  <c r="U181" i="21"/>
  <c r="Q181" i="21"/>
  <c r="Y180" i="21"/>
  <c r="X180" i="21"/>
  <c r="U180" i="21"/>
  <c r="Q180" i="21"/>
  <c r="Y179" i="21"/>
  <c r="X179" i="21"/>
  <c r="U179" i="21"/>
  <c r="Q179" i="21"/>
  <c r="Y178" i="21"/>
  <c r="X178" i="21"/>
  <c r="U178" i="21"/>
  <c r="Q178" i="21"/>
  <c r="Y177" i="21"/>
  <c r="X177" i="21"/>
  <c r="U177" i="21"/>
  <c r="U162" i="21"/>
  <c r="U163" i="21"/>
  <c r="U164" i="21"/>
  <c r="U16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6" i="21"/>
  <c r="U167" i="21"/>
  <c r="U168" i="21"/>
  <c r="U169" i="21"/>
  <c r="U170" i="21"/>
  <c r="U171" i="21"/>
  <c r="U172" i="21"/>
  <c r="U173" i="21"/>
  <c r="U174" i="21"/>
  <c r="U175" i="21"/>
  <c r="U176" i="21"/>
  <c r="R71" i="20"/>
  <c r="AA71" i="20"/>
  <c r="Q177" i="21"/>
  <c r="Q162" i="21"/>
  <c r="Q163" i="21"/>
  <c r="Q164" i="21"/>
  <c r="Q16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6" i="21"/>
  <c r="Q167" i="21"/>
  <c r="Q168" i="21"/>
  <c r="Q169" i="21"/>
  <c r="Q170" i="21"/>
  <c r="Q171" i="21"/>
  <c r="Q172" i="21"/>
  <c r="Q173" i="21"/>
  <c r="Q174" i="21"/>
  <c r="Q175" i="21"/>
  <c r="Q176" i="21"/>
  <c r="Y176" i="21"/>
  <c r="X176" i="21"/>
  <c r="Y175" i="21"/>
  <c r="X175" i="21"/>
  <c r="Y174" i="21"/>
  <c r="X174" i="21"/>
  <c r="Y173" i="21"/>
  <c r="X173" i="21"/>
  <c r="Y172" i="21"/>
  <c r="X172" i="21"/>
  <c r="S71" i="20"/>
  <c r="AB71" i="20" s="1"/>
  <c r="Y171" i="21"/>
  <c r="X171" i="21"/>
  <c r="Y170" i="21"/>
  <c r="X170" i="21"/>
  <c r="Y169" i="21"/>
  <c r="X169" i="21"/>
  <c r="Y168" i="21"/>
  <c r="X168" i="21"/>
  <c r="Y167" i="21"/>
  <c r="X167" i="21"/>
  <c r="Y166" i="21"/>
  <c r="X166" i="21"/>
  <c r="Y165" i="21"/>
  <c r="X165" i="21"/>
  <c r="N71" i="20"/>
  <c r="W71" i="20" s="1"/>
  <c r="Y164" i="21"/>
  <c r="X164" i="21"/>
  <c r="Y163" i="21"/>
  <c r="X163" i="21"/>
  <c r="Y162" i="21"/>
  <c r="X162" i="21"/>
  <c r="Q71" i="20"/>
  <c r="Z71" i="20" s="1"/>
  <c r="O71" i="20"/>
  <c r="X71" i="20" s="1"/>
  <c r="V71" i="20"/>
  <c r="O161" i="21"/>
  <c r="O406" i="21"/>
  <c r="O5" i="21"/>
  <c r="O401" i="21"/>
  <c r="O37" i="21"/>
  <c r="O402" i="21"/>
  <c r="O66" i="21"/>
  <c r="O403" i="21"/>
  <c r="O98" i="21"/>
  <c r="O404" i="21"/>
  <c r="O129" i="21"/>
  <c r="O405" i="21"/>
  <c r="Y160" i="21"/>
  <c r="X160" i="21"/>
  <c r="Y159" i="21"/>
  <c r="X159" i="21"/>
  <c r="Y158" i="21"/>
  <c r="X158" i="21"/>
  <c r="Y157" i="21"/>
  <c r="X157" i="21"/>
  <c r="Y156" i="21"/>
  <c r="X156" i="21"/>
  <c r="Y155" i="21"/>
  <c r="X155" i="21"/>
  <c r="Y154" i="21"/>
  <c r="X154" i="21"/>
  <c r="Y153" i="21"/>
  <c r="X153" i="21"/>
  <c r="Y152" i="21"/>
  <c r="X152" i="21"/>
  <c r="Y151" i="21"/>
  <c r="X151" i="21"/>
  <c r="Y150" i="21"/>
  <c r="X150" i="21"/>
  <c r="Y149" i="21"/>
  <c r="X149" i="21"/>
  <c r="Y148" i="21"/>
  <c r="X148" i="21"/>
  <c r="Y147" i="21"/>
  <c r="X147" i="21"/>
  <c r="Y146" i="21"/>
  <c r="X146" i="21"/>
  <c r="Y145" i="21"/>
  <c r="X145" i="21"/>
  <c r="Y144" i="21"/>
  <c r="X144" i="21"/>
  <c r="Y143" i="21"/>
  <c r="X143" i="21"/>
  <c r="Y142" i="21"/>
  <c r="X142" i="21"/>
  <c r="Y141" i="21"/>
  <c r="X141" i="21"/>
  <c r="Y140" i="21"/>
  <c r="X140" i="21"/>
  <c r="Y139" i="21"/>
  <c r="X139" i="21"/>
  <c r="Y138" i="21"/>
  <c r="X138" i="21"/>
  <c r="Y137" i="21"/>
  <c r="X137" i="21"/>
  <c r="Y136" i="21"/>
  <c r="X136" i="21"/>
  <c r="Y135" i="21"/>
  <c r="X135" i="21"/>
  <c r="Y134" i="21"/>
  <c r="X134" i="21"/>
  <c r="Y133" i="21"/>
  <c r="X133" i="21"/>
  <c r="Y132" i="21"/>
  <c r="X132" i="21"/>
  <c r="Y131" i="21"/>
  <c r="X131" i="21"/>
  <c r="Y130" i="21"/>
  <c r="X130" i="21"/>
  <c r="Y128" i="21"/>
  <c r="X128" i="21"/>
  <c r="Y127" i="21"/>
  <c r="X127" i="21"/>
  <c r="Y126" i="21"/>
  <c r="X126" i="21"/>
  <c r="Y125" i="21"/>
  <c r="X125" i="21"/>
  <c r="Y124" i="21"/>
  <c r="X124" i="21"/>
  <c r="Y123" i="21"/>
  <c r="X123" i="21"/>
  <c r="Y122" i="21"/>
  <c r="X122" i="21"/>
  <c r="Y121" i="21"/>
  <c r="X121" i="21"/>
  <c r="Y120" i="21"/>
  <c r="X120" i="21"/>
  <c r="Y119" i="21"/>
  <c r="X119" i="21"/>
  <c r="Y118" i="21"/>
  <c r="X118" i="21"/>
  <c r="Y117" i="21"/>
  <c r="X117" i="21"/>
  <c r="Y116" i="21"/>
  <c r="X116" i="21"/>
  <c r="Y115" i="21"/>
  <c r="X115" i="21"/>
  <c r="Y114" i="21"/>
  <c r="X114" i="21"/>
  <c r="Y113" i="21"/>
  <c r="X113" i="21"/>
  <c r="Y112" i="21"/>
  <c r="X112" i="21"/>
  <c r="Y111" i="21"/>
  <c r="X111" i="21"/>
  <c r="Y110" i="21"/>
  <c r="X110" i="21"/>
  <c r="Y109" i="21"/>
  <c r="X109" i="21"/>
  <c r="Y108" i="21"/>
  <c r="X108" i="21"/>
  <c r="Y107" i="21"/>
  <c r="X107" i="21"/>
  <c r="Y106" i="21"/>
  <c r="X106" i="21"/>
  <c r="Y105" i="21"/>
  <c r="X105" i="21"/>
  <c r="Y104" i="21"/>
  <c r="X104" i="21"/>
  <c r="Y103" i="21"/>
  <c r="X103" i="21"/>
  <c r="Y102" i="21"/>
  <c r="X102" i="21"/>
  <c r="Y101" i="21"/>
  <c r="X101" i="21"/>
  <c r="Y100" i="21"/>
  <c r="X100" i="21"/>
  <c r="Y99" i="21"/>
  <c r="X99" i="21"/>
  <c r="Y97" i="21"/>
  <c r="X97" i="21"/>
  <c r="Y96" i="21"/>
  <c r="X96" i="21"/>
  <c r="Y95" i="21"/>
  <c r="X95" i="21"/>
  <c r="Y94" i="21"/>
  <c r="X94" i="21"/>
  <c r="Y93" i="21"/>
  <c r="X93" i="21"/>
  <c r="Y92" i="21"/>
  <c r="X92" i="21"/>
  <c r="Y91" i="21"/>
  <c r="X91" i="21"/>
  <c r="Y90" i="21"/>
  <c r="X90" i="21"/>
  <c r="Y89" i="21"/>
  <c r="X89" i="21"/>
  <c r="Y88" i="21"/>
  <c r="X88" i="21"/>
  <c r="Y87" i="21"/>
  <c r="X87" i="21"/>
  <c r="Y86" i="21"/>
  <c r="X86" i="21"/>
  <c r="Y85" i="21"/>
  <c r="X85" i="21"/>
  <c r="Y84" i="21"/>
  <c r="X84" i="21"/>
  <c r="Y83" i="21"/>
  <c r="X83" i="21"/>
  <c r="Y82" i="21"/>
  <c r="X82" i="21"/>
  <c r="Y81" i="21"/>
  <c r="X81" i="21"/>
  <c r="Y80" i="21"/>
  <c r="X80" i="21"/>
  <c r="Y79" i="21"/>
  <c r="X79" i="21"/>
  <c r="Y78" i="21"/>
  <c r="X78" i="21"/>
  <c r="Y77" i="21"/>
  <c r="X77" i="21"/>
  <c r="Y76" i="21"/>
  <c r="X76" i="21"/>
  <c r="Y75" i="21"/>
  <c r="X75" i="21"/>
  <c r="Y74" i="21"/>
  <c r="X74" i="21"/>
  <c r="Y73" i="21"/>
  <c r="X73" i="21"/>
  <c r="Y72" i="21"/>
  <c r="X72" i="21"/>
  <c r="Y71" i="21"/>
  <c r="X71" i="21"/>
  <c r="Y70" i="21"/>
  <c r="X70" i="21"/>
  <c r="Y69" i="21"/>
  <c r="X69" i="21"/>
  <c r="Y68" i="21"/>
  <c r="X68" i="21"/>
  <c r="Y67" i="21"/>
  <c r="X67" i="21"/>
  <c r="Y65" i="21"/>
  <c r="X65" i="21"/>
  <c r="Y64" i="21"/>
  <c r="X64" i="21"/>
  <c r="Y63" i="21"/>
  <c r="X63" i="21"/>
  <c r="Y62" i="21"/>
  <c r="X62" i="21"/>
  <c r="Y61" i="21"/>
  <c r="X61" i="21"/>
  <c r="Y60" i="21"/>
  <c r="X60" i="21"/>
  <c r="Y59" i="21"/>
  <c r="X59" i="21"/>
  <c r="Y58" i="21"/>
  <c r="X58" i="21"/>
  <c r="Y57" i="21"/>
  <c r="X57" i="21"/>
  <c r="Y56" i="21"/>
  <c r="X56" i="21"/>
  <c r="Y55" i="21"/>
  <c r="X55" i="21"/>
  <c r="Y54" i="21"/>
  <c r="X54" i="21"/>
  <c r="Y53" i="21"/>
  <c r="X53" i="21"/>
  <c r="Y52" i="21"/>
  <c r="X52" i="21"/>
  <c r="Y51" i="21"/>
  <c r="X51" i="21"/>
  <c r="Y50" i="21"/>
  <c r="X50" i="21"/>
  <c r="Y49" i="21"/>
  <c r="X49" i="21"/>
  <c r="Y48" i="21"/>
  <c r="X48" i="21"/>
  <c r="Y47" i="21"/>
  <c r="X47" i="21"/>
  <c r="Y46" i="21"/>
  <c r="X46" i="21"/>
  <c r="Y45" i="21"/>
  <c r="X45" i="21"/>
  <c r="Y44" i="21"/>
  <c r="X44" i="21"/>
  <c r="Y43" i="21"/>
  <c r="X43" i="21"/>
  <c r="Y42" i="21"/>
  <c r="X42" i="21"/>
  <c r="Y41" i="21"/>
  <c r="X41" i="21"/>
  <c r="Y40" i="21"/>
  <c r="X40" i="21"/>
  <c r="Y39" i="21"/>
  <c r="X39" i="21"/>
  <c r="Y38" i="21"/>
  <c r="X38" i="21"/>
  <c r="Y36" i="21"/>
  <c r="X36" i="21"/>
  <c r="Y35" i="21"/>
  <c r="X35" i="21"/>
  <c r="Y34" i="21"/>
  <c r="X34" i="21"/>
  <c r="Y33" i="21"/>
  <c r="X33" i="21"/>
  <c r="Y32" i="21"/>
  <c r="X32" i="21"/>
  <c r="Y31" i="21"/>
  <c r="X31" i="21"/>
  <c r="Y30" i="21"/>
  <c r="X30" i="21"/>
  <c r="Y29" i="21"/>
  <c r="X29" i="21"/>
  <c r="Y28" i="21"/>
  <c r="X28" i="21"/>
  <c r="Y27" i="21"/>
  <c r="X27" i="21"/>
  <c r="Y26" i="21"/>
  <c r="X26" i="21"/>
  <c r="Y25" i="21"/>
  <c r="X25" i="21"/>
  <c r="Y24" i="21"/>
  <c r="X24" i="21"/>
  <c r="Y23" i="21"/>
  <c r="X23" i="21"/>
  <c r="Y22" i="21"/>
  <c r="X22" i="21"/>
  <c r="Y21" i="21"/>
  <c r="X21" i="21"/>
  <c r="Y20" i="21"/>
  <c r="X20" i="21"/>
  <c r="Y19" i="21"/>
  <c r="X19" i="21"/>
  <c r="Y18" i="21"/>
  <c r="X18" i="21"/>
  <c r="Y17" i="21"/>
  <c r="X17" i="21"/>
  <c r="Y16" i="21"/>
  <c r="X16" i="21"/>
  <c r="Y15" i="21"/>
  <c r="X15" i="21"/>
  <c r="Y14" i="21"/>
  <c r="X14" i="21"/>
  <c r="Y13" i="21"/>
  <c r="X13" i="21"/>
  <c r="Y12" i="21"/>
  <c r="X12" i="21"/>
  <c r="Y11" i="21"/>
  <c r="X11" i="21"/>
  <c r="Y10" i="21"/>
  <c r="X10" i="21"/>
  <c r="Y9" i="21"/>
  <c r="X9" i="21"/>
  <c r="Y8" i="21"/>
  <c r="X8" i="21"/>
  <c r="Y7" i="21"/>
  <c r="X7" i="21"/>
  <c r="Y6" i="21"/>
  <c r="X6" i="21"/>
  <c r="J82" i="20"/>
  <c r="I82" i="20"/>
  <c r="H82" i="20"/>
  <c r="G82" i="20"/>
  <c r="F82" i="20"/>
  <c r="E82" i="20"/>
  <c r="J81" i="20"/>
  <c r="I81" i="20"/>
  <c r="H81" i="20"/>
  <c r="G81" i="20"/>
  <c r="F81" i="20"/>
  <c r="E81" i="20"/>
  <c r="P69" i="20"/>
  <c r="P70" i="20"/>
  <c r="Y70" i="20" s="1"/>
  <c r="Y69" i="20"/>
  <c r="P71" i="20"/>
  <c r="Y71" i="20"/>
  <c r="J80" i="20"/>
  <c r="I80" i="20"/>
  <c r="H80" i="20"/>
  <c r="G80" i="20"/>
  <c r="F80" i="20"/>
  <c r="E80" i="20"/>
  <c r="Q66" i="20"/>
  <c r="Z66" i="20" s="1"/>
  <c r="Q67" i="20"/>
  <c r="Q68" i="20"/>
  <c r="Z68" i="20"/>
  <c r="J79" i="20"/>
  <c r="I79" i="20"/>
  <c r="H79" i="20"/>
  <c r="G79" i="20"/>
  <c r="F79" i="20"/>
  <c r="E79" i="20"/>
  <c r="D66" i="20"/>
  <c r="D67" i="20"/>
  <c r="D68" i="20"/>
  <c r="S77" i="20"/>
  <c r="AB77" i="20" s="1"/>
  <c r="R77" i="20"/>
  <c r="AA77" i="20" s="1"/>
  <c r="Q77" i="20"/>
  <c r="Z77" i="20" s="1"/>
  <c r="P77" i="20"/>
  <c r="Y77" i="20" s="1"/>
  <c r="P75" i="20"/>
  <c r="L75" i="20" s="1"/>
  <c r="N75" i="20"/>
  <c r="R75" i="20"/>
  <c r="AA75" i="20" s="1"/>
  <c r="P76" i="20"/>
  <c r="Y76" i="20" s="1"/>
  <c r="O77" i="20"/>
  <c r="X77" i="20" s="1"/>
  <c r="V77" i="20"/>
  <c r="O75" i="20"/>
  <c r="X75" i="20"/>
  <c r="Q75" i="20"/>
  <c r="Z75" i="20"/>
  <c r="S75" i="20"/>
  <c r="AB75" i="20"/>
  <c r="O76" i="20"/>
  <c r="X76" i="20" s="1"/>
  <c r="Q76" i="20"/>
  <c r="Z76" i="20" s="1"/>
  <c r="V76" i="20" s="1"/>
  <c r="S76" i="20"/>
  <c r="AB76" i="20" s="1"/>
  <c r="N77" i="20"/>
  <c r="D77" i="20"/>
  <c r="D75" i="20"/>
  <c r="D76" i="20"/>
  <c r="C77" i="20"/>
  <c r="C75" i="20"/>
  <c r="C82" i="20" s="1"/>
  <c r="C76" i="20"/>
  <c r="N76" i="20"/>
  <c r="W76" i="20" s="1"/>
  <c r="R76" i="20"/>
  <c r="AA76" i="20" s="1"/>
  <c r="M75" i="20"/>
  <c r="O74" i="20"/>
  <c r="X74" i="20" s="1"/>
  <c r="S74" i="20"/>
  <c r="AB74" i="20" s="1"/>
  <c r="R74" i="20"/>
  <c r="AA74" i="20" s="1"/>
  <c r="Q74" i="20"/>
  <c r="N74" i="20"/>
  <c r="W74" i="20"/>
  <c r="D74" i="20"/>
  <c r="C74" i="20"/>
  <c r="C81" i="20" s="1"/>
  <c r="Q73" i="20"/>
  <c r="O73" i="20"/>
  <c r="X73" i="20" s="1"/>
  <c r="P72" i="20"/>
  <c r="D73" i="20"/>
  <c r="C73" i="20"/>
  <c r="N72" i="20"/>
  <c r="Y72" i="20"/>
  <c r="R72" i="20"/>
  <c r="AA72" i="20"/>
  <c r="S72" i="20"/>
  <c r="AB72" i="20" s="1"/>
  <c r="Q72" i="20"/>
  <c r="Z72" i="20"/>
  <c r="O72" i="20"/>
  <c r="D72" i="20"/>
  <c r="C72" i="20"/>
  <c r="D71" i="20"/>
  <c r="C71" i="20"/>
  <c r="R70" i="20"/>
  <c r="AA70" i="20"/>
  <c r="O70" i="20"/>
  <c r="X70" i="20"/>
  <c r="S70" i="20"/>
  <c r="AB70" i="20"/>
  <c r="Q70" i="20"/>
  <c r="Z70" i="20"/>
  <c r="Q69" i="20"/>
  <c r="Z69" i="20"/>
  <c r="O69" i="20"/>
  <c r="X69" i="20"/>
  <c r="V69" i="20" s="1"/>
  <c r="S69" i="20"/>
  <c r="AB69" i="20"/>
  <c r="V70" i="20"/>
  <c r="N70" i="20"/>
  <c r="D70" i="20"/>
  <c r="R69" i="20"/>
  <c r="AA69" i="20" s="1"/>
  <c r="N69" i="20"/>
  <c r="D69" i="20"/>
  <c r="N68" i="20"/>
  <c r="N66" i="20"/>
  <c r="N65" i="20" s="1"/>
  <c r="N67" i="20"/>
  <c r="S68" i="20"/>
  <c r="O68" i="20"/>
  <c r="X68" i="20" s="1"/>
  <c r="R68" i="20"/>
  <c r="P68" i="20"/>
  <c r="Y68" i="20"/>
  <c r="S67" i="20"/>
  <c r="AB67" i="20"/>
  <c r="R67" i="20"/>
  <c r="AA67" i="20"/>
  <c r="R66" i="20"/>
  <c r="AA66" i="20"/>
  <c r="P67" i="20"/>
  <c r="Y67" i="20"/>
  <c r="Y79" i="20" s="1"/>
  <c r="O67" i="20"/>
  <c r="W67" i="20"/>
  <c r="O66" i="20"/>
  <c r="X66" i="20" s="1"/>
  <c r="S66" i="20"/>
  <c r="P66" i="20"/>
  <c r="Y66" i="20"/>
  <c r="J65" i="20"/>
  <c r="I65" i="20"/>
  <c r="H65" i="20"/>
  <c r="G65" i="20"/>
  <c r="F65" i="20"/>
  <c r="E65" i="20"/>
  <c r="A2" i="19"/>
  <c r="AG4" i="19" s="1"/>
  <c r="Q403" i="21"/>
  <c r="N402" i="21"/>
  <c r="N410" i="21"/>
  <c r="W75" i="20"/>
  <c r="C79" i="20"/>
  <c r="N404" i="21"/>
  <c r="U404" i="21" s="1"/>
  <c r="N412" i="21"/>
  <c r="N406" i="21"/>
  <c r="U406" i="21" s="1"/>
  <c r="U401" i="21"/>
  <c r="N408" i="21"/>
  <c r="U408" i="21" s="1"/>
  <c r="L392" i="21"/>
  <c r="S392" i="21" s="1"/>
  <c r="S387" i="21"/>
  <c r="Q396" i="21"/>
  <c r="S396" i="21"/>
  <c r="S406" i="21"/>
  <c r="S410" i="21"/>
  <c r="A2" i="4"/>
  <c r="D24" i="10"/>
  <c r="D28" i="10"/>
  <c r="D36" i="10"/>
  <c r="E24" i="10"/>
  <c r="E28" i="10"/>
  <c r="E36" i="10"/>
  <c r="F24" i="10"/>
  <c r="F28" i="10"/>
  <c r="F36" i="10"/>
  <c r="G24" i="10"/>
  <c r="H24" i="10"/>
  <c r="I24" i="10"/>
  <c r="J24" i="10"/>
  <c r="K24" i="10"/>
  <c r="L24" i="10"/>
  <c r="M24" i="10"/>
  <c r="N24" i="10"/>
  <c r="O24" i="10"/>
  <c r="G28" i="10"/>
  <c r="H28" i="10"/>
  <c r="I28" i="10"/>
  <c r="J28" i="10"/>
  <c r="K28" i="10"/>
  <c r="L28" i="10"/>
  <c r="M28" i="10"/>
  <c r="N28" i="10"/>
  <c r="O28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76" i="2"/>
  <c r="AA395" i="3" s="1"/>
  <c r="AA397" i="3" s="1"/>
  <c r="AG77" i="2"/>
  <c r="U75" i="2"/>
  <c r="AF75" i="2"/>
  <c r="Y410" i="3" s="1"/>
  <c r="U76" i="2"/>
  <c r="U77" i="2"/>
  <c r="AF77" i="2" s="1"/>
  <c r="Y412" i="3"/>
  <c r="AE69" i="2"/>
  <c r="Y389" i="3"/>
  <c r="AE75" i="2"/>
  <c r="AE76" i="2"/>
  <c r="AE36" i="2" s="1"/>
  <c r="AE77" i="2"/>
  <c r="AE82" i="2"/>
  <c r="S75" i="2"/>
  <c r="S76" i="2"/>
  <c r="S77" i="2"/>
  <c r="AD77" i="2"/>
  <c r="W412" i="3" s="1"/>
  <c r="AC75" i="2"/>
  <c r="W394" i="3" s="1"/>
  <c r="AC77" i="2"/>
  <c r="V82" i="2"/>
  <c r="T82" i="2"/>
  <c r="R82" i="2"/>
  <c r="P82" i="2"/>
  <c r="N75" i="2"/>
  <c r="N76" i="2"/>
  <c r="N77" i="2"/>
  <c r="L82" i="2"/>
  <c r="K82" i="2"/>
  <c r="J82" i="2"/>
  <c r="I82" i="2"/>
  <c r="H82" i="2"/>
  <c r="G82" i="2"/>
  <c r="F82" i="2"/>
  <c r="E82" i="2"/>
  <c r="D75" i="2"/>
  <c r="D76" i="2"/>
  <c r="D77" i="2"/>
  <c r="C75" i="2"/>
  <c r="C76" i="2"/>
  <c r="C77" i="2"/>
  <c r="W72" i="2"/>
  <c r="AH72" i="2" s="1"/>
  <c r="AA407" i="3"/>
  <c r="W73" i="2"/>
  <c r="W74" i="2"/>
  <c r="R409" i="3" s="1"/>
  <c r="AG72" i="2"/>
  <c r="AA391" i="3" s="1"/>
  <c r="AG73" i="2"/>
  <c r="AA392" i="3" s="1"/>
  <c r="AG74" i="2"/>
  <c r="AA393" i="3" s="1"/>
  <c r="U72" i="2"/>
  <c r="U74" i="2"/>
  <c r="AF74" i="2"/>
  <c r="AE72" i="2"/>
  <c r="AE73" i="2"/>
  <c r="AE74" i="2"/>
  <c r="S72" i="2"/>
  <c r="AD72" i="2" s="1"/>
  <c r="W407" i="3" s="1"/>
  <c r="S73" i="2"/>
  <c r="AD73" i="2"/>
  <c r="W408" i="3" s="1"/>
  <c r="S74" i="2"/>
  <c r="AC72" i="2"/>
  <c r="AC73" i="2"/>
  <c r="W392" i="3" s="1"/>
  <c r="AC74" i="2"/>
  <c r="W393" i="3" s="1"/>
  <c r="U392" i="3"/>
  <c r="V81" i="2"/>
  <c r="T81" i="2"/>
  <c r="R81" i="2"/>
  <c r="P81" i="2"/>
  <c r="N72" i="2"/>
  <c r="N73" i="2"/>
  <c r="N74" i="2"/>
  <c r="L81" i="2"/>
  <c r="K81" i="2"/>
  <c r="J81" i="2"/>
  <c r="I81" i="2"/>
  <c r="H81" i="2"/>
  <c r="G81" i="2"/>
  <c r="F81" i="2"/>
  <c r="E81" i="2"/>
  <c r="D72" i="2"/>
  <c r="D81" i="2" s="1"/>
  <c r="D73" i="2"/>
  <c r="D74" i="2"/>
  <c r="C72" i="2"/>
  <c r="C73" i="2"/>
  <c r="C74" i="2"/>
  <c r="W69" i="2"/>
  <c r="R404" i="3"/>
  <c r="W70" i="2"/>
  <c r="AH70" i="2"/>
  <c r="AA405" i="3" s="1"/>
  <c r="W71" i="2"/>
  <c r="AH71" i="2" s="1"/>
  <c r="AA406" i="3"/>
  <c r="AG70" i="2"/>
  <c r="AA389" i="3"/>
  <c r="U69" i="2"/>
  <c r="U70" i="2"/>
  <c r="AF70" i="2" s="1"/>
  <c r="U71" i="2"/>
  <c r="AF71" i="2" s="1"/>
  <c r="Y406" i="3"/>
  <c r="S69" i="2"/>
  <c r="AD69" i="2"/>
  <c r="W404" i="3" s="1"/>
  <c r="S70" i="2"/>
  <c r="AD70" i="2" s="1"/>
  <c r="W405" i="3"/>
  <c r="S71" i="2"/>
  <c r="Q80" i="2"/>
  <c r="V80" i="2"/>
  <c r="T80" i="2"/>
  <c r="R80" i="2"/>
  <c r="P80" i="2"/>
  <c r="N69" i="2"/>
  <c r="N66" i="2"/>
  <c r="N67" i="2"/>
  <c r="N68" i="2"/>
  <c r="N70" i="2"/>
  <c r="N71" i="2"/>
  <c r="L80" i="2"/>
  <c r="K80" i="2"/>
  <c r="J80" i="2"/>
  <c r="I80" i="2"/>
  <c r="H80" i="2"/>
  <c r="G80" i="2"/>
  <c r="F80" i="2"/>
  <c r="E80" i="2"/>
  <c r="D69" i="2"/>
  <c r="D70" i="2"/>
  <c r="D71" i="2"/>
  <c r="C71" i="2"/>
  <c r="C80" i="2"/>
  <c r="W66" i="2"/>
  <c r="W67" i="2"/>
  <c r="W68" i="2"/>
  <c r="AH68" i="2"/>
  <c r="AA403" i="3" s="1"/>
  <c r="AG66" i="2"/>
  <c r="AA385" i="3" s="1"/>
  <c r="AG67" i="2"/>
  <c r="AG68" i="2"/>
  <c r="AA387" i="3"/>
  <c r="AA388" i="3"/>
  <c r="AA390" i="3"/>
  <c r="AC68" i="2"/>
  <c r="U66" i="2"/>
  <c r="AF66" i="2"/>
  <c r="U67" i="2"/>
  <c r="AF67" i="2"/>
  <c r="U68" i="2"/>
  <c r="AF68" i="2"/>
  <c r="Y403" i="3" s="1"/>
  <c r="AE66" i="2"/>
  <c r="AE67" i="2"/>
  <c r="S66" i="2"/>
  <c r="S67" i="2"/>
  <c r="AD67" i="2"/>
  <c r="W402" i="3" s="1"/>
  <c r="S68" i="2"/>
  <c r="AC66" i="2"/>
  <c r="AC67" i="2"/>
  <c r="W386" i="3" s="1"/>
  <c r="AB65" i="2"/>
  <c r="V79" i="2"/>
  <c r="T79" i="2"/>
  <c r="R79" i="2"/>
  <c r="P79" i="2"/>
  <c r="L79" i="2"/>
  <c r="K79" i="2"/>
  <c r="J79" i="2"/>
  <c r="I79" i="2"/>
  <c r="H79" i="2"/>
  <c r="G79" i="2"/>
  <c r="F79" i="2"/>
  <c r="E79" i="2"/>
  <c r="D66" i="2"/>
  <c r="D67" i="2"/>
  <c r="D68" i="2"/>
  <c r="E37" i="3"/>
  <c r="E66" i="3"/>
  <c r="E98" i="3"/>
  <c r="E129" i="3"/>
  <c r="E161" i="3"/>
  <c r="E192" i="3"/>
  <c r="E224" i="3"/>
  <c r="E256" i="3"/>
  <c r="E287" i="3"/>
  <c r="E319" i="3"/>
  <c r="E350" i="3"/>
  <c r="G161" i="3"/>
  <c r="I161" i="3"/>
  <c r="I37" i="3"/>
  <c r="I66" i="3"/>
  <c r="I98" i="3"/>
  <c r="I129" i="3"/>
  <c r="I192" i="3"/>
  <c r="I224" i="3"/>
  <c r="I256" i="3"/>
  <c r="I287" i="3"/>
  <c r="I319" i="3"/>
  <c r="I350" i="3"/>
  <c r="G287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100" i="16"/>
  <c r="AU99" i="16"/>
  <c r="AU96" i="16"/>
  <c r="AU95" i="16"/>
  <c r="AU92" i="16"/>
  <c r="AU91" i="16"/>
  <c r="BU50" i="16"/>
  <c r="BU68" i="16"/>
  <c r="BU62" i="16"/>
  <c r="BU56" i="16"/>
  <c r="CH66" i="16"/>
  <c r="CH60" i="16"/>
  <c r="CH54" i="16"/>
  <c r="CH48" i="16"/>
  <c r="AT29" i="16"/>
  <c r="AT33" i="16"/>
  <c r="AT76" i="16" s="1"/>
  <c r="AT37" i="16"/>
  <c r="AT77" i="16" s="1"/>
  <c r="AT41" i="16"/>
  <c r="AT78" i="16" s="1"/>
  <c r="AT13" i="16"/>
  <c r="AT52" i="16" s="1"/>
  <c r="AT17" i="16"/>
  <c r="AT21" i="16"/>
  <c r="AT64" i="16"/>
  <c r="AJ9" i="16"/>
  <c r="AJ46" i="16"/>
  <c r="AJ49" i="16" s="1"/>
  <c r="AJ50" i="16"/>
  <c r="AK9" i="16"/>
  <c r="AK46" i="16"/>
  <c r="AK49" i="16" s="1"/>
  <c r="AK50" i="16" s="1"/>
  <c r="AL9" i="16"/>
  <c r="AL46" i="16"/>
  <c r="AL49" i="16" s="1"/>
  <c r="AL50" i="16"/>
  <c r="AL82" i="16" s="1"/>
  <c r="AL29" i="16"/>
  <c r="AL75" i="16"/>
  <c r="AL79" i="16" s="1"/>
  <c r="AM9" i="16"/>
  <c r="AM46" i="16"/>
  <c r="AN9" i="16"/>
  <c r="AN46" i="16"/>
  <c r="AN49" i="16" s="1"/>
  <c r="AN50" i="16"/>
  <c r="AN82" i="16" s="1"/>
  <c r="AN29" i="16"/>
  <c r="AN75" i="16"/>
  <c r="AN13" i="16"/>
  <c r="AN52" i="16" s="1"/>
  <c r="AN55" i="16"/>
  <c r="AN56" i="16" s="1"/>
  <c r="AN33" i="16"/>
  <c r="AN76" i="16" s="1"/>
  <c r="AN17" i="16"/>
  <c r="AN58" i="16" s="1"/>
  <c r="AN61" i="16" s="1"/>
  <c r="AN62" i="16" s="1"/>
  <c r="AN37" i="16"/>
  <c r="AN21" i="16"/>
  <c r="AN64" i="16" s="1"/>
  <c r="AN67" i="16"/>
  <c r="AN68" i="16" s="1"/>
  <c r="AN85" i="16" s="1"/>
  <c r="AN41" i="16"/>
  <c r="AN78" i="16" s="1"/>
  <c r="AO9" i="16"/>
  <c r="AO29" i="16"/>
  <c r="AO75" i="16"/>
  <c r="AP9" i="16"/>
  <c r="AQ9" i="16"/>
  <c r="AR9" i="16"/>
  <c r="AR46" i="16"/>
  <c r="AS9" i="16"/>
  <c r="AS46" i="16"/>
  <c r="AS47" i="16" s="1"/>
  <c r="AT9" i="16"/>
  <c r="AT46" i="16"/>
  <c r="AT70" i="16" s="1"/>
  <c r="AJ13" i="16"/>
  <c r="AK13" i="16"/>
  <c r="AK52" i="16" s="1"/>
  <c r="AK55" i="16" s="1"/>
  <c r="AK56" i="16" s="1"/>
  <c r="AL13" i="16"/>
  <c r="AL52" i="16" s="1"/>
  <c r="AM13" i="16"/>
  <c r="AM52" i="16" s="1"/>
  <c r="AM55" i="16"/>
  <c r="AM56" i="16" s="1"/>
  <c r="AM33" i="16"/>
  <c r="AM76" i="16"/>
  <c r="AO13" i="16"/>
  <c r="AO52" i="16" s="1"/>
  <c r="AO55" i="16"/>
  <c r="AO56" i="16" s="1"/>
  <c r="AO33" i="16"/>
  <c r="AP13" i="16"/>
  <c r="AP52" i="16"/>
  <c r="AP55" i="16" s="1"/>
  <c r="AP56" i="16"/>
  <c r="AP83" i="16" s="1"/>
  <c r="AP33" i="16"/>
  <c r="AP76" i="16"/>
  <c r="AQ13" i="16"/>
  <c r="AQ52" i="16" s="1"/>
  <c r="AQ55" i="16" s="1"/>
  <c r="AQ56" i="16"/>
  <c r="AR13" i="16"/>
  <c r="AR52" i="16" s="1"/>
  <c r="AR55" i="16"/>
  <c r="AR56" i="16" s="1"/>
  <c r="AR83" i="16" s="1"/>
  <c r="AR33" i="16"/>
  <c r="AR76" i="16" s="1"/>
  <c r="AS13" i="16"/>
  <c r="AJ17" i="16"/>
  <c r="AJ58" i="16" s="1"/>
  <c r="AJ61" i="16"/>
  <c r="AJ62" i="16" s="1"/>
  <c r="AJ37" i="16"/>
  <c r="AK17" i="16"/>
  <c r="AK58" i="16"/>
  <c r="AK61" i="16" s="1"/>
  <c r="AK62" i="16"/>
  <c r="AK71" i="16" s="1"/>
  <c r="AL17" i="16"/>
  <c r="AM17" i="16"/>
  <c r="AO17" i="16"/>
  <c r="AO58" i="16"/>
  <c r="AP17" i="16"/>
  <c r="AP58" i="16" s="1"/>
  <c r="AP61" i="16"/>
  <c r="AP62" i="16" s="1"/>
  <c r="AP37" i="16"/>
  <c r="AP77" i="16" s="1"/>
  <c r="AQ17" i="16"/>
  <c r="AQ58" i="16"/>
  <c r="AQ61" i="16" s="1"/>
  <c r="AQ62" i="16" s="1"/>
  <c r="AR17" i="16"/>
  <c r="AS17" i="16"/>
  <c r="AS58" i="16"/>
  <c r="AJ21" i="16"/>
  <c r="AJ64" i="16"/>
  <c r="AJ67" i="16"/>
  <c r="AK21" i="16"/>
  <c r="AL21" i="16"/>
  <c r="AL64" i="16"/>
  <c r="AL67" i="16"/>
  <c r="AL68" i="16" s="1"/>
  <c r="AL85" i="16" s="1"/>
  <c r="AL41" i="16"/>
  <c r="AL78" i="16"/>
  <c r="AM21" i="16"/>
  <c r="AM64" i="16" s="1"/>
  <c r="AO21" i="16"/>
  <c r="AP21" i="16"/>
  <c r="AP64" i="16"/>
  <c r="AP67" i="16" s="1"/>
  <c r="AP68" i="16" s="1"/>
  <c r="AQ21" i="16"/>
  <c r="AQ41" i="16"/>
  <c r="AQ78" i="16"/>
  <c r="AR21" i="16"/>
  <c r="AS21" i="16"/>
  <c r="BB65" i="16"/>
  <c r="BD65" i="16"/>
  <c r="BE65" i="16" s="1"/>
  <c r="BB66" i="16"/>
  <c r="BD66" i="16"/>
  <c r="BE66" i="16" s="1"/>
  <c r="BF66" i="16"/>
  <c r="BG66" i="16" s="1"/>
  <c r="BH66" i="16" s="1"/>
  <c r="BI66" i="16" s="1"/>
  <c r="AJ41" i="16"/>
  <c r="AJ78" i="16"/>
  <c r="AK41" i="16"/>
  <c r="AM41" i="16"/>
  <c r="AM78" i="16"/>
  <c r="AO41" i="16"/>
  <c r="AP41" i="16"/>
  <c r="AP78" i="16"/>
  <c r="AR41" i="16"/>
  <c r="AR78" i="16" s="1"/>
  <c r="AS41" i="16"/>
  <c r="AS78" i="16"/>
  <c r="AT104" i="16"/>
  <c r="AS104" i="16"/>
  <c r="AT103" i="16"/>
  <c r="AS103" i="16"/>
  <c r="BB59" i="16"/>
  <c r="BD59" i="16" s="1"/>
  <c r="BB60" i="16"/>
  <c r="BD60" i="16"/>
  <c r="AK37" i="16"/>
  <c r="AK77" i="16" s="1"/>
  <c r="AL37" i="16"/>
  <c r="AL77" i="16" s="1"/>
  <c r="AM37" i="16"/>
  <c r="AM77" i="16" s="1"/>
  <c r="AO37" i="16"/>
  <c r="AO77" i="16" s="1"/>
  <c r="AQ37" i="16"/>
  <c r="AQ77" i="16" s="1"/>
  <c r="AR37" i="16"/>
  <c r="AR77" i="16" s="1"/>
  <c r="AS37" i="16"/>
  <c r="AS77" i="16" s="1"/>
  <c r="AT100" i="16"/>
  <c r="AS100" i="16"/>
  <c r="AT99" i="16"/>
  <c r="AS99" i="16"/>
  <c r="BB53" i="16"/>
  <c r="BD53" i="16" s="1"/>
  <c r="BE53" i="16" s="1"/>
  <c r="BF53" i="16" s="1"/>
  <c r="BG53" i="16"/>
  <c r="BB54" i="16"/>
  <c r="BD54" i="16"/>
  <c r="BE54" i="16" s="1"/>
  <c r="BF54" i="16" s="1"/>
  <c r="AV32" i="16"/>
  <c r="AJ33" i="16"/>
  <c r="AJ76" i="16"/>
  <c r="AJ29" i="16"/>
  <c r="AJ75" i="16"/>
  <c r="AJ82" i="16" s="1"/>
  <c r="AK33" i="16"/>
  <c r="AK76" i="16"/>
  <c r="AL33" i="16"/>
  <c r="AP29" i="16"/>
  <c r="AQ33" i="16"/>
  <c r="AQ76" i="16" s="1"/>
  <c r="AS33" i="16"/>
  <c r="AS76" i="16"/>
  <c r="AU33" i="16"/>
  <c r="AU76" i="16"/>
  <c r="AT96" i="16"/>
  <c r="AS96" i="16"/>
  <c r="AT95" i="16"/>
  <c r="AS95" i="16"/>
  <c r="BB47" i="16"/>
  <c r="BD47" i="16"/>
  <c r="BE47" i="16" s="1"/>
  <c r="BF47" i="16"/>
  <c r="BB48" i="16"/>
  <c r="BD48" i="16"/>
  <c r="BE48" i="16" s="1"/>
  <c r="BF48" i="16" s="1"/>
  <c r="BG48" i="16" s="1"/>
  <c r="AV28" i="16"/>
  <c r="AK29" i="16"/>
  <c r="AM29" i="16"/>
  <c r="AQ29" i="16"/>
  <c r="AQ75" i="16" s="1"/>
  <c r="AR29" i="16"/>
  <c r="AS29" i="16"/>
  <c r="AS75" i="16"/>
  <c r="AT92" i="16"/>
  <c r="AS92" i="16"/>
  <c r="AT91" i="16"/>
  <c r="AS91" i="16"/>
  <c r="T49" i="16"/>
  <c r="T50" i="16"/>
  <c r="U49" i="16"/>
  <c r="V49" i="16"/>
  <c r="W49" i="16"/>
  <c r="W50" i="16" s="1"/>
  <c r="W82" i="16" s="1"/>
  <c r="X49" i="16"/>
  <c r="X50" i="16" s="1"/>
  <c r="X82" i="16" s="1"/>
  <c r="Y49" i="16"/>
  <c r="Y50" i="16" s="1"/>
  <c r="Z49" i="16"/>
  <c r="Z50" i="16" s="1"/>
  <c r="Z82" i="16" s="1"/>
  <c r="AA49" i="16"/>
  <c r="AA50" i="16"/>
  <c r="AA82" i="16" s="1"/>
  <c r="AB49" i="16"/>
  <c r="AB50" i="16" s="1"/>
  <c r="AC49" i="16"/>
  <c r="AC50" i="16"/>
  <c r="AD49" i="16"/>
  <c r="AD50" i="16" s="1"/>
  <c r="AE49" i="16"/>
  <c r="AE50" i="16" s="1"/>
  <c r="AE82" i="16" s="1"/>
  <c r="AB82" i="16"/>
  <c r="T55" i="16"/>
  <c r="T56" i="16" s="1"/>
  <c r="T83" i="16" s="1"/>
  <c r="U55" i="16"/>
  <c r="V55" i="16"/>
  <c r="V56" i="16"/>
  <c r="V83" i="16" s="1"/>
  <c r="W55" i="16"/>
  <c r="W56" i="16" s="1"/>
  <c r="W71" i="16" s="1"/>
  <c r="X55" i="16"/>
  <c r="X56" i="16"/>
  <c r="X83" i="16" s="1"/>
  <c r="Y55" i="16"/>
  <c r="Y56" i="16"/>
  <c r="Y83" i="16" s="1"/>
  <c r="Z55" i="16"/>
  <c r="Z61" i="16"/>
  <c r="Z62" i="16"/>
  <c r="Z84" i="16" s="1"/>
  <c r="Z67" i="16"/>
  <c r="Z68" i="16" s="1"/>
  <c r="Z85" i="16" s="1"/>
  <c r="AA55" i="16"/>
  <c r="AA56" i="16"/>
  <c r="AA83" i="16" s="1"/>
  <c r="AB55" i="16"/>
  <c r="AB56" i="16" s="1"/>
  <c r="AC55" i="16"/>
  <c r="AC56" i="16" s="1"/>
  <c r="AC83" i="16"/>
  <c r="AD55" i="16"/>
  <c r="AD56" i="16"/>
  <c r="AD83" i="16" s="1"/>
  <c r="AE55" i="16"/>
  <c r="AE56" i="16" s="1"/>
  <c r="T61" i="16"/>
  <c r="U61" i="16"/>
  <c r="U62" i="16"/>
  <c r="U84" i="16" s="1"/>
  <c r="V61" i="16"/>
  <c r="V62" i="16" s="1"/>
  <c r="W61" i="16"/>
  <c r="W62" i="16" s="1"/>
  <c r="W84" i="16"/>
  <c r="X61" i="16"/>
  <c r="X62" i="16"/>
  <c r="X84" i="16" s="1"/>
  <c r="Y61" i="16"/>
  <c r="Y62" i="16" s="1"/>
  <c r="Y84" i="16"/>
  <c r="AA61" i="16"/>
  <c r="AA62" i="16"/>
  <c r="AA84" i="16" s="1"/>
  <c r="AB61" i="16"/>
  <c r="AC61" i="16"/>
  <c r="AC62" i="16"/>
  <c r="AC84" i="16" s="1"/>
  <c r="AD61" i="16"/>
  <c r="AD62" i="16" s="1"/>
  <c r="AD84" i="16" s="1"/>
  <c r="AE61" i="16"/>
  <c r="AE62" i="16"/>
  <c r="AE84" i="16" s="1"/>
  <c r="AE67" i="16"/>
  <c r="AE68" i="16" s="1"/>
  <c r="AE85" i="16" s="1"/>
  <c r="T67" i="16"/>
  <c r="T68" i="16"/>
  <c r="U67" i="16"/>
  <c r="U68" i="16"/>
  <c r="V67" i="16"/>
  <c r="V68" i="16"/>
  <c r="W67" i="16"/>
  <c r="W68" i="16"/>
  <c r="W85" i="16" s="1"/>
  <c r="X67" i="16"/>
  <c r="Y67" i="16"/>
  <c r="Y68" i="16"/>
  <c r="Y85" i="16" s="1"/>
  <c r="AA67" i="16"/>
  <c r="AA68" i="16" s="1"/>
  <c r="AA71" i="16" s="1"/>
  <c r="AB67" i="16"/>
  <c r="AB68" i="16" s="1"/>
  <c r="AB85" i="16"/>
  <c r="AC67" i="16"/>
  <c r="AD67" i="16"/>
  <c r="AD68" i="16" s="1"/>
  <c r="AD85" i="16" s="1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60" i="16"/>
  <c r="AV60" i="16"/>
  <c r="AF59" i="16"/>
  <c r="AG59" i="16"/>
  <c r="AF58" i="16"/>
  <c r="AF54" i="16"/>
  <c r="AV54" i="16"/>
  <c r="AF53" i="16"/>
  <c r="AG53" i="16"/>
  <c r="AF52" i="16"/>
  <c r="AF48" i="16"/>
  <c r="AV48" i="16"/>
  <c r="AF47" i="16"/>
  <c r="AG47" i="16"/>
  <c r="AF46" i="16"/>
  <c r="T29" i="16"/>
  <c r="U29" i="16"/>
  <c r="U33" i="16"/>
  <c r="U37" i="16"/>
  <c r="U42" i="16" s="1"/>
  <c r="U41" i="16"/>
  <c r="V29" i="16"/>
  <c r="V33" i="16"/>
  <c r="V42" i="16" s="1"/>
  <c r="V37" i="16"/>
  <c r="V41" i="16"/>
  <c r="W29" i="16"/>
  <c r="X29" i="16"/>
  <c r="Y29" i="16"/>
  <c r="Y33" i="16"/>
  <c r="Y37" i="16"/>
  <c r="Y41" i="16"/>
  <c r="Y42" i="16"/>
  <c r="Z29" i="16"/>
  <c r="AA29" i="16"/>
  <c r="AA42" i="16" s="1"/>
  <c r="AB29" i="16"/>
  <c r="AC29" i="16"/>
  <c r="AC42" i="16" s="1"/>
  <c r="AD29" i="16"/>
  <c r="AE29" i="16"/>
  <c r="T33" i="16"/>
  <c r="W33" i="16"/>
  <c r="X33" i="16"/>
  <c r="Z33" i="16"/>
  <c r="AA33" i="16"/>
  <c r="AB33" i="16"/>
  <c r="AC33" i="16"/>
  <c r="AD33" i="16"/>
  <c r="AD37" i="16"/>
  <c r="AD41" i="16"/>
  <c r="AE33" i="16"/>
  <c r="T37" i="16"/>
  <c r="W37" i="16"/>
  <c r="X37" i="16"/>
  <c r="Z37" i="16"/>
  <c r="AA37" i="16"/>
  <c r="AB37" i="16"/>
  <c r="AC37" i="16"/>
  <c r="AC41" i="16"/>
  <c r="AE37" i="16"/>
  <c r="T41" i="16"/>
  <c r="W41" i="16"/>
  <c r="X41" i="16"/>
  <c r="Z41" i="16"/>
  <c r="AA41" i="16"/>
  <c r="AB41" i="16"/>
  <c r="AE41" i="16"/>
  <c r="E29" i="16"/>
  <c r="F29" i="16"/>
  <c r="G29" i="16"/>
  <c r="H29" i="16"/>
  <c r="I29" i="16"/>
  <c r="I33" i="16"/>
  <c r="I42" i="16" s="1"/>
  <c r="I37" i="16"/>
  <c r="I41" i="16"/>
  <c r="J29" i="16"/>
  <c r="J33" i="16"/>
  <c r="J37" i="16"/>
  <c r="J41" i="16"/>
  <c r="K29" i="16"/>
  <c r="L29" i="16"/>
  <c r="M29" i="16"/>
  <c r="N29" i="16"/>
  <c r="O29" i="16"/>
  <c r="P29" i="16"/>
  <c r="E33" i="16"/>
  <c r="F33" i="16"/>
  <c r="F37" i="16"/>
  <c r="F42" i="16" s="1"/>
  <c r="F41" i="16"/>
  <c r="G33" i="16"/>
  <c r="G42" i="16" s="1"/>
  <c r="H33" i="16"/>
  <c r="K33" i="16"/>
  <c r="L33" i="16"/>
  <c r="M33" i="16"/>
  <c r="N33" i="16"/>
  <c r="N37" i="16"/>
  <c r="N42" i="16" s="1"/>
  <c r="N41" i="16"/>
  <c r="O33" i="16"/>
  <c r="P33" i="16"/>
  <c r="E37" i="16"/>
  <c r="G37" i="16"/>
  <c r="H37" i="16"/>
  <c r="K37" i="16"/>
  <c r="L37" i="16"/>
  <c r="M37" i="16"/>
  <c r="O37" i="16"/>
  <c r="P37" i="16"/>
  <c r="E41" i="16"/>
  <c r="G41" i="16"/>
  <c r="H41" i="16"/>
  <c r="K41" i="16"/>
  <c r="L41" i="16"/>
  <c r="M41" i="16"/>
  <c r="O41" i="16"/>
  <c r="P41" i="16"/>
  <c r="AF40" i="16"/>
  <c r="AI40" i="16" s="1"/>
  <c r="Q40" i="16"/>
  <c r="AF39" i="16"/>
  <c r="Q39" i="16"/>
  <c r="AF36" i="16"/>
  <c r="Q36" i="16"/>
  <c r="AF35" i="16"/>
  <c r="Q35" i="16"/>
  <c r="AI35" i="16" s="1"/>
  <c r="AF32" i="16"/>
  <c r="Q32" i="16"/>
  <c r="AV31" i="16"/>
  <c r="AF31" i="16"/>
  <c r="Q31" i="16"/>
  <c r="AF28" i="16"/>
  <c r="Q28" i="16"/>
  <c r="AV27" i="16"/>
  <c r="AY27" i="16" s="1"/>
  <c r="AF27" i="16"/>
  <c r="Q27" i="16"/>
  <c r="AE9" i="16"/>
  <c r="AE13" i="16"/>
  <c r="AE17" i="16"/>
  <c r="AE21" i="16"/>
  <c r="AD9" i="16"/>
  <c r="AC9" i="16"/>
  <c r="AD13" i="16"/>
  <c r="AD17" i="16"/>
  <c r="AD21" i="16"/>
  <c r="BB22" i="16"/>
  <c r="AC13" i="16"/>
  <c r="AC17" i="16"/>
  <c r="AC21" i="16"/>
  <c r="T9" i="16"/>
  <c r="U9" i="16"/>
  <c r="U13" i="16"/>
  <c r="U17" i="16"/>
  <c r="U21" i="16"/>
  <c r="V9" i="16"/>
  <c r="V13" i="16"/>
  <c r="V17" i="16"/>
  <c r="V21" i="16"/>
  <c r="W9" i="16"/>
  <c r="X9" i="16"/>
  <c r="Y9" i="16"/>
  <c r="Y13" i="16"/>
  <c r="Y17" i="16"/>
  <c r="Y21" i="16"/>
  <c r="Z9" i="16"/>
  <c r="AA9" i="16"/>
  <c r="AA13" i="16"/>
  <c r="AA22" i="16" s="1"/>
  <c r="AA17" i="16"/>
  <c r="AA21" i="16"/>
  <c r="AB9" i="16"/>
  <c r="T13" i="16"/>
  <c r="W13" i="16"/>
  <c r="X13" i="16"/>
  <c r="Z13" i="16"/>
  <c r="AB13" i="16"/>
  <c r="T17" i="16"/>
  <c r="W17" i="16"/>
  <c r="X17" i="16"/>
  <c r="X22" i="16" s="1"/>
  <c r="Z17" i="16"/>
  <c r="AB17" i="16"/>
  <c r="T21" i="16"/>
  <c r="W21" i="16"/>
  <c r="AF21" i="16" s="1"/>
  <c r="X21" i="16"/>
  <c r="Z21" i="16"/>
  <c r="AB21" i="16"/>
  <c r="E9" i="16"/>
  <c r="F9" i="16"/>
  <c r="F13" i="16"/>
  <c r="G9" i="16"/>
  <c r="H9" i="16"/>
  <c r="I9" i="16"/>
  <c r="I22" i="16" s="1"/>
  <c r="J9" i="16"/>
  <c r="J22" i="16" s="1"/>
  <c r="J13" i="16"/>
  <c r="K9" i="16"/>
  <c r="K22" i="16" s="1"/>
  <c r="K13" i="16"/>
  <c r="L9" i="16"/>
  <c r="L13" i="16"/>
  <c r="L22" i="16" s="1"/>
  <c r="M9" i="16"/>
  <c r="M22" i="16" s="1"/>
  <c r="N9" i="16"/>
  <c r="N13" i="16"/>
  <c r="O9" i="16"/>
  <c r="O13" i="16"/>
  <c r="P9" i="16"/>
  <c r="E13" i="16"/>
  <c r="G13" i="16"/>
  <c r="H13" i="16"/>
  <c r="I13" i="16"/>
  <c r="M13" i="16"/>
  <c r="P13" i="16"/>
  <c r="P22" i="16" s="1"/>
  <c r="AF20" i="16"/>
  <c r="AF19" i="16"/>
  <c r="AF16" i="16"/>
  <c r="AI16" i="16" s="1"/>
  <c r="AF15" i="16"/>
  <c r="AF12" i="16"/>
  <c r="Q12" i="16"/>
  <c r="AF11" i="16"/>
  <c r="Q11" i="16"/>
  <c r="AF8" i="16"/>
  <c r="AI8" i="16" s="1"/>
  <c r="Q8" i="16"/>
  <c r="AF7" i="16"/>
  <c r="AI7" i="16" s="1"/>
  <c r="Q7" i="16"/>
  <c r="L405" i="3"/>
  <c r="L410" i="3"/>
  <c r="AD66" i="2"/>
  <c r="AD75" i="2"/>
  <c r="W410" i="3"/>
  <c r="N410" i="3"/>
  <c r="P404" i="3"/>
  <c r="P412" i="3"/>
  <c r="R402" i="3"/>
  <c r="AA411" i="3"/>
  <c r="W396" i="3"/>
  <c r="U396" i="3"/>
  <c r="Y394" i="3"/>
  <c r="U394" i="3"/>
  <c r="Y392" i="3"/>
  <c r="Y391" i="3"/>
  <c r="W390" i="3"/>
  <c r="U389" i="3"/>
  <c r="Y386" i="3"/>
  <c r="Y387" i="3"/>
  <c r="Y396" i="3"/>
  <c r="U386" i="3"/>
  <c r="AD46" i="11"/>
  <c r="AD47" i="11"/>
  <c r="AC48" i="11"/>
  <c r="AC63" i="12" s="1"/>
  <c r="AB48" i="11"/>
  <c r="AB63" i="12"/>
  <c r="N50" i="11"/>
  <c r="N51" i="11"/>
  <c r="N30" i="11"/>
  <c r="N31" i="11"/>
  <c r="N32" i="11" s="1"/>
  <c r="N60" i="12" s="1"/>
  <c r="N34" i="11"/>
  <c r="N36" i="11"/>
  <c r="N48" i="11"/>
  <c r="N63" i="12"/>
  <c r="N71" i="12" s="1"/>
  <c r="AA48" i="11"/>
  <c r="AA63" i="12"/>
  <c r="M48" i="11"/>
  <c r="M63" i="12"/>
  <c r="Z48" i="11"/>
  <c r="Z63" i="12"/>
  <c r="Y48" i="11"/>
  <c r="X48" i="11"/>
  <c r="X63" i="12" s="1"/>
  <c r="W48" i="11"/>
  <c r="W63" i="12" s="1"/>
  <c r="U48" i="11"/>
  <c r="U63" i="12" s="1"/>
  <c r="V48" i="11"/>
  <c r="F30" i="11"/>
  <c r="F32" i="11" s="1"/>
  <c r="F60" i="12" s="1"/>
  <c r="F31" i="11"/>
  <c r="T48" i="11"/>
  <c r="S48" i="11"/>
  <c r="S63" i="12"/>
  <c r="R48" i="11"/>
  <c r="P6" i="11"/>
  <c r="AD21" i="11"/>
  <c r="AD22" i="11"/>
  <c r="P25" i="11"/>
  <c r="P27" i="11"/>
  <c r="AC23" i="11"/>
  <c r="O16" i="12"/>
  <c r="O24" i="12" s="1"/>
  <c r="AB23" i="11"/>
  <c r="AB16" i="12"/>
  <c r="AA23" i="11"/>
  <c r="AA16" i="12"/>
  <c r="BC16" i="12" s="1"/>
  <c r="M16" i="12"/>
  <c r="Z23" i="11"/>
  <c r="Z16" i="12"/>
  <c r="BB16" i="12" s="1"/>
  <c r="Y23" i="11"/>
  <c r="Y16" i="12"/>
  <c r="K27" i="11"/>
  <c r="K15" i="12" s="1"/>
  <c r="X23" i="11"/>
  <c r="X16" i="12"/>
  <c r="W23" i="11"/>
  <c r="W16" i="12"/>
  <c r="V23" i="11"/>
  <c r="H7" i="11"/>
  <c r="H13" i="12" s="1"/>
  <c r="H11" i="11"/>
  <c r="H14" i="12" s="1"/>
  <c r="H27" i="11"/>
  <c r="U23" i="11"/>
  <c r="G27" i="11"/>
  <c r="G15" i="12"/>
  <c r="T23" i="11"/>
  <c r="S23" i="11"/>
  <c r="S16" i="12" s="1"/>
  <c r="AU16" i="12" s="1"/>
  <c r="E27" i="11"/>
  <c r="E15" i="12" s="1"/>
  <c r="R23" i="11"/>
  <c r="P5" i="11"/>
  <c r="P9" i="11"/>
  <c r="P11" i="11"/>
  <c r="O7" i="11"/>
  <c r="O11" i="11"/>
  <c r="O14" i="12" s="1"/>
  <c r="O27" i="11"/>
  <c r="O15" i="12"/>
  <c r="M38" i="12" s="1"/>
  <c r="N7" i="11"/>
  <c r="N11" i="11"/>
  <c r="N27" i="11"/>
  <c r="M7" i="11"/>
  <c r="M13" i="12" s="1"/>
  <c r="M11" i="11"/>
  <c r="M27" i="11"/>
  <c r="L7" i="11"/>
  <c r="L13" i="12" s="1"/>
  <c r="J36" i="12" s="1"/>
  <c r="L11" i="11"/>
  <c r="L27" i="11"/>
  <c r="K7" i="11"/>
  <c r="K11" i="11"/>
  <c r="K14" i="12" s="1"/>
  <c r="J7" i="11"/>
  <c r="J11" i="11"/>
  <c r="J14" i="12" s="1"/>
  <c r="J27" i="11"/>
  <c r="J28" i="11"/>
  <c r="I7" i="11"/>
  <c r="I11" i="11"/>
  <c r="I28" i="11" s="1"/>
  <c r="I27" i="11"/>
  <c r="G7" i="11"/>
  <c r="G13" i="12" s="1"/>
  <c r="G11" i="11"/>
  <c r="F7" i="11"/>
  <c r="F13" i="12" s="1"/>
  <c r="F11" i="11"/>
  <c r="F27" i="11"/>
  <c r="F15" i="12" s="1"/>
  <c r="E7" i="11"/>
  <c r="E13" i="12"/>
  <c r="E17" i="12" s="1"/>
  <c r="E11" i="11"/>
  <c r="D7" i="11"/>
  <c r="D13" i="12" s="1"/>
  <c r="D11" i="11"/>
  <c r="D27" i="11"/>
  <c r="M5" i="3"/>
  <c r="M37" i="3"/>
  <c r="M66" i="3"/>
  <c r="M98" i="3"/>
  <c r="M129" i="3"/>
  <c r="M161" i="3"/>
  <c r="M192" i="3"/>
  <c r="M224" i="3"/>
  <c r="M256" i="3"/>
  <c r="M287" i="3"/>
  <c r="M319" i="3"/>
  <c r="M350" i="3"/>
  <c r="M4" i="3"/>
  <c r="R407" i="3"/>
  <c r="P410" i="3"/>
  <c r="P403" i="3"/>
  <c r="N407" i="3"/>
  <c r="L404" i="3"/>
  <c r="I412" i="3"/>
  <c r="I411" i="3"/>
  <c r="I410" i="3"/>
  <c r="I409" i="3"/>
  <c r="I408" i="3"/>
  <c r="I407" i="3"/>
  <c r="I406" i="3"/>
  <c r="I405" i="3"/>
  <c r="I404" i="3"/>
  <c r="I403" i="3"/>
  <c r="I401" i="3"/>
  <c r="I402" i="3"/>
  <c r="G412" i="3"/>
  <c r="G411" i="3"/>
  <c r="G410" i="3"/>
  <c r="G409" i="3"/>
  <c r="G408" i="3"/>
  <c r="G407" i="3"/>
  <c r="G406" i="3"/>
  <c r="G405" i="3"/>
  <c r="G404" i="3"/>
  <c r="G403" i="3"/>
  <c r="G402" i="3"/>
  <c r="G413" i="3" s="1"/>
  <c r="G401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C402" i="3"/>
  <c r="C401" i="3"/>
  <c r="C403" i="3"/>
  <c r="C404" i="3"/>
  <c r="C405" i="3"/>
  <c r="C406" i="3"/>
  <c r="C407" i="3"/>
  <c r="C408" i="3"/>
  <c r="C409" i="3"/>
  <c r="C410" i="3"/>
  <c r="C411" i="3"/>
  <c r="C412" i="3"/>
  <c r="U388" i="3"/>
  <c r="U397" i="3" s="1"/>
  <c r="U385" i="3"/>
  <c r="R386" i="3"/>
  <c r="R387" i="3"/>
  <c r="R388" i="3"/>
  <c r="R389" i="3"/>
  <c r="R390" i="3"/>
  <c r="R391" i="3"/>
  <c r="R392" i="3"/>
  <c r="R393" i="3"/>
  <c r="R394" i="3"/>
  <c r="R395" i="3"/>
  <c r="R396" i="3"/>
  <c r="P386" i="3"/>
  <c r="P385" i="3"/>
  <c r="P387" i="3"/>
  <c r="P388" i="3"/>
  <c r="P389" i="3"/>
  <c r="P390" i="3"/>
  <c r="P391" i="3"/>
  <c r="P392" i="3"/>
  <c r="P393" i="3"/>
  <c r="P394" i="3"/>
  <c r="P395" i="3"/>
  <c r="P396" i="3"/>
  <c r="N386" i="3"/>
  <c r="N387" i="3"/>
  <c r="N388" i="3"/>
  <c r="N385" i="3"/>
  <c r="N389" i="3"/>
  <c r="N390" i="3"/>
  <c r="N391" i="3"/>
  <c r="N392" i="3"/>
  <c r="N393" i="3"/>
  <c r="N394" i="3"/>
  <c r="N395" i="3"/>
  <c r="N396" i="3"/>
  <c r="L386" i="3"/>
  <c r="L387" i="3"/>
  <c r="L388" i="3"/>
  <c r="L389" i="3"/>
  <c r="L385" i="3"/>
  <c r="L390" i="3"/>
  <c r="L391" i="3"/>
  <c r="L392" i="3"/>
  <c r="L393" i="3"/>
  <c r="L394" i="3"/>
  <c r="L395" i="3"/>
  <c r="L396" i="3"/>
  <c r="R385" i="3"/>
  <c r="I386" i="3"/>
  <c r="I387" i="3"/>
  <c r="I385" i="3"/>
  <c r="I388" i="3"/>
  <c r="I389" i="3"/>
  <c r="I390" i="3"/>
  <c r="I391" i="3"/>
  <c r="I392" i="3"/>
  <c r="I393" i="3"/>
  <c r="I394" i="3"/>
  <c r="I395" i="3"/>
  <c r="I396" i="3"/>
  <c r="G386" i="3"/>
  <c r="G385" i="3"/>
  <c r="G387" i="3"/>
  <c r="G388" i="3"/>
  <c r="G389" i="3"/>
  <c r="G390" i="3"/>
  <c r="G391" i="3"/>
  <c r="G392" i="3"/>
  <c r="G393" i="3"/>
  <c r="G394" i="3"/>
  <c r="G395" i="3"/>
  <c r="G396" i="3"/>
  <c r="E386" i="3"/>
  <c r="E387" i="3"/>
  <c r="E388" i="3"/>
  <c r="E385" i="3"/>
  <c r="E389" i="3"/>
  <c r="E390" i="3"/>
  <c r="E391" i="3"/>
  <c r="E392" i="3"/>
  <c r="E393" i="3"/>
  <c r="E394" i="3"/>
  <c r="E395" i="3"/>
  <c r="E396" i="3"/>
  <c r="C386" i="3"/>
  <c r="C387" i="3"/>
  <c r="C385" i="3"/>
  <c r="C388" i="3"/>
  <c r="C389" i="3"/>
  <c r="C390" i="3"/>
  <c r="C391" i="3"/>
  <c r="C392" i="3"/>
  <c r="C393" i="3"/>
  <c r="C394" i="3"/>
  <c r="C395" i="3"/>
  <c r="C396" i="3"/>
  <c r="D16" i="12"/>
  <c r="N16" i="12"/>
  <c r="L16" i="12"/>
  <c r="J39" i="12" s="1"/>
  <c r="K16" i="12"/>
  <c r="K24" i="12"/>
  <c r="J16" i="12"/>
  <c r="J24" i="12"/>
  <c r="I16" i="12"/>
  <c r="I24" i="12"/>
  <c r="H16" i="12"/>
  <c r="G16" i="12"/>
  <c r="F16" i="12"/>
  <c r="F24" i="12"/>
  <c r="E16" i="12"/>
  <c r="E24" i="12"/>
  <c r="W101" i="11"/>
  <c r="AZ101" i="11"/>
  <c r="U101" i="11"/>
  <c r="AX101" i="11"/>
  <c r="AC101" i="11"/>
  <c r="BF101" i="11"/>
  <c r="AB101" i="11"/>
  <c r="BE101" i="11"/>
  <c r="AA101" i="11"/>
  <c r="BD101" i="11"/>
  <c r="Z101" i="11"/>
  <c r="BC101" i="11"/>
  <c r="Y101" i="11"/>
  <c r="BB101" i="11"/>
  <c r="X101" i="11"/>
  <c r="BA101" i="11"/>
  <c r="V101" i="11"/>
  <c r="AY101" i="11"/>
  <c r="T101" i="11"/>
  <c r="AW101" i="11"/>
  <c r="S101" i="11"/>
  <c r="AV101" i="11"/>
  <c r="R101" i="11"/>
  <c r="AU101" i="11"/>
  <c r="AC100" i="11"/>
  <c r="BF100" i="11"/>
  <c r="X100" i="11"/>
  <c r="BA100" i="11"/>
  <c r="AB100" i="11"/>
  <c r="BE100" i="11"/>
  <c r="AA100" i="11"/>
  <c r="BD100" i="11"/>
  <c r="Z100" i="11"/>
  <c r="BC100" i="11"/>
  <c r="Y100" i="11"/>
  <c r="BB100" i="11"/>
  <c r="W100" i="11"/>
  <c r="AZ100" i="11"/>
  <c r="V100" i="11"/>
  <c r="AY100" i="11"/>
  <c r="U100" i="11"/>
  <c r="AX100" i="11"/>
  <c r="T100" i="11"/>
  <c r="AW100" i="11"/>
  <c r="S100" i="11"/>
  <c r="AV100" i="11"/>
  <c r="R100" i="11"/>
  <c r="AU100" i="11"/>
  <c r="AX98" i="11"/>
  <c r="AX97" i="11"/>
  <c r="T19" i="11"/>
  <c r="AR95" i="11"/>
  <c r="AR94" i="11"/>
  <c r="AR92" i="11"/>
  <c r="AR91" i="11"/>
  <c r="F88" i="11"/>
  <c r="O88" i="11"/>
  <c r="N88" i="11"/>
  <c r="M88" i="11"/>
  <c r="L88" i="11"/>
  <c r="K88" i="11"/>
  <c r="J88" i="11"/>
  <c r="I88" i="11"/>
  <c r="H88" i="11"/>
  <c r="G88" i="11"/>
  <c r="E88" i="11"/>
  <c r="D88" i="11"/>
  <c r="P71" i="11"/>
  <c r="P87" i="11" s="1"/>
  <c r="O87" i="11"/>
  <c r="N87" i="11"/>
  <c r="M87" i="11"/>
  <c r="L87" i="11"/>
  <c r="K87" i="11"/>
  <c r="J87" i="11"/>
  <c r="I87" i="11"/>
  <c r="H87" i="11"/>
  <c r="G87" i="11"/>
  <c r="F87" i="11"/>
  <c r="E87" i="11"/>
  <c r="D87" i="11"/>
  <c r="S67" i="11"/>
  <c r="O85" i="11"/>
  <c r="N85" i="11"/>
  <c r="M85" i="11"/>
  <c r="AA67" i="11"/>
  <c r="L85" i="11"/>
  <c r="Z67" i="11"/>
  <c r="Z85" i="11"/>
  <c r="BC85" i="11" s="1"/>
  <c r="K85" i="11"/>
  <c r="J85" i="11"/>
  <c r="X67" i="11"/>
  <c r="I85" i="11"/>
  <c r="H85" i="11"/>
  <c r="G85" i="11"/>
  <c r="F85" i="11"/>
  <c r="T67" i="11"/>
  <c r="T85" i="11" s="1"/>
  <c r="E85" i="11"/>
  <c r="D85" i="11"/>
  <c r="R67" i="11"/>
  <c r="BS84" i="11"/>
  <c r="BY84" i="11" s="1"/>
  <c r="BM84" i="11"/>
  <c r="BR84" i="11"/>
  <c r="BL84" i="11"/>
  <c r="BQ84" i="11"/>
  <c r="BP84" i="11"/>
  <c r="BO84" i="11"/>
  <c r="BK84" i="11"/>
  <c r="BJ84" i="11"/>
  <c r="BI84" i="11"/>
  <c r="BU84" i="11" s="1"/>
  <c r="AB84" i="11"/>
  <c r="N84" i="11"/>
  <c r="BE84" i="11" s="1"/>
  <c r="AD84" i="11"/>
  <c r="AC84" i="11"/>
  <c r="O84" i="11"/>
  <c r="BF84" i="11" s="1"/>
  <c r="AA84" i="11"/>
  <c r="BD84" i="11" s="1"/>
  <c r="Z84" i="11"/>
  <c r="Y84" i="11"/>
  <c r="K84" i="11"/>
  <c r="BB84" i="11"/>
  <c r="X84" i="11"/>
  <c r="J84" i="11"/>
  <c r="BA84" i="11" s="1"/>
  <c r="W84" i="11"/>
  <c r="AZ84" i="11" s="1"/>
  <c r="V84" i="11"/>
  <c r="H84" i="11"/>
  <c r="CB84" i="11" s="1"/>
  <c r="U84" i="11"/>
  <c r="G84" i="11"/>
  <c r="T84" i="11"/>
  <c r="F84" i="11"/>
  <c r="AW84" i="11" s="1"/>
  <c r="S84" i="11"/>
  <c r="R84" i="11"/>
  <c r="D84" i="11"/>
  <c r="AU84" i="11" s="1"/>
  <c r="P84" i="11"/>
  <c r="M84" i="11"/>
  <c r="L84" i="11"/>
  <c r="BC84" i="11" s="1"/>
  <c r="I84" i="11"/>
  <c r="E84" i="11"/>
  <c r="AS82" i="11"/>
  <c r="W64" i="11"/>
  <c r="I82" i="11"/>
  <c r="O82" i="11"/>
  <c r="N82" i="11"/>
  <c r="M82" i="11"/>
  <c r="L82" i="11"/>
  <c r="K82" i="11"/>
  <c r="J82" i="11"/>
  <c r="H82" i="11"/>
  <c r="G82" i="11"/>
  <c r="F82" i="11"/>
  <c r="E82" i="11"/>
  <c r="D82" i="11"/>
  <c r="AS81" i="11"/>
  <c r="S63" i="11"/>
  <c r="E81" i="11"/>
  <c r="O81" i="11"/>
  <c r="N81" i="11"/>
  <c r="M81" i="11"/>
  <c r="L81" i="11"/>
  <c r="K81" i="11"/>
  <c r="J81" i="11"/>
  <c r="I81" i="11"/>
  <c r="H81" i="11"/>
  <c r="AK81" i="11" s="1"/>
  <c r="G81" i="11"/>
  <c r="F81" i="11"/>
  <c r="T63" i="11"/>
  <c r="T81" i="11"/>
  <c r="D81" i="11"/>
  <c r="P60" i="11"/>
  <c r="P79" i="11"/>
  <c r="O79" i="11"/>
  <c r="N79" i="11"/>
  <c r="M79" i="11"/>
  <c r="L79" i="11"/>
  <c r="K79" i="11"/>
  <c r="Y60" i="11"/>
  <c r="J79" i="11"/>
  <c r="I79" i="11"/>
  <c r="H79" i="11"/>
  <c r="G79" i="11"/>
  <c r="F79" i="11"/>
  <c r="E79" i="11"/>
  <c r="D79" i="11"/>
  <c r="AS78" i="11"/>
  <c r="R59" i="11"/>
  <c r="R78" i="11"/>
  <c r="D78" i="11"/>
  <c r="O78" i="11"/>
  <c r="N78" i="11"/>
  <c r="M78" i="11"/>
  <c r="L78" i="11"/>
  <c r="K78" i="11"/>
  <c r="Y59" i="11"/>
  <c r="Y78" i="11"/>
  <c r="J78" i="11"/>
  <c r="X59" i="11"/>
  <c r="X78" i="11"/>
  <c r="I78" i="11"/>
  <c r="H78" i="11"/>
  <c r="G78" i="11"/>
  <c r="F78" i="11"/>
  <c r="E78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AS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BY73" i="11"/>
  <c r="BX73" i="11"/>
  <c r="BW73" i="11"/>
  <c r="BV73" i="11"/>
  <c r="BU73" i="11"/>
  <c r="BG73" i="11"/>
  <c r="BF73" i="11"/>
  <c r="BE73" i="11"/>
  <c r="BD73" i="11"/>
  <c r="BC73" i="11"/>
  <c r="BB73" i="11"/>
  <c r="BA73" i="11"/>
  <c r="AZ73" i="11"/>
  <c r="AY73" i="11"/>
  <c r="AX73" i="11"/>
  <c r="AW73" i="11"/>
  <c r="AV73" i="11"/>
  <c r="AU73" i="11"/>
  <c r="P72" i="11"/>
  <c r="P88" i="11" s="1"/>
  <c r="BY69" i="11"/>
  <c r="BX69" i="11"/>
  <c r="BW69" i="11"/>
  <c r="BV69" i="11"/>
  <c r="BU69" i="11"/>
  <c r="BG69" i="11"/>
  <c r="BF69" i="11"/>
  <c r="BE69" i="11"/>
  <c r="BD69" i="11"/>
  <c r="BC69" i="11"/>
  <c r="BB69" i="11"/>
  <c r="BA69" i="11"/>
  <c r="AZ69" i="11"/>
  <c r="AY69" i="11"/>
  <c r="AX69" i="11"/>
  <c r="AW69" i="11"/>
  <c r="AV69" i="11"/>
  <c r="AU69" i="11"/>
  <c r="V68" i="11"/>
  <c r="W68" i="11"/>
  <c r="AL68" i="11"/>
  <c r="AZ68" i="11"/>
  <c r="AC68" i="11"/>
  <c r="AB68" i="11"/>
  <c r="AA68" i="11"/>
  <c r="Z68" i="11"/>
  <c r="BC68" i="11" s="1"/>
  <c r="Y68" i="11"/>
  <c r="X68" i="11"/>
  <c r="U68" i="11"/>
  <c r="T68" i="11"/>
  <c r="S68" i="11"/>
  <c r="R68" i="11"/>
  <c r="AG68" i="11" s="1"/>
  <c r="AS68" i="11"/>
  <c r="P68" i="11"/>
  <c r="P85" i="11"/>
  <c r="U67" i="11"/>
  <c r="AC67" i="11"/>
  <c r="AB67" i="11"/>
  <c r="BC67" i="11"/>
  <c r="Y67" i="11"/>
  <c r="W67" i="11"/>
  <c r="V67" i="11"/>
  <c r="BY65" i="11"/>
  <c r="BX65" i="11"/>
  <c r="BW65" i="11"/>
  <c r="BV65" i="11"/>
  <c r="BU65" i="11"/>
  <c r="BG65" i="11"/>
  <c r="BF65" i="11"/>
  <c r="BE65" i="11"/>
  <c r="BD65" i="11"/>
  <c r="BC65" i="11"/>
  <c r="BB65" i="11"/>
  <c r="BA65" i="11"/>
  <c r="AZ65" i="11"/>
  <c r="AY65" i="11"/>
  <c r="AX65" i="11"/>
  <c r="AW65" i="11"/>
  <c r="AV65" i="11"/>
  <c r="AU65" i="11"/>
  <c r="V64" i="11"/>
  <c r="Z64" i="11"/>
  <c r="R64" i="11"/>
  <c r="AC64" i="11"/>
  <c r="AB64" i="11"/>
  <c r="BE64" i="11" s="1"/>
  <c r="AA64" i="11"/>
  <c r="AP64" i="11"/>
  <c r="Y64" i="11"/>
  <c r="BB64" i="11"/>
  <c r="X64" i="11"/>
  <c r="U64" i="11"/>
  <c r="T64" i="11"/>
  <c r="S64" i="11"/>
  <c r="S82" i="11"/>
  <c r="P64" i="11"/>
  <c r="P82" i="11"/>
  <c r="W63" i="11"/>
  <c r="AL63" i="11"/>
  <c r="AL65" i="11" s="1"/>
  <c r="X63" i="11"/>
  <c r="U63" i="11"/>
  <c r="AC63" i="11"/>
  <c r="AB63" i="11"/>
  <c r="AB81" i="11" s="1"/>
  <c r="AA63" i="11"/>
  <c r="Z63" i="11"/>
  <c r="Y63" i="11"/>
  <c r="V63" i="11"/>
  <c r="AY63" i="11"/>
  <c r="R63" i="11"/>
  <c r="P63" i="11"/>
  <c r="U60" i="11"/>
  <c r="AB60" i="11"/>
  <c r="T60" i="11"/>
  <c r="AW60" i="11" s="1"/>
  <c r="AC60" i="11"/>
  <c r="AA60" i="11"/>
  <c r="Z60" i="11"/>
  <c r="X60" i="11"/>
  <c r="BA60" i="11" s="1"/>
  <c r="W60" i="11"/>
  <c r="V60" i="11"/>
  <c r="S60" i="11"/>
  <c r="R60" i="11"/>
  <c r="V59" i="11"/>
  <c r="Z59" i="11"/>
  <c r="W59" i="11"/>
  <c r="AL59" i="11"/>
  <c r="AC59" i="11"/>
  <c r="AB59" i="11"/>
  <c r="AA59" i="11"/>
  <c r="BD59" i="11"/>
  <c r="U59" i="11"/>
  <c r="U78" i="11"/>
  <c r="T59" i="11"/>
  <c r="S59" i="11"/>
  <c r="P59" i="11"/>
  <c r="P78" i="11"/>
  <c r="P56" i="11"/>
  <c r="P76" i="11"/>
  <c r="P55" i="11"/>
  <c r="P75" i="11"/>
  <c r="E51" i="11"/>
  <c r="E50" i="11"/>
  <c r="E56" i="12"/>
  <c r="J51" i="11"/>
  <c r="O51" i="11"/>
  <c r="M51" i="11"/>
  <c r="L51" i="11"/>
  <c r="K51" i="11"/>
  <c r="K52" i="11" s="1"/>
  <c r="I51" i="11"/>
  <c r="H51" i="11"/>
  <c r="G51" i="11"/>
  <c r="BJ26" i="11"/>
  <c r="F51" i="11"/>
  <c r="D51" i="11"/>
  <c r="G50" i="11"/>
  <c r="H50" i="11"/>
  <c r="I50" i="11"/>
  <c r="J50" i="11"/>
  <c r="BK50" i="11" s="1"/>
  <c r="K50" i="11"/>
  <c r="L50" i="11"/>
  <c r="L52" i="11" s="1"/>
  <c r="L62" i="12" s="1"/>
  <c r="M50" i="11"/>
  <c r="O50" i="11"/>
  <c r="D50" i="11"/>
  <c r="F50" i="11"/>
  <c r="BO46" i="11"/>
  <c r="BO47" i="11"/>
  <c r="BO48" i="11" s="1"/>
  <c r="BO22" i="11"/>
  <c r="BI47" i="11"/>
  <c r="BL46" i="11"/>
  <c r="BL47" i="11"/>
  <c r="O48" i="11"/>
  <c r="O63" i="12" s="1"/>
  <c r="P63" i="12" s="1"/>
  <c r="Y63" i="12"/>
  <c r="Y71" i="12"/>
  <c r="E48" i="11"/>
  <c r="E63" i="12"/>
  <c r="E71" i="12" s="1"/>
  <c r="R63" i="12"/>
  <c r="P48" i="11"/>
  <c r="L48" i="11"/>
  <c r="L63" i="12"/>
  <c r="J48" i="11"/>
  <c r="J63" i="12"/>
  <c r="K48" i="11"/>
  <c r="K63" i="12"/>
  <c r="D48" i="11"/>
  <c r="D63" i="12"/>
  <c r="F48" i="11"/>
  <c r="F63" i="12"/>
  <c r="F71" i="12" s="1"/>
  <c r="T63" i="12"/>
  <c r="G48" i="11"/>
  <c r="G63" i="12"/>
  <c r="H48" i="11"/>
  <c r="H63" i="12"/>
  <c r="I48" i="11"/>
  <c r="I63" i="12"/>
  <c r="I71" i="12" s="1"/>
  <c r="M71" i="12"/>
  <c r="CB47" i="11"/>
  <c r="CA47" i="11"/>
  <c r="BR47" i="11"/>
  <c r="BX47" i="11" s="1"/>
  <c r="BR22" i="11"/>
  <c r="BR21" i="11"/>
  <c r="BQ47" i="11"/>
  <c r="BQ48" i="11" s="1"/>
  <c r="BQ46" i="11"/>
  <c r="BP46" i="11"/>
  <c r="BP47" i="11"/>
  <c r="BV47" i="11" s="1"/>
  <c r="BP22" i="11"/>
  <c r="BP100" i="11"/>
  <c r="BR46" i="11"/>
  <c r="BK47" i="11"/>
  <c r="BK46" i="11"/>
  <c r="BJ47" i="11"/>
  <c r="BJ22" i="11"/>
  <c r="BV22" i="11" s="1"/>
  <c r="AR47" i="11"/>
  <c r="AR46" i="11"/>
  <c r="AR48" i="11" s="1"/>
  <c r="AQ47" i="11"/>
  <c r="AQ48" i="11" s="1"/>
  <c r="AQ46" i="11"/>
  <c r="AP47" i="11"/>
  <c r="AP46" i="11"/>
  <c r="AP48" i="11" s="1"/>
  <c r="AO47" i="11"/>
  <c r="AN47" i="11"/>
  <c r="AN46" i="11"/>
  <c r="AN48" i="11" s="1"/>
  <c r="AM47" i="11"/>
  <c r="AM48" i="11" s="1"/>
  <c r="AM46" i="11"/>
  <c r="AL47" i="11"/>
  <c r="AL46" i="11"/>
  <c r="AL48" i="11" s="1"/>
  <c r="AK47" i="11"/>
  <c r="AK48" i="11" s="1"/>
  <c r="AK46" i="11"/>
  <c r="AJ47" i="11"/>
  <c r="AJ46" i="11"/>
  <c r="AJ48" i="11" s="1"/>
  <c r="AI47" i="11"/>
  <c r="AS47" i="11" s="1"/>
  <c r="AI46" i="11"/>
  <c r="AI48" i="11"/>
  <c r="AH47" i="11"/>
  <c r="AH46" i="11"/>
  <c r="AG47" i="11"/>
  <c r="AG46" i="11"/>
  <c r="AS46" i="11" s="1"/>
  <c r="CB46" i="11"/>
  <c r="CA46" i="11"/>
  <c r="BJ46" i="11"/>
  <c r="BI46" i="11"/>
  <c r="AO46" i="11"/>
  <c r="AO48" i="11"/>
  <c r="Y44" i="11"/>
  <c r="K44" i="11"/>
  <c r="BB44" i="11" s="1"/>
  <c r="AN42" i="11"/>
  <c r="AN43" i="11"/>
  <c r="AG42" i="11"/>
  <c r="AG43" i="11"/>
  <c r="AS43" i="11" s="1"/>
  <c r="AD42" i="11"/>
  <c r="AD43" i="11"/>
  <c r="P44" i="11"/>
  <c r="AC44" i="11"/>
  <c r="O44" i="11"/>
  <c r="BF44" i="11" s="1"/>
  <c r="AB44" i="11"/>
  <c r="BE44" i="11" s="1"/>
  <c r="AA44" i="11"/>
  <c r="M44" i="11"/>
  <c r="BD44" i="11" s="1"/>
  <c r="Z44" i="11"/>
  <c r="L44" i="11"/>
  <c r="BC44" i="11" s="1"/>
  <c r="X44" i="11"/>
  <c r="J44" i="11"/>
  <c r="BA44" i="11" s="1"/>
  <c r="W44" i="11"/>
  <c r="I44" i="11"/>
  <c r="V44" i="11"/>
  <c r="H44" i="11"/>
  <c r="AY44" i="11"/>
  <c r="U44" i="11"/>
  <c r="G44" i="11"/>
  <c r="CA44" i="11" s="1"/>
  <c r="T44" i="11"/>
  <c r="AW44" i="11" s="1"/>
  <c r="S44" i="11"/>
  <c r="E44" i="11"/>
  <c r="AV44" i="11" s="1"/>
  <c r="R44" i="11"/>
  <c r="D44" i="11"/>
  <c r="N44" i="11"/>
  <c r="F44" i="11"/>
  <c r="CB43" i="11"/>
  <c r="CA43" i="11"/>
  <c r="BR43" i="11"/>
  <c r="BR64" i="11" s="1"/>
  <c r="BR18" i="11"/>
  <c r="BO43" i="11"/>
  <c r="BO64" i="11" s="1"/>
  <c r="BP43" i="11"/>
  <c r="BP42" i="11"/>
  <c r="BP44" i="11" s="1"/>
  <c r="BQ43" i="11"/>
  <c r="BQ42" i="11"/>
  <c r="BO42" i="11"/>
  <c r="BR42" i="11"/>
  <c r="BL42" i="11"/>
  <c r="BQ18" i="11"/>
  <c r="BI43" i="11"/>
  <c r="BI18" i="11"/>
  <c r="BL43" i="11"/>
  <c r="BJ43" i="11"/>
  <c r="BJ42" i="11"/>
  <c r="BK43" i="11"/>
  <c r="BK18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R43" i="11"/>
  <c r="AR42" i="11"/>
  <c r="AQ43" i="11"/>
  <c r="AQ44" i="11" s="1"/>
  <c r="AQ42" i="11"/>
  <c r="AP43" i="11"/>
  <c r="AP42" i="11"/>
  <c r="AP44" i="11" s="1"/>
  <c r="AO43" i="11"/>
  <c r="AM43" i="11"/>
  <c r="AL43" i="11"/>
  <c r="AL42" i="11"/>
  <c r="AK43" i="11"/>
  <c r="AJ43" i="11"/>
  <c r="AJ42" i="11"/>
  <c r="AJ44" i="11" s="1"/>
  <c r="AI43" i="11"/>
  <c r="AI44" i="11" s="1"/>
  <c r="AH43" i="11"/>
  <c r="CB42" i="11"/>
  <c r="CA42" i="11"/>
  <c r="BR17" i="11"/>
  <c r="BK42" i="11"/>
  <c r="BW42" i="11"/>
  <c r="BI42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O42" i="11"/>
  <c r="AO44" i="11" s="1"/>
  <c r="AM42" i="11"/>
  <c r="AM44" i="11" s="1"/>
  <c r="AK42" i="11"/>
  <c r="AK44" i="11"/>
  <c r="AI42" i="11"/>
  <c r="AH42" i="11"/>
  <c r="AH44" i="11" s="1"/>
  <c r="AO38" i="11"/>
  <c r="AO39" i="11"/>
  <c r="AO40" i="11"/>
  <c r="AC40" i="11"/>
  <c r="AB40" i="11"/>
  <c r="N40" i="11"/>
  <c r="BE40" i="11"/>
  <c r="AA40" i="11"/>
  <c r="M40" i="11"/>
  <c r="BD40" i="11" s="1"/>
  <c r="Z40" i="11"/>
  <c r="BC40" i="11" s="1"/>
  <c r="L40" i="11"/>
  <c r="Y40" i="11"/>
  <c r="BB40" i="11" s="1"/>
  <c r="K40" i="11"/>
  <c r="X40" i="11"/>
  <c r="J40" i="11"/>
  <c r="BA40" i="11"/>
  <c r="W40" i="11"/>
  <c r="I40" i="11"/>
  <c r="AZ40" i="11" s="1"/>
  <c r="V40" i="11"/>
  <c r="H40" i="11"/>
  <c r="AY40" i="11"/>
  <c r="U40" i="11"/>
  <c r="G40" i="11"/>
  <c r="AX40" i="11" s="1"/>
  <c r="T40" i="11"/>
  <c r="S40" i="11"/>
  <c r="AV40" i="11" s="1"/>
  <c r="E40" i="11"/>
  <c r="R40" i="11"/>
  <c r="D40" i="11"/>
  <c r="AU40" i="11" s="1"/>
  <c r="P40" i="11"/>
  <c r="O40" i="11"/>
  <c r="F40" i="11"/>
  <c r="CB39" i="11"/>
  <c r="CA39" i="11"/>
  <c r="BP39" i="11"/>
  <c r="BP14" i="11"/>
  <c r="BJ39" i="11"/>
  <c r="BR39" i="11"/>
  <c r="BQ39" i="11"/>
  <c r="BW39" i="11" s="1"/>
  <c r="BK39" i="11"/>
  <c r="BK40" i="11" s="1"/>
  <c r="BO39" i="11"/>
  <c r="BL39" i="11"/>
  <c r="BK14" i="11"/>
  <c r="BK13" i="11"/>
  <c r="BK15" i="11"/>
  <c r="BK94" i="11" s="1"/>
  <c r="BI39" i="11"/>
  <c r="BI38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R39" i="11"/>
  <c r="AR40" i="11" s="1"/>
  <c r="AR38" i="11"/>
  <c r="O30" i="11"/>
  <c r="O31" i="11"/>
  <c r="AQ39" i="11"/>
  <c r="AP39" i="11"/>
  <c r="AP38" i="11"/>
  <c r="AP40" i="11"/>
  <c r="AN39" i="11"/>
  <c r="AN38" i="11"/>
  <c r="AN40" i="11" s="1"/>
  <c r="AM39" i="11"/>
  <c r="AL39" i="11"/>
  <c r="AK39" i="11"/>
  <c r="AK40" i="11" s="1"/>
  <c r="AK38" i="11"/>
  <c r="H30" i="11"/>
  <c r="H31" i="11"/>
  <c r="H32" i="11" s="1"/>
  <c r="H60" i="12" s="1"/>
  <c r="H67" i="12" s="1"/>
  <c r="AJ39" i="11"/>
  <c r="AJ38" i="11"/>
  <c r="AJ40" i="11" s="1"/>
  <c r="AI39" i="11"/>
  <c r="AI40" i="11" s="1"/>
  <c r="AH39" i="11"/>
  <c r="AG39" i="11"/>
  <c r="AG40" i="11" s="1"/>
  <c r="AD39" i="11"/>
  <c r="AD38" i="11"/>
  <c r="CB38" i="11"/>
  <c r="CA38" i="11"/>
  <c r="BQ38" i="11"/>
  <c r="BK38" i="11"/>
  <c r="BP38" i="11"/>
  <c r="BJ38" i="11"/>
  <c r="BV38" i="11" s="1"/>
  <c r="BR38" i="11"/>
  <c r="BO38" i="11"/>
  <c r="BL38" i="11"/>
  <c r="BM38" i="11" s="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Q38" i="11"/>
  <c r="AQ40" i="11"/>
  <c r="AM38" i="11"/>
  <c r="AM40" i="11"/>
  <c r="AL38" i="11"/>
  <c r="AL40" i="11"/>
  <c r="AI38" i="11"/>
  <c r="AH38" i="11"/>
  <c r="AG38" i="11"/>
  <c r="F34" i="11"/>
  <c r="F36" i="11"/>
  <c r="F61" i="12" s="1"/>
  <c r="F54" i="12"/>
  <c r="I34" i="11"/>
  <c r="I36" i="11" s="1"/>
  <c r="I61" i="12" s="1"/>
  <c r="I54" i="12"/>
  <c r="O34" i="11"/>
  <c r="O36" i="11" s="1"/>
  <c r="O61" i="12"/>
  <c r="O64" i="12" s="1"/>
  <c r="M34" i="11"/>
  <c r="M36" i="11"/>
  <c r="M61" i="12" s="1"/>
  <c r="M54" i="12"/>
  <c r="L34" i="11"/>
  <c r="L36" i="11"/>
  <c r="L61" i="12" s="1"/>
  <c r="K34" i="11"/>
  <c r="K36" i="11" s="1"/>
  <c r="K61" i="12" s="1"/>
  <c r="K68" i="12" s="1"/>
  <c r="K54" i="12"/>
  <c r="J54" i="12"/>
  <c r="J34" i="11"/>
  <c r="J36" i="11" s="1"/>
  <c r="J61" i="12"/>
  <c r="L54" i="12"/>
  <c r="L68" i="12" s="1"/>
  <c r="H34" i="11"/>
  <c r="H36" i="11"/>
  <c r="G34" i="11"/>
  <c r="E34" i="11"/>
  <c r="D34" i="11"/>
  <c r="L30" i="11"/>
  <c r="L32" i="11" s="1"/>
  <c r="L31" i="11"/>
  <c r="D30" i="11"/>
  <c r="BI30" i="11" s="1"/>
  <c r="E30" i="11"/>
  <c r="D31" i="11"/>
  <c r="E31" i="11"/>
  <c r="BI31" i="11" s="1"/>
  <c r="BI32" i="11"/>
  <c r="BI53" i="11" s="1"/>
  <c r="G31" i="11"/>
  <c r="M31" i="11"/>
  <c r="K31" i="11"/>
  <c r="J31" i="11"/>
  <c r="I31" i="11"/>
  <c r="I30" i="11"/>
  <c r="M30" i="11"/>
  <c r="BL30" i="11" s="1"/>
  <c r="K30" i="11"/>
  <c r="J30" i="11"/>
  <c r="G30" i="11"/>
  <c r="N15" i="12"/>
  <c r="L15" i="12"/>
  <c r="L17" i="12" s="1"/>
  <c r="J15" i="12"/>
  <c r="H15" i="12"/>
  <c r="D15" i="12"/>
  <c r="I15" i="12"/>
  <c r="I23" i="12" s="1"/>
  <c r="BI26" i="11"/>
  <c r="BI25" i="11"/>
  <c r="BM25" i="11" s="1"/>
  <c r="BL26" i="11"/>
  <c r="BL25" i="11"/>
  <c r="BK26" i="11"/>
  <c r="BJ25" i="11"/>
  <c r="BK25" i="11"/>
  <c r="BR100" i="11"/>
  <c r="BL22" i="11"/>
  <c r="BL68" i="11" s="1"/>
  <c r="T16" i="12"/>
  <c r="R16" i="12"/>
  <c r="CB22" i="11"/>
  <c r="CA22" i="11"/>
  <c r="BQ22" i="11"/>
  <c r="BK22" i="11"/>
  <c r="BO100" i="11"/>
  <c r="BI22" i="11"/>
  <c r="AR22" i="11"/>
  <c r="AQ22" i="11"/>
  <c r="AP22" i="11"/>
  <c r="M21" i="11"/>
  <c r="AP21" i="11"/>
  <c r="AO22" i="11"/>
  <c r="AN22" i="11"/>
  <c r="AM22" i="11"/>
  <c r="AL22" i="11"/>
  <c r="AK22" i="11"/>
  <c r="AJ22" i="11"/>
  <c r="AI22" i="11"/>
  <c r="AI23" i="11" s="1"/>
  <c r="AG22" i="11"/>
  <c r="AH22" i="11"/>
  <c r="BQ21" i="11"/>
  <c r="J21" i="11"/>
  <c r="K21" i="11"/>
  <c r="L21" i="11"/>
  <c r="AO21" i="11" s="1"/>
  <c r="AO23" i="11" s="1"/>
  <c r="BP21" i="11"/>
  <c r="BO21" i="11"/>
  <c r="O21" i="11"/>
  <c r="AR21" i="11"/>
  <c r="AR23" i="11" s="1"/>
  <c r="N21" i="11"/>
  <c r="G21" i="11"/>
  <c r="F21" i="11"/>
  <c r="AI21" i="11" s="1"/>
  <c r="I21" i="11"/>
  <c r="AL21" i="11"/>
  <c r="AL23" i="11" s="1"/>
  <c r="H21" i="11"/>
  <c r="AK21" i="11" s="1"/>
  <c r="AK23" i="11"/>
  <c r="E21" i="11"/>
  <c r="D21" i="11"/>
  <c r="BK17" i="11"/>
  <c r="X19" i="11"/>
  <c r="AC19" i="11"/>
  <c r="AC98" i="11"/>
  <c r="BF98" i="11" s="1"/>
  <c r="AB19" i="11"/>
  <c r="AA19" i="11"/>
  <c r="Z19" i="11"/>
  <c r="Z98" i="11"/>
  <c r="BC98" i="11" s="1"/>
  <c r="Y19" i="11"/>
  <c r="W19" i="11"/>
  <c r="V19" i="11"/>
  <c r="U19" i="11"/>
  <c r="AX19" i="11"/>
  <c r="S19" i="11"/>
  <c r="S98" i="11"/>
  <c r="AV98" i="11" s="1"/>
  <c r="R19" i="11"/>
  <c r="CB18" i="11"/>
  <c r="CA18" i="11"/>
  <c r="BL18" i="11"/>
  <c r="BP18" i="11"/>
  <c r="BP17" i="11"/>
  <c r="BO18" i="11"/>
  <c r="BJ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R18" i="11"/>
  <c r="AR17" i="11"/>
  <c r="AQ18" i="11"/>
  <c r="AP18" i="11"/>
  <c r="AP17" i="11"/>
  <c r="AP19" i="11" s="1"/>
  <c r="AO18" i="11"/>
  <c r="AN18" i="11"/>
  <c r="AN17" i="11"/>
  <c r="AN19" i="11"/>
  <c r="AM18" i="11"/>
  <c r="AM17" i="11"/>
  <c r="AM19" i="11" s="1"/>
  <c r="AL18" i="11"/>
  <c r="AL17" i="11"/>
  <c r="AL19" i="11"/>
  <c r="AK18" i="11"/>
  <c r="AK17" i="11"/>
  <c r="AJ18" i="11"/>
  <c r="AJ19" i="11" s="1"/>
  <c r="AJ17" i="11"/>
  <c r="AI18" i="11"/>
  <c r="AI19" i="11" s="1"/>
  <c r="AG18" i="11"/>
  <c r="AH18" i="11"/>
  <c r="AH17" i="11"/>
  <c r="AD18" i="11"/>
  <c r="P18" i="11"/>
  <c r="CB17" i="11"/>
  <c r="CA17" i="11"/>
  <c r="BQ17" i="11"/>
  <c r="BO17" i="11"/>
  <c r="BI17" i="11"/>
  <c r="BL17" i="11"/>
  <c r="BJ17" i="11"/>
  <c r="BJ63" i="11" s="1"/>
  <c r="BJ81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Q17" i="11"/>
  <c r="AO17" i="11"/>
  <c r="AO19" i="11" s="1"/>
  <c r="AG17" i="11"/>
  <c r="AI17" i="11"/>
  <c r="AD17" i="11"/>
  <c r="P17" i="11"/>
  <c r="W15" i="11"/>
  <c r="AM13" i="11"/>
  <c r="AM15" i="11" s="1"/>
  <c r="AM14" i="11"/>
  <c r="AG14" i="11"/>
  <c r="AH14" i="11"/>
  <c r="AI14" i="11"/>
  <c r="AI13" i="11"/>
  <c r="AI15" i="11" s="1"/>
  <c r="AJ14" i="11"/>
  <c r="AS14" i="11" s="1"/>
  <c r="AK14" i="11"/>
  <c r="AK13" i="11"/>
  <c r="AL14" i="11"/>
  <c r="AL13" i="11"/>
  <c r="AL15" i="11"/>
  <c r="AN14" i="11"/>
  <c r="AO14" i="11"/>
  <c r="AP14" i="11"/>
  <c r="AQ14" i="11"/>
  <c r="AQ15" i="11" s="1"/>
  <c r="AQ13" i="11"/>
  <c r="AR14" i="11"/>
  <c r="AR13" i="11"/>
  <c r="AC15" i="11"/>
  <c r="BF15" i="11"/>
  <c r="AB15" i="11"/>
  <c r="AB94" i="11"/>
  <c r="AA15" i="11"/>
  <c r="Z15" i="11"/>
  <c r="Y15" i="11"/>
  <c r="Y95" i="11"/>
  <c r="AN95" i="11" s="1"/>
  <c r="X15" i="11"/>
  <c r="V15" i="11"/>
  <c r="U15" i="11"/>
  <c r="T15" i="11"/>
  <c r="T94" i="11"/>
  <c r="AI94" i="11" s="1"/>
  <c r="S15" i="11"/>
  <c r="R15" i="11"/>
  <c r="AU15" i="11"/>
  <c r="CB14" i="11"/>
  <c r="CA14" i="11"/>
  <c r="BJ14" i="11"/>
  <c r="BR14" i="11"/>
  <c r="BR13" i="11"/>
  <c r="BQ14" i="11"/>
  <c r="BO14" i="11"/>
  <c r="BL14" i="11"/>
  <c r="BI14" i="11"/>
  <c r="BI13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P13" i="11"/>
  <c r="AO13" i="11"/>
  <c r="AO15" i="11"/>
  <c r="AN13" i="11"/>
  <c r="AN15" i="11"/>
  <c r="AD14" i="11"/>
  <c r="BG14" i="11" s="1"/>
  <c r="P14" i="11"/>
  <c r="CB13" i="11"/>
  <c r="CA13" i="11"/>
  <c r="BQ13" i="11"/>
  <c r="BP13" i="11"/>
  <c r="BO13" i="11"/>
  <c r="BL13" i="11"/>
  <c r="BJ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J13" i="11"/>
  <c r="AH13" i="11"/>
  <c r="AG13" i="11"/>
  <c r="AD13" i="11"/>
  <c r="BG13" i="11" s="1"/>
  <c r="P13" i="11"/>
  <c r="G14" i="12"/>
  <c r="E14" i="12"/>
  <c r="N14" i="12"/>
  <c r="L14" i="12"/>
  <c r="I14" i="12"/>
  <c r="BK6" i="11"/>
  <c r="BJ6" i="11"/>
  <c r="BJ5" i="11"/>
  <c r="BI6" i="11"/>
  <c r="BL6" i="11"/>
  <c r="BL92" i="11" s="1"/>
  <c r="BL5" i="11"/>
  <c r="BL7" i="11"/>
  <c r="BK5" i="11"/>
  <c r="BI5" i="11"/>
  <c r="BN77" i="10"/>
  <c r="BH77" i="10"/>
  <c r="BR77" i="10"/>
  <c r="BL77" i="10"/>
  <c r="BX77" i="10"/>
  <c r="BQ77" i="10"/>
  <c r="BP77" i="10"/>
  <c r="BJ77" i="10"/>
  <c r="BV77" i="10"/>
  <c r="BO77" i="10"/>
  <c r="BI77" i="10"/>
  <c r="BK77" i="10"/>
  <c r="BR76" i="10"/>
  <c r="BX76" i="10" s="1"/>
  <c r="BL76" i="10"/>
  <c r="BQ76" i="10"/>
  <c r="BK76" i="10"/>
  <c r="BW76" i="10" s="1"/>
  <c r="BP76" i="10"/>
  <c r="BO76" i="10"/>
  <c r="BI76" i="10"/>
  <c r="BU76" i="10" s="1"/>
  <c r="BN76" i="10"/>
  <c r="BH76" i="10"/>
  <c r="BJ76" i="10"/>
  <c r="F6" i="10"/>
  <c r="I53" i="10"/>
  <c r="I67" i="10" s="1"/>
  <c r="H52" i="10"/>
  <c r="H66" i="10" s="1"/>
  <c r="E41" i="10"/>
  <c r="E58" i="10" s="1"/>
  <c r="BX54" i="10"/>
  <c r="BW54" i="10"/>
  <c r="BV54" i="10"/>
  <c r="BU54" i="10"/>
  <c r="BT54" i="10"/>
  <c r="O53" i="10"/>
  <c r="O67" i="10"/>
  <c r="N53" i="10"/>
  <c r="N67" i="10"/>
  <c r="M53" i="10"/>
  <c r="M67" i="10"/>
  <c r="L53" i="10"/>
  <c r="K53" i="10"/>
  <c r="K67" i="10" s="1"/>
  <c r="J53" i="10"/>
  <c r="J67" i="10" s="1"/>
  <c r="H53" i="10"/>
  <c r="H67" i="10" s="1"/>
  <c r="G53" i="10"/>
  <c r="G67" i="10" s="1"/>
  <c r="F53" i="10"/>
  <c r="F67" i="10" s="1"/>
  <c r="E53" i="10"/>
  <c r="E67" i="10" s="1"/>
  <c r="D53" i="10"/>
  <c r="D67" i="10" s="1"/>
  <c r="O52" i="10"/>
  <c r="O66" i="10" s="1"/>
  <c r="N52" i="10"/>
  <c r="N66" i="10" s="1"/>
  <c r="M52" i="10"/>
  <c r="M66" i="10" s="1"/>
  <c r="L52" i="10"/>
  <c r="L66" i="10" s="1"/>
  <c r="K52" i="10"/>
  <c r="K66" i="10" s="1"/>
  <c r="J52" i="10"/>
  <c r="J66" i="10" s="1"/>
  <c r="I52" i="10"/>
  <c r="I66" i="10" s="1"/>
  <c r="G52" i="10"/>
  <c r="G66" i="10" s="1"/>
  <c r="F52" i="10"/>
  <c r="F66" i="10" s="1"/>
  <c r="E52" i="10"/>
  <c r="E66" i="10" s="1"/>
  <c r="D52" i="10"/>
  <c r="D66" i="10" s="1"/>
  <c r="BX50" i="10"/>
  <c r="BW50" i="10"/>
  <c r="BV50" i="10"/>
  <c r="BU50" i="10"/>
  <c r="BT50" i="10"/>
  <c r="O49" i="10"/>
  <c r="O64" i="10"/>
  <c r="N49" i="10"/>
  <c r="N64" i="10"/>
  <c r="M49" i="10"/>
  <c r="M64" i="10"/>
  <c r="L49" i="10"/>
  <c r="L64" i="10"/>
  <c r="K49" i="10"/>
  <c r="K64" i="10"/>
  <c r="J49" i="10"/>
  <c r="J64" i="10"/>
  <c r="I49" i="10"/>
  <c r="I64" i="10"/>
  <c r="H49" i="10"/>
  <c r="H64" i="10"/>
  <c r="G49" i="10"/>
  <c r="G64" i="10"/>
  <c r="F49" i="10"/>
  <c r="F64" i="10"/>
  <c r="E49" i="10"/>
  <c r="E64" i="10"/>
  <c r="D49" i="10"/>
  <c r="D64" i="10"/>
  <c r="O48" i="10"/>
  <c r="O63" i="10"/>
  <c r="N48" i="10"/>
  <c r="N63" i="10"/>
  <c r="M48" i="10"/>
  <c r="M63" i="10"/>
  <c r="L48" i="10"/>
  <c r="L63" i="10"/>
  <c r="K48" i="10"/>
  <c r="K63" i="10"/>
  <c r="J48" i="10"/>
  <c r="J63" i="10"/>
  <c r="I48" i="10"/>
  <c r="I63" i="10"/>
  <c r="H48" i="10"/>
  <c r="H63" i="10"/>
  <c r="G48" i="10"/>
  <c r="G63" i="10"/>
  <c r="F48" i="10"/>
  <c r="F63" i="10"/>
  <c r="E48" i="10"/>
  <c r="E63" i="10"/>
  <c r="D48" i="10"/>
  <c r="D63" i="10"/>
  <c r="O45" i="10"/>
  <c r="O61" i="10"/>
  <c r="N45" i="10"/>
  <c r="N61" i="10"/>
  <c r="M45" i="10"/>
  <c r="M61" i="10"/>
  <c r="L45" i="10"/>
  <c r="L61" i="10"/>
  <c r="K45" i="10"/>
  <c r="K61" i="10"/>
  <c r="J45" i="10"/>
  <c r="J61" i="10"/>
  <c r="I45" i="10"/>
  <c r="I61" i="10"/>
  <c r="H45" i="10"/>
  <c r="H61" i="10"/>
  <c r="G45" i="10"/>
  <c r="G61" i="10"/>
  <c r="F45" i="10"/>
  <c r="F61" i="10"/>
  <c r="E45" i="10"/>
  <c r="E61" i="10"/>
  <c r="D45" i="10"/>
  <c r="D61" i="10"/>
  <c r="O44" i="10"/>
  <c r="O60" i="10"/>
  <c r="N44" i="10"/>
  <c r="N60" i="10"/>
  <c r="M44" i="10"/>
  <c r="M60" i="10"/>
  <c r="L44" i="10"/>
  <c r="L60" i="10"/>
  <c r="K44" i="10"/>
  <c r="K60" i="10"/>
  <c r="J44" i="10"/>
  <c r="J60" i="10"/>
  <c r="I44" i="10"/>
  <c r="I60" i="10"/>
  <c r="H44" i="10"/>
  <c r="G44" i="10"/>
  <c r="G60" i="10" s="1"/>
  <c r="F44" i="10"/>
  <c r="F60" i="10" s="1"/>
  <c r="E44" i="10"/>
  <c r="E60" i="10" s="1"/>
  <c r="D44" i="10"/>
  <c r="D60" i="10" s="1"/>
  <c r="O41" i="10"/>
  <c r="O58" i="10" s="1"/>
  <c r="N41" i="10"/>
  <c r="N58" i="10" s="1"/>
  <c r="M41" i="10"/>
  <c r="M58" i="10" s="1"/>
  <c r="L41" i="10"/>
  <c r="L58" i="10" s="1"/>
  <c r="K41" i="10"/>
  <c r="K58" i="10" s="1"/>
  <c r="J41" i="10"/>
  <c r="J58" i="10" s="1"/>
  <c r="I41" i="10"/>
  <c r="I58" i="10" s="1"/>
  <c r="H41" i="10"/>
  <c r="H58" i="10" s="1"/>
  <c r="G41" i="10"/>
  <c r="G58" i="10" s="1"/>
  <c r="F41" i="10"/>
  <c r="F58" i="10" s="1"/>
  <c r="D41" i="10"/>
  <c r="D58" i="10" s="1"/>
  <c r="O40" i="10"/>
  <c r="O57" i="10" s="1"/>
  <c r="N40" i="10"/>
  <c r="N57" i="10" s="1"/>
  <c r="M40" i="10"/>
  <c r="M57" i="10" s="1"/>
  <c r="L40" i="10"/>
  <c r="L57" i="10" s="1"/>
  <c r="K40" i="10"/>
  <c r="K57" i="10" s="1"/>
  <c r="J40" i="10"/>
  <c r="J57" i="10" s="1"/>
  <c r="I40" i="10"/>
  <c r="I57" i="10" s="1"/>
  <c r="H40" i="10"/>
  <c r="H57" i="10" s="1"/>
  <c r="G40" i="10"/>
  <c r="G57" i="10" s="1"/>
  <c r="F40" i="10"/>
  <c r="F57" i="10" s="1"/>
  <c r="E40" i="10"/>
  <c r="E57" i="10" s="1"/>
  <c r="D40" i="10"/>
  <c r="D57" i="10" s="1"/>
  <c r="O56" i="12"/>
  <c r="O32" i="10"/>
  <c r="M56" i="12"/>
  <c r="J56" i="12"/>
  <c r="K56" i="12"/>
  <c r="L56" i="12"/>
  <c r="I56" i="12"/>
  <c r="H56" i="12"/>
  <c r="F56" i="12"/>
  <c r="BK35" i="10"/>
  <c r="BJ35" i="10"/>
  <c r="BJ34" i="10"/>
  <c r="BI35" i="10"/>
  <c r="BH35" i="10"/>
  <c r="P35" i="10"/>
  <c r="P17" i="10"/>
  <c r="P53" i="10"/>
  <c r="P67" i="10" s="1"/>
  <c r="BK34" i="10"/>
  <c r="BL34" i="10" s="1"/>
  <c r="BI34" i="10"/>
  <c r="BI36" i="10"/>
  <c r="BH34" i="10"/>
  <c r="P34" i="10"/>
  <c r="N32" i="10"/>
  <c r="N55" i="12"/>
  <c r="N69" i="12" s="1"/>
  <c r="M32" i="10"/>
  <c r="L32" i="10"/>
  <c r="K32" i="10"/>
  <c r="J32" i="10"/>
  <c r="I32" i="10"/>
  <c r="H32" i="10"/>
  <c r="H38" i="10"/>
  <c r="H55" i="12"/>
  <c r="G32" i="10"/>
  <c r="G55" i="12" s="1"/>
  <c r="F32" i="10"/>
  <c r="E32" i="10"/>
  <c r="D32" i="10"/>
  <c r="D55" i="12" s="1"/>
  <c r="D38" i="10"/>
  <c r="D39" i="10" s="1"/>
  <c r="BK31" i="10"/>
  <c r="BK30" i="10"/>
  <c r="BK32" i="10"/>
  <c r="BK22" i="10"/>
  <c r="BK23" i="10"/>
  <c r="BK24" i="10" s="1"/>
  <c r="BK26" i="10"/>
  <c r="BK44" i="10" s="1"/>
  <c r="BK60" i="10" s="1"/>
  <c r="BK27" i="10"/>
  <c r="BK28" i="10"/>
  <c r="BJ31" i="10"/>
  <c r="BJ30" i="10"/>
  <c r="BI31" i="10"/>
  <c r="BH31" i="10"/>
  <c r="BH30" i="10"/>
  <c r="BH22" i="10"/>
  <c r="BH23" i="10"/>
  <c r="BH5" i="10"/>
  <c r="BH26" i="10"/>
  <c r="BH8" i="10"/>
  <c r="BH27" i="10"/>
  <c r="BI27" i="10"/>
  <c r="BJ27" i="10"/>
  <c r="BJ9" i="10"/>
  <c r="BJ45" i="10"/>
  <c r="BJ61" i="10" s="1"/>
  <c r="P31" i="10"/>
  <c r="P30" i="10"/>
  <c r="P32" i="10"/>
  <c r="BI30" i="10"/>
  <c r="P12" i="10"/>
  <c r="P48" i="10" s="1"/>
  <c r="P63" i="10"/>
  <c r="BJ26" i="10"/>
  <c r="BI26" i="10"/>
  <c r="H54" i="12"/>
  <c r="G54" i="12"/>
  <c r="D54" i="12"/>
  <c r="BK9" i="10"/>
  <c r="P27" i="10"/>
  <c r="BK8" i="10"/>
  <c r="BK10" i="10"/>
  <c r="BI8" i="10"/>
  <c r="BJ8" i="10"/>
  <c r="BJ10" i="10" s="1"/>
  <c r="BJ74" i="10" s="1"/>
  <c r="P26" i="10"/>
  <c r="M53" i="12"/>
  <c r="F53" i="12"/>
  <c r="D53" i="12"/>
  <c r="E53" i="12"/>
  <c r="D76" i="12" s="1"/>
  <c r="BK5" i="10"/>
  <c r="BK4" i="10"/>
  <c r="BJ23" i="10"/>
  <c r="BJ5" i="10"/>
  <c r="BI23" i="10"/>
  <c r="P23" i="10"/>
  <c r="P41" i="10" s="1"/>
  <c r="P5" i="10"/>
  <c r="P58" i="10"/>
  <c r="P22" i="10"/>
  <c r="P24" i="10"/>
  <c r="BJ22" i="10"/>
  <c r="BI22" i="10"/>
  <c r="O18" i="10"/>
  <c r="N18" i="10"/>
  <c r="M18" i="10"/>
  <c r="M80" i="10" s="1"/>
  <c r="L18" i="10"/>
  <c r="K18" i="10"/>
  <c r="K80" i="10"/>
  <c r="J18" i="10"/>
  <c r="J80" i="10"/>
  <c r="I18" i="10"/>
  <c r="H18" i="10"/>
  <c r="G18" i="10"/>
  <c r="F18" i="10"/>
  <c r="E18" i="10"/>
  <c r="E79" i="10" s="1"/>
  <c r="D18" i="10"/>
  <c r="BK17" i="10"/>
  <c r="BK16" i="10"/>
  <c r="BH16" i="10"/>
  <c r="BI16" i="10"/>
  <c r="BJ16" i="10"/>
  <c r="BJ17" i="10"/>
  <c r="BI17" i="10"/>
  <c r="BH17" i="10"/>
  <c r="P16" i="10"/>
  <c r="O14" i="10"/>
  <c r="N14" i="10"/>
  <c r="M14" i="10"/>
  <c r="M77" i="10" s="1"/>
  <c r="L14" i="10"/>
  <c r="K14" i="10"/>
  <c r="J14" i="10"/>
  <c r="J8" i="12"/>
  <c r="J76" i="10"/>
  <c r="I14" i="10"/>
  <c r="H14" i="10"/>
  <c r="H76" i="10"/>
  <c r="G14" i="10"/>
  <c r="F14" i="10"/>
  <c r="E14" i="10"/>
  <c r="E77" i="10" s="1"/>
  <c r="D14" i="10"/>
  <c r="BK13" i="10"/>
  <c r="BJ13" i="10"/>
  <c r="BJ12" i="10"/>
  <c r="BJ4" i="10"/>
  <c r="BI13" i="10"/>
  <c r="BH13" i="10"/>
  <c r="BI12" i="10"/>
  <c r="BH12" i="10"/>
  <c r="BL12" i="10" s="1"/>
  <c r="BK12" i="10"/>
  <c r="BK14" i="10"/>
  <c r="P13" i="10"/>
  <c r="P14" i="10" s="1"/>
  <c r="O10" i="10"/>
  <c r="O7" i="12"/>
  <c r="N10" i="10"/>
  <c r="N7" i="12"/>
  <c r="N73" i="10"/>
  <c r="M10" i="10"/>
  <c r="L10" i="10"/>
  <c r="K10" i="10"/>
  <c r="K73" i="10"/>
  <c r="J10" i="10"/>
  <c r="J7" i="12"/>
  <c r="I10" i="10"/>
  <c r="H10" i="10"/>
  <c r="G10" i="10"/>
  <c r="F10" i="10"/>
  <c r="E10" i="10"/>
  <c r="E7" i="12" s="1"/>
  <c r="D10" i="10"/>
  <c r="BI9" i="10"/>
  <c r="BI10" i="10" s="1"/>
  <c r="BH9" i="10"/>
  <c r="P9" i="10"/>
  <c r="P8" i="10"/>
  <c r="P10" i="10" s="1"/>
  <c r="O6" i="10"/>
  <c r="O6" i="12"/>
  <c r="N6" i="10"/>
  <c r="M6" i="10"/>
  <c r="L6" i="10"/>
  <c r="L6" i="12" s="1"/>
  <c r="K6" i="10"/>
  <c r="J6" i="10"/>
  <c r="J71" i="10"/>
  <c r="I6" i="10"/>
  <c r="I6" i="12"/>
  <c r="H6" i="10"/>
  <c r="G6" i="10"/>
  <c r="E6" i="10"/>
  <c r="E70" i="10"/>
  <c r="D6" i="10"/>
  <c r="D71" i="10"/>
  <c r="D6" i="12"/>
  <c r="BI5" i="10"/>
  <c r="BI4" i="10"/>
  <c r="BH4" i="10"/>
  <c r="P4" i="10"/>
  <c r="P6" i="10" s="1"/>
  <c r="BB59" i="11"/>
  <c r="AI67" i="11"/>
  <c r="AI69" i="11" s="1"/>
  <c r="AW67" i="11"/>
  <c r="AJ59" i="11"/>
  <c r="AX59" i="11"/>
  <c r="CB23" i="11"/>
  <c r="BG42" i="11"/>
  <c r="AI63" i="11"/>
  <c r="AI65" i="11" s="1"/>
  <c r="AA95" i="11"/>
  <c r="AP95" i="11" s="1"/>
  <c r="AI64" i="11"/>
  <c r="AA78" i="11"/>
  <c r="BD78" i="11" s="1"/>
  <c r="AA82" i="11"/>
  <c r="BD82" i="11" s="1"/>
  <c r="AG59" i="11"/>
  <c r="AU59" i="11"/>
  <c r="AV64" i="11"/>
  <c r="AZ67" i="11"/>
  <c r="V78" i="11"/>
  <c r="AY78" i="11" s="1"/>
  <c r="AK59" i="11"/>
  <c r="BD63" i="11"/>
  <c r="AH64" i="11"/>
  <c r="AU68" i="11"/>
  <c r="G53" i="12"/>
  <c r="K53" i="12"/>
  <c r="M15" i="12"/>
  <c r="N54" i="12"/>
  <c r="D70" i="10"/>
  <c r="D73" i="10"/>
  <c r="H60" i="10"/>
  <c r="BV42" i="11"/>
  <c r="AW68" i="11"/>
  <c r="AI68" i="11"/>
  <c r="BE68" i="11"/>
  <c r="AQ68" i="11"/>
  <c r="L67" i="10"/>
  <c r="BK7" i="11"/>
  <c r="J13" i="12"/>
  <c r="K13" i="12"/>
  <c r="O13" i="12"/>
  <c r="AA97" i="11"/>
  <c r="BD97" i="11" s="1"/>
  <c r="O32" i="11"/>
  <c r="O60" i="12" s="1"/>
  <c r="BR59" i="11"/>
  <c r="BR78" i="11"/>
  <c r="BA59" i="11"/>
  <c r="AM59" i="11"/>
  <c r="BF63" i="11"/>
  <c r="AC81" i="11"/>
  <c r="AR81" i="11"/>
  <c r="Y82" i="11"/>
  <c r="AN82" i="11"/>
  <c r="AN64" i="11"/>
  <c r="AC82" i="11"/>
  <c r="BF64" i="11"/>
  <c r="AR64" i="11"/>
  <c r="BB68" i="11"/>
  <c r="AN68" i="11"/>
  <c r="F73" i="10"/>
  <c r="AW15" i="11"/>
  <c r="BP101" i="11"/>
  <c r="BP23" i="11"/>
  <c r="AK16" i="12"/>
  <c r="I53" i="12"/>
  <c r="BX43" i="11"/>
  <c r="AR63" i="11"/>
  <c r="AR65" i="11"/>
  <c r="R94" i="11"/>
  <c r="AG94" i="11" s="1"/>
  <c r="U71" i="12"/>
  <c r="Z79" i="11"/>
  <c r="AO79" i="11"/>
  <c r="BC60" i="11"/>
  <c r="R81" i="11"/>
  <c r="AU81" i="11" s="1"/>
  <c r="V81" i="11"/>
  <c r="AY81" i="11"/>
  <c r="AK63" i="11"/>
  <c r="AK65" i="11"/>
  <c r="AX67" i="11"/>
  <c r="Z94" i="11"/>
  <c r="AO94" i="11" s="1"/>
  <c r="BI44" i="11"/>
  <c r="M52" i="11"/>
  <c r="M62" i="12" s="1"/>
  <c r="BK51" i="11"/>
  <c r="BK72" i="11" s="1"/>
  <c r="W78" i="11"/>
  <c r="AZ59" i="11"/>
  <c r="AP59" i="11"/>
  <c r="AV60" i="11"/>
  <c r="W79" i="11"/>
  <c r="AZ60" i="11"/>
  <c r="AL60" i="11"/>
  <c r="AP60" i="11"/>
  <c r="AO60" i="11"/>
  <c r="CB63" i="11"/>
  <c r="BA64" i="11"/>
  <c r="V85" i="11"/>
  <c r="AK67" i="11"/>
  <c r="AK69" i="11" s="1"/>
  <c r="AO67" i="11"/>
  <c r="AO69" i="11" s="1"/>
  <c r="W95" i="11"/>
  <c r="AL95" i="11" s="1"/>
  <c r="AN59" i="11"/>
  <c r="BW84" i="11"/>
  <c r="J47" i="12"/>
  <c r="M24" i="12"/>
  <c r="BB82" i="11"/>
  <c r="S350" i="3"/>
  <c r="R350" i="3"/>
  <c r="Q350" i="3"/>
  <c r="O350" i="3"/>
  <c r="N350" i="3"/>
  <c r="L350" i="3"/>
  <c r="G350" i="3"/>
  <c r="H350" i="3"/>
  <c r="F350" i="3"/>
  <c r="S319" i="3"/>
  <c r="R319" i="3"/>
  <c r="Q319" i="3"/>
  <c r="O319" i="3"/>
  <c r="N319" i="3"/>
  <c r="L319" i="3"/>
  <c r="H319" i="3"/>
  <c r="G319" i="3"/>
  <c r="F319" i="3"/>
  <c r="L287" i="3"/>
  <c r="S287" i="3"/>
  <c r="R287" i="3"/>
  <c r="Q287" i="3"/>
  <c r="O287" i="3"/>
  <c r="N287" i="3"/>
  <c r="H287" i="3"/>
  <c r="F287" i="3"/>
  <c r="S256" i="3"/>
  <c r="R256" i="3"/>
  <c r="Q256" i="3"/>
  <c r="Q37" i="3"/>
  <c r="Q66" i="3"/>
  <c r="Q98" i="3"/>
  <c r="Q129" i="3"/>
  <c r="Q161" i="3"/>
  <c r="Q192" i="3"/>
  <c r="Q224" i="3"/>
  <c r="O256" i="3"/>
  <c r="O37" i="3"/>
  <c r="O66" i="3"/>
  <c r="O4" i="3" s="1"/>
  <c r="O98" i="3"/>
  <c r="O129" i="3"/>
  <c r="O161" i="3"/>
  <c r="O192" i="3"/>
  <c r="O224" i="3"/>
  <c r="N256" i="3"/>
  <c r="L256" i="3"/>
  <c r="H256" i="3"/>
  <c r="H4" i="3" s="1"/>
  <c r="G256" i="3"/>
  <c r="F256" i="3"/>
  <c r="S224" i="3"/>
  <c r="S37" i="3"/>
  <c r="S66" i="3"/>
  <c r="S98" i="3"/>
  <c r="S129" i="3"/>
  <c r="S161" i="3"/>
  <c r="S192" i="3"/>
  <c r="R224" i="3"/>
  <c r="R37" i="3"/>
  <c r="R66" i="3"/>
  <c r="R98" i="3"/>
  <c r="R129" i="3"/>
  <c r="R161" i="3"/>
  <c r="R192" i="3"/>
  <c r="N224" i="3"/>
  <c r="N37" i="3"/>
  <c r="N66" i="3"/>
  <c r="N98" i="3"/>
  <c r="N129" i="3"/>
  <c r="N161" i="3"/>
  <c r="N192" i="3"/>
  <c r="L224" i="3"/>
  <c r="L37" i="3"/>
  <c r="L66" i="3"/>
  <c r="L98" i="3"/>
  <c r="L129" i="3"/>
  <c r="L161" i="3"/>
  <c r="L192" i="3"/>
  <c r="H224" i="3"/>
  <c r="H37" i="3"/>
  <c r="H66" i="3"/>
  <c r="H98" i="3"/>
  <c r="H129" i="3"/>
  <c r="H161" i="3"/>
  <c r="H192" i="3"/>
  <c r="F224" i="3"/>
  <c r="F37" i="3"/>
  <c r="F66" i="3"/>
  <c r="F98" i="3"/>
  <c r="F129" i="3"/>
  <c r="F161" i="3"/>
  <c r="F192" i="3"/>
  <c r="G224" i="3"/>
  <c r="G37" i="3"/>
  <c r="G66" i="3"/>
  <c r="G98" i="3"/>
  <c r="G129" i="3"/>
  <c r="G192" i="3"/>
  <c r="S5" i="3"/>
  <c r="R5" i="3"/>
  <c r="Q5" i="3"/>
  <c r="P5" i="3"/>
  <c r="O5" i="3"/>
  <c r="N5" i="3"/>
  <c r="L5" i="3"/>
  <c r="J5" i="3"/>
  <c r="I5" i="3"/>
  <c r="H5" i="3"/>
  <c r="G5" i="3"/>
  <c r="F5" i="3"/>
  <c r="E5" i="3"/>
  <c r="D5" i="3"/>
  <c r="C5" i="3"/>
  <c r="V65" i="2"/>
  <c r="T65" i="2"/>
  <c r="R65" i="2"/>
  <c r="P65" i="2"/>
  <c r="L65" i="2"/>
  <c r="K65" i="2"/>
  <c r="J65" i="2"/>
  <c r="I65" i="2"/>
  <c r="H65" i="2"/>
  <c r="G65" i="2"/>
  <c r="S95" i="11"/>
  <c r="AH95" i="11" s="1"/>
  <c r="W98" i="11"/>
  <c r="AZ98" i="11" s="1"/>
  <c r="J52" i="11"/>
  <c r="J62" i="12" s="1"/>
  <c r="BO19" i="11"/>
  <c r="BO97" i="11" s="1"/>
  <c r="BO63" i="11"/>
  <c r="BO81" i="11" s="1"/>
  <c r="H77" i="10"/>
  <c r="H8" i="12"/>
  <c r="H22" i="12"/>
  <c r="N79" i="10"/>
  <c r="AG15" i="11"/>
  <c r="AW63" i="11"/>
  <c r="M71" i="10"/>
  <c r="L77" i="10"/>
  <c r="BJ48" i="11"/>
  <c r="BM47" i="11"/>
  <c r="AO68" i="11"/>
  <c r="BI6" i="10"/>
  <c r="I71" i="10"/>
  <c r="BW47" i="11"/>
  <c r="BI41" i="10"/>
  <c r="BI58" i="10" s="1"/>
  <c r="E54" i="12"/>
  <c r="BV76" i="10"/>
  <c r="D36" i="11"/>
  <c r="D61" i="12"/>
  <c r="J53" i="12"/>
  <c r="G56" i="12"/>
  <c r="G79" i="12" s="1"/>
  <c r="G38" i="10"/>
  <c r="AZ15" i="11"/>
  <c r="W94" i="11"/>
  <c r="AL94" i="11" s="1"/>
  <c r="BG39" i="11"/>
  <c r="AD60" i="11"/>
  <c r="BG60" i="11"/>
  <c r="BP40" i="11"/>
  <c r="BW77" i="10"/>
  <c r="CA40" i="11"/>
  <c r="AG44" i="11"/>
  <c r="H24" i="12"/>
  <c r="AC82" i="16"/>
  <c r="AE18" i="16"/>
  <c r="AI27" i="16"/>
  <c r="AD22" i="16"/>
  <c r="BF65" i="16"/>
  <c r="BG65" i="16" s="1"/>
  <c r="BH65" i="16" s="1"/>
  <c r="BI65" i="16" s="1"/>
  <c r="BJ65" i="16" s="1"/>
  <c r="AT58" i="16"/>
  <c r="AU17" i="16"/>
  <c r="AV16" i="16"/>
  <c r="AU37" i="16"/>
  <c r="AU77" i="16"/>
  <c r="Z22" i="16"/>
  <c r="P42" i="16"/>
  <c r="AF79" i="16"/>
  <c r="AR58" i="16"/>
  <c r="AN22" i="16"/>
  <c r="AD14" i="16"/>
  <c r="AS42" i="16"/>
  <c r="AS64" i="16"/>
  <c r="AS65" i="16" s="1"/>
  <c r="AT65" i="16"/>
  <c r="AU21" i="16"/>
  <c r="AU64" i="16"/>
  <c r="AO64" i="16"/>
  <c r="AO67" i="16" s="1"/>
  <c r="AO68" i="16" s="1"/>
  <c r="AK22" i="16"/>
  <c r="AK64" i="16"/>
  <c r="AK70" i="16"/>
  <c r="T42" i="16"/>
  <c r="AT22" i="16"/>
  <c r="AI20" i="16"/>
  <c r="AF70" i="16"/>
  <c r="AQ84" i="16"/>
  <c r="AD18" i="16"/>
  <c r="V50" i="16"/>
  <c r="AI12" i="16"/>
  <c r="AI31" i="16"/>
  <c r="BG54" i="16"/>
  <c r="BH54" i="16" s="1"/>
  <c r="BI54" i="16" s="1"/>
  <c r="BJ54" i="16" s="1"/>
  <c r="BK54" i="16"/>
  <c r="T85" i="16"/>
  <c r="AU29" i="16"/>
  <c r="AU75" i="16"/>
  <c r="AV40" i="16"/>
  <c r="AV36" i="16"/>
  <c r="AY36" i="16" s="1"/>
  <c r="AY16" i="16"/>
  <c r="AV35" i="16"/>
  <c r="AV39" i="16"/>
  <c r="AV15" i="16"/>
  <c r="AU41" i="16"/>
  <c r="AV19" i="16"/>
  <c r="AV20" i="16"/>
  <c r="AY20" i="16"/>
  <c r="AV12" i="16"/>
  <c r="AY12" i="16"/>
  <c r="AV11" i="16"/>
  <c r="AU13" i="16"/>
  <c r="AU52" i="16" s="1"/>
  <c r="AV8" i="16"/>
  <c r="AU9" i="16"/>
  <c r="AV7" i="16"/>
  <c r="N56" i="12"/>
  <c r="N38" i="10"/>
  <c r="O53" i="12"/>
  <c r="AQ19" i="11"/>
  <c r="BL64" i="11"/>
  <c r="R97" i="11"/>
  <c r="AU97" i="11" s="1"/>
  <c r="R98" i="11"/>
  <c r="AU98" i="11" s="1"/>
  <c r="AU19" i="11"/>
  <c r="L60" i="12"/>
  <c r="L67" i="12" s="1"/>
  <c r="L53" i="12"/>
  <c r="AS39" i="11"/>
  <c r="AI60" i="11"/>
  <c r="T79" i="11"/>
  <c r="AW79" i="11" s="1"/>
  <c r="E6" i="12"/>
  <c r="E71" i="10"/>
  <c r="I70" i="10"/>
  <c r="N8" i="12"/>
  <c r="N22" i="12"/>
  <c r="N77" i="10"/>
  <c r="N76" i="10"/>
  <c r="CB81" i="11"/>
  <c r="BK53" i="10"/>
  <c r="BK67" i="10" s="1"/>
  <c r="BK40" i="10"/>
  <c r="BK57" i="10" s="1"/>
  <c r="CA60" i="11"/>
  <c r="U79" i="11"/>
  <c r="AJ79" i="11" s="1"/>
  <c r="W81" i="11"/>
  <c r="AZ63" i="11"/>
  <c r="AL55" i="16"/>
  <c r="AL56" i="16"/>
  <c r="AL58" i="16"/>
  <c r="AL61" i="16"/>
  <c r="AQ83" i="16"/>
  <c r="AL22" i="16"/>
  <c r="AK67" i="16"/>
  <c r="AK68" i="16"/>
  <c r="AY35" i="16"/>
  <c r="BS47" i="11"/>
  <c r="BS68" i="11" s="1"/>
  <c r="N53" i="12"/>
  <c r="M76" i="12" s="1"/>
  <c r="BE81" i="11"/>
  <c r="BU38" i="11"/>
  <c r="J20" i="10"/>
  <c r="J82" i="10" s="1"/>
  <c r="J83" i="10" s="1"/>
  <c r="K74" i="10"/>
  <c r="K7" i="12"/>
  <c r="O80" i="10"/>
  <c r="O54" i="12"/>
  <c r="AP78" i="11"/>
  <c r="H53" i="12"/>
  <c r="BF40" i="11"/>
  <c r="AZ44" i="11"/>
  <c r="N401" i="3"/>
  <c r="U405" i="3"/>
  <c r="R403" i="3"/>
  <c r="R401" i="3"/>
  <c r="R405" i="3"/>
  <c r="R410" i="3"/>
  <c r="R411" i="3"/>
  <c r="L402" i="3"/>
  <c r="D56" i="12"/>
  <c r="E28" i="11"/>
  <c r="AP46" i="16"/>
  <c r="AP49" i="16"/>
  <c r="AP50" i="16" s="1"/>
  <c r="AP70" i="16"/>
  <c r="L70" i="12"/>
  <c r="L412" i="3"/>
  <c r="U391" i="3"/>
  <c r="N405" i="3"/>
  <c r="AN70" i="16"/>
  <c r="I9" i="12"/>
  <c r="M79" i="12"/>
  <c r="BJ15" i="11"/>
  <c r="CA15" i="11"/>
  <c r="CB40" i="11"/>
  <c r="BU42" i="11"/>
  <c r="AR61" i="16"/>
  <c r="AR62" i="16"/>
  <c r="I73" i="10"/>
  <c r="I80" i="10"/>
  <c r="I79" i="10"/>
  <c r="AM63" i="12"/>
  <c r="P401" i="3"/>
  <c r="N408" i="3"/>
  <c r="BL63" i="11"/>
  <c r="BW17" i="11"/>
  <c r="AC97" i="11"/>
  <c r="BF97" i="11"/>
  <c r="BF19" i="11"/>
  <c r="AM64" i="11"/>
  <c r="X82" i="11"/>
  <c r="AJ67" i="11"/>
  <c r="AJ69" i="11" s="1"/>
  <c r="CA67" i="11"/>
  <c r="U85" i="11"/>
  <c r="K32" i="11"/>
  <c r="M86" i="12"/>
  <c r="AV16" i="12"/>
  <c r="AF63" i="12"/>
  <c r="G71" i="10"/>
  <c r="J73" i="10"/>
  <c r="AB95" i="11"/>
  <c r="AQ95" i="11" s="1"/>
  <c r="AQ94" i="11"/>
  <c r="BR48" i="11"/>
  <c r="R79" i="11"/>
  <c r="AG79" i="11"/>
  <c r="AG60" i="11"/>
  <c r="AU60" i="11"/>
  <c r="L408" i="3"/>
  <c r="P70" i="10"/>
  <c r="AP63" i="11"/>
  <c r="AP65" i="11" s="1"/>
  <c r="AA81" i="11"/>
  <c r="P7" i="11"/>
  <c r="P28" i="11" s="1"/>
  <c r="N74" i="10"/>
  <c r="BO23" i="11"/>
  <c r="E32" i="11"/>
  <c r="K79" i="10"/>
  <c r="K20" i="10"/>
  <c r="K82" i="10" s="1"/>
  <c r="K83" i="10" s="1"/>
  <c r="AD15" i="11"/>
  <c r="AD94" i="11"/>
  <c r="AP15" i="11"/>
  <c r="BP48" i="11"/>
  <c r="BV48" i="11" s="1"/>
  <c r="BP67" i="11"/>
  <c r="AX44" i="11"/>
  <c r="BX84" i="11"/>
  <c r="P406" i="3"/>
  <c r="L401" i="3"/>
  <c r="AY32" i="16"/>
  <c r="AE10" i="16"/>
  <c r="AL76" i="16"/>
  <c r="AL42" i="16"/>
  <c r="BD64" i="11"/>
  <c r="CA59" i="11"/>
  <c r="AR19" i="11"/>
  <c r="N404" i="3"/>
  <c r="AI11" i="16"/>
  <c r="U22" i="16"/>
  <c r="AS79" i="16"/>
  <c r="AQ79" i="16"/>
  <c r="AQ42" i="16"/>
  <c r="BP85" i="11"/>
  <c r="BJ21" i="11"/>
  <c r="BJ67" i="11"/>
  <c r="BL81" i="11"/>
  <c r="P71" i="10"/>
  <c r="AM82" i="11"/>
  <c r="BA82" i="11"/>
  <c r="AV63" i="12"/>
  <c r="CA85" i="11"/>
  <c r="AX85" i="11"/>
  <c r="Y401" i="3"/>
  <c r="K62" i="12"/>
  <c r="K70" i="12"/>
  <c r="AY39" i="16"/>
  <c r="BE59" i="16"/>
  <c r="AK78" i="16"/>
  <c r="AT47" i="16"/>
  <c r="AT49" i="16"/>
  <c r="BL82" i="11"/>
  <c r="BG47" i="16"/>
  <c r="BH47" i="16" s="1"/>
  <c r="BI47" i="16" s="1"/>
  <c r="BJ47" i="16" s="1"/>
  <c r="BK47" i="16" s="1"/>
  <c r="BL47" i="16" s="1"/>
  <c r="AP82" i="11"/>
  <c r="BJ31" i="11"/>
  <c r="AM63" i="11"/>
  <c r="AM65" i="11" s="1"/>
  <c r="BA63" i="11"/>
  <c r="X81" i="11"/>
  <c r="BA81" i="11"/>
  <c r="K21" i="12"/>
  <c r="AU53" i="16"/>
  <c r="BI45" i="10"/>
  <c r="BI61" i="10" s="1"/>
  <c r="M73" i="10"/>
  <c r="M7" i="12"/>
  <c r="M74" i="10"/>
  <c r="BI18" i="10"/>
  <c r="BI80" i="10"/>
  <c r="BI52" i="10"/>
  <c r="BI66" i="10"/>
  <c r="BI79" i="10"/>
  <c r="BJ24" i="10"/>
  <c r="BJ41" i="10"/>
  <c r="BJ58" i="10"/>
  <c r="BI73" i="10"/>
  <c r="BI44" i="10"/>
  <c r="BI60" i="10" s="1"/>
  <c r="AK78" i="11"/>
  <c r="CB78" i="11"/>
  <c r="G70" i="10"/>
  <c r="G6" i="12"/>
  <c r="K8" i="12"/>
  <c r="K22" i="12" s="1"/>
  <c r="K9" i="12"/>
  <c r="K23" i="12"/>
  <c r="O76" i="10"/>
  <c r="E9" i="12"/>
  <c r="E80" i="10"/>
  <c r="BV13" i="11"/>
  <c r="BU47" i="11"/>
  <c r="BI68" i="11"/>
  <c r="F52" i="11"/>
  <c r="F62" i="12" s="1"/>
  <c r="BJ50" i="11"/>
  <c r="BJ71" i="11"/>
  <c r="BJ87" i="11" s="1"/>
  <c r="G52" i="11"/>
  <c r="G62" i="12" s="1"/>
  <c r="G70" i="12" s="1"/>
  <c r="AW81" i="11"/>
  <c r="BS46" i="11"/>
  <c r="CB85" i="11"/>
  <c r="AY85" i="11"/>
  <c r="J70" i="10"/>
  <c r="J74" i="10"/>
  <c r="J6" i="12"/>
  <c r="G73" i="10"/>
  <c r="BH32" i="10"/>
  <c r="G36" i="11"/>
  <c r="G61" i="12" s="1"/>
  <c r="BX39" i="11"/>
  <c r="BL40" i="11"/>
  <c r="BJ60" i="11"/>
  <c r="BJ79" i="11"/>
  <c r="AM16" i="12"/>
  <c r="BL4" i="10"/>
  <c r="O73" i="10"/>
  <c r="O74" i="10"/>
  <c r="BH14" i="10"/>
  <c r="E76" i="10"/>
  <c r="E8" i="12"/>
  <c r="E22" i="12" s="1"/>
  <c r="L55" i="12"/>
  <c r="L38" i="10"/>
  <c r="I13" i="12"/>
  <c r="H28" i="11"/>
  <c r="Z24" i="12"/>
  <c r="AA24" i="12"/>
  <c r="BC24" i="12" s="1"/>
  <c r="AC16" i="12"/>
  <c r="BE16" i="12" s="1"/>
  <c r="N61" i="12"/>
  <c r="AC68" i="16"/>
  <c r="V85" i="16"/>
  <c r="BH48" i="16"/>
  <c r="BU77" i="10"/>
  <c r="AH63" i="11"/>
  <c r="AH65" i="11"/>
  <c r="S81" i="11"/>
  <c r="L28" i="11"/>
  <c r="BL55" i="11"/>
  <c r="BL75" i="11" s="1"/>
  <c r="BS22" i="11"/>
  <c r="BQ101" i="11"/>
  <c r="X98" i="11"/>
  <c r="BA98" i="11" s="1"/>
  <c r="R95" i="11"/>
  <c r="AG95" i="11" s="1"/>
  <c r="D80" i="10"/>
  <c r="J77" i="10"/>
  <c r="AV63" i="11"/>
  <c r="BS38" i="11"/>
  <c r="BY38" i="11" s="1"/>
  <c r="K28" i="11"/>
  <c r="BU22" i="11"/>
  <c r="BI64" i="11"/>
  <c r="BM43" i="11"/>
  <c r="N28" i="11"/>
  <c r="N13" i="12"/>
  <c r="V16" i="12"/>
  <c r="AM67" i="16"/>
  <c r="AM68" i="16"/>
  <c r="AM85" i="16" s="1"/>
  <c r="AP84" i="16"/>
  <c r="C82" i="2"/>
  <c r="Y71" i="2"/>
  <c r="AH77" i="2"/>
  <c r="AA412" i="3"/>
  <c r="BS100" i="11"/>
  <c r="F53" i="11"/>
  <c r="BI74" i="10"/>
  <c r="AM81" i="11"/>
  <c r="O76" i="2"/>
  <c r="O82" i="2" s="1"/>
  <c r="BF81" i="11"/>
  <c r="BH28" i="10"/>
  <c r="V94" i="11"/>
  <c r="AK94" i="11" s="1"/>
  <c r="Z95" i="11"/>
  <c r="AO95" i="11" s="1"/>
  <c r="BC15" i="11"/>
  <c r="BP63" i="11"/>
  <c r="BV63" i="11" s="1"/>
  <c r="AV13" i="16"/>
  <c r="E74" i="10"/>
  <c r="BI14" i="10"/>
  <c r="M9" i="12"/>
  <c r="M79" i="10"/>
  <c r="BK45" i="10"/>
  <c r="BK61" i="10" s="1"/>
  <c r="BJ28" i="10"/>
  <c r="BT76" i="10"/>
  <c r="BH18" i="10"/>
  <c r="BJ44" i="10"/>
  <c r="BJ60" i="10" s="1"/>
  <c r="BJ73" i="10"/>
  <c r="P77" i="10"/>
  <c r="Y94" i="11"/>
  <c r="AN94" i="11"/>
  <c r="BB15" i="11"/>
  <c r="BQ60" i="11"/>
  <c r="AL67" i="11"/>
  <c r="AL69" i="11" s="1"/>
  <c r="W85" i="11"/>
  <c r="AZ85" i="11" s="1"/>
  <c r="N22" i="16"/>
  <c r="AG80" i="2"/>
  <c r="L407" i="3"/>
  <c r="L403" i="3"/>
  <c r="L406" i="3"/>
  <c r="L409" i="3"/>
  <c r="L411" i="3"/>
  <c r="AY84" i="11"/>
  <c r="O28" i="11"/>
  <c r="V22" i="16"/>
  <c r="U50" i="16"/>
  <c r="U82" i="16" s="1"/>
  <c r="AF49" i="16"/>
  <c r="AT53" i="16"/>
  <c r="AT55" i="16"/>
  <c r="Y22" i="16"/>
  <c r="O66" i="2"/>
  <c r="Y70" i="2"/>
  <c r="AP85" i="16"/>
  <c r="AA79" i="2"/>
  <c r="BP81" i="11"/>
  <c r="BV81" i="11" s="1"/>
  <c r="E73" i="10"/>
  <c r="L73" i="10"/>
  <c r="U407" i="3"/>
  <c r="AI79" i="11"/>
  <c r="AT59" i="16"/>
  <c r="BY47" i="11"/>
  <c r="H74" i="10"/>
  <c r="D8" i="12"/>
  <c r="D22" i="12" s="1"/>
  <c r="D76" i="10"/>
  <c r="I20" i="10"/>
  <c r="I82" i="10" s="1"/>
  <c r="I83" i="10" s="1"/>
  <c r="L8" i="12"/>
  <c r="L22" i="12" s="1"/>
  <c r="L76" i="10"/>
  <c r="BH53" i="10"/>
  <c r="BH67" i="10" s="1"/>
  <c r="BH36" i="10"/>
  <c r="BH52" i="10"/>
  <c r="BH66" i="10"/>
  <c r="AA94" i="11"/>
  <c r="AP94" i="11" s="1"/>
  <c r="BD15" i="11"/>
  <c r="BA19" i="11"/>
  <c r="X97" i="11"/>
  <c r="BA97" i="11" s="1"/>
  <c r="AH21" i="11"/>
  <c r="AH23" i="11" s="1"/>
  <c r="Y71" i="16"/>
  <c r="Y82" i="16"/>
  <c r="Y86" i="16"/>
  <c r="L20" i="12"/>
  <c r="E60" i="12"/>
  <c r="AU79" i="11"/>
  <c r="BI55" i="11"/>
  <c r="BI75" i="11" s="1"/>
  <c r="AL83" i="16"/>
  <c r="E20" i="12"/>
  <c r="E25" i="12" s="1"/>
  <c r="E21" i="12"/>
  <c r="E23" i="12"/>
  <c r="AG81" i="11"/>
  <c r="E20" i="10"/>
  <c r="E82" i="10"/>
  <c r="E83" i="10" s="1"/>
  <c r="L20" i="10"/>
  <c r="L82" i="10" s="1"/>
  <c r="L83" i="10" s="1"/>
  <c r="F67" i="12"/>
  <c r="BL31" i="10"/>
  <c r="D69" i="12"/>
  <c r="G69" i="12"/>
  <c r="BK59" i="11"/>
  <c r="BJ19" i="11"/>
  <c r="BK19" i="11"/>
  <c r="BV17" i="11"/>
  <c r="BM17" i="11"/>
  <c r="BS17" i="11"/>
  <c r="BQ63" i="11"/>
  <c r="BQ81" i="11"/>
  <c r="AD64" i="11"/>
  <c r="BG18" i="11"/>
  <c r="W97" i="11"/>
  <c r="AZ97" i="11"/>
  <c r="AZ19" i="11"/>
  <c r="AN21" i="11"/>
  <c r="AN23" i="11" s="1"/>
  <c r="BQ68" i="11"/>
  <c r="BQ100" i="11"/>
  <c r="BW22" i="11"/>
  <c r="BQ23" i="11"/>
  <c r="D32" i="11"/>
  <c r="X24" i="12"/>
  <c r="AZ24" i="12" s="1"/>
  <c r="AL16" i="12"/>
  <c r="AZ16" i="12"/>
  <c r="AS67" i="16"/>
  <c r="AS68" i="16" s="1"/>
  <c r="AS85" i="16"/>
  <c r="D79" i="12"/>
  <c r="BL8" i="10"/>
  <c r="BC79" i="11"/>
  <c r="BK88" i="11"/>
  <c r="P73" i="10"/>
  <c r="M55" i="12"/>
  <c r="M69" i="12"/>
  <c r="M92" i="12" s="1"/>
  <c r="O55" i="12"/>
  <c r="O69" i="12"/>
  <c r="M38" i="10"/>
  <c r="O38" i="10"/>
  <c r="F20" i="10"/>
  <c r="F82" i="10" s="1"/>
  <c r="F83" i="10" s="1"/>
  <c r="BT77" i="10"/>
  <c r="AH15" i="11"/>
  <c r="BX13" i="11"/>
  <c r="BL59" i="11"/>
  <c r="BL78" i="11" s="1"/>
  <c r="BX78" i="11"/>
  <c r="AY15" i="11"/>
  <c r="CB15" i="11"/>
  <c r="V95" i="11"/>
  <c r="AK95" i="11" s="1"/>
  <c r="BP64" i="11"/>
  <c r="BP82" i="11" s="1"/>
  <c r="BP19" i="11"/>
  <c r="BP97" i="11"/>
  <c r="BV97" i="11" s="1"/>
  <c r="BV18" i="11"/>
  <c r="BK63" i="11"/>
  <c r="BL100" i="11"/>
  <c r="BX100" i="11" s="1"/>
  <c r="BX22" i="11"/>
  <c r="Z71" i="12"/>
  <c r="AV82" i="11"/>
  <c r="AH82" i="11"/>
  <c r="AU78" i="11"/>
  <c r="AG78" i="11"/>
  <c r="BD16" i="12"/>
  <c r="D38" i="12"/>
  <c r="AQ81" i="11"/>
  <c r="D77" i="10"/>
  <c r="O67" i="12"/>
  <c r="N6" i="12"/>
  <c r="N71" i="10"/>
  <c r="N70" i="10"/>
  <c r="P45" i="10"/>
  <c r="P61" i="10" s="1"/>
  <c r="P28" i="10"/>
  <c r="J77" i="12"/>
  <c r="BI28" i="10"/>
  <c r="BH24" i="10"/>
  <c r="BH38" i="10" s="1"/>
  <c r="E55" i="12"/>
  <c r="E38" i="10"/>
  <c r="J55" i="12"/>
  <c r="J57" i="12" s="1"/>
  <c r="J69" i="12"/>
  <c r="J38" i="10"/>
  <c r="BX14" i="11"/>
  <c r="AD63" i="11"/>
  <c r="AD19" i="11"/>
  <c r="AD97" i="11" s="1"/>
  <c r="BG17" i="11"/>
  <c r="AH19" i="11"/>
  <c r="BJ98" i="11"/>
  <c r="CA21" i="11"/>
  <c r="AJ21" i="11"/>
  <c r="AJ23" i="11" s="1"/>
  <c r="BL27" i="11"/>
  <c r="BL103" i="11" s="1"/>
  <c r="G32" i="11"/>
  <c r="G60" i="12" s="1"/>
  <c r="AB71" i="12"/>
  <c r="AP71" i="12" s="1"/>
  <c r="U393" i="3"/>
  <c r="BQ40" i="11"/>
  <c r="BM42" i="11"/>
  <c r="BM63" i="11" s="1"/>
  <c r="BM81" i="11"/>
  <c r="U387" i="3"/>
  <c r="W385" i="3"/>
  <c r="W389" i="3"/>
  <c r="AH74" i="2"/>
  <c r="O22" i="16"/>
  <c r="Q79" i="2"/>
  <c r="Y409" i="3"/>
  <c r="P409" i="3"/>
  <c r="AB80" i="20"/>
  <c r="D65" i="20"/>
  <c r="D80" i="20"/>
  <c r="L70" i="20"/>
  <c r="L71" i="20"/>
  <c r="W70" i="20"/>
  <c r="M70" i="20"/>
  <c r="Q411" i="21"/>
  <c r="L404" i="21"/>
  <c r="S404" i="21"/>
  <c r="AB82" i="20"/>
  <c r="Z67" i="20"/>
  <c r="M74" i="20"/>
  <c r="N395" i="21"/>
  <c r="U395" i="21" s="1"/>
  <c r="N387" i="21"/>
  <c r="Q405" i="21"/>
  <c r="X67" i="20"/>
  <c r="M67" i="20"/>
  <c r="S81" i="20"/>
  <c r="Z73" i="20"/>
  <c r="M73" i="20"/>
  <c r="L390" i="21"/>
  <c r="S390" i="21" s="1"/>
  <c r="Q65" i="20"/>
  <c r="J385" i="21"/>
  <c r="Q385" i="21" s="1"/>
  <c r="M71" i="20"/>
  <c r="M70" i="12"/>
  <c r="AL24" i="12"/>
  <c r="BJ23" i="11"/>
  <c r="BV23" i="11"/>
  <c r="U401" i="3"/>
  <c r="G67" i="12"/>
  <c r="G71" i="12"/>
  <c r="BG19" i="11"/>
  <c r="AD98" i="11"/>
  <c r="BG98" i="11"/>
  <c r="BG97" i="11"/>
  <c r="BK78" i="11"/>
  <c r="BV21" i="11"/>
  <c r="BJ97" i="11"/>
  <c r="O57" i="12"/>
  <c r="P74" i="10"/>
  <c r="AV24" i="23"/>
  <c r="DD3" i="23"/>
  <c r="DD4" i="23"/>
  <c r="DD5" i="23"/>
  <c r="DD6" i="23"/>
  <c r="DD7" i="23"/>
  <c r="BP35" i="23"/>
  <c r="CJ35" i="23"/>
  <c r="DD35" i="23"/>
  <c r="BP36" i="23"/>
  <c r="CB36" i="23" s="1"/>
  <c r="DP36" i="23"/>
  <c r="CJ36" i="23"/>
  <c r="DD36" i="23"/>
  <c r="BP38" i="23"/>
  <c r="BP56" i="23"/>
  <c r="CJ34" i="23"/>
  <c r="DD34" i="23"/>
  <c r="AV52" i="23"/>
  <c r="CJ38" i="23"/>
  <c r="DD38" i="23"/>
  <c r="L11" i="24"/>
  <c r="M11" i="24" s="1"/>
  <c r="V51" i="26" a="1"/>
  <c r="V51" i="26"/>
  <c r="W51" i="26" a="1"/>
  <c r="W51" i="26"/>
  <c r="CK35" i="23"/>
  <c r="DE6" i="23"/>
  <c r="CK56" i="23"/>
  <c r="DE5" i="23"/>
  <c r="CK38" i="23"/>
  <c r="DE38" i="23"/>
  <c r="DE35" i="23"/>
  <c r="CK36" i="23"/>
  <c r="BQ54" i="23"/>
  <c r="DE36" i="23"/>
  <c r="DE54" i="23"/>
  <c r="BQ53" i="23"/>
  <c r="BQ56" i="23"/>
  <c r="CK54" i="23"/>
  <c r="U403" i="3"/>
  <c r="U411" i="3"/>
  <c r="AF79" i="2"/>
  <c r="Y402" i="3"/>
  <c r="AA410" i="3"/>
  <c r="U406" i="3"/>
  <c r="U409" i="3"/>
  <c r="Y405" i="3"/>
  <c r="Z70" i="2"/>
  <c r="AH69" i="2"/>
  <c r="AH80" i="2" s="1"/>
  <c r="O75" i="2"/>
  <c r="AA82" i="2"/>
  <c r="O69" i="2"/>
  <c r="O71" i="2"/>
  <c r="O67" i="2"/>
  <c r="AG65" i="2"/>
  <c r="AA65" i="2"/>
  <c r="Q65" i="2"/>
  <c r="R406" i="3"/>
  <c r="P402" i="3"/>
  <c r="U79" i="2"/>
  <c r="O77" i="2"/>
  <c r="AH66" i="2"/>
  <c r="AA401" i="3"/>
  <c r="Q82" i="2"/>
  <c r="AG81" i="2"/>
  <c r="Y73" i="2"/>
  <c r="Q81" i="2"/>
  <c r="AB80" i="2"/>
  <c r="W80" i="2"/>
  <c r="W82" i="2"/>
  <c r="AA80" i="2"/>
  <c r="AA81" i="2"/>
  <c r="N412" i="3"/>
  <c r="N402" i="3"/>
  <c r="U395" i="3"/>
  <c r="X37" i="3"/>
  <c r="W5" i="3"/>
  <c r="AB5" i="3"/>
  <c r="U66" i="3"/>
  <c r="AA98" i="3"/>
  <c r="U5" i="3"/>
  <c r="G20" i="24"/>
  <c r="H21" i="24"/>
  <c r="H12" i="24"/>
  <c r="H49" i="24"/>
  <c r="AD56" i="24"/>
  <c r="X129" i="3"/>
  <c r="U129" i="3"/>
  <c r="AA319" i="3"/>
  <c r="AA66" i="3"/>
  <c r="AA129" i="3"/>
  <c r="U98" i="3"/>
  <c r="BY37" i="23"/>
  <c r="BQ55" i="23"/>
  <c r="BH55" i="23"/>
  <c r="CB37" i="23"/>
  <c r="AN66" i="23"/>
  <c r="V59" i="26"/>
  <c r="F4" i="18"/>
  <c r="DP15" i="23"/>
  <c r="BS63" i="23"/>
  <c r="BS66" i="23"/>
  <c r="BS61" i="23" s="1"/>
  <c r="BY14" i="23"/>
  <c r="V60" i="26"/>
  <c r="V55" i="26"/>
  <c r="CD3" i="23"/>
  <c r="AP3" i="23"/>
  <c r="DR3" i="23" s="1"/>
  <c r="DQ14" i="23"/>
  <c r="V57" i="26"/>
  <c r="V52" i="26"/>
  <c r="CG6" i="23"/>
  <c r="DR6" i="23"/>
  <c r="AK12" i="23"/>
  <c r="AK3" i="23"/>
  <c r="DM16" i="23"/>
  <c r="BY15" i="23"/>
  <c r="L28" i="23"/>
  <c r="L65" i="23" s="1"/>
  <c r="V53" i="26"/>
  <c r="V61" i="26"/>
  <c r="V56" i="26"/>
  <c r="AN12" i="23"/>
  <c r="AP25" i="23"/>
  <c r="AP62" i="23" s="1"/>
  <c r="CD28" i="23"/>
  <c r="DB53" i="23"/>
  <c r="CI55" i="23"/>
  <c r="CU53" i="23"/>
  <c r="CH55" i="23"/>
  <c r="Q56" i="23"/>
  <c r="CI56" i="23"/>
  <c r="DA55" i="23"/>
  <c r="CL57" i="23"/>
  <c r="CJ57" i="23"/>
  <c r="CK57" i="23"/>
  <c r="DD54" i="23"/>
  <c r="DC56" i="23"/>
  <c r="AF62" i="23"/>
  <c r="AH65" i="23"/>
  <c r="BT66" i="23"/>
  <c r="Q55" i="23"/>
  <c r="CJ56" i="23"/>
  <c r="CK55" i="23"/>
  <c r="CH57" i="23"/>
  <c r="AI62" i="23"/>
  <c r="AE62" i="23"/>
  <c r="AE61" i="23" s="1"/>
  <c r="AE63" i="23"/>
  <c r="AG65" i="23"/>
  <c r="AG61" i="23" s="1"/>
  <c r="P66" i="23"/>
  <c r="BX63" i="23"/>
  <c r="BW66" i="23"/>
  <c r="CL55" i="23"/>
  <c r="AA62" i="23"/>
  <c r="AD65" i="23"/>
  <c r="BU64" i="23"/>
  <c r="CD66" i="23"/>
  <c r="Q54" i="23"/>
  <c r="CG56" i="23"/>
  <c r="AH63" i="23"/>
  <c r="AD63" i="23"/>
  <c r="DF63" i="23" s="1"/>
  <c r="AA66" i="23"/>
  <c r="AO66" i="23"/>
  <c r="BT62" i="23"/>
  <c r="BT61" i="23" s="1"/>
  <c r="BT65" i="23"/>
  <c r="BW63" i="23"/>
  <c r="BX65" i="23"/>
  <c r="CL43" i="23"/>
  <c r="CV46" i="23"/>
  <c r="BE43" i="23"/>
  <c r="M46" i="24"/>
  <c r="CL12" i="23"/>
  <c r="BQ12" i="23"/>
  <c r="BY13" i="23"/>
  <c r="BH12" i="23"/>
  <c r="AB67" i="24"/>
  <c r="AB54" i="24"/>
  <c r="O58" i="25"/>
  <c r="L61" i="25"/>
  <c r="L55" i="24"/>
  <c r="P24" i="24"/>
  <c r="P32" i="24"/>
  <c r="Q32" i="24" s="1"/>
  <c r="U49" i="24"/>
  <c r="U59" i="24"/>
  <c r="DR29" i="23"/>
  <c r="CS16" i="23"/>
  <c r="DQ29" i="23"/>
  <c r="DQ12" i="23"/>
  <c r="AD15" i="24"/>
  <c r="BG27" i="23"/>
  <c r="CV29" i="23"/>
  <c r="CA13" i="23"/>
  <c r="DO13" i="23"/>
  <c r="L3" i="27"/>
  <c r="L5" i="27"/>
  <c r="V62" i="26"/>
  <c r="V58" i="26"/>
  <c r="V54" i="26"/>
  <c r="BP6" i="23"/>
  <c r="CB6" i="23" s="1"/>
  <c r="DP6" i="23" s="1"/>
  <c r="BJ12" i="23"/>
  <c r="CX12" i="23"/>
  <c r="Q12" i="23"/>
  <c r="BM12" i="23"/>
  <c r="DR5" i="23"/>
  <c r="DR16" i="23"/>
  <c r="CC3" i="23"/>
  <c r="AM26" i="23"/>
  <c r="AM63" i="23"/>
  <c r="AO26" i="23"/>
  <c r="DQ26" i="23"/>
  <c r="AP27" i="23"/>
  <c r="BG25" i="23"/>
  <c r="CD27" i="23"/>
  <c r="CB14" i="23"/>
  <c r="DP14" i="23" s="1"/>
  <c r="BG3" i="23"/>
  <c r="CX16" i="23"/>
  <c r="CV14" i="23"/>
  <c r="CU16" i="23"/>
  <c r="DQ15" i="23"/>
  <c r="AN24" i="23"/>
  <c r="AO27" i="23"/>
  <c r="S15" i="24"/>
  <c r="O62" i="25"/>
  <c r="P46" i="24"/>
  <c r="P45" i="24" s="1"/>
  <c r="AB28" i="24"/>
  <c r="AB65" i="24"/>
  <c r="G45" i="24"/>
  <c r="I21" i="24"/>
  <c r="P49" i="24"/>
  <c r="P59" i="24"/>
  <c r="U21" i="24"/>
  <c r="U48" i="24"/>
  <c r="DB27" i="23"/>
  <c r="L67" i="24"/>
  <c r="AA161" i="3"/>
  <c r="L57" i="24"/>
  <c r="L36" i="24"/>
  <c r="U37" i="24"/>
  <c r="U18" i="24"/>
  <c r="U31" i="24"/>
  <c r="U68" i="24" s="1"/>
  <c r="U6" i="24"/>
  <c r="P40" i="24"/>
  <c r="P16" i="24"/>
  <c r="R16" i="24" s="1"/>
  <c r="P39" i="24"/>
  <c r="S47" i="24"/>
  <c r="S12" i="24"/>
  <c r="S11" i="24"/>
  <c r="S39" i="24"/>
  <c r="S6" i="24"/>
  <c r="L14" i="24"/>
  <c r="L20" i="24"/>
  <c r="M21" i="24"/>
  <c r="L59" i="24"/>
  <c r="L68" i="24" s="1"/>
  <c r="F59" i="24"/>
  <c r="K59" i="24" s="1"/>
  <c r="M49" i="24"/>
  <c r="K49" i="24"/>
  <c r="I12" i="24"/>
  <c r="F11" i="24"/>
  <c r="DE27" i="23"/>
  <c r="L27" i="24"/>
  <c r="P38" i="24"/>
  <c r="S49" i="24"/>
  <c r="S59" i="24"/>
  <c r="M12" i="24"/>
  <c r="I49" i="24"/>
  <c r="W161" i="3"/>
  <c r="U161" i="3"/>
  <c r="DF57" i="23"/>
  <c r="DF55" i="23"/>
  <c r="X161" i="3"/>
  <c r="BY35" i="23"/>
  <c r="DD56" i="23"/>
  <c r="W62" i="26"/>
  <c r="W61" i="26"/>
  <c r="W60" i="26"/>
  <c r="W59" i="26"/>
  <c r="W58" i="26"/>
  <c r="W57" i="26"/>
  <c r="W56" i="26"/>
  <c r="W55" i="26"/>
  <c r="W54" i="26"/>
  <c r="W53" i="26"/>
  <c r="W52" i="26"/>
  <c r="BP34" i="23"/>
  <c r="DE56" i="23"/>
  <c r="BM47" i="16"/>
  <c r="BN47" i="16" s="1"/>
  <c r="BO47" i="16" s="1"/>
  <c r="AU78" i="16"/>
  <c r="BJ66" i="16"/>
  <c r="M30" i="12"/>
  <c r="BG15" i="11"/>
  <c r="AD95" i="11"/>
  <c r="AL70" i="16"/>
  <c r="W83" i="16"/>
  <c r="W86" i="16" s="1"/>
  <c r="D71" i="12"/>
  <c r="D86" i="12"/>
  <c r="O71" i="12"/>
  <c r="AU42" i="16"/>
  <c r="K71" i="12"/>
  <c r="AM71" i="12"/>
  <c r="BA63" i="12"/>
  <c r="V82" i="16"/>
  <c r="BK74" i="10"/>
  <c r="AZ63" i="12"/>
  <c r="J71" i="12"/>
  <c r="J94" i="12" s="1"/>
  <c r="AD59" i="11"/>
  <c r="J79" i="10"/>
  <c r="AX63" i="11"/>
  <c r="BO101" i="11"/>
  <c r="S97" i="11"/>
  <c r="AV97" i="11"/>
  <c r="Z97" i="11"/>
  <c r="BC97" i="11"/>
  <c r="L70" i="10"/>
  <c r="CA19" i="11"/>
  <c r="AN78" i="11"/>
  <c r="H70" i="10"/>
  <c r="L71" i="10"/>
  <c r="O71" i="10"/>
  <c r="G77" i="10"/>
  <c r="J9" i="12"/>
  <c r="J23" i="12"/>
  <c r="T95" i="11"/>
  <c r="AI95" i="11"/>
  <c r="BR44" i="11"/>
  <c r="Y67" i="2"/>
  <c r="O70" i="10"/>
  <c r="AV19" i="11"/>
  <c r="BC19" i="11"/>
  <c r="G20" i="10"/>
  <c r="G82" i="10"/>
  <c r="G83" i="10" s="1"/>
  <c r="BS43" i="11"/>
  <c r="BY43" i="11" s="1"/>
  <c r="F14" i="12"/>
  <c r="AC22" i="16"/>
  <c r="CS49" i="23"/>
  <c r="DD9" i="23"/>
  <c r="DB12" i="23"/>
  <c r="DM13" i="23"/>
  <c r="CI43" i="23"/>
  <c r="CM43" i="23"/>
  <c r="CQ43" i="23"/>
  <c r="E52" i="23"/>
  <c r="CB46" i="23"/>
  <c r="DP46" i="23" s="1"/>
  <c r="BP55" i="23"/>
  <c r="Y64" i="23"/>
  <c r="AK28" i="23"/>
  <c r="AK56" i="23"/>
  <c r="AK65" i="23"/>
  <c r="Y65" i="23"/>
  <c r="BU61" i="23"/>
  <c r="CK43" i="23"/>
  <c r="CO43" i="23"/>
  <c r="CS45" i="23"/>
  <c r="DB49" i="23"/>
  <c r="CS50" i="23"/>
  <c r="CB16" i="23"/>
  <c r="CB29" i="23" s="1"/>
  <c r="BP29" i="23"/>
  <c r="M51" i="24"/>
  <c r="I51" i="24"/>
  <c r="V22" i="25"/>
  <c r="V3" i="25"/>
  <c r="CA14" i="23"/>
  <c r="CA15" i="23"/>
  <c r="CA16" i="23"/>
  <c r="CA29" i="23" s="1"/>
  <c r="DO15" i="23"/>
  <c r="CC27" i="23"/>
  <c r="DQ27" i="23" s="1"/>
  <c r="CA36" i="23"/>
  <c r="DO36" i="23" s="1"/>
  <c r="BO54" i="23"/>
  <c r="K51" i="24"/>
  <c r="S49" i="25"/>
  <c r="T48" i="25"/>
  <c r="CA19" i="23"/>
  <c r="DO19" i="23"/>
  <c r="AK55" i="23"/>
  <c r="CA37" i="23"/>
  <c r="AK53" i="23"/>
  <c r="AK57" i="23"/>
  <c r="BJ55" i="23"/>
  <c r="CX55" i="23" s="1"/>
  <c r="T23" i="25"/>
  <c r="T12" i="25"/>
  <c r="Q24" i="25"/>
  <c r="Q60" i="25" s="1"/>
  <c r="F60" i="25"/>
  <c r="CB47" i="23"/>
  <c r="Q49" i="25"/>
  <c r="Q52" i="25"/>
  <c r="H61" i="25"/>
  <c r="Q53" i="25"/>
  <c r="Q62" i="25" s="1"/>
  <c r="AB14" i="24"/>
  <c r="AD16" i="24"/>
  <c r="AD17" i="24"/>
  <c r="T49" i="25"/>
  <c r="AD18" i="24"/>
  <c r="U3" i="18"/>
  <c r="U5" i="18" s="1"/>
  <c r="E27" i="23"/>
  <c r="E64" i="23" s="1"/>
  <c r="AB5" i="24"/>
  <c r="P58" i="24"/>
  <c r="U3" i="27"/>
  <c r="U5" i="27"/>
  <c r="BW61" i="23"/>
  <c r="P23" i="24"/>
  <c r="M3" i="18"/>
  <c r="M5" i="18" s="1"/>
  <c r="BP5" i="23"/>
  <c r="BY5" i="23" s="1"/>
  <c r="P26" i="23"/>
  <c r="P63" i="23"/>
  <c r="CD64" i="23"/>
  <c r="DR27" i="23"/>
  <c r="DO16" i="23"/>
  <c r="AE3" i="18"/>
  <c r="AE5" i="18"/>
  <c r="DP16" i="23"/>
  <c r="U71" i="20"/>
  <c r="AU79" i="16"/>
  <c r="V3" i="18"/>
  <c r="V5" i="18" s="1"/>
  <c r="F27" i="23"/>
  <c r="CH27" i="23" s="1"/>
  <c r="CH6" i="23"/>
  <c r="CA18" i="23"/>
  <c r="AF4" i="27"/>
  <c r="N4" i="27"/>
  <c r="W4" i="27"/>
  <c r="E4" i="27"/>
  <c r="BH38" i="23"/>
  <c r="BH56" i="23"/>
  <c r="CV56" i="23" s="1"/>
  <c r="BH35" i="23"/>
  <c r="BH53" i="23" s="1"/>
  <c r="CV53" i="23" s="1"/>
  <c r="DF35" i="23"/>
  <c r="CL35" i="23"/>
  <c r="DF4" i="23"/>
  <c r="BN27" i="23"/>
  <c r="BN64" i="23" s="1"/>
  <c r="DF7" i="23"/>
  <c r="BH5" i="23"/>
  <c r="BH26" i="23" s="1"/>
  <c r="DF36" i="23"/>
  <c r="BH36" i="23"/>
  <c r="BH34" i="23"/>
  <c r="CV34" i="23" s="1"/>
  <c r="CL36" i="23"/>
  <c r="DF5" i="23"/>
  <c r="DF6" i="23"/>
  <c r="BH6" i="23"/>
  <c r="BH27" i="23"/>
  <c r="X4" i="27"/>
  <c r="DF38" i="23"/>
  <c r="DF56" i="23"/>
  <c r="CL38" i="23"/>
  <c r="CV38" i="23"/>
  <c r="CV35" i="23"/>
  <c r="CL53" i="23"/>
  <c r="DF53" i="23"/>
  <c r="CL54" i="23"/>
  <c r="DF54" i="23"/>
  <c r="DF27" i="23"/>
  <c r="CL56" i="23"/>
  <c r="O21" i="24"/>
  <c r="X21" i="24"/>
  <c r="X20" i="24" s="1"/>
  <c r="AA20" i="24"/>
  <c r="O47" i="24"/>
  <c r="O49" i="24"/>
  <c r="Z21" i="24"/>
  <c r="DC29" i="23"/>
  <c r="DF26" i="23"/>
  <c r="AK29" i="23"/>
  <c r="AK66" i="23"/>
  <c r="Y63" i="23"/>
  <c r="J66" i="23"/>
  <c r="U8" i="24"/>
  <c r="U46" i="24"/>
  <c r="P21" i="24"/>
  <c r="S48" i="24"/>
  <c r="S9" i="24"/>
  <c r="S30" i="24"/>
  <c r="S38" i="24"/>
  <c r="S21" i="24"/>
  <c r="T21" i="24"/>
  <c r="CG30" i="23"/>
  <c r="I16" i="24"/>
  <c r="M16" i="24"/>
  <c r="AC65" i="23"/>
  <c r="K16" i="24"/>
  <c r="O15" i="24"/>
  <c r="X15" i="24"/>
  <c r="O48" i="24"/>
  <c r="V48" i="24"/>
  <c r="H16" i="24"/>
  <c r="F20" i="24"/>
  <c r="K21" i="24"/>
  <c r="AJ64" i="23"/>
  <c r="U37" i="3"/>
  <c r="U192" i="3"/>
  <c r="U287" i="3"/>
  <c r="U319" i="3"/>
  <c r="U350" i="3"/>
  <c r="AG15" i="2"/>
  <c r="AA17" i="10" s="1"/>
  <c r="AA192" i="3"/>
  <c r="R9" i="2"/>
  <c r="R49" i="2" s="1"/>
  <c r="AH6" i="2"/>
  <c r="AB401" i="3" s="1"/>
  <c r="AA6" i="2"/>
  <c r="V385" i="3" s="1"/>
  <c r="Q5" i="21"/>
  <c r="R385" i="21"/>
  <c r="Q129" i="21"/>
  <c r="R389" i="21"/>
  <c r="Q161" i="21"/>
  <c r="R390" i="21"/>
  <c r="U161" i="21"/>
  <c r="V390" i="21" s="1"/>
  <c r="Q387" i="21"/>
  <c r="P7" i="20"/>
  <c r="U5" i="21"/>
  <c r="V385" i="21" s="1"/>
  <c r="G11" i="20"/>
  <c r="G51" i="20" s="1"/>
  <c r="U192" i="21"/>
  <c r="V391" i="21"/>
  <c r="X192" i="3"/>
  <c r="DG55" i="23"/>
  <c r="DI29" i="23"/>
  <c r="W192" i="3"/>
  <c r="CM29" i="23"/>
  <c r="DG29" i="23"/>
  <c r="X47" i="24"/>
  <c r="AC47" i="24"/>
  <c r="L57" i="25"/>
  <c r="AG63" i="23"/>
  <c r="I58" i="25"/>
  <c r="I57" i="25" s="1"/>
  <c r="N61" i="25"/>
  <c r="G32" i="24"/>
  <c r="G69" i="24"/>
  <c r="H69" i="24" s="1"/>
  <c r="DD28" i="23"/>
  <c r="DC25" i="23"/>
  <c r="E61" i="25"/>
  <c r="DG30" i="23"/>
  <c r="DA30" i="23"/>
  <c r="AA21" i="24"/>
  <c r="AI66" i="23"/>
  <c r="CG9" i="23"/>
  <c r="AS24" i="23"/>
  <c r="E4" i="23"/>
  <c r="C3" i="18" s="1"/>
  <c r="E5" i="23"/>
  <c r="E7" i="23"/>
  <c r="CA10" i="23"/>
  <c r="AU24" i="23"/>
  <c r="DC24" i="23" s="1"/>
  <c r="DM10" i="23"/>
  <c r="DD65" i="23"/>
  <c r="CI9" i="23"/>
  <c r="CL9" i="23"/>
  <c r="CK9" i="23"/>
  <c r="BM9" i="23"/>
  <c r="CB10" i="23"/>
  <c r="DC9" i="23"/>
  <c r="I11" i="24"/>
  <c r="H11" i="24"/>
  <c r="S27" i="24"/>
  <c r="BD71" i="12"/>
  <c r="D77" i="12"/>
  <c r="D57" i="12"/>
  <c r="BQ44" i="11"/>
  <c r="BQ64" i="11"/>
  <c r="BU43" i="11"/>
  <c r="BO44" i="11"/>
  <c r="AH48" i="11"/>
  <c r="AW63" i="12"/>
  <c r="G86" i="12"/>
  <c r="AI63" i="12"/>
  <c r="L71" i="12"/>
  <c r="AN63" i="12"/>
  <c r="BB63" i="12"/>
  <c r="X66" i="3"/>
  <c r="CG57" i="23"/>
  <c r="DA63" i="23"/>
  <c r="CG54" i="23"/>
  <c r="DA54" i="23"/>
  <c r="Q53" i="23"/>
  <c r="BW40" i="11"/>
  <c r="BJ101" i="11"/>
  <c r="BV101" i="11"/>
  <c r="AT56" i="16"/>
  <c r="AT83" i="16" s="1"/>
  <c r="M23" i="12"/>
  <c r="AV81" i="11"/>
  <c r="AH81" i="11"/>
  <c r="N68" i="12"/>
  <c r="O68" i="12"/>
  <c r="O72" i="12" s="1"/>
  <c r="D68" i="12"/>
  <c r="I68" i="12"/>
  <c r="CA48" i="11"/>
  <c r="AL62" i="16"/>
  <c r="E10" i="12"/>
  <c r="AY11" i="16"/>
  <c r="AX11" i="16"/>
  <c r="BC11" i="16" s="1"/>
  <c r="AY40" i="16"/>
  <c r="AL78" i="11"/>
  <c r="AZ78" i="11"/>
  <c r="BH6" i="10"/>
  <c r="BH40" i="10"/>
  <c r="BH57" i="10"/>
  <c r="I7" i="12"/>
  <c r="I74" i="10"/>
  <c r="P18" i="10"/>
  <c r="P79" i="10"/>
  <c r="P52" i="10"/>
  <c r="P66" i="10"/>
  <c r="BK18" i="10"/>
  <c r="BK79" i="10"/>
  <c r="M57" i="12"/>
  <c r="AR44" i="11"/>
  <c r="AS42" i="11"/>
  <c r="AS44" i="11" s="1"/>
  <c r="Z66" i="2"/>
  <c r="G53" i="11"/>
  <c r="BP98" i="11"/>
  <c r="BV98" i="11"/>
  <c r="BV19" i="11"/>
  <c r="P40" i="10"/>
  <c r="P57" i="10" s="1"/>
  <c r="L53" i="11"/>
  <c r="AU22" i="16"/>
  <c r="AU46" i="16"/>
  <c r="AV17" i="16"/>
  <c r="AU58" i="16"/>
  <c r="F70" i="10"/>
  <c r="F6" i="12"/>
  <c r="F71" i="10"/>
  <c r="J37" i="12"/>
  <c r="J21" i="12"/>
  <c r="O17" i="12"/>
  <c r="AR15" i="11"/>
  <c r="AS18" i="11"/>
  <c r="AG19" i="11"/>
  <c r="BR101" i="11"/>
  <c r="BQ67" i="11"/>
  <c r="DA57" i="23"/>
  <c r="BY38" i="23"/>
  <c r="CB38" i="23"/>
  <c r="CJ52" i="23"/>
  <c r="CJ54" i="23"/>
  <c r="BK81" i="11"/>
  <c r="BW63" i="11"/>
  <c r="BY17" i="11"/>
  <c r="AT61" i="16"/>
  <c r="AT62" i="16" s="1"/>
  <c r="AT84" i="16" s="1"/>
  <c r="BJ95" i="11"/>
  <c r="AK85" i="16"/>
  <c r="AU65" i="16"/>
  <c r="AV65" i="16"/>
  <c r="AS49" i="16"/>
  <c r="BI71" i="10"/>
  <c r="BI20" i="10"/>
  <c r="BI82" i="10"/>
  <c r="BI83" i="10" s="1"/>
  <c r="AO24" i="12"/>
  <c r="BM26" i="11"/>
  <c r="BJ27" i="11"/>
  <c r="T78" i="11"/>
  <c r="AW59" i="11"/>
  <c r="AI59" i="11"/>
  <c r="AJ63" i="11"/>
  <c r="AJ65" i="11"/>
  <c r="CA63" i="11"/>
  <c r="U81" i="11"/>
  <c r="Z82" i="11"/>
  <c r="AO64" i="11"/>
  <c r="BC64" i="11"/>
  <c r="T97" i="11"/>
  <c r="AW97" i="11" s="1"/>
  <c r="T98" i="11"/>
  <c r="AW98" i="11" s="1"/>
  <c r="AW19" i="11"/>
  <c r="Q15" i="12"/>
  <c r="G17" i="12"/>
  <c r="AD100" i="11"/>
  <c r="BG100" i="11"/>
  <c r="AD101" i="11"/>
  <c r="BG101" i="11"/>
  <c r="S71" i="12"/>
  <c r="AU63" i="12"/>
  <c r="AG63" i="12"/>
  <c r="R86" i="12"/>
  <c r="BC63" i="12"/>
  <c r="AO63" i="12"/>
  <c r="AA86" i="12"/>
  <c r="AA71" i="12"/>
  <c r="G22" i="16"/>
  <c r="H22" i="16"/>
  <c r="J42" i="16"/>
  <c r="E42" i="16"/>
  <c r="W42" i="16"/>
  <c r="X42" i="16"/>
  <c r="AF33" i="16"/>
  <c r="AF29" i="16"/>
  <c r="AH27" i="16" s="1"/>
  <c r="AA85" i="16"/>
  <c r="U85" i="16"/>
  <c r="AB62" i="16"/>
  <c r="AB84" i="16" s="1"/>
  <c r="V84" i="16"/>
  <c r="V86" i="16" s="1"/>
  <c r="AE83" i="16"/>
  <c r="AE86" i="16" s="1"/>
  <c r="AE71" i="16"/>
  <c r="Z56" i="16"/>
  <c r="Z83" i="16"/>
  <c r="AD82" i="16"/>
  <c r="AD86" i="16" s="1"/>
  <c r="AD71" i="16"/>
  <c r="BE60" i="16"/>
  <c r="AR64" i="16"/>
  <c r="AR22" i="16"/>
  <c r="AJ68" i="16"/>
  <c r="AO61" i="16"/>
  <c r="AJ77" i="16"/>
  <c r="AJ42" i="16"/>
  <c r="BI70" i="10"/>
  <c r="H6" i="12"/>
  <c r="H71" i="10"/>
  <c r="G8" i="12"/>
  <c r="G76" i="10"/>
  <c r="M20" i="10"/>
  <c r="M82" i="10"/>
  <c r="M83" i="10" s="1"/>
  <c r="M8" i="12"/>
  <c r="M22" i="12" s="1"/>
  <c r="M76" i="10"/>
  <c r="H69" i="12"/>
  <c r="G92" i="12" s="1"/>
  <c r="H57" i="12"/>
  <c r="K55" i="12"/>
  <c r="K38" i="10"/>
  <c r="BI60" i="11"/>
  <c r="BI79" i="11" s="1"/>
  <c r="BI40" i="11"/>
  <c r="BJ40" i="11"/>
  <c r="BV39" i="11"/>
  <c r="AL44" i="11"/>
  <c r="BV43" i="11"/>
  <c r="BJ64" i="11"/>
  <c r="BJ44" i="11"/>
  <c r="BX64" i="11"/>
  <c r="BR82" i="11"/>
  <c r="BX82" i="11" s="1"/>
  <c r="AG48" i="11"/>
  <c r="AS48" i="11"/>
  <c r="BK48" i="11"/>
  <c r="BW46" i="11"/>
  <c r="BF60" i="11"/>
  <c r="AR60" i="11"/>
  <c r="AC79" i="11"/>
  <c r="L24" i="12"/>
  <c r="AN16" i="12"/>
  <c r="D28" i="11"/>
  <c r="D14" i="12"/>
  <c r="F28" i="11"/>
  <c r="S24" i="12"/>
  <c r="AG16" i="12"/>
  <c r="AD23" i="11"/>
  <c r="N52" i="11"/>
  <c r="N62" i="12" s="1"/>
  <c r="BL50" i="11"/>
  <c r="AD68" i="11"/>
  <c r="BG68" i="11" s="1"/>
  <c r="N79" i="20"/>
  <c r="L385" i="21"/>
  <c r="S385" i="21"/>
  <c r="L391" i="21"/>
  <c r="L395" i="21"/>
  <c r="S395" i="21" s="1"/>
  <c r="L409" i="21"/>
  <c r="DD53" i="23"/>
  <c r="D60" i="12"/>
  <c r="AC85" i="16"/>
  <c r="G20" i="12"/>
  <c r="F70" i="12"/>
  <c r="K53" i="11"/>
  <c r="K60" i="12"/>
  <c r="P51" i="11"/>
  <c r="AL71" i="16"/>
  <c r="CB21" i="11"/>
  <c r="AU55" i="16"/>
  <c r="AU56" i="16" s="1"/>
  <c r="V71" i="16"/>
  <c r="AX16" i="16"/>
  <c r="BC16" i="16" s="1"/>
  <c r="J17" i="12"/>
  <c r="G74" i="10"/>
  <c r="G7" i="12"/>
  <c r="P36" i="10"/>
  <c r="P38" i="10"/>
  <c r="BK52" i="10"/>
  <c r="BK66" i="10"/>
  <c r="BP15" i="11"/>
  <c r="BP59" i="11"/>
  <c r="BD19" i="11"/>
  <c r="AA98" i="11"/>
  <c r="BD98" i="11"/>
  <c r="BS21" i="11"/>
  <c r="BS67" i="11"/>
  <c r="BS85" i="11" s="1"/>
  <c r="AS22" i="11"/>
  <c r="BI100" i="11"/>
  <c r="BU100" i="11" s="1"/>
  <c r="BM22" i="11"/>
  <c r="BY22" i="11" s="1"/>
  <c r="AH16" i="12"/>
  <c r="T24" i="12"/>
  <c r="AV24" i="12" s="1"/>
  <c r="BI56" i="11"/>
  <c r="AH40" i="11"/>
  <c r="AS38" i="11"/>
  <c r="AN44" i="11"/>
  <c r="BV46" i="11"/>
  <c r="BM46" i="11"/>
  <c r="H71" i="12"/>
  <c r="J86" i="12"/>
  <c r="BI51" i="11"/>
  <c r="AQ63" i="11"/>
  <c r="AQ65" i="11"/>
  <c r="BE63" i="11"/>
  <c r="AW64" i="11"/>
  <c r="T82" i="11"/>
  <c r="AB85" i="11"/>
  <c r="BE85" i="11" s="1"/>
  <c r="AQ67" i="11"/>
  <c r="AQ69" i="11" s="1"/>
  <c r="BE67" i="11"/>
  <c r="AV84" i="11"/>
  <c r="CA84" i="11"/>
  <c r="AX84" i="11"/>
  <c r="BV84" i="11"/>
  <c r="W24" i="12"/>
  <c r="AK24" i="12" s="1"/>
  <c r="AY16" i="12"/>
  <c r="AN83" i="16"/>
  <c r="AN71" i="16"/>
  <c r="P408" i="3"/>
  <c r="Z82" i="20"/>
  <c r="Q82" i="20"/>
  <c r="P80" i="20"/>
  <c r="AT67" i="16"/>
  <c r="AT68" i="16"/>
  <c r="AT85" i="16" s="1"/>
  <c r="N67" i="12"/>
  <c r="BE15" i="11"/>
  <c r="O21" i="12"/>
  <c r="BJ14" i="10"/>
  <c r="BL14" i="10" s="1"/>
  <c r="BL13" i="10"/>
  <c r="BI32" i="10"/>
  <c r="I55" i="12"/>
  <c r="I38" i="10"/>
  <c r="BK36" i="10"/>
  <c r="BJ36" i="10"/>
  <c r="BL36" i="10" s="1"/>
  <c r="BJ52" i="10"/>
  <c r="BJ66" i="10" s="1"/>
  <c r="J79" i="12"/>
  <c r="P79" i="12" s="1"/>
  <c r="BU14" i="11"/>
  <c r="BO15" i="11"/>
  <c r="BV14" i="11"/>
  <c r="BL19" i="11"/>
  <c r="BL98" i="11" s="1"/>
  <c r="BX18" i="11"/>
  <c r="G77" i="12"/>
  <c r="BR40" i="11"/>
  <c r="BX38" i="11"/>
  <c r="AW40" i="11"/>
  <c r="BK64" i="11"/>
  <c r="CB44" i="11"/>
  <c r="BJ100" i="11"/>
  <c r="BV100" i="11"/>
  <c r="BJ68" i="11"/>
  <c r="BR23" i="11"/>
  <c r="BR67" i="11"/>
  <c r="BX46" i="11"/>
  <c r="BL48" i="11"/>
  <c r="BX48" i="11"/>
  <c r="I52" i="11"/>
  <c r="I62" i="12"/>
  <c r="I70" i="12" s="1"/>
  <c r="BJ51" i="11"/>
  <c r="BL51" i="11"/>
  <c r="BL52" i="11" s="1"/>
  <c r="O52" i="11"/>
  <c r="AR59" i="11"/>
  <c r="BF59" i="11"/>
  <c r="AC78" i="11"/>
  <c r="AR78" i="11" s="1"/>
  <c r="AU63" i="11"/>
  <c r="AG63" i="11"/>
  <c r="BB67" i="11"/>
  <c r="AN67" i="11"/>
  <c r="AN69" i="11" s="1"/>
  <c r="Y85" i="11"/>
  <c r="BB85" i="11" s="1"/>
  <c r="AW85" i="11"/>
  <c r="G39" i="12"/>
  <c r="G24" i="12"/>
  <c r="G28" i="11"/>
  <c r="X71" i="12"/>
  <c r="X86" i="12"/>
  <c r="AK75" i="16"/>
  <c r="AV29" i="16"/>
  <c r="AK42" i="16"/>
  <c r="AO76" i="16"/>
  <c r="AO42" i="16"/>
  <c r="AV33" i="16"/>
  <c r="AJ52" i="16"/>
  <c r="AJ22" i="16"/>
  <c r="AR49" i="16"/>
  <c r="AR50" i="16" s="1"/>
  <c r="AP22" i="16"/>
  <c r="X72" i="20"/>
  <c r="M72" i="20"/>
  <c r="M81" i="20" s="1"/>
  <c r="O81" i="20"/>
  <c r="Q66" i="21"/>
  <c r="R387" i="21"/>
  <c r="AA394" i="3"/>
  <c r="Y75" i="2"/>
  <c r="U98" i="21"/>
  <c r="V388" i="21"/>
  <c r="CN9" i="23"/>
  <c r="BK73" i="10"/>
  <c r="BO67" i="11"/>
  <c r="M76" i="20"/>
  <c r="Q37" i="21"/>
  <c r="R386" i="21" s="1"/>
  <c r="U129" i="21"/>
  <c r="V389" i="21" s="1"/>
  <c r="Q192" i="21"/>
  <c r="R391" i="21" s="1"/>
  <c r="CP43" i="23"/>
  <c r="N52" i="23"/>
  <c r="AS52" i="23"/>
  <c r="CG52" i="23" s="1"/>
  <c r="CG49" i="23"/>
  <c r="DA49" i="23"/>
  <c r="AA82" i="20"/>
  <c r="M69" i="20"/>
  <c r="O80" i="20"/>
  <c r="Z74" i="20"/>
  <c r="Q81" i="20"/>
  <c r="C65" i="20"/>
  <c r="U76" i="20"/>
  <c r="Q98" i="21"/>
  <c r="R388" i="21" s="1"/>
  <c r="U66" i="21"/>
  <c r="V387" i="21" s="1"/>
  <c r="U37" i="21"/>
  <c r="R82" i="20"/>
  <c r="BT24" i="23"/>
  <c r="AF24" i="23"/>
  <c r="DI12" i="23"/>
  <c r="AF52" i="23"/>
  <c r="AH52" i="23"/>
  <c r="AJ52" i="23"/>
  <c r="BG12" i="23"/>
  <c r="BG24" i="23"/>
  <c r="CU13" i="23"/>
  <c r="AK49" i="23"/>
  <c r="DM50" i="23"/>
  <c r="CM9" i="23"/>
  <c r="DG9" i="23"/>
  <c r="DE49" i="23"/>
  <c r="CK49" i="23"/>
  <c r="AB52" i="23"/>
  <c r="DD52" i="23" s="1"/>
  <c r="DD40" i="23"/>
  <c r="Z52" i="23"/>
  <c r="DF49" i="23"/>
  <c r="AD52" i="23"/>
  <c r="AM55" i="23"/>
  <c r="AM64" i="23" s="1"/>
  <c r="AM43" i="23"/>
  <c r="BG54" i="23"/>
  <c r="BG34" i="23"/>
  <c r="CU34" i="23" s="1"/>
  <c r="CU36" i="23"/>
  <c r="CC55" i="23"/>
  <c r="CC64" i="23"/>
  <c r="CC43" i="23"/>
  <c r="DQ46" i="23"/>
  <c r="CC56" i="23"/>
  <c r="DQ38" i="23"/>
  <c r="CB13" i="23"/>
  <c r="BP12" i="23"/>
  <c r="CB44" i="23"/>
  <c r="BY44" i="23"/>
  <c r="S24" i="25"/>
  <c r="S60" i="25" s="1"/>
  <c r="S3" i="25"/>
  <c r="S12" i="25"/>
  <c r="S21" i="25" s="1"/>
  <c r="V26" i="25"/>
  <c r="V62" i="25"/>
  <c r="AB24" i="23"/>
  <c r="DD24" i="23"/>
  <c r="DF9" i="23"/>
  <c r="AD24" i="23"/>
  <c r="DL12" i="23"/>
  <c r="J52" i="23"/>
  <c r="CL52" i="23" s="1"/>
  <c r="CR40" i="23"/>
  <c r="P52" i="23"/>
  <c r="CD12" i="23"/>
  <c r="DR12" i="23"/>
  <c r="BM18" i="23"/>
  <c r="BY19" i="23"/>
  <c r="BY18" i="23" s="1"/>
  <c r="DH12" i="23"/>
  <c r="K52" i="23"/>
  <c r="CX49" i="23"/>
  <c r="CD26" i="23"/>
  <c r="DR26" i="23" s="1"/>
  <c r="CC34" i="23"/>
  <c r="CA50" i="23"/>
  <c r="BM49" i="23"/>
  <c r="BO56" i="23"/>
  <c r="BY56" i="23"/>
  <c r="CA38" i="23"/>
  <c r="X98" i="3"/>
  <c r="BX52" i="23"/>
  <c r="G52" i="23"/>
  <c r="CI52" i="23" s="1"/>
  <c r="CU49" i="23"/>
  <c r="T52" i="23"/>
  <c r="AU52" i="23"/>
  <c r="DR7" i="23"/>
  <c r="Z65" i="23"/>
  <c r="DB65" i="23" s="1"/>
  <c r="DB56" i="23"/>
  <c r="CI53" i="23"/>
  <c r="DC53" i="23"/>
  <c r="CA35" i="23"/>
  <c r="CC53" i="23"/>
  <c r="M42" i="24"/>
  <c r="I42" i="24"/>
  <c r="K42" i="24"/>
  <c r="U36" i="25"/>
  <c r="U49" i="25"/>
  <c r="K58" i="25"/>
  <c r="W129" i="3"/>
  <c r="W98" i="3"/>
  <c r="BT52" i="23"/>
  <c r="AT52" i="23"/>
  <c r="DB52" i="23" s="1"/>
  <c r="DM45" i="23"/>
  <c r="AK43" i="23"/>
  <c r="AM53" i="23"/>
  <c r="AN53" i="23"/>
  <c r="DC64" i="23"/>
  <c r="DC55" i="23"/>
  <c r="U25" i="25"/>
  <c r="U61" i="25"/>
  <c r="U22" i="25"/>
  <c r="U58" i="25"/>
  <c r="U3" i="25"/>
  <c r="V5" i="3"/>
  <c r="AB62" i="23"/>
  <c r="AO25" i="23"/>
  <c r="CH53" i="23"/>
  <c r="BG55" i="23"/>
  <c r="CU55" i="23" s="1"/>
  <c r="BP43" i="23"/>
  <c r="BP52" i="23" s="1"/>
  <c r="CA45" i="23"/>
  <c r="CA54" i="23"/>
  <c r="DO54" i="23" s="1"/>
  <c r="AN55" i="23"/>
  <c r="F48" i="25"/>
  <c r="K48" i="25"/>
  <c r="U12" i="25"/>
  <c r="U9" i="25"/>
  <c r="U21" i="25"/>
  <c r="V49" i="25"/>
  <c r="V58" i="25"/>
  <c r="N58" i="25"/>
  <c r="T24" i="25"/>
  <c r="T60" i="25" s="1"/>
  <c r="Q51" i="25"/>
  <c r="J61" i="25"/>
  <c r="X287" i="3"/>
  <c r="Z5" i="3"/>
  <c r="W350" i="3"/>
  <c r="W37" i="3"/>
  <c r="W319" i="3"/>
  <c r="AC80" i="2"/>
  <c r="DI49" i="23"/>
  <c r="CO49" i="23"/>
  <c r="AH62" i="23"/>
  <c r="AH61" i="23"/>
  <c r="AN25" i="23"/>
  <c r="AN62" i="23"/>
  <c r="CD25" i="23"/>
  <c r="CB41" i="23"/>
  <c r="CD53" i="23"/>
  <c r="DR53" i="23"/>
  <c r="CA46" i="23"/>
  <c r="H21" i="25"/>
  <c r="O21" i="25"/>
  <c r="P21" i="25"/>
  <c r="E48" i="25"/>
  <c r="S39" i="25"/>
  <c r="S22" i="25"/>
  <c r="S58" i="25" s="1"/>
  <c r="T50" i="25"/>
  <c r="T59" i="25" s="1"/>
  <c r="V61" i="25"/>
  <c r="T51" i="25"/>
  <c r="AA350" i="3"/>
  <c r="AA37" i="3"/>
  <c r="DA53" i="23"/>
  <c r="BM54" i="23"/>
  <c r="CB45" i="23"/>
  <c r="M48" i="25"/>
  <c r="H59" i="25"/>
  <c r="H57" i="25" s="1"/>
  <c r="S51" i="25"/>
  <c r="F62" i="25"/>
  <c r="S67" i="23"/>
  <c r="CU30" i="23"/>
  <c r="CR21" i="23"/>
  <c r="DI21" i="23"/>
  <c r="CV21" i="23"/>
  <c r="T66" i="23"/>
  <c r="V66" i="23"/>
  <c r="CL21" i="23"/>
  <c r="CU22" i="23"/>
  <c r="BG21" i="23"/>
  <c r="CU21" i="23" s="1"/>
  <c r="CB22" i="23"/>
  <c r="BQ21" i="23"/>
  <c r="G6" i="23"/>
  <c r="S6" i="23" s="1"/>
  <c r="K32" i="24"/>
  <c r="K69" i="24" s="1"/>
  <c r="M32" i="24"/>
  <c r="M69" i="24" s="1"/>
  <c r="S69" i="24"/>
  <c r="U69" i="24"/>
  <c r="AX34" i="23"/>
  <c r="AX3" i="23"/>
  <c r="DF3" i="23" s="1"/>
  <c r="I5" i="23"/>
  <c r="O6" i="23"/>
  <c r="O27" i="23"/>
  <c r="O64" i="23" s="1"/>
  <c r="K6" i="23"/>
  <c r="I7" i="23"/>
  <c r="J7" i="23"/>
  <c r="J28" i="23" s="1"/>
  <c r="K4" i="23"/>
  <c r="O5" i="23"/>
  <c r="O26" i="23"/>
  <c r="O63" i="23" s="1"/>
  <c r="K5" i="23"/>
  <c r="G5" i="23"/>
  <c r="I6" i="23"/>
  <c r="O7" i="23"/>
  <c r="O28" i="23"/>
  <c r="O65" i="23" s="1"/>
  <c r="K7" i="23"/>
  <c r="U7" i="23" s="1"/>
  <c r="U28" i="23" s="1"/>
  <c r="U65" i="23" s="1"/>
  <c r="G7" i="23"/>
  <c r="AF3" i="18"/>
  <c r="AF5" i="18" s="1"/>
  <c r="N5" i="23"/>
  <c r="N26" i="23" s="1"/>
  <c r="J5" i="23"/>
  <c r="N7" i="23"/>
  <c r="S20" i="24"/>
  <c r="H32" i="24"/>
  <c r="I32" i="24"/>
  <c r="I69" i="24"/>
  <c r="AA47" i="24"/>
  <c r="V5" i="23"/>
  <c r="V26" i="23" s="1"/>
  <c r="N63" i="23"/>
  <c r="AF3" i="27"/>
  <c r="AF5" i="27" s="1"/>
  <c r="CL7" i="23"/>
  <c r="BM5" i="23"/>
  <c r="BM26" i="23" s="1"/>
  <c r="BM63" i="23"/>
  <c r="L3" i="18"/>
  <c r="CG5" i="23"/>
  <c r="E26" i="23"/>
  <c r="E63" i="23"/>
  <c r="CG63" i="23" s="1"/>
  <c r="BQ6" i="23"/>
  <c r="BQ27" i="23" s="1"/>
  <c r="BQ64" i="23" s="1"/>
  <c r="BQ5" i="23"/>
  <c r="BQ26" i="23" s="1"/>
  <c r="DQ25" i="23"/>
  <c r="CC62" i="23"/>
  <c r="CD24" i="23"/>
  <c r="DA52" i="23"/>
  <c r="AX32" i="16"/>
  <c r="AX31" i="16"/>
  <c r="BB31" i="16" s="1"/>
  <c r="AY29" i="16"/>
  <c r="AS63" i="11"/>
  <c r="AS65" i="11" s="1"/>
  <c r="AG65" i="11"/>
  <c r="BR85" i="11"/>
  <c r="BP78" i="11"/>
  <c r="Q14" i="12"/>
  <c r="D37" i="12"/>
  <c r="BB24" i="12"/>
  <c r="AN24" i="12"/>
  <c r="BF79" i="11"/>
  <c r="AR79" i="11"/>
  <c r="G22" i="12"/>
  <c r="AU67" i="16"/>
  <c r="AU68" i="16" s="1"/>
  <c r="AU85" i="16"/>
  <c r="BQ85" i="11"/>
  <c r="F20" i="12"/>
  <c r="AU70" i="16"/>
  <c r="AU47" i="16"/>
  <c r="AV47" i="16"/>
  <c r="BS23" i="11"/>
  <c r="AL84" i="16"/>
  <c r="BB71" i="12"/>
  <c r="AN71" i="12"/>
  <c r="K28" i="23"/>
  <c r="G9" i="24"/>
  <c r="G30" i="24" s="1"/>
  <c r="G67" i="24" s="1"/>
  <c r="N3" i="18"/>
  <c r="N5" i="18"/>
  <c r="BO5" i="23"/>
  <c r="CI5" i="23"/>
  <c r="G26" i="23"/>
  <c r="CI26" i="23"/>
  <c r="E25" i="23"/>
  <c r="E62" i="23" s="1"/>
  <c r="CD63" i="23"/>
  <c r="DP13" i="23"/>
  <c r="DM49" i="23"/>
  <c r="M80" i="20"/>
  <c r="V72" i="20"/>
  <c r="AK82" i="16"/>
  <c r="O53" i="11"/>
  <c r="O62" i="12"/>
  <c r="BX40" i="11"/>
  <c r="BO95" i="11"/>
  <c r="BO94" i="11"/>
  <c r="I69" i="12"/>
  <c r="I57" i="12"/>
  <c r="AW82" i="11"/>
  <c r="AI82" i="11"/>
  <c r="BI76" i="11"/>
  <c r="BP95" i="11"/>
  <c r="BP94" i="11"/>
  <c r="K64" i="12"/>
  <c r="AH32" i="16"/>
  <c r="BJ103" i="11"/>
  <c r="BJ104" i="11"/>
  <c r="P80" i="10"/>
  <c r="D29" i="12"/>
  <c r="BU44" i="11"/>
  <c r="BQ82" i="11"/>
  <c r="V386" i="21"/>
  <c r="BF78" i="11"/>
  <c r="BL72" i="11"/>
  <c r="BL88" i="11" s="1"/>
  <c r="BL97" i="11"/>
  <c r="BL71" i="11"/>
  <c r="BL87" i="11"/>
  <c r="AG24" i="12"/>
  <c r="AU24" i="12"/>
  <c r="BJ82" i="11"/>
  <c r="BV64" i="11"/>
  <c r="BC71" i="12"/>
  <c r="AT86" i="12"/>
  <c r="AF86" i="12"/>
  <c r="AU71" i="12"/>
  <c r="AG71" i="12"/>
  <c r="BC82" i="11"/>
  <c r="AO82" i="11"/>
  <c r="AS50" i="16"/>
  <c r="DP38" i="23"/>
  <c r="CB56" i="23"/>
  <c r="DP56" i="23"/>
  <c r="AU59" i="16"/>
  <c r="BK80" i="10"/>
  <c r="BW48" i="11"/>
  <c r="BO82" i="11"/>
  <c r="BG64" i="23"/>
  <c r="DF34" i="23"/>
  <c r="CL34" i="23"/>
  <c r="AX52" i="23"/>
  <c r="CB21" i="23"/>
  <c r="DP21" i="23" s="1"/>
  <c r="DP22" i="23"/>
  <c r="DO45" i="23"/>
  <c r="CA56" i="23"/>
  <c r="DO56" i="23" s="1"/>
  <c r="DO38" i="23"/>
  <c r="DO50" i="23"/>
  <c r="CA49" i="23"/>
  <c r="CC65" i="23"/>
  <c r="DQ56" i="23"/>
  <c r="CU12" i="23"/>
  <c r="BO85" i="11"/>
  <c r="AJ55" i="16"/>
  <c r="AJ70" i="16"/>
  <c r="G47" i="12"/>
  <c r="AY24" i="12"/>
  <c r="BS101" i="11"/>
  <c r="D67" i="12"/>
  <c r="N53" i="11"/>
  <c r="G78" i="12"/>
  <c r="Z71" i="16"/>
  <c r="AJ81" i="11"/>
  <c r="BK38" i="10"/>
  <c r="AW71" i="12"/>
  <c r="AI71" i="12"/>
  <c r="G94" i="12"/>
  <c r="DG4" i="23"/>
  <c r="DG36" i="23"/>
  <c r="BC31" i="16"/>
  <c r="DO49" i="23"/>
  <c r="DF52" i="23"/>
  <c r="O70" i="12"/>
  <c r="AU49" i="16"/>
  <c r="BQ63" i="23"/>
  <c r="L5" i="18"/>
  <c r="O3" i="18"/>
  <c r="O5" i="18" s="1"/>
  <c r="DG35" i="23"/>
  <c r="AY56" i="23"/>
  <c r="CM56" i="23" s="1"/>
  <c r="DG38" i="23"/>
  <c r="CM38" i="23"/>
  <c r="DG7" i="23"/>
  <c r="CM36" i="23"/>
  <c r="AY54" i="23"/>
  <c r="DG6" i="23"/>
  <c r="DG27" i="23"/>
  <c r="AY53" i="23"/>
  <c r="DG53" i="23"/>
  <c r="DG34" i="23"/>
  <c r="CM35" i="23"/>
  <c r="AU50" i="16"/>
  <c r="CM34" i="23"/>
  <c r="AY52" i="23"/>
  <c r="K15" i="24"/>
  <c r="CS15" i="23"/>
  <c r="M15" i="24"/>
  <c r="K17" i="24"/>
  <c r="I17" i="24"/>
  <c r="M17" i="24"/>
  <c r="CM12" i="23"/>
  <c r="AY64" i="23"/>
  <c r="DG64" i="23"/>
  <c r="BI29" i="23"/>
  <c r="DG12" i="23"/>
  <c r="N4" i="21"/>
  <c r="U15" i="26"/>
  <c r="DM43" i="23"/>
  <c r="H47" i="24"/>
  <c r="F45" i="24"/>
  <c r="I45" i="24"/>
  <c r="BI43" i="23"/>
  <c r="CW43" i="23"/>
  <c r="K47" i="24"/>
  <c r="CW47" i="23"/>
  <c r="I18" i="24"/>
  <c r="BI12" i="23"/>
  <c r="CW12" i="23"/>
  <c r="DM14" i="23"/>
  <c r="BE12" i="23"/>
  <c r="DM12" i="23" s="1"/>
  <c r="CM53" i="23"/>
  <c r="DG56" i="23"/>
  <c r="AY66" i="23"/>
  <c r="DG57" i="23"/>
  <c r="DL30" i="23"/>
  <c r="BC67" i="23"/>
  <c r="U391" i="21"/>
  <c r="U74" i="20"/>
  <c r="AB81" i="20"/>
  <c r="V74" i="20"/>
  <c r="U70" i="20"/>
  <c r="Z79" i="20"/>
  <c r="X79" i="20"/>
  <c r="CN57" i="23"/>
  <c r="X80" i="20"/>
  <c r="U409" i="21"/>
  <c r="U411" i="21"/>
  <c r="X82" i="20"/>
  <c r="R80" i="20"/>
  <c r="Q79" i="20"/>
  <c r="Z80" i="20"/>
  <c r="L74" i="20"/>
  <c r="P82" i="20"/>
  <c r="L67" i="20"/>
  <c r="C397" i="21"/>
  <c r="AA80" i="20"/>
  <c r="Q388" i="21"/>
  <c r="C80" i="20"/>
  <c r="Q402" i="21"/>
  <c r="Q407" i="21"/>
  <c r="S82" i="20"/>
  <c r="M77" i="20"/>
  <c r="M82" i="20" s="1"/>
  <c r="G397" i="21"/>
  <c r="N82" i="20"/>
  <c r="N81" i="20"/>
  <c r="P79" i="20"/>
  <c r="S393" i="21"/>
  <c r="L405" i="21"/>
  <c r="S405" i="21" s="1"/>
  <c r="Q410" i="21"/>
  <c r="Q80" i="20"/>
  <c r="O65" i="20"/>
  <c r="O82" i="20"/>
  <c r="O79" i="20"/>
  <c r="E397" i="21"/>
  <c r="W68" i="20"/>
  <c r="L69" i="20"/>
  <c r="L80" i="20" s="1"/>
  <c r="Q404" i="21"/>
  <c r="Q386" i="21"/>
  <c r="P65" i="20"/>
  <c r="U385" i="21"/>
  <c r="L66" i="20"/>
  <c r="D79" i="20"/>
  <c r="J390" i="21"/>
  <c r="Q390" i="21" s="1"/>
  <c r="O68" i="2"/>
  <c r="O79" i="2" s="1"/>
  <c r="W401" i="3"/>
  <c r="R408" i="3"/>
  <c r="R413" i="3"/>
  <c r="O73" i="2"/>
  <c r="AH73" i="2"/>
  <c r="W65" i="2"/>
  <c r="W81" i="2"/>
  <c r="G66" i="23"/>
  <c r="CI66" i="23" s="1"/>
  <c r="CI29" i="23"/>
  <c r="Q29" i="23"/>
  <c r="Q66" i="23"/>
  <c r="CJ6" i="23"/>
  <c r="H27" i="23"/>
  <c r="H64" i="23"/>
  <c r="CJ64" i="23" s="1"/>
  <c r="P28" i="23"/>
  <c r="P65" i="23" s="1"/>
  <c r="F28" i="23"/>
  <c r="F65" i="23" s="1"/>
  <c r="CH65" i="23" s="1"/>
  <c r="BN7" i="23"/>
  <c r="BN28" i="23"/>
  <c r="BN65" i="23" s="1"/>
  <c r="CH7" i="23"/>
  <c r="N3" i="27"/>
  <c r="N5" i="27"/>
  <c r="CL5" i="23"/>
  <c r="BO7" i="23"/>
  <c r="BO28" i="23" s="1"/>
  <c r="BO65" i="23"/>
  <c r="CI7" i="23"/>
  <c r="BP27" i="23"/>
  <c r="D79" i="2"/>
  <c r="D65" i="2"/>
  <c r="AD68" i="2"/>
  <c r="N403" i="3"/>
  <c r="N406" i="3"/>
  <c r="S79" i="2"/>
  <c r="AE79" i="2"/>
  <c r="Y66" i="2"/>
  <c r="Y79" i="2" s="1"/>
  <c r="Y68" i="2"/>
  <c r="Y385" i="3"/>
  <c r="AC65" i="2"/>
  <c r="AC79" i="2"/>
  <c r="W387" i="3"/>
  <c r="Y68" i="24"/>
  <c r="AD68" i="24"/>
  <c r="AD31" i="24"/>
  <c r="CG26" i="23"/>
  <c r="H28" i="23"/>
  <c r="H65" i="23"/>
  <c r="CJ65" i="23" s="1"/>
  <c r="CJ7" i="23"/>
  <c r="BP7" i="23"/>
  <c r="BP28" i="23"/>
  <c r="BP65" i="23" s="1"/>
  <c r="D80" i="2"/>
  <c r="Y388" i="3"/>
  <c r="AE80" i="2"/>
  <c r="AA396" i="3"/>
  <c r="AG82" i="2"/>
  <c r="AH82" i="2"/>
  <c r="CG27" i="23"/>
  <c r="AD3" i="27"/>
  <c r="AD5" i="27"/>
  <c r="Z75" i="2"/>
  <c r="Z77" i="2"/>
  <c r="N80" i="2"/>
  <c r="AC82" i="2"/>
  <c r="L397" i="3"/>
  <c r="L413" i="3"/>
  <c r="AA386" i="3"/>
  <c r="AG79" i="2"/>
  <c r="AD71" i="2"/>
  <c r="S80" i="2"/>
  <c r="Y72" i="2"/>
  <c r="W391" i="3"/>
  <c r="AC81" i="2"/>
  <c r="Y393" i="3"/>
  <c r="AE81" i="2"/>
  <c r="Y74" i="2"/>
  <c r="AF72" i="2"/>
  <c r="P407" i="3"/>
  <c r="U81" i="2"/>
  <c r="O72" i="2"/>
  <c r="W388" i="3"/>
  <c r="Y69" i="2"/>
  <c r="Y80" i="2" s="1"/>
  <c r="U412" i="3"/>
  <c r="AB82" i="2"/>
  <c r="U410" i="3"/>
  <c r="U413" i="3" s="1"/>
  <c r="U408" i="3"/>
  <c r="AB81" i="2"/>
  <c r="AB79" i="2"/>
  <c r="U402" i="3"/>
  <c r="C79" i="2"/>
  <c r="C65" i="2"/>
  <c r="T27" i="26" a="1"/>
  <c r="BN5" i="23"/>
  <c r="BN26" i="23" s="1"/>
  <c r="BN63" i="23"/>
  <c r="S5" i="23"/>
  <c r="CH5" i="23"/>
  <c r="F26" i="23"/>
  <c r="G28" i="23"/>
  <c r="G65" i="23" s="1"/>
  <c r="J26" i="23"/>
  <c r="I27" i="23"/>
  <c r="W395" i="3"/>
  <c r="H26" i="23"/>
  <c r="H63" i="23" s="1"/>
  <c r="CJ5" i="23"/>
  <c r="I413" i="3"/>
  <c r="N82" i="2"/>
  <c r="P405" i="3"/>
  <c r="W79" i="2"/>
  <c r="U80" i="2"/>
  <c r="C81" i="2"/>
  <c r="D82" i="2"/>
  <c r="L4" i="23"/>
  <c r="L5" i="23"/>
  <c r="AA404" i="3"/>
  <c r="N79" i="2"/>
  <c r="CO29" i="23"/>
  <c r="J6" i="23"/>
  <c r="W3" i="27" s="1"/>
  <c r="Z20" i="24"/>
  <c r="O20" i="24"/>
  <c r="N12" i="20"/>
  <c r="U224" i="21"/>
  <c r="V392" i="21" s="1"/>
  <c r="AA10" i="20"/>
  <c r="O11" i="20"/>
  <c r="O31" i="20" s="1"/>
  <c r="H14" i="20"/>
  <c r="S6" i="20"/>
  <c r="S8" i="20"/>
  <c r="S10" i="20"/>
  <c r="E14" i="20"/>
  <c r="E54" i="20" s="1"/>
  <c r="F8" i="20"/>
  <c r="F28" i="20" s="1"/>
  <c r="Z16" i="20"/>
  <c r="E6" i="20"/>
  <c r="Y13" i="20"/>
  <c r="AB9" i="20"/>
  <c r="AB49" i="20" s="1"/>
  <c r="V49" i="20" s="1"/>
  <c r="R13" i="20"/>
  <c r="Y17" i="20"/>
  <c r="Y22" i="20" s="1"/>
  <c r="P9" i="20"/>
  <c r="P10" i="20"/>
  <c r="P11" i="20"/>
  <c r="AA8" i="20"/>
  <c r="Z17" i="20"/>
  <c r="Z57" i="20" s="1"/>
  <c r="Y6" i="20"/>
  <c r="Y26" i="20" s="1"/>
  <c r="W9" i="20"/>
  <c r="AB16" i="20"/>
  <c r="P14" i="20"/>
  <c r="J6" i="20"/>
  <c r="J26" i="20" s="1"/>
  <c r="H10" i="20"/>
  <c r="O16" i="20"/>
  <c r="O36" i="20" s="1"/>
  <c r="N6" i="20"/>
  <c r="J13" i="20"/>
  <c r="J33" i="20" s="1"/>
  <c r="AA9" i="20"/>
  <c r="W17" i="20"/>
  <c r="O12" i="20"/>
  <c r="AB7" i="20"/>
  <c r="AB11" i="20"/>
  <c r="AB31" i="20" s="1"/>
  <c r="E13" i="20"/>
  <c r="E33" i="20"/>
  <c r="E11" i="20"/>
  <c r="E15" i="20"/>
  <c r="E55" i="20" s="1"/>
  <c r="AB10" i="20"/>
  <c r="J17" i="20"/>
  <c r="J37" i="20" s="1"/>
  <c r="AB17" i="20"/>
  <c r="AA16" i="20"/>
  <c r="AA36" i="20" s="1"/>
  <c r="P13" i="20"/>
  <c r="Z10" i="20"/>
  <c r="I14" i="20"/>
  <c r="R16" i="20"/>
  <c r="R56" i="20" s="1"/>
  <c r="Q6" i="20"/>
  <c r="F10" i="20"/>
  <c r="F50" i="20" s="1"/>
  <c r="N15" i="20"/>
  <c r="N55" i="20" s="1"/>
  <c r="J7" i="20"/>
  <c r="J47" i="20" s="1"/>
  <c r="F13" i="20"/>
  <c r="P12" i="20"/>
  <c r="P32" i="20" s="1"/>
  <c r="AA7" i="20"/>
  <c r="Y15" i="20"/>
  <c r="Q13" i="20"/>
  <c r="S13" i="20"/>
  <c r="AA15" i="20"/>
  <c r="AA35" i="20" s="1"/>
  <c r="Q10" i="20"/>
  <c r="Q50" i="20"/>
  <c r="AB15" i="20"/>
  <c r="AB35" i="20" s="1"/>
  <c r="G15" i="20"/>
  <c r="F6" i="20"/>
  <c r="AB12" i="20"/>
  <c r="AB52" i="20" s="1"/>
  <c r="W12" i="20"/>
  <c r="Q17" i="20"/>
  <c r="N14" i="20"/>
  <c r="J14" i="20"/>
  <c r="J54" i="20" s="1"/>
  <c r="I9" i="20"/>
  <c r="F12" i="20"/>
  <c r="F52" i="20" s="1"/>
  <c r="R7" i="20"/>
  <c r="Q9" i="20"/>
  <c r="F15" i="20"/>
  <c r="R9" i="20"/>
  <c r="X6" i="20"/>
  <c r="P17" i="20"/>
  <c r="P37" i="20" s="1"/>
  <c r="F16" i="20"/>
  <c r="J16" i="20"/>
  <c r="J56" i="20" s="1"/>
  <c r="E7" i="20"/>
  <c r="O6" i="20"/>
  <c r="O26" i="20" s="1"/>
  <c r="J11" i="20"/>
  <c r="J31" i="20" s="1"/>
  <c r="Q8" i="20"/>
  <c r="S14" i="20"/>
  <c r="O13" i="20"/>
  <c r="I11" i="20"/>
  <c r="I31" i="20" s="1"/>
  <c r="AA13" i="20"/>
  <c r="F7" i="20"/>
  <c r="F47" i="20" s="1"/>
  <c r="W10" i="20"/>
  <c r="W50" i="20" s="1"/>
  <c r="H8" i="20"/>
  <c r="H28" i="20" s="1"/>
  <c r="S9" i="20"/>
  <c r="I6" i="20"/>
  <c r="I46" i="20"/>
  <c r="AA11" i="20"/>
  <c r="AA31" i="20" s="1"/>
  <c r="J9" i="20"/>
  <c r="J20" i="20" s="1"/>
  <c r="J40" i="20" s="1"/>
  <c r="O15" i="20"/>
  <c r="O35" i="20"/>
  <c r="O10" i="20"/>
  <c r="H11" i="20"/>
  <c r="Y10" i="20"/>
  <c r="Y50" i="20"/>
  <c r="G13" i="20"/>
  <c r="P8" i="20"/>
  <c r="P48" i="20" s="1"/>
  <c r="F14" i="20"/>
  <c r="O9" i="20"/>
  <c r="O29" i="20" s="1"/>
  <c r="H12" i="20"/>
  <c r="H32" i="20" s="1"/>
  <c r="H6" i="20"/>
  <c r="H26" i="20" s="1"/>
  <c r="W7" i="20"/>
  <c r="G16" i="20"/>
  <c r="Y7" i="20"/>
  <c r="R6" i="20"/>
  <c r="R26" i="20" s="1"/>
  <c r="Q15" i="20"/>
  <c r="I8" i="20"/>
  <c r="I28" i="20" s="1"/>
  <c r="H13" i="20"/>
  <c r="I10" i="20"/>
  <c r="I50" i="20" s="1"/>
  <c r="Z11" i="20"/>
  <c r="E8" i="20"/>
  <c r="R12" i="20"/>
  <c r="R32" i="20" s="1"/>
  <c r="N10" i="20"/>
  <c r="N50" i="20" s="1"/>
  <c r="R14" i="20"/>
  <c r="H15" i="20"/>
  <c r="H55" i="20" s="1"/>
  <c r="F11" i="20"/>
  <c r="F31" i="20" s="1"/>
  <c r="F51" i="20"/>
  <c r="X17" i="20"/>
  <c r="X10" i="20"/>
  <c r="X30" i="20" s="1"/>
  <c r="R17" i="20"/>
  <c r="R57" i="20" s="1"/>
  <c r="R37" i="20"/>
  <c r="J15" i="20"/>
  <c r="J35" i="20"/>
  <c r="J10" i="20"/>
  <c r="J30" i="20" s="1"/>
  <c r="J50" i="20"/>
  <c r="G7" i="20"/>
  <c r="G47" i="20"/>
  <c r="N8" i="20"/>
  <c r="N48" i="20"/>
  <c r="G17" i="20"/>
  <c r="S12" i="20"/>
  <c r="G6" i="20"/>
  <c r="G26" i="20" s="1"/>
  <c r="O17" i="20"/>
  <c r="O37" i="20" s="1"/>
  <c r="I12" i="20"/>
  <c r="X16" i="20"/>
  <c r="G10" i="20"/>
  <c r="G30" i="20" s="1"/>
  <c r="X11" i="20"/>
  <c r="F17" i="20"/>
  <c r="Y16" i="20"/>
  <c r="Y36" i="20" s="1"/>
  <c r="X7" i="20"/>
  <c r="X47" i="20" s="1"/>
  <c r="E12" i="20"/>
  <c r="E32" i="20" s="1"/>
  <c r="Y11" i="20"/>
  <c r="H9" i="20"/>
  <c r="AA6" i="20"/>
  <c r="W6" i="20"/>
  <c r="W19" i="20" s="1"/>
  <c r="H7" i="20"/>
  <c r="X9" i="20"/>
  <c r="X29" i="20" s="1"/>
  <c r="G8" i="20"/>
  <c r="G12" i="20"/>
  <c r="G52" i="20" s="1"/>
  <c r="C52" i="20" s="1"/>
  <c r="Z7" i="20"/>
  <c r="AA17" i="20"/>
  <c r="AA37" i="20" s="1"/>
  <c r="O7" i="20"/>
  <c r="O27" i="20" s="1"/>
  <c r="Q7" i="20"/>
  <c r="Q27" i="20" s="1"/>
  <c r="S16" i="20"/>
  <c r="N9" i="20"/>
  <c r="N49" i="20" s="1"/>
  <c r="E16" i="20"/>
  <c r="P6" i="20"/>
  <c r="P26" i="20" s="1"/>
  <c r="Y12" i="20"/>
  <c r="N16" i="20"/>
  <c r="N36" i="20" s="1"/>
  <c r="F9" i="20"/>
  <c r="N13" i="20"/>
  <c r="N53" i="20" s="1"/>
  <c r="X12" i="20"/>
  <c r="Q12" i="20"/>
  <c r="Q32" i="20" s="1"/>
  <c r="G14" i="20"/>
  <c r="G54" i="20" s="1"/>
  <c r="I17" i="20"/>
  <c r="Q14" i="20"/>
  <c r="X15" i="20"/>
  <c r="X35" i="20" s="1"/>
  <c r="I16" i="20"/>
  <c r="E9" i="20"/>
  <c r="E49" i="20" s="1"/>
  <c r="O14" i="20"/>
  <c r="O34" i="20" s="1"/>
  <c r="O8" i="20"/>
  <c r="O28" i="20" s="1"/>
  <c r="H16" i="20"/>
  <c r="E17" i="20"/>
  <c r="E37" i="20" s="1"/>
  <c r="R8" i="20"/>
  <c r="W15" i="20"/>
  <c r="J8" i="20"/>
  <c r="S11" i="20"/>
  <c r="I15" i="20"/>
  <c r="I7" i="20"/>
  <c r="P16" i="20"/>
  <c r="L76" i="20"/>
  <c r="N11" i="20"/>
  <c r="W8" i="20"/>
  <c r="Z9" i="20"/>
  <c r="Y9" i="20"/>
  <c r="Y29" i="20" s="1"/>
  <c r="W11" i="20"/>
  <c r="W51" i="20"/>
  <c r="E10" i="20"/>
  <c r="X13" i="20"/>
  <c r="X33" i="20" s="1"/>
  <c r="Z13" i="20"/>
  <c r="AB13" i="20"/>
  <c r="AB53" i="20" s="1"/>
  <c r="H17" i="20"/>
  <c r="H57" i="20" s="1"/>
  <c r="H37" i="20"/>
  <c r="S15" i="20"/>
  <c r="G9" i="20"/>
  <c r="G20" i="20" s="1"/>
  <c r="G40" i="20" s="1"/>
  <c r="AA12" i="20"/>
  <c r="N7" i="20"/>
  <c r="P15" i="20"/>
  <c r="P35" i="20" s="1"/>
  <c r="S17" i="20"/>
  <c r="S7" i="20"/>
  <c r="S27" i="20"/>
  <c r="Q11" i="20"/>
  <c r="N17" i="20"/>
  <c r="N37" i="20" s="1"/>
  <c r="R11" i="20"/>
  <c r="Y8" i="20"/>
  <c r="R15" i="20"/>
  <c r="R35" i="20" s="1"/>
  <c r="I13" i="20"/>
  <c r="I33" i="20" s="1"/>
  <c r="R10" i="20"/>
  <c r="J12" i="20"/>
  <c r="P52" i="20"/>
  <c r="G6" i="2"/>
  <c r="G46" i="2" s="1"/>
  <c r="AH17" i="2"/>
  <c r="AA8" i="2"/>
  <c r="V387" i="3" s="1"/>
  <c r="W11" i="2"/>
  <c r="AH12" i="2"/>
  <c r="AH52" i="2" s="1"/>
  <c r="G10" i="2"/>
  <c r="J16" i="2"/>
  <c r="AB11" i="2"/>
  <c r="G9" i="2"/>
  <c r="I15" i="2"/>
  <c r="H394" i="3" s="1"/>
  <c r="AH13" i="2"/>
  <c r="E9" i="2"/>
  <c r="D388" i="3"/>
  <c r="T15" i="2"/>
  <c r="X224" i="3"/>
  <c r="AD13" i="2"/>
  <c r="X408" i="3" s="1"/>
  <c r="W224" i="3"/>
  <c r="AA224" i="3"/>
  <c r="J10" i="2"/>
  <c r="J50" i="2" s="1"/>
  <c r="AG12" i="2"/>
  <c r="U17" i="2"/>
  <c r="AB10" i="2"/>
  <c r="V23" i="10" s="1"/>
  <c r="AJ23" i="10" s="1"/>
  <c r="AE8" i="2"/>
  <c r="AE48" i="2" s="1"/>
  <c r="K16" i="2"/>
  <c r="K6" i="2"/>
  <c r="K46" i="2" s="1"/>
  <c r="AD7" i="2"/>
  <c r="AC11" i="2"/>
  <c r="J8" i="2"/>
  <c r="T13" i="2"/>
  <c r="Y8" i="10" s="1"/>
  <c r="CC11" i="16" s="1"/>
  <c r="AG16" i="2"/>
  <c r="AG36" i="2" s="1"/>
  <c r="S8" i="2"/>
  <c r="AC7" i="2"/>
  <c r="AC47" i="2" s="1"/>
  <c r="AC16" i="2"/>
  <c r="AC56" i="2" s="1"/>
  <c r="F15" i="2"/>
  <c r="Q6" i="2"/>
  <c r="E13" i="2"/>
  <c r="E53" i="2" s="1"/>
  <c r="E15" i="2"/>
  <c r="I14" i="2"/>
  <c r="U15" i="2"/>
  <c r="U12" i="2"/>
  <c r="U32" i="2"/>
  <c r="AF10" i="2"/>
  <c r="Z405" i="3" s="1"/>
  <c r="S17" i="2"/>
  <c r="S16" i="2"/>
  <c r="Q10" i="2"/>
  <c r="AF15" i="2"/>
  <c r="AA27" i="10" s="1"/>
  <c r="E10" i="2"/>
  <c r="H16" i="2"/>
  <c r="S9" i="2"/>
  <c r="L8" i="2"/>
  <c r="U16" i="2"/>
  <c r="Q9" i="2"/>
  <c r="F10" i="2"/>
  <c r="D405" i="3"/>
  <c r="P11" i="2"/>
  <c r="W15" i="2"/>
  <c r="H6" i="2"/>
  <c r="F401" i="3"/>
  <c r="H11" i="2"/>
  <c r="K9" i="2"/>
  <c r="F17" i="2"/>
  <c r="AC10" i="2"/>
  <c r="J9" i="2"/>
  <c r="V11" i="2"/>
  <c r="U8" i="2"/>
  <c r="Q403" i="3" s="1"/>
  <c r="AD17" i="2"/>
  <c r="P15" i="2"/>
  <c r="T11" i="2"/>
  <c r="P13" i="2"/>
  <c r="L10" i="2"/>
  <c r="L30" i="2" s="1"/>
  <c r="W8" i="2"/>
  <c r="I11" i="2"/>
  <c r="W14" i="2"/>
  <c r="AG11" i="2"/>
  <c r="AE16" i="2"/>
  <c r="R14" i="2"/>
  <c r="R17" i="2"/>
  <c r="R6" i="2"/>
  <c r="F14" i="2"/>
  <c r="V13" i="2"/>
  <c r="P12" i="2"/>
  <c r="P52" i="2" s="1"/>
  <c r="V6" i="2"/>
  <c r="Q16" i="2"/>
  <c r="Q56" i="2" s="1"/>
  <c r="AG8" i="2"/>
  <c r="AG48" i="2" s="1"/>
  <c r="G17" i="2"/>
  <c r="G57" i="2" s="1"/>
  <c r="T17" i="2"/>
  <c r="T57" i="2" s="1"/>
  <c r="AG17" i="2"/>
  <c r="AA12" i="2"/>
  <c r="AB17" i="2"/>
  <c r="AE12" i="2"/>
  <c r="AF12" i="2"/>
  <c r="AB12" i="2"/>
  <c r="AD12" i="2"/>
  <c r="AD52" i="2" s="1"/>
  <c r="S13" i="2"/>
  <c r="R10" i="2"/>
  <c r="K14" i="2"/>
  <c r="E14" i="2"/>
  <c r="G14" i="2"/>
  <c r="H8" i="2"/>
  <c r="AD11" i="2"/>
  <c r="AF8" i="2"/>
  <c r="AF48" i="2" s="1"/>
  <c r="P16" i="2"/>
  <c r="R16" i="2"/>
  <c r="R22" i="2" s="1"/>
  <c r="R42" i="2" s="1"/>
  <c r="T16" i="2"/>
  <c r="V16" i="2"/>
  <c r="V36" i="2" s="1"/>
  <c r="AA11" i="2"/>
  <c r="AA31" i="2" s="1"/>
  <c r="S7" i="2"/>
  <c r="U9" i="2"/>
  <c r="S14" i="2"/>
  <c r="O409" i="3" s="1"/>
  <c r="L9" i="2"/>
  <c r="K11" i="2"/>
  <c r="K31" i="2" s="1"/>
  <c r="H13" i="2"/>
  <c r="P14" i="2"/>
  <c r="P54" i="2" s="1"/>
  <c r="AD9" i="2"/>
  <c r="F12" i="2"/>
  <c r="W7" i="2"/>
  <c r="AB8" i="2"/>
  <c r="AB28" i="2" s="1"/>
  <c r="L7" i="2"/>
  <c r="AG9" i="2"/>
  <c r="AF16" i="2"/>
  <c r="AB27" i="10" s="1"/>
  <c r="I13" i="2"/>
  <c r="AD10" i="2"/>
  <c r="AD30" i="2" s="1"/>
  <c r="L15" i="2"/>
  <c r="AH15" i="2"/>
  <c r="AA17" i="2"/>
  <c r="T9" i="2"/>
  <c r="Q388" i="3" s="1"/>
  <c r="G12" i="2"/>
  <c r="AB6" i="2"/>
  <c r="T7" i="2"/>
  <c r="AB9" i="2"/>
  <c r="F9" i="2"/>
  <c r="D404" i="3" s="1"/>
  <c r="P7" i="2"/>
  <c r="G15" i="2"/>
  <c r="K13" i="2"/>
  <c r="AH10" i="2"/>
  <c r="AH30" i="2" s="1"/>
  <c r="AD8" i="2"/>
  <c r="H17" i="2"/>
  <c r="F412" i="3" s="1"/>
  <c r="T12" i="2"/>
  <c r="X8" i="10" s="1"/>
  <c r="AL8" i="10" s="1"/>
  <c r="AA16" i="2"/>
  <c r="AA56" i="2" s="1"/>
  <c r="J17" i="2"/>
  <c r="L17" i="2"/>
  <c r="Q8" i="2"/>
  <c r="M403" i="3" s="1"/>
  <c r="Q48" i="2"/>
  <c r="H10" i="2"/>
  <c r="AB15" i="2"/>
  <c r="V410" i="3" s="1"/>
  <c r="E12" i="2"/>
  <c r="D391" i="3"/>
  <c r="AE7" i="2"/>
  <c r="Z386" i="3" s="1"/>
  <c r="AH16" i="2"/>
  <c r="R15" i="2"/>
  <c r="R35" i="2" s="1"/>
  <c r="AA12" i="10"/>
  <c r="AO12" i="10" s="1"/>
  <c r="AH7" i="2"/>
  <c r="G8" i="2"/>
  <c r="H14" i="2"/>
  <c r="Q11" i="2"/>
  <c r="Q31" i="2" s="1"/>
  <c r="I12" i="2"/>
  <c r="Q15" i="2"/>
  <c r="AE11" i="2"/>
  <c r="AE31" i="2" s="1"/>
  <c r="G16" i="2"/>
  <c r="V8" i="2"/>
  <c r="J7" i="2"/>
  <c r="AE17" i="2"/>
  <c r="J11" i="2"/>
  <c r="J51" i="2" s="1"/>
  <c r="J6" i="2"/>
  <c r="K8" i="2"/>
  <c r="K28" i="2" s="1"/>
  <c r="AD15" i="2"/>
  <c r="X410" i="3" s="1"/>
  <c r="AB16" i="2"/>
  <c r="U10" i="2"/>
  <c r="AE15" i="2"/>
  <c r="T8" i="2"/>
  <c r="E8" i="2"/>
  <c r="D387" i="3" s="1"/>
  <c r="P10" i="2"/>
  <c r="V12" i="2"/>
  <c r="W12" i="2"/>
  <c r="W32" i="2" s="1"/>
  <c r="L12" i="2"/>
  <c r="K7" i="2"/>
  <c r="H9" i="2"/>
  <c r="AE6" i="2"/>
  <c r="R9" i="10" s="1"/>
  <c r="BV12" i="16" s="1"/>
  <c r="AF17" i="2"/>
  <c r="AC27" i="10" s="1"/>
  <c r="T10" i="2"/>
  <c r="AG10" i="2"/>
  <c r="I7" i="2"/>
  <c r="H386" i="3" s="1"/>
  <c r="AH9" i="2"/>
  <c r="S6" i="2"/>
  <c r="S46" i="2" s="1"/>
  <c r="AC8" i="2"/>
  <c r="J12" i="2"/>
  <c r="J52" i="2" s="1"/>
  <c r="H7" i="2"/>
  <c r="D7" i="2" s="1"/>
  <c r="D27" i="2" s="1"/>
  <c r="W17" i="2"/>
  <c r="W57" i="2" s="1"/>
  <c r="R7" i="2"/>
  <c r="P9" i="2"/>
  <c r="Q7" i="2"/>
  <c r="Q47" i="2" s="1"/>
  <c r="AA10" i="2"/>
  <c r="J15" i="2"/>
  <c r="J35" i="2" s="1"/>
  <c r="L13" i="2"/>
  <c r="J408" i="3" s="1"/>
  <c r="H15" i="2"/>
  <c r="U13" i="2"/>
  <c r="AC15" i="2"/>
  <c r="AC55" i="2" s="1"/>
  <c r="V15" i="2"/>
  <c r="S394" i="3" s="1"/>
  <c r="AH8" i="2"/>
  <c r="AH48" i="2" s="1"/>
  <c r="G11" i="2"/>
  <c r="G51" i="2" s="1"/>
  <c r="U6" i="2"/>
  <c r="R26" i="10" s="1"/>
  <c r="AF26" i="10" s="1"/>
  <c r="U7" i="2"/>
  <c r="L16" i="2"/>
  <c r="BA7" i="23" s="1" a="1"/>
  <c r="BD7" i="23" s="1"/>
  <c r="AG7" i="2"/>
  <c r="AG47" i="2" s="1"/>
  <c r="V14" i="2"/>
  <c r="V34" i="2" s="1"/>
  <c r="V54" i="2"/>
  <c r="Q12" i="2"/>
  <c r="M407" i="3" s="1"/>
  <c r="V17" i="2"/>
  <c r="P8" i="2"/>
  <c r="M387" i="3" s="1"/>
  <c r="P28" i="2"/>
  <c r="AA9" i="2"/>
  <c r="W6" i="2"/>
  <c r="R34" i="10" s="1"/>
  <c r="AF34" i="10" s="1"/>
  <c r="L14" i="2"/>
  <c r="J13" i="2"/>
  <c r="AC9" i="2"/>
  <c r="E6" i="2"/>
  <c r="D385" i="3" s="1"/>
  <c r="I10" i="2"/>
  <c r="W10" i="2"/>
  <c r="W30" i="2" s="1"/>
  <c r="I17" i="2"/>
  <c r="AD6" i="2"/>
  <c r="AD26" i="2" s="1"/>
  <c r="S12" i="2"/>
  <c r="AC17" i="2"/>
  <c r="R11" i="2"/>
  <c r="R31" i="2" s="1"/>
  <c r="F13" i="2"/>
  <c r="D408" i="3" s="1"/>
  <c r="AH11" i="2"/>
  <c r="J14" i="2"/>
  <c r="Q17" i="2"/>
  <c r="Q37" i="2" s="1"/>
  <c r="Q14" i="2"/>
  <c r="M409" i="3" s="1"/>
  <c r="AE9" i="2"/>
  <c r="U9" i="10" s="1"/>
  <c r="AW9" i="10" s="1"/>
  <c r="AE49" i="2"/>
  <c r="E7" i="2"/>
  <c r="E19" i="2" s="1"/>
  <c r="E39" i="2" s="1"/>
  <c r="I6" i="2"/>
  <c r="I26" i="2" s="1"/>
  <c r="AF7" i="2"/>
  <c r="F16" i="2"/>
  <c r="F56" i="2" s="1"/>
  <c r="E17" i="2"/>
  <c r="K17" i="2"/>
  <c r="K10" i="2"/>
  <c r="K50" i="2" s="1"/>
  <c r="F11" i="2"/>
  <c r="D406" i="3" s="1"/>
  <c r="P17" i="2"/>
  <c r="P37" i="2" s="1"/>
  <c r="W13" i="2"/>
  <c r="E16" i="2"/>
  <c r="V9" i="2"/>
  <c r="AD16" i="2"/>
  <c r="W9" i="2"/>
  <c r="Q13" i="2"/>
  <c r="W16" i="2"/>
  <c r="W36" i="2" s="1"/>
  <c r="AF9" i="2"/>
  <c r="AF29" i="2" s="1"/>
  <c r="G13" i="2"/>
  <c r="G33" i="2" s="1"/>
  <c r="AF11" i="2"/>
  <c r="AF6" i="2"/>
  <c r="AF46" i="2" s="1"/>
  <c r="G7" i="2"/>
  <c r="F7" i="2"/>
  <c r="V7" i="2"/>
  <c r="F8" i="2"/>
  <c r="F28" i="2" s="1"/>
  <c r="I9" i="2"/>
  <c r="H12" i="2"/>
  <c r="AA7" i="2"/>
  <c r="AA19" i="2" s="1"/>
  <c r="AA39" i="2" s="1"/>
  <c r="AG6" i="2"/>
  <c r="AB385" i="3" s="1"/>
  <c r="AC6" i="2"/>
  <c r="I8" i="2"/>
  <c r="T14" i="2"/>
  <c r="Z8" i="10" s="1"/>
  <c r="F6" i="2"/>
  <c r="D401" i="3" s="1"/>
  <c r="S11" i="2"/>
  <c r="S51" i="2" s="1"/>
  <c r="K15" i="2"/>
  <c r="U14" i="2"/>
  <c r="R8" i="2"/>
  <c r="S10" i="2"/>
  <c r="S30" i="2" s="1"/>
  <c r="S15" i="2"/>
  <c r="P6" i="2"/>
  <c r="V10" i="2"/>
  <c r="V16" i="10" s="1"/>
  <c r="AJ16" i="10" s="1"/>
  <c r="AB7" i="2"/>
  <c r="AB47" i="2" s="1"/>
  <c r="L6" i="2"/>
  <c r="I16" i="2"/>
  <c r="AA15" i="2"/>
  <c r="R13" i="2"/>
  <c r="R33" i="2" s="1"/>
  <c r="L11" i="2"/>
  <c r="L51" i="2" s="1"/>
  <c r="T6" i="2"/>
  <c r="T19" i="2"/>
  <c r="T39" i="2" s="1"/>
  <c r="K12" i="2"/>
  <c r="E11" i="2"/>
  <c r="E51" i="2" s="1"/>
  <c r="R12" i="2"/>
  <c r="AC12" i="2"/>
  <c r="X391" i="3" s="1"/>
  <c r="U11" i="2"/>
  <c r="AE13" i="2"/>
  <c r="E4" i="21"/>
  <c r="X26" i="10"/>
  <c r="F35" i="2"/>
  <c r="O412" i="3"/>
  <c r="D392" i="3"/>
  <c r="AG56" i="2"/>
  <c r="AH55" i="2"/>
  <c r="AG28" i="2"/>
  <c r="F50" i="2"/>
  <c r="Z4" i="10"/>
  <c r="BB4" i="10" s="1"/>
  <c r="V224" i="3"/>
  <c r="AG13" i="2"/>
  <c r="AB392" i="3" s="1"/>
  <c r="C4" i="21"/>
  <c r="W23" i="10"/>
  <c r="AK23" i="10" s="1"/>
  <c r="F385" i="3"/>
  <c r="Y16" i="10"/>
  <c r="CC19" i="16" s="1"/>
  <c r="U52" i="2"/>
  <c r="U224" i="3"/>
  <c r="AC13" i="2"/>
  <c r="Z67" i="23"/>
  <c r="AK30" i="23"/>
  <c r="AK67" i="23"/>
  <c r="DF25" i="23"/>
  <c r="DD26" i="23"/>
  <c r="DB25" i="23"/>
  <c r="N57" i="25"/>
  <c r="CK30" i="23"/>
  <c r="DE30" i="23"/>
  <c r="AD67" i="23"/>
  <c r="DA26" i="23"/>
  <c r="DB64" i="23"/>
  <c r="AB64" i="23"/>
  <c r="DD64" i="23" s="1"/>
  <c r="U20" i="24"/>
  <c r="V21" i="24"/>
  <c r="AI61" i="23"/>
  <c r="J68" i="24"/>
  <c r="X48" i="24"/>
  <c r="AA48" i="24" s="1"/>
  <c r="P47" i="24"/>
  <c r="R47" i="24"/>
  <c r="R23" i="24"/>
  <c r="Q23" i="24"/>
  <c r="AK27" i="23"/>
  <c r="AK64" i="23"/>
  <c r="AK25" i="23"/>
  <c r="AK62" i="23"/>
  <c r="AK26" i="23"/>
  <c r="DD27" i="23"/>
  <c r="G57" i="24"/>
  <c r="G61" i="25"/>
  <c r="G57" i="25" s="1"/>
  <c r="Q25" i="25"/>
  <c r="L45" i="24"/>
  <c r="M47" i="24"/>
  <c r="L56" i="24"/>
  <c r="I48" i="24"/>
  <c r="M48" i="24"/>
  <c r="H48" i="24"/>
  <c r="K48" i="24"/>
  <c r="M18" i="24"/>
  <c r="F14" i="24"/>
  <c r="M14" i="24" s="1"/>
  <c r="G14" i="24"/>
  <c r="H15" i="24"/>
  <c r="AC66" i="23"/>
  <c r="DE66" i="23"/>
  <c r="DE29" i="23"/>
  <c r="AC62" i="23"/>
  <c r="H31" i="24"/>
  <c r="K18" i="24"/>
  <c r="Z47" i="24"/>
  <c r="T48" i="24"/>
  <c r="E58" i="25"/>
  <c r="Q24" i="24"/>
  <c r="U15" i="24"/>
  <c r="V15" i="24"/>
  <c r="AA63" i="23"/>
  <c r="AA61" i="23"/>
  <c r="H18" i="24"/>
  <c r="U55" i="24"/>
  <c r="S57" i="24"/>
  <c r="J36" i="24"/>
  <c r="I66" i="23"/>
  <c r="CK66" i="23"/>
  <c r="CK29" i="23"/>
  <c r="AJ61" i="23"/>
  <c r="DG28" i="23"/>
  <c r="Q21" i="24"/>
  <c r="O59" i="24"/>
  <c r="R49" i="24"/>
  <c r="Q49" i="24"/>
  <c r="H45" i="24"/>
  <c r="P48" i="24"/>
  <c r="H66" i="23"/>
  <c r="Y61" i="23"/>
  <c r="J14" i="24"/>
  <c r="I46" i="24"/>
  <c r="H46" i="24"/>
  <c r="J56" i="24"/>
  <c r="J45" i="24"/>
  <c r="Q22" i="25"/>
  <c r="Q58" i="25" s="1"/>
  <c r="U40" i="24"/>
  <c r="U58" i="24" s="1"/>
  <c r="U16" i="24"/>
  <c r="U7" i="24"/>
  <c r="U28" i="24" s="1"/>
  <c r="U17" i="24"/>
  <c r="U29" i="24"/>
  <c r="U39" i="24"/>
  <c r="U12" i="24"/>
  <c r="U11" i="24" s="1"/>
  <c r="U38" i="24"/>
  <c r="U56" i="24" s="1"/>
  <c r="U47" i="24"/>
  <c r="U9" i="24"/>
  <c r="U30" i="24"/>
  <c r="V47" i="24"/>
  <c r="P12" i="24"/>
  <c r="P11" i="24" s="1"/>
  <c r="P18" i="24"/>
  <c r="R18" i="24" s="1"/>
  <c r="P15" i="24"/>
  <c r="Q15" i="24" s="1"/>
  <c r="P37" i="24"/>
  <c r="P17" i="24"/>
  <c r="S8" i="24"/>
  <c r="S29" i="24" s="1"/>
  <c r="S7" i="24"/>
  <c r="S17" i="24"/>
  <c r="S40" i="24"/>
  <c r="S58" i="24"/>
  <c r="S67" i="24" s="1"/>
  <c r="S16" i="24"/>
  <c r="S46" i="24"/>
  <c r="S18" i="24"/>
  <c r="S31" i="24" s="1"/>
  <c r="S68" i="24"/>
  <c r="S37" i="24"/>
  <c r="O46" i="24"/>
  <c r="O16" i="24"/>
  <c r="O17" i="24"/>
  <c r="O39" i="24"/>
  <c r="R39" i="24" s="1"/>
  <c r="Q39" i="24"/>
  <c r="O18" i="24"/>
  <c r="O12" i="24"/>
  <c r="CM30" i="23"/>
  <c r="AY67" i="23"/>
  <c r="I62" i="25"/>
  <c r="Q26" i="25"/>
  <c r="L29" i="24"/>
  <c r="I15" i="24"/>
  <c r="J29" i="24"/>
  <c r="J66" i="24" s="1"/>
  <c r="H17" i="24"/>
  <c r="J28" i="24"/>
  <c r="J65" i="24" s="1"/>
  <c r="DF64" i="23"/>
  <c r="E66" i="23"/>
  <c r="CG66" i="23"/>
  <c r="DH55" i="23"/>
  <c r="K408" i="21"/>
  <c r="M392" i="21"/>
  <c r="CR57" i="23"/>
  <c r="DL57" i="23"/>
  <c r="Q56" i="20"/>
  <c r="S52" i="2"/>
  <c r="Z30" i="10"/>
  <c r="R5" i="10"/>
  <c r="AF5" i="10" s="1"/>
  <c r="AA46" i="2"/>
  <c r="AA26" i="2"/>
  <c r="K31" i="24"/>
  <c r="AA13" i="2"/>
  <c r="I4" i="3"/>
  <c r="C4" i="3"/>
  <c r="AB13" i="2"/>
  <c r="AB53" i="2" s="1"/>
  <c r="J4" i="3"/>
  <c r="G21" i="12"/>
  <c r="AO62" i="16"/>
  <c r="AI78" i="11"/>
  <c r="AW78" i="11"/>
  <c r="Y31" i="10"/>
  <c r="AD53" i="2"/>
  <c r="M85" i="12"/>
  <c r="N70" i="12"/>
  <c r="M93" i="12" s="1"/>
  <c r="J65" i="23"/>
  <c r="T7" i="23"/>
  <c r="T28" i="23" s="1"/>
  <c r="T65" i="23" s="1"/>
  <c r="I28" i="23"/>
  <c r="I65" i="23" s="1"/>
  <c r="CK7" i="23"/>
  <c r="AE3" i="27"/>
  <c r="Q7" i="23"/>
  <c r="Y9" i="24" s="1"/>
  <c r="AD9" i="24" s="1"/>
  <c r="CM6" i="23"/>
  <c r="K27" i="23"/>
  <c r="K64" i="23" s="1"/>
  <c r="CM64" i="23" s="1"/>
  <c r="AU82" i="16"/>
  <c r="BO26" i="23"/>
  <c r="BO63" i="23" s="1"/>
  <c r="G27" i="23"/>
  <c r="G64" i="23" s="1"/>
  <c r="W3" i="18"/>
  <c r="W5" i="18" s="1"/>
  <c r="CI6" i="23"/>
  <c r="BO6" i="23"/>
  <c r="DC66" i="23"/>
  <c r="BI72" i="11"/>
  <c r="BI88" i="11" s="1"/>
  <c r="BM51" i="11"/>
  <c r="BM72" i="11" s="1"/>
  <c r="BM88" i="11" s="1"/>
  <c r="AH24" i="12"/>
  <c r="S391" i="21"/>
  <c r="L397" i="21"/>
  <c r="BV44" i="11"/>
  <c r="G29" i="12"/>
  <c r="H20" i="12"/>
  <c r="AJ79" i="16"/>
  <c r="AJ84" i="16"/>
  <c r="AA86" i="16"/>
  <c r="DP44" i="23"/>
  <c r="S409" i="21"/>
  <c r="BS44" i="11"/>
  <c r="G63" i="23"/>
  <c r="Y56" i="26"/>
  <c r="AX24" i="23"/>
  <c r="DO46" i="23"/>
  <c r="CD62" i="23"/>
  <c r="DR62" i="23" s="1"/>
  <c r="DR25" i="23"/>
  <c r="DC62" i="23"/>
  <c r="AK79" i="16"/>
  <c r="AZ71" i="12"/>
  <c r="AL71" i="12"/>
  <c r="X94" i="12"/>
  <c r="AZ94" i="12" s="1"/>
  <c r="BJ72" i="11"/>
  <c r="BJ88" i="11"/>
  <c r="BJ52" i="11"/>
  <c r="AU61" i="16"/>
  <c r="BK65" i="16"/>
  <c r="BL65" i="16" s="1"/>
  <c r="BM65" i="16" s="1"/>
  <c r="BN65" i="16" s="1"/>
  <c r="BO65" i="16" s="1"/>
  <c r="BW81" i="11"/>
  <c r="AP71" i="16"/>
  <c r="R32" i="24"/>
  <c r="R69" i="24"/>
  <c r="P69" i="24"/>
  <c r="T49" i="24"/>
  <c r="BH54" i="23"/>
  <c r="CV36" i="23"/>
  <c r="CJ53" i="23"/>
  <c r="T32" i="26"/>
  <c r="T29" i="26"/>
  <c r="T31" i="26"/>
  <c r="BY36" i="23"/>
  <c r="BY34" i="23" s="1"/>
  <c r="BP54" i="23"/>
  <c r="AD81" i="11"/>
  <c r="M78" i="12"/>
  <c r="AA409" i="3"/>
  <c r="BX59" i="11"/>
  <c r="P56" i="12"/>
  <c r="AC71" i="16"/>
  <c r="AQ16" i="12"/>
  <c r="AX79" i="11"/>
  <c r="AH19" i="16"/>
  <c r="AH20" i="16"/>
  <c r="BA71" i="12"/>
  <c r="AC24" i="12"/>
  <c r="BE24" i="12" s="1"/>
  <c r="CA79" i="11"/>
  <c r="L64" i="12"/>
  <c r="T36" i="26"/>
  <c r="T38" i="26"/>
  <c r="AA39" i="12"/>
  <c r="BO68" i="11"/>
  <c r="BU68" i="11"/>
  <c r="BG84" i="11"/>
  <c r="AK84" i="16"/>
  <c r="AM83" i="16"/>
  <c r="AH67" i="2"/>
  <c r="AF69" i="2"/>
  <c r="AF80" i="2" s="1"/>
  <c r="Y75" i="20"/>
  <c r="Y82" i="20" s="1"/>
  <c r="Y77" i="2"/>
  <c r="S80" i="20"/>
  <c r="W66" i="20"/>
  <c r="L73" i="20"/>
  <c r="O70" i="2"/>
  <c r="J393" i="21"/>
  <c r="Y24" i="23"/>
  <c r="DA24" i="23"/>
  <c r="DK18" i="23"/>
  <c r="Q389" i="21"/>
  <c r="Q406" i="21"/>
  <c r="AE24" i="23"/>
  <c r="AG24" i="23"/>
  <c r="BI55" i="23"/>
  <c r="DB57" i="23"/>
  <c r="BX62" i="23"/>
  <c r="CA41" i="23"/>
  <c r="BQ34" i="23"/>
  <c r="DD55" i="23"/>
  <c r="AO53" i="23"/>
  <c r="DQ53" i="23" s="1"/>
  <c r="I48" i="25"/>
  <c r="AN34" i="23"/>
  <c r="AN52" i="23" s="1"/>
  <c r="AP55" i="23"/>
  <c r="CQ57" i="23"/>
  <c r="DO44" i="23"/>
  <c r="J27" i="24"/>
  <c r="G21" i="25"/>
  <c r="I21" i="25"/>
  <c r="Q12" i="25"/>
  <c r="Q21" i="25"/>
  <c r="N48" i="25"/>
  <c r="O48" i="25"/>
  <c r="Z287" i="3"/>
  <c r="AA287" i="3"/>
  <c r="BY22" i="23"/>
  <c r="BY21" i="23"/>
  <c r="BN21" i="23"/>
  <c r="U30" i="25"/>
  <c r="X5" i="3"/>
  <c r="Z319" i="3"/>
  <c r="AF13" i="2"/>
  <c r="Y54" i="26"/>
  <c r="X54" i="26"/>
  <c r="CH9" i="23"/>
  <c r="CI21" i="23"/>
  <c r="DC21" i="23"/>
  <c r="DK21" i="23"/>
  <c r="CQ21" i="23"/>
  <c r="M4" i="27"/>
  <c r="BH67" i="23"/>
  <c r="J67" i="24"/>
  <c r="X319" i="3"/>
  <c r="Z98" i="3"/>
  <c r="Z66" i="3"/>
  <c r="Z129" i="3"/>
  <c r="V287" i="3"/>
  <c r="V192" i="3"/>
  <c r="V66" i="3"/>
  <c r="V37" i="3"/>
  <c r="V161" i="3"/>
  <c r="Y5" i="3"/>
  <c r="CG55" i="23"/>
  <c r="AA51" i="26"/>
  <c r="CS22" i="23"/>
  <c r="DM22" i="23"/>
  <c r="BE21" i="23"/>
  <c r="Y14" i="24"/>
  <c r="Z224" i="3"/>
  <c r="W287" i="3"/>
  <c r="D4" i="3"/>
  <c r="CN21" i="23"/>
  <c r="CA22" i="23"/>
  <c r="CA21" i="23" s="1"/>
  <c r="DR22" i="23"/>
  <c r="CD21" i="23"/>
  <c r="DR21" i="23" s="1"/>
  <c r="V23" i="24"/>
  <c r="CP21" i="23"/>
  <c r="O69" i="24"/>
  <c r="AB69" i="24"/>
  <c r="N6" i="23"/>
  <c r="CI30" i="23"/>
  <c r="Y23" i="24"/>
  <c r="L6" i="23"/>
  <c r="G8" i="24"/>
  <c r="G29" i="24" s="1"/>
  <c r="CJ21" i="23"/>
  <c r="Z24" i="24"/>
  <c r="K45" i="24"/>
  <c r="M45" i="24"/>
  <c r="H14" i="24"/>
  <c r="CS12" i="23"/>
  <c r="CM66" i="23"/>
  <c r="DG66" i="23"/>
  <c r="N46" i="20"/>
  <c r="T4" i="10"/>
  <c r="G55" i="2"/>
  <c r="Y37" i="20"/>
  <c r="W406" i="3"/>
  <c r="AD80" i="2"/>
  <c r="J27" i="23"/>
  <c r="J64" i="23" s="1"/>
  <c r="W5" i="27"/>
  <c r="CL6" i="23"/>
  <c r="T6" i="23"/>
  <c r="T27" i="26"/>
  <c r="T33" i="26"/>
  <c r="T28" i="26"/>
  <c r="T30" i="26"/>
  <c r="T34" i="26"/>
  <c r="T35" i="26"/>
  <c r="T37" i="26"/>
  <c r="CH28" i="23"/>
  <c r="J63" i="23"/>
  <c r="CL63" i="23"/>
  <c r="CL26" i="23"/>
  <c r="W403" i="3"/>
  <c r="L26" i="23"/>
  <c r="CA5" i="23"/>
  <c r="DO5" i="23" s="1"/>
  <c r="F63" i="23"/>
  <c r="CJ27" i="23"/>
  <c r="CJ28" i="23"/>
  <c r="H385" i="3"/>
  <c r="S387" i="3"/>
  <c r="I52" i="2"/>
  <c r="G56" i="2"/>
  <c r="CK27" i="23"/>
  <c r="I64" i="23"/>
  <c r="Z71" i="2"/>
  <c r="Z68" i="2"/>
  <c r="AD79" i="2"/>
  <c r="G7" i="24"/>
  <c r="CJ26" i="23"/>
  <c r="R22" i="10"/>
  <c r="AT22" i="10" s="1"/>
  <c r="S26" i="23"/>
  <c r="CU5" i="23"/>
  <c r="Y407" i="3"/>
  <c r="Z72" i="2"/>
  <c r="AF81" i="2"/>
  <c r="W397" i="3"/>
  <c r="O49" i="20"/>
  <c r="W34" i="2"/>
  <c r="U31" i="10"/>
  <c r="P48" i="2"/>
  <c r="Q49" i="2"/>
  <c r="O407" i="3"/>
  <c r="S404" i="3"/>
  <c r="W54" i="2"/>
  <c r="V28" i="2"/>
  <c r="T35" i="10"/>
  <c r="AH35" i="10" s="1"/>
  <c r="J404" i="3"/>
  <c r="AH28" i="2"/>
  <c r="Q26" i="2"/>
  <c r="S35" i="10"/>
  <c r="M393" i="3"/>
  <c r="T31" i="10"/>
  <c r="BX36" i="16" s="1"/>
  <c r="AC30" i="10"/>
  <c r="I34" i="2"/>
  <c r="V406" i="3"/>
  <c r="P34" i="2"/>
  <c r="V403" i="3"/>
  <c r="AB395" i="3"/>
  <c r="R55" i="2"/>
  <c r="K47" i="2"/>
  <c r="AA34" i="10"/>
  <c r="AB17" i="10"/>
  <c r="O394" i="3"/>
  <c r="J55" i="20"/>
  <c r="Q28" i="2"/>
  <c r="Q30" i="20"/>
  <c r="F48" i="20"/>
  <c r="V31" i="10"/>
  <c r="E29" i="2"/>
  <c r="K51" i="2"/>
  <c r="U8" i="10"/>
  <c r="X405" i="3"/>
  <c r="V22" i="10"/>
  <c r="E49" i="2"/>
  <c r="R34" i="20"/>
  <c r="W31" i="20"/>
  <c r="I26" i="20"/>
  <c r="W49" i="2"/>
  <c r="I46" i="2"/>
  <c r="AD46" i="2"/>
  <c r="AE29" i="2"/>
  <c r="AH31" i="2"/>
  <c r="Q33" i="20"/>
  <c r="H35" i="20"/>
  <c r="Z37" i="20"/>
  <c r="O46" i="20"/>
  <c r="P57" i="20"/>
  <c r="J27" i="20"/>
  <c r="AB32" i="20"/>
  <c r="H52" i="20"/>
  <c r="O55" i="20"/>
  <c r="N29" i="20"/>
  <c r="E53" i="20"/>
  <c r="O20" i="20"/>
  <c r="O40" i="20" s="1"/>
  <c r="Y30" i="20"/>
  <c r="N28" i="20"/>
  <c r="AA52" i="20"/>
  <c r="N51" i="20"/>
  <c r="Z47" i="20"/>
  <c r="N31" i="20"/>
  <c r="AA32" i="20"/>
  <c r="R55" i="20"/>
  <c r="O54" i="20"/>
  <c r="Q54" i="20"/>
  <c r="Q34" i="20"/>
  <c r="H29" i="20"/>
  <c r="H49" i="20"/>
  <c r="AA29" i="20"/>
  <c r="R31" i="20"/>
  <c r="E57" i="20"/>
  <c r="Y56" i="20"/>
  <c r="G27" i="20"/>
  <c r="S52" i="20"/>
  <c r="N35" i="20"/>
  <c r="O32" i="20"/>
  <c r="P29" i="20"/>
  <c r="P49" i="20"/>
  <c r="G57" i="20"/>
  <c r="G37" i="20"/>
  <c r="R52" i="20"/>
  <c r="I51" i="20"/>
  <c r="AA56" i="20"/>
  <c r="J46" i="20"/>
  <c r="Y46" i="20"/>
  <c r="U26" i="10"/>
  <c r="F30" i="2"/>
  <c r="V46" i="2"/>
  <c r="E33" i="2"/>
  <c r="AC27" i="2"/>
  <c r="T22" i="10"/>
  <c r="AV22" i="10" s="1"/>
  <c r="S13" i="10"/>
  <c r="Q407" i="3"/>
  <c r="Z16" i="10"/>
  <c r="AN16" i="10" s="1"/>
  <c r="G26" i="2"/>
  <c r="AD33" i="2"/>
  <c r="AD50" i="2"/>
  <c r="X386" i="3"/>
  <c r="V19" i="2"/>
  <c r="V39" i="2" s="1"/>
  <c r="I37" i="2"/>
  <c r="U46" i="2"/>
  <c r="Z411" i="3"/>
  <c r="AB396" i="3"/>
  <c r="X35" i="10"/>
  <c r="CB40" i="16" s="1"/>
  <c r="AB407" i="3"/>
  <c r="AH32" i="2"/>
  <c r="O392" i="3"/>
  <c r="H387" i="3"/>
  <c r="E26" i="2"/>
  <c r="W26" i="2"/>
  <c r="W46" i="2"/>
  <c r="AB16" i="10"/>
  <c r="BD16" i="10" s="1"/>
  <c r="V56" i="2"/>
  <c r="S395" i="3"/>
  <c r="AD55" i="2"/>
  <c r="AA31" i="10"/>
  <c r="AB35" i="10"/>
  <c r="G52" i="2"/>
  <c r="F391" i="3"/>
  <c r="L55" i="2"/>
  <c r="Q36" i="2"/>
  <c r="M411" i="3"/>
  <c r="N11" i="2"/>
  <c r="N31" i="2" s="1"/>
  <c r="J403" i="3"/>
  <c r="T53" i="2"/>
  <c r="T33" i="2"/>
  <c r="Q392" i="3"/>
  <c r="T35" i="2"/>
  <c r="T55" i="2"/>
  <c r="AH37" i="2"/>
  <c r="AH36" i="2"/>
  <c r="S401" i="3"/>
  <c r="AE37" i="2"/>
  <c r="AE57" i="2"/>
  <c r="D10" i="2"/>
  <c r="D30" i="2" s="1"/>
  <c r="H30" i="2"/>
  <c r="K29" i="2"/>
  <c r="V395" i="3"/>
  <c r="H50" i="2"/>
  <c r="T29" i="2"/>
  <c r="T20" i="2"/>
  <c r="T40" i="2" s="1"/>
  <c r="S393" i="3"/>
  <c r="T49" i="2"/>
  <c r="T50" i="2"/>
  <c r="T51" i="2"/>
  <c r="T52" i="2"/>
  <c r="O8" i="2"/>
  <c r="O28" i="2" s="1"/>
  <c r="AC29" i="2"/>
  <c r="AE27" i="2"/>
  <c r="I55" i="2"/>
  <c r="I35" i="2"/>
  <c r="T5" i="10"/>
  <c r="BX8" i="16" s="1"/>
  <c r="AA48" i="2"/>
  <c r="AA28" i="2"/>
  <c r="AB388" i="3"/>
  <c r="J20" i="2"/>
  <c r="J40" i="2" s="1"/>
  <c r="J406" i="3"/>
  <c r="L31" i="2"/>
  <c r="P46" i="2"/>
  <c r="F48" i="2"/>
  <c r="K57" i="2"/>
  <c r="K56" i="2"/>
  <c r="J396" i="3"/>
  <c r="K37" i="2"/>
  <c r="S408" i="3"/>
  <c r="K30" i="2"/>
  <c r="J389" i="3"/>
  <c r="F33" i="2"/>
  <c r="L34" i="2"/>
  <c r="Q408" i="3"/>
  <c r="U53" i="2"/>
  <c r="V389" i="3"/>
  <c r="AC34" i="10"/>
  <c r="W37" i="2"/>
  <c r="S412" i="3"/>
  <c r="S26" i="2"/>
  <c r="R30" i="10"/>
  <c r="R32" i="10" s="1"/>
  <c r="R55" i="12" s="1"/>
  <c r="AT55" i="12" s="1"/>
  <c r="O401" i="3"/>
  <c r="Q389" i="3"/>
  <c r="V8" i="10"/>
  <c r="T30" i="2"/>
  <c r="AE55" i="2"/>
  <c r="AE35" i="2"/>
  <c r="AB56" i="2"/>
  <c r="V390" i="3"/>
  <c r="H48" i="2"/>
  <c r="AA32" i="2"/>
  <c r="V52" i="2"/>
  <c r="I31" i="2"/>
  <c r="I51" i="2"/>
  <c r="U28" i="2"/>
  <c r="T26" i="10"/>
  <c r="AV26" i="10" s="1"/>
  <c r="U48" i="2"/>
  <c r="F37" i="2"/>
  <c r="X402" i="3"/>
  <c r="AD27" i="2"/>
  <c r="S31" i="10"/>
  <c r="V405" i="3"/>
  <c r="AB50" i="2"/>
  <c r="AB30" i="2"/>
  <c r="E31" i="2"/>
  <c r="R36" i="2"/>
  <c r="S35" i="2"/>
  <c r="S386" i="3"/>
  <c r="AF26" i="2"/>
  <c r="E57" i="2"/>
  <c r="Q401" i="3"/>
  <c r="H47" i="2"/>
  <c r="M389" i="3"/>
  <c r="F405" i="3"/>
  <c r="F49" i="2"/>
  <c r="P36" i="2"/>
  <c r="K54" i="2"/>
  <c r="F34" i="2"/>
  <c r="AA4" i="10"/>
  <c r="BC4" i="10" s="1"/>
  <c r="V51" i="2"/>
  <c r="S390" i="3"/>
  <c r="AF30" i="2"/>
  <c r="AF50" i="2"/>
  <c r="AC36" i="2"/>
  <c r="K26" i="2"/>
  <c r="J385" i="3"/>
  <c r="AC26" i="10"/>
  <c r="AQ26" i="10" s="1"/>
  <c r="U37" i="2"/>
  <c r="K32" i="2"/>
  <c r="L33" i="2"/>
  <c r="L53" i="2"/>
  <c r="P49" i="2"/>
  <c r="H407" i="3"/>
  <c r="J32" i="2"/>
  <c r="X34" i="10"/>
  <c r="AL34" i="10" s="1"/>
  <c r="E48" i="2"/>
  <c r="V404" i="3"/>
  <c r="Q404" i="3"/>
  <c r="Z403" i="3"/>
  <c r="AF28" i="2"/>
  <c r="T27" i="10"/>
  <c r="R50" i="2"/>
  <c r="AE32" i="2"/>
  <c r="R46" i="2"/>
  <c r="W17" i="10"/>
  <c r="AK17" i="10" s="1"/>
  <c r="AG51" i="2"/>
  <c r="AD57" i="2"/>
  <c r="O404" i="3"/>
  <c r="U30" i="10"/>
  <c r="M405" i="3"/>
  <c r="J48" i="2"/>
  <c r="J28" i="2"/>
  <c r="H403" i="3"/>
  <c r="J395" i="3"/>
  <c r="K36" i="2"/>
  <c r="AG32" i="2"/>
  <c r="AG52" i="2"/>
  <c r="AB391" i="3"/>
  <c r="X17" i="10"/>
  <c r="AZ17" i="10" s="1"/>
  <c r="V30" i="2"/>
  <c r="S389" i="3"/>
  <c r="V50" i="2"/>
  <c r="F26" i="2"/>
  <c r="R17" i="10"/>
  <c r="Z406" i="3"/>
  <c r="S17" i="10"/>
  <c r="S53" i="10" s="1"/>
  <c r="AG53" i="10" s="1"/>
  <c r="AG27" i="2"/>
  <c r="AC35" i="2"/>
  <c r="AA13" i="10"/>
  <c r="X394" i="3"/>
  <c r="J55" i="2"/>
  <c r="H410" i="3"/>
  <c r="R27" i="2"/>
  <c r="S12" i="10"/>
  <c r="R47" i="2"/>
  <c r="R44" i="2" s="1"/>
  <c r="O386" i="3"/>
  <c r="X387" i="3"/>
  <c r="AC28" i="2"/>
  <c r="AC48" i="2"/>
  <c r="T13" i="10"/>
  <c r="AG30" i="2"/>
  <c r="AB389" i="3"/>
  <c r="F404" i="3"/>
  <c r="H29" i="2"/>
  <c r="H49" i="2"/>
  <c r="S391" i="3"/>
  <c r="V32" i="2"/>
  <c r="X16" i="10"/>
  <c r="BP16" i="10" s="1"/>
  <c r="BV16" i="10" s="1"/>
  <c r="Q387" i="3"/>
  <c r="T28" i="2"/>
  <c r="T48" i="2"/>
  <c r="T8" i="10"/>
  <c r="AH8" i="10" s="1"/>
  <c r="J46" i="2"/>
  <c r="J26" i="2"/>
  <c r="H401" i="3"/>
  <c r="H37" i="2"/>
  <c r="H57" i="2"/>
  <c r="Q386" i="3"/>
  <c r="T47" i="2"/>
  <c r="S8" i="10"/>
  <c r="T27" i="2"/>
  <c r="S30" i="10"/>
  <c r="S47" i="2"/>
  <c r="W31" i="10"/>
  <c r="O408" i="3"/>
  <c r="AB37" i="2"/>
  <c r="V412" i="3"/>
  <c r="G37" i="2"/>
  <c r="F396" i="3"/>
  <c r="P32" i="2"/>
  <c r="M391" i="3"/>
  <c r="R37" i="2"/>
  <c r="AC12" i="10"/>
  <c r="O396" i="3"/>
  <c r="R57" i="2"/>
  <c r="S409" i="3"/>
  <c r="Z34" i="10"/>
  <c r="BB34" i="10" s="1"/>
  <c r="P33" i="2"/>
  <c r="Y4" i="10"/>
  <c r="BA4" i="10" s="1"/>
  <c r="M392" i="3"/>
  <c r="P53" i="2"/>
  <c r="X389" i="3"/>
  <c r="AC30" i="2"/>
  <c r="J30" i="2"/>
  <c r="H405" i="3"/>
  <c r="BW40" i="16"/>
  <c r="CA28" i="16"/>
  <c r="BY12" i="16"/>
  <c r="AI9" i="10"/>
  <c r="L66" i="24"/>
  <c r="X17" i="24"/>
  <c r="AA17" i="24" s="1"/>
  <c r="P57" i="24"/>
  <c r="Q18" i="24"/>
  <c r="P31" i="24"/>
  <c r="P68" i="24" s="1"/>
  <c r="AC48" i="24"/>
  <c r="Z48" i="24"/>
  <c r="DB62" i="23"/>
  <c r="CJ63" i="23"/>
  <c r="DD63" i="23"/>
  <c r="X39" i="24"/>
  <c r="O57" i="24"/>
  <c r="T39" i="24"/>
  <c r="S36" i="24"/>
  <c r="P14" i="24"/>
  <c r="R12" i="24"/>
  <c r="V12" i="24"/>
  <c r="T16" i="24"/>
  <c r="X16" i="24"/>
  <c r="T46" i="24"/>
  <c r="S28" i="24"/>
  <c r="Q47" i="24"/>
  <c r="P56" i="24"/>
  <c r="Q12" i="24"/>
  <c r="U14" i="24"/>
  <c r="R15" i="24"/>
  <c r="K14" i="24"/>
  <c r="I14" i="24"/>
  <c r="Q16" i="24"/>
  <c r="T18" i="24"/>
  <c r="V18" i="24"/>
  <c r="X18" i="24"/>
  <c r="O31" i="24"/>
  <c r="T31" i="24" s="1"/>
  <c r="V46" i="24"/>
  <c r="S66" i="24"/>
  <c r="V16" i="24"/>
  <c r="Q46" i="24"/>
  <c r="U45" i="24"/>
  <c r="P36" i="24"/>
  <c r="T392" i="21"/>
  <c r="AT5" i="10"/>
  <c r="BB16" i="10"/>
  <c r="AN30" i="10"/>
  <c r="DM21" i="23"/>
  <c r="CS21" i="23"/>
  <c r="AP64" i="23"/>
  <c r="DR55" i="23"/>
  <c r="AO62" i="23"/>
  <c r="Z23" i="24"/>
  <c r="AD23" i="24"/>
  <c r="AA23" i="24"/>
  <c r="CG64" i="23"/>
  <c r="DA64" i="23"/>
  <c r="Z69" i="2"/>
  <c r="Y404" i="3"/>
  <c r="BY54" i="23"/>
  <c r="CU6" i="23"/>
  <c r="S27" i="23"/>
  <c r="S64" i="23" s="1"/>
  <c r="CI64" i="23"/>
  <c r="CI27" i="23"/>
  <c r="CM27" i="23"/>
  <c r="L27" i="23"/>
  <c r="CN27" i="23" s="1"/>
  <c r="DO21" i="23"/>
  <c r="DO22" i="23"/>
  <c r="CW55" i="23"/>
  <c r="W79" i="20"/>
  <c r="AA402" i="3"/>
  <c r="Z67" i="2"/>
  <c r="AH27" i="2"/>
  <c r="AH79" i="2"/>
  <c r="AH47" i="2"/>
  <c r="Q69" i="24"/>
  <c r="O80" i="2"/>
  <c r="AU62" i="16"/>
  <c r="AU72" i="16"/>
  <c r="X3" i="18"/>
  <c r="X5" i="18"/>
  <c r="CA26" i="23"/>
  <c r="CA63" i="23" s="1"/>
  <c r="DO63" i="23" s="1"/>
  <c r="O4" i="27"/>
  <c r="Z408" i="3"/>
  <c r="AF53" i="2"/>
  <c r="Q393" i="21"/>
  <c r="CV54" i="23"/>
  <c r="BH63" i="23"/>
  <c r="CA6" i="23"/>
  <c r="DO6" i="23" s="1"/>
  <c r="BO27" i="23"/>
  <c r="BY6" i="23"/>
  <c r="AG3" i="27"/>
  <c r="AO84" i="16"/>
  <c r="N27" i="23"/>
  <c r="AL94" i="12"/>
  <c r="CU26" i="23"/>
  <c r="CL64" i="23"/>
  <c r="T27" i="23"/>
  <c r="CV27" i="23" s="1"/>
  <c r="CV6" i="23"/>
  <c r="BZ27" i="16"/>
  <c r="CN36" i="23"/>
  <c r="F8" i="24"/>
  <c r="AG13" i="10"/>
  <c r="AH22" i="10"/>
  <c r="AW8" i="10"/>
  <c r="AP35" i="10"/>
  <c r="F37" i="24"/>
  <c r="F40" i="24"/>
  <c r="BC27" i="10"/>
  <c r="AM8" i="10"/>
  <c r="BA8" i="10"/>
  <c r="DH7" i="23"/>
  <c r="AP16" i="10"/>
  <c r="BE12" i="10"/>
  <c r="BZ19" i="16"/>
  <c r="BX31" i="16"/>
  <c r="AH26" i="10"/>
  <c r="BW35" i="16"/>
  <c r="AI30" i="10"/>
  <c r="BY35" i="16"/>
  <c r="AJ8" i="10"/>
  <c r="F7" i="24"/>
  <c r="I7" i="24" s="1"/>
  <c r="CN6" i="23"/>
  <c r="X14" i="24"/>
  <c r="AC14" i="24" s="1"/>
  <c r="X31" i="24"/>
  <c r="AA18" i="24"/>
  <c r="Z18" i="24"/>
  <c r="AC18" i="24"/>
  <c r="T57" i="24"/>
  <c r="Z17" i="24"/>
  <c r="AC17" i="24"/>
  <c r="CN5" i="23"/>
  <c r="DH5" i="23"/>
  <c r="AU84" i="16"/>
  <c r="N64" i="23"/>
  <c r="CU27" i="23"/>
  <c r="DR64" i="23"/>
  <c r="DO26" i="23"/>
  <c r="L64" i="23"/>
  <c r="Z80" i="2"/>
  <c r="G66" i="24"/>
  <c r="DH6" i="23"/>
  <c r="F38" i="24"/>
  <c r="DH36" i="23"/>
  <c r="CN7" i="23"/>
  <c r="F9" i="24"/>
  <c r="I9" i="24"/>
  <c r="DH38" i="23"/>
  <c r="CN35" i="23"/>
  <c r="DH56" i="23"/>
  <c r="CN38" i="23"/>
  <c r="DH35" i="23"/>
  <c r="DH4" i="23"/>
  <c r="F6" i="24"/>
  <c r="CN54" i="23"/>
  <c r="DH54" i="23"/>
  <c r="F28" i="24"/>
  <c r="DH26" i="23"/>
  <c r="DH27" i="23"/>
  <c r="CU64" i="23"/>
  <c r="CN56" i="23"/>
  <c r="M6" i="24"/>
  <c r="DH25" i="23"/>
  <c r="DH63" i="23"/>
  <c r="J48" i="20"/>
  <c r="S56" i="20"/>
  <c r="S36" i="20"/>
  <c r="E52" i="20"/>
  <c r="E61" i="20" s="1"/>
  <c r="I48" i="20"/>
  <c r="Y52" i="20"/>
  <c r="Y32" i="20"/>
  <c r="AB29" i="20"/>
  <c r="G31" i="20"/>
  <c r="J52" i="20"/>
  <c r="E34" i="20"/>
  <c r="AB57" i="20"/>
  <c r="AB37" i="20"/>
  <c r="W48" i="20"/>
  <c r="W28" i="20"/>
  <c r="G46" i="20"/>
  <c r="N60" i="20"/>
  <c r="N26" i="20"/>
  <c r="S47" i="20"/>
  <c r="G50" i="20"/>
  <c r="G29" i="20"/>
  <c r="G49" i="20"/>
  <c r="X32" i="20"/>
  <c r="I52" i="20"/>
  <c r="I32" i="20"/>
  <c r="J49" i="20"/>
  <c r="J51" i="20"/>
  <c r="O52" i="20"/>
  <c r="H59" i="24"/>
  <c r="AC52" i="2"/>
  <c r="R52" i="2"/>
  <c r="C13" i="2"/>
  <c r="C33" i="2" s="1"/>
  <c r="G53" i="2"/>
  <c r="AA31" i="24"/>
  <c r="AZ34" i="10"/>
  <c r="AM16" i="10"/>
  <c r="BA16" i="10"/>
  <c r="R48" i="2"/>
  <c r="R28" i="2"/>
  <c r="T12" i="10"/>
  <c r="BX15" i="16" s="1"/>
  <c r="O387" i="3"/>
  <c r="Q410" i="3"/>
  <c r="F392" i="3"/>
  <c r="C51" i="2"/>
  <c r="P57" i="2"/>
  <c r="V26" i="10"/>
  <c r="V407" i="3"/>
  <c r="AN4" i="10"/>
  <c r="R8" i="10"/>
  <c r="BV11" i="16" s="1"/>
  <c r="Q385" i="3"/>
  <c r="T26" i="2"/>
  <c r="N6" i="2"/>
  <c r="T46" i="2"/>
  <c r="F46" i="2"/>
  <c r="F19" i="2"/>
  <c r="F39" i="2" s="1"/>
  <c r="AG46" i="2"/>
  <c r="AG19" i="2"/>
  <c r="AG39" i="2" s="1"/>
  <c r="AG26" i="2"/>
  <c r="W35" i="10"/>
  <c r="Z11" i="2"/>
  <c r="Z31" i="2" s="1"/>
  <c r="AH51" i="2"/>
  <c r="AB406" i="3"/>
  <c r="W52" i="2"/>
  <c r="E28" i="2"/>
  <c r="AB35" i="2"/>
  <c r="AB55" i="2"/>
  <c r="J37" i="2"/>
  <c r="H412" i="3"/>
  <c r="J57" i="2"/>
  <c r="J402" i="3"/>
  <c r="L47" i="2"/>
  <c r="S407" i="3"/>
  <c r="AU13" i="10"/>
  <c r="BW16" i="16"/>
  <c r="AA23" i="10"/>
  <c r="CE28" i="16" s="1"/>
  <c r="M395" i="3"/>
  <c r="J390" i="3"/>
  <c r="AE47" i="2"/>
  <c r="AE19" i="2"/>
  <c r="AE39" i="2" s="1"/>
  <c r="S9" i="10"/>
  <c r="T37" i="2"/>
  <c r="M404" i="3"/>
  <c r="H56" i="2"/>
  <c r="F388" i="3"/>
  <c r="G29" i="2"/>
  <c r="G49" i="2"/>
  <c r="X401" i="3"/>
  <c r="R31" i="10"/>
  <c r="BN31" i="10" s="1"/>
  <c r="BT31" i="10" s="1"/>
  <c r="V48" i="2"/>
  <c r="T16" i="10"/>
  <c r="BX19" i="16" s="1"/>
  <c r="I32" i="2"/>
  <c r="H391" i="3"/>
  <c r="AB402" i="3"/>
  <c r="AB410" i="3"/>
  <c r="O6" i="2"/>
  <c r="O26" i="2" s="1"/>
  <c r="T9" i="10"/>
  <c r="T45" i="10" s="1"/>
  <c r="T61" i="10" s="1"/>
  <c r="AH61" i="10" s="1"/>
  <c r="AA14" i="2"/>
  <c r="CR30" i="23"/>
  <c r="E29" i="20"/>
  <c r="F37" i="20"/>
  <c r="F57" i="20"/>
  <c r="F55" i="24"/>
  <c r="Z51" i="20"/>
  <c r="Z31" i="20"/>
  <c r="AA51" i="20"/>
  <c r="U11" i="20"/>
  <c r="U31" i="20" s="1"/>
  <c r="W30" i="20"/>
  <c r="O53" i="20"/>
  <c r="O21" i="20"/>
  <c r="O41" i="20" s="1"/>
  <c r="J34" i="20"/>
  <c r="Q46" i="20"/>
  <c r="Q26" i="20"/>
  <c r="P54" i="20"/>
  <c r="P34" i="20"/>
  <c r="O33" i="20"/>
  <c r="N57" i="20"/>
  <c r="L57" i="20" s="1"/>
  <c r="Z49" i="20"/>
  <c r="Z20" i="20"/>
  <c r="Z40" i="20" s="1"/>
  <c r="P30" i="20"/>
  <c r="X22" i="20"/>
  <c r="X42" i="20" s="1"/>
  <c r="I53" i="20"/>
  <c r="R51" i="20"/>
  <c r="U12" i="20"/>
  <c r="E51" i="20"/>
  <c r="U256" i="21"/>
  <c r="DJ57" i="23"/>
  <c r="X49" i="20"/>
  <c r="R54" i="20"/>
  <c r="I59" i="24"/>
  <c r="G4" i="21"/>
  <c r="Q36" i="20"/>
  <c r="Q48" i="20"/>
  <c r="S19" i="20"/>
  <c r="K7" i="24"/>
  <c r="CC7" i="16"/>
  <c r="M7" i="24"/>
  <c r="AP17" i="10"/>
  <c r="BD17" i="10"/>
  <c r="H395" i="3"/>
  <c r="I36" i="2"/>
  <c r="I22" i="2"/>
  <c r="I42" i="2" s="1"/>
  <c r="I56" i="2"/>
  <c r="S23" i="10"/>
  <c r="T34" i="2"/>
  <c r="T21" i="2"/>
  <c r="T41" i="2" s="1"/>
  <c r="F30" i="24"/>
  <c r="I30" i="24" s="1"/>
  <c r="S388" i="3"/>
  <c r="U16" i="10"/>
  <c r="BY19" i="16" s="1"/>
  <c r="V49" i="2"/>
  <c r="V20" i="2"/>
  <c r="V40" i="2" s="1"/>
  <c r="V29" i="2"/>
  <c r="F31" i="2"/>
  <c r="F36" i="2"/>
  <c r="D411" i="3"/>
  <c r="R51" i="2"/>
  <c r="W50" i="2"/>
  <c r="W20" i="2"/>
  <c r="W40" i="2" s="1"/>
  <c r="S405" i="3"/>
  <c r="J33" i="2"/>
  <c r="H408" i="3"/>
  <c r="L22" i="2"/>
  <c r="L42" i="2" s="1"/>
  <c r="J27" i="2"/>
  <c r="J19" i="2"/>
  <c r="J39" i="2" s="1"/>
  <c r="H402" i="3"/>
  <c r="J47" i="2"/>
  <c r="Q35" i="2"/>
  <c r="AA22" i="10"/>
  <c r="AO22" i="10" s="1"/>
  <c r="M410" i="3"/>
  <c r="Q55" i="2"/>
  <c r="Q22" i="2"/>
  <c r="Q42" i="2" s="1"/>
  <c r="G28" i="2"/>
  <c r="F387" i="3"/>
  <c r="G48" i="2"/>
  <c r="AG9" i="10"/>
  <c r="O10" i="2"/>
  <c r="Y23" i="10"/>
  <c r="BA23" i="10" s="1"/>
  <c r="V408" i="3"/>
  <c r="L57" i="2"/>
  <c r="D17" i="2"/>
  <c r="J412" i="3"/>
  <c r="P47" i="2"/>
  <c r="P27" i="2"/>
  <c r="S402" i="3"/>
  <c r="W27" i="2"/>
  <c r="F408" i="3"/>
  <c r="H53" i="2"/>
  <c r="H21" i="2"/>
  <c r="H41" i="2" s="1"/>
  <c r="H33" i="2"/>
  <c r="N14" i="2"/>
  <c r="N34" i="2" s="1"/>
  <c r="O393" i="3"/>
  <c r="L37" i="2"/>
  <c r="BV8" i="16"/>
  <c r="CD7" i="16"/>
  <c r="Z12" i="10"/>
  <c r="Z48" i="10" s="1"/>
  <c r="O7" i="2"/>
  <c r="O19" i="2" s="1"/>
  <c r="W19" i="2"/>
  <c r="W4" i="10"/>
  <c r="P51" i="2"/>
  <c r="L48" i="2"/>
  <c r="L28" i="2"/>
  <c r="D394" i="3"/>
  <c r="E35" i="2"/>
  <c r="E55" i="2"/>
  <c r="AB13" i="10"/>
  <c r="CF16" i="16" s="1"/>
  <c r="AC22" i="2"/>
  <c r="AC42" i="2" s="1"/>
  <c r="X395" i="3"/>
  <c r="H411" i="3"/>
  <c r="W51" i="2"/>
  <c r="O405" i="3"/>
  <c r="S5" i="10"/>
  <c r="AA27" i="2"/>
  <c r="V47" i="2"/>
  <c r="Z6" i="2"/>
  <c r="E22" i="2"/>
  <c r="E42" i="2" s="1"/>
  <c r="AP27" i="10"/>
  <c r="S27" i="10"/>
  <c r="BW32" i="16" s="1"/>
  <c r="AC37" i="2"/>
  <c r="AC13" i="10"/>
  <c r="AQ13" i="10" s="1"/>
  <c r="H389" i="3"/>
  <c r="I30" i="2"/>
  <c r="I50" i="2"/>
  <c r="AG50" i="2"/>
  <c r="V17" i="10"/>
  <c r="AH22" i="2"/>
  <c r="AH42" i="2" s="1"/>
  <c r="L27" i="2"/>
  <c r="L5" i="2"/>
  <c r="CU3" i="4" s="1"/>
  <c r="L19" i="2"/>
  <c r="L39" i="2" s="1"/>
  <c r="X396" i="3"/>
  <c r="G62" i="2"/>
  <c r="X12" i="10"/>
  <c r="R21" i="2"/>
  <c r="R41" i="2" s="1"/>
  <c r="X4" i="10"/>
  <c r="CB7" i="16" s="1"/>
  <c r="P21" i="2"/>
  <c r="P41" i="2" s="1"/>
  <c r="N12" i="2"/>
  <c r="N32" i="2" s="1"/>
  <c r="O14" i="2"/>
  <c r="E54" i="2"/>
  <c r="E34" i="2"/>
  <c r="AD29" i="2"/>
  <c r="H26" i="2"/>
  <c r="H46" i="2"/>
  <c r="M31" i="24"/>
  <c r="AD14" i="2"/>
  <c r="X256" i="3"/>
  <c r="X4" i="3" s="1"/>
  <c r="F409" i="3"/>
  <c r="CO30" i="23"/>
  <c r="CA40" i="16"/>
  <c r="AU9" i="10"/>
  <c r="BZ31" i="16"/>
  <c r="AJ26" i="10"/>
  <c r="S67" i="10"/>
  <c r="AG67" i="10" s="1"/>
  <c r="AH12" i="10"/>
  <c r="AT31" i="10"/>
  <c r="BV36" i="16"/>
  <c r="AY35" i="10"/>
  <c r="AK35" i="10"/>
  <c r="K30" i="24"/>
  <c r="CB15" i="16"/>
  <c r="O39" i="2"/>
  <c r="BB8" i="10"/>
  <c r="AA40" i="10"/>
  <c r="AO40" i="10" s="1"/>
  <c r="CG16" i="16"/>
  <c r="CC28" i="16"/>
  <c r="AI16" i="10"/>
  <c r="AW16" i="10"/>
  <c r="Z31" i="10"/>
  <c r="Z32" i="10" s="1"/>
  <c r="AP13" i="10"/>
  <c r="BD13" i="10"/>
  <c r="AK4" i="10"/>
  <c r="AY4" i="10"/>
  <c r="CA7" i="16"/>
  <c r="AZ4" i="10"/>
  <c r="BC40" i="10"/>
  <c r="BA4" i="23" a="1"/>
  <c r="BA4" i="23" s="1"/>
  <c r="BA5" i="23" a="1"/>
  <c r="BB5" i="23" s="1"/>
  <c r="BB26" i="23" s="1"/>
  <c r="BC5" i="23"/>
  <c r="DK5" i="23" s="1"/>
  <c r="Y42" i="20" l="1"/>
  <c r="F68" i="24"/>
  <c r="K68" i="24" s="1"/>
  <c r="C13" i="20"/>
  <c r="C12" i="20"/>
  <c r="C32" i="20" s="1"/>
  <c r="G32" i="20"/>
  <c r="L6" i="20"/>
  <c r="L26" i="20" s="1"/>
  <c r="N20" i="20"/>
  <c r="AA22" i="20"/>
  <c r="AA42" i="20" s="1"/>
  <c r="Q47" i="20"/>
  <c r="Q59" i="20" s="1"/>
  <c r="AB51" i="20"/>
  <c r="E35" i="20"/>
  <c r="I30" i="20"/>
  <c r="F413" i="21"/>
  <c r="J59" i="20"/>
  <c r="D12" i="20"/>
  <c r="D32" i="20" s="1"/>
  <c r="E21" i="20"/>
  <c r="E41" i="20" s="1"/>
  <c r="M16" i="20"/>
  <c r="M36" i="20" s="1"/>
  <c r="R46" i="20"/>
  <c r="AA55" i="20"/>
  <c r="O57" i="20"/>
  <c r="R36" i="20"/>
  <c r="N33" i="20"/>
  <c r="P46" i="20"/>
  <c r="BA38" i="23" a="1"/>
  <c r="BA38" i="23" s="1"/>
  <c r="DI38" i="23" s="1"/>
  <c r="F32" i="20"/>
  <c r="M59" i="24"/>
  <c r="L17" i="20"/>
  <c r="AB20" i="20"/>
  <c r="AB40" i="20" s="1"/>
  <c r="N30" i="20"/>
  <c r="J19" i="20"/>
  <c r="J39" i="20" s="1"/>
  <c r="J36" i="20"/>
  <c r="P21" i="20"/>
  <c r="O56" i="20"/>
  <c r="O51" i="20"/>
  <c r="F4" i="21"/>
  <c r="W47" i="20"/>
  <c r="Z14" i="20"/>
  <c r="Z54" i="20" s="1"/>
  <c r="AQ34" i="10"/>
  <c r="BE34" i="10"/>
  <c r="V409" i="3"/>
  <c r="AB54" i="2"/>
  <c r="BB67" i="23"/>
  <c r="CP30" i="23"/>
  <c r="AA57" i="10"/>
  <c r="BC57" i="10" s="1"/>
  <c r="BP4" i="10"/>
  <c r="BV4" i="10" s="1"/>
  <c r="BE13" i="10"/>
  <c r="BC22" i="10"/>
  <c r="O27" i="2"/>
  <c r="AF31" i="10"/>
  <c r="Z23" i="10"/>
  <c r="AM4" i="10"/>
  <c r="O388" i="3"/>
  <c r="BW12" i="16"/>
  <c r="S45" i="10"/>
  <c r="AU45" i="10" s="1"/>
  <c r="H9" i="24"/>
  <c r="M9" i="24"/>
  <c r="CG39" i="16"/>
  <c r="AX8" i="10"/>
  <c r="BZ11" i="16"/>
  <c r="BO26" i="10"/>
  <c r="BU26" i="10" s="1"/>
  <c r="BA67" i="23"/>
  <c r="DI30" i="23"/>
  <c r="L25" i="2"/>
  <c r="W8" i="4" s="1"/>
  <c r="AL4" i="10"/>
  <c r="T14" i="10"/>
  <c r="AB34" i="2"/>
  <c r="V59" i="2"/>
  <c r="S20" i="2"/>
  <c r="S40" i="2" s="1"/>
  <c r="J5" i="2"/>
  <c r="Q20" i="2"/>
  <c r="Q40" i="2" s="1"/>
  <c r="BV35" i="16"/>
  <c r="BV37" i="16" s="1"/>
  <c r="BV77" i="16" s="1"/>
  <c r="AC14" i="10"/>
  <c r="AW30" i="10"/>
  <c r="W30" i="10"/>
  <c r="W32" i="10" s="1"/>
  <c r="AY32" i="10" s="1"/>
  <c r="AH50" i="2"/>
  <c r="AI8" i="10"/>
  <c r="U10" i="10"/>
  <c r="U7" i="12" s="1"/>
  <c r="BY11" i="16"/>
  <c r="BY13" i="16" s="1"/>
  <c r="BY52" i="16" s="1"/>
  <c r="BY53" i="16" s="1"/>
  <c r="BY55" i="16" s="1"/>
  <c r="BY56" i="16" s="1"/>
  <c r="CF20" i="16"/>
  <c r="AB18" i="10"/>
  <c r="AB80" i="10" s="1"/>
  <c r="U51" i="2"/>
  <c r="U31" i="2"/>
  <c r="Q406" i="3"/>
  <c r="W26" i="10"/>
  <c r="J391" i="3"/>
  <c r="K52" i="2"/>
  <c r="O410" i="3"/>
  <c r="S55" i="2"/>
  <c r="O15" i="2"/>
  <c r="O35" i="2" s="1"/>
  <c r="AA30" i="10"/>
  <c r="BQ30" i="10" s="1"/>
  <c r="I28" i="2"/>
  <c r="I48" i="2"/>
  <c r="F407" i="3"/>
  <c r="H32" i="2"/>
  <c r="Y34" i="10"/>
  <c r="W21" i="2"/>
  <c r="W41" i="2" s="1"/>
  <c r="AD48" i="2"/>
  <c r="AD28" i="2"/>
  <c r="X403" i="3"/>
  <c r="N7" i="2"/>
  <c r="N27" i="2" s="1"/>
  <c r="S4" i="10"/>
  <c r="AU4" i="10" s="1"/>
  <c r="AA35" i="10"/>
  <c r="AA53" i="10" s="1"/>
  <c r="AH35" i="2"/>
  <c r="W47" i="2"/>
  <c r="S34" i="10"/>
  <c r="W5" i="2"/>
  <c r="W34" i="10"/>
  <c r="W31" i="2"/>
  <c r="S406" i="3"/>
  <c r="U12" i="10"/>
  <c r="R29" i="2"/>
  <c r="AT32" i="10"/>
  <c r="AV12" i="10"/>
  <c r="AD21" i="2"/>
  <c r="X409" i="3"/>
  <c r="R20" i="2"/>
  <c r="R40" i="2" s="1"/>
  <c r="N49" i="2"/>
  <c r="DJ30" i="23"/>
  <c r="AA21" i="2"/>
  <c r="AA41" i="2" s="1"/>
  <c r="X13" i="10"/>
  <c r="AL13" i="10" s="1"/>
  <c r="AC32" i="2"/>
  <c r="AB27" i="2"/>
  <c r="V402" i="3"/>
  <c r="M396" i="3"/>
  <c r="AC4" i="10"/>
  <c r="AQ4" i="10" s="1"/>
  <c r="E47" i="2"/>
  <c r="E27" i="2"/>
  <c r="W12" i="10"/>
  <c r="O390" i="3"/>
  <c r="H396" i="3"/>
  <c r="H397" i="3" s="1"/>
  <c r="I57" i="2"/>
  <c r="U13" i="10"/>
  <c r="AW13" i="10" s="1"/>
  <c r="X388" i="3"/>
  <c r="AA29" i="2"/>
  <c r="AA20" i="2"/>
  <c r="AA40" i="2" s="1"/>
  <c r="V388" i="3"/>
  <c r="U5" i="10"/>
  <c r="BY8" i="16" s="1"/>
  <c r="AA49" i="2"/>
  <c r="X22" i="10"/>
  <c r="Q52" i="2"/>
  <c r="O52" i="2" s="1"/>
  <c r="Q32" i="2"/>
  <c r="O12" i="2"/>
  <c r="O32" i="2" s="1"/>
  <c r="L56" i="2"/>
  <c r="L36" i="2"/>
  <c r="J411" i="3"/>
  <c r="H35" i="2"/>
  <c r="BA6" i="23" a="1"/>
  <c r="AB23" i="10"/>
  <c r="CF28" i="16" s="1"/>
  <c r="V411" i="3"/>
  <c r="AB36" i="2"/>
  <c r="G36" i="2"/>
  <c r="G22" i="2"/>
  <c r="G42" i="2" s="1"/>
  <c r="F395" i="3"/>
  <c r="C16" i="2"/>
  <c r="C36" i="2" s="1"/>
  <c r="G32" i="2"/>
  <c r="G21" i="2"/>
  <c r="G41" i="2" s="1"/>
  <c r="D407" i="3"/>
  <c r="F52" i="2"/>
  <c r="F32" i="2"/>
  <c r="F21" i="2"/>
  <c r="F41" i="2" s="1"/>
  <c r="O402" i="3"/>
  <c r="S19" i="2"/>
  <c r="S39" i="2" s="1"/>
  <c r="S27" i="2"/>
  <c r="O395" i="3"/>
  <c r="R56" i="2"/>
  <c r="R62" i="2" s="1"/>
  <c r="H28" i="2"/>
  <c r="F403" i="3"/>
  <c r="V12" i="10"/>
  <c r="O389" i="3"/>
  <c r="R30" i="2"/>
  <c r="X27" i="10"/>
  <c r="CB32" i="16" s="1"/>
  <c r="AF32" i="2"/>
  <c r="AG57" i="2"/>
  <c r="AC17" i="10"/>
  <c r="BE17" i="10" s="1"/>
  <c r="AG37" i="2"/>
  <c r="F54" i="2"/>
  <c r="D409" i="3"/>
  <c r="Z395" i="3"/>
  <c r="AB9" i="10"/>
  <c r="W48" i="2"/>
  <c r="S403" i="3"/>
  <c r="W28" i="2"/>
  <c r="T34" i="10"/>
  <c r="AV34" i="10" s="1"/>
  <c r="P35" i="2"/>
  <c r="P55" i="2"/>
  <c r="M394" i="3"/>
  <c r="J29" i="2"/>
  <c r="H404" i="3"/>
  <c r="J49" i="2"/>
  <c r="H31" i="2"/>
  <c r="F406" i="3"/>
  <c r="H20" i="2"/>
  <c r="H40" i="2" s="1"/>
  <c r="H51" i="2"/>
  <c r="H60" i="2" s="1"/>
  <c r="M390" i="3"/>
  <c r="P31" i="2"/>
  <c r="P20" i="2"/>
  <c r="P40" i="2" s="1"/>
  <c r="AB26" i="10"/>
  <c r="Q411" i="3"/>
  <c r="E30" i="2"/>
  <c r="D389" i="3"/>
  <c r="E50" i="2"/>
  <c r="E60" i="2" s="1"/>
  <c r="AA26" i="10"/>
  <c r="BC26" i="10" s="1"/>
  <c r="U35" i="2"/>
  <c r="M401" i="3"/>
  <c r="Q46" i="2"/>
  <c r="T30" i="10"/>
  <c r="BX35" i="16" s="1"/>
  <c r="BX37" i="16" s="1"/>
  <c r="BX77" i="16" s="1"/>
  <c r="S28" i="2"/>
  <c r="AC51" i="2"/>
  <c r="AC31" i="2"/>
  <c r="W13" i="10"/>
  <c r="W49" i="10" s="1"/>
  <c r="J22" i="2"/>
  <c r="J42" i="2" s="1"/>
  <c r="J36" i="2"/>
  <c r="J56" i="2"/>
  <c r="D56" i="2" s="1"/>
  <c r="V60" i="2"/>
  <c r="S26" i="10"/>
  <c r="U47" i="2"/>
  <c r="U59" i="2" s="1"/>
  <c r="P29" i="2"/>
  <c r="U4" i="10"/>
  <c r="AI4" i="10" s="1"/>
  <c r="C12" i="2"/>
  <c r="C32" i="2" s="1"/>
  <c r="H393" i="3"/>
  <c r="I54" i="2"/>
  <c r="AD19" i="2"/>
  <c r="AD39" i="2" s="1"/>
  <c r="AD47" i="2"/>
  <c r="AA8" i="10"/>
  <c r="Q394" i="3"/>
  <c r="T22" i="2"/>
  <c r="T42" i="2" s="1"/>
  <c r="BE29" i="23"/>
  <c r="AB53" i="10"/>
  <c r="AX22" i="10"/>
  <c r="AJ22" i="10"/>
  <c r="AJ24" i="10" s="1"/>
  <c r="H59" i="2"/>
  <c r="R27" i="10"/>
  <c r="S6" i="10"/>
  <c r="AU6" i="10" s="1"/>
  <c r="AU70" i="10" s="1"/>
  <c r="D48" i="2"/>
  <c r="J59" i="2"/>
  <c r="V34" i="10"/>
  <c r="F22" i="2"/>
  <c r="F42" i="2" s="1"/>
  <c r="F5" i="2"/>
  <c r="AM3" i="4" s="1"/>
  <c r="N9" i="2"/>
  <c r="N29" i="2" s="1"/>
  <c r="D6" i="2"/>
  <c r="D26" i="2" s="1"/>
  <c r="R31" i="24"/>
  <c r="CD19" i="16"/>
  <c r="AE46" i="2"/>
  <c r="M388" i="3"/>
  <c r="Z401" i="3"/>
  <c r="AB34" i="10"/>
  <c r="BQ34" i="10" s="1"/>
  <c r="BW34" i="10" s="1"/>
  <c r="L62" i="2"/>
  <c r="I47" i="2"/>
  <c r="Z7" i="2"/>
  <c r="Z27" i="2" s="1"/>
  <c r="G35" i="2"/>
  <c r="F394" i="3"/>
  <c r="D412" i="3"/>
  <c r="F57" i="2"/>
  <c r="S49" i="2"/>
  <c r="S60" i="2" s="1"/>
  <c r="S29" i="2"/>
  <c r="Q30" i="2"/>
  <c r="Q50" i="2"/>
  <c r="U57" i="2"/>
  <c r="Q412" i="3"/>
  <c r="I20" i="2"/>
  <c r="I40" i="2" s="1"/>
  <c r="AD5" i="2"/>
  <c r="BG55" i="4" s="1"/>
  <c r="C5" i="18"/>
  <c r="AP53" i="10"/>
  <c r="BD53" i="10"/>
  <c r="AB67" i="10"/>
  <c r="AP67" i="10" s="1"/>
  <c r="U54" i="24"/>
  <c r="K57" i="25"/>
  <c r="BD28" i="23"/>
  <c r="DL28" i="23" s="1"/>
  <c r="CR7" i="23"/>
  <c r="U65" i="24"/>
  <c r="V393" i="3"/>
  <c r="AA54" i="2"/>
  <c r="AC39" i="24"/>
  <c r="X57" i="24"/>
  <c r="AC57" i="24" s="1"/>
  <c r="L63" i="23"/>
  <c r="CN63" i="23" s="1"/>
  <c r="CN26" i="23"/>
  <c r="T39" i="26"/>
  <c r="AD14" i="24"/>
  <c r="Z14" i="24"/>
  <c r="CA40" i="23"/>
  <c r="DO40" i="23" s="1"/>
  <c r="DO41" i="23"/>
  <c r="K55" i="2"/>
  <c r="J394" i="3"/>
  <c r="K22" i="2"/>
  <c r="K42" i="2" s="1"/>
  <c r="S16" i="10"/>
  <c r="V27" i="2"/>
  <c r="AF31" i="2"/>
  <c r="AF51" i="2"/>
  <c r="Q33" i="2"/>
  <c r="O13" i="2"/>
  <c r="Q21" i="2"/>
  <c r="Q41" i="2" s="1"/>
  <c r="D395" i="3"/>
  <c r="E56" i="2"/>
  <c r="E62" i="2" s="1"/>
  <c r="E5" i="2"/>
  <c r="E37" i="2"/>
  <c r="D396" i="3"/>
  <c r="S48" i="20"/>
  <c r="S28" i="20"/>
  <c r="L25" i="23"/>
  <c r="G6" i="24"/>
  <c r="CN4" i="23"/>
  <c r="L3" i="23"/>
  <c r="L24" i="23" s="1"/>
  <c r="AA408" i="3"/>
  <c r="AA413" i="3" s="1"/>
  <c r="Z73" i="2"/>
  <c r="AH65" i="2"/>
  <c r="AS82" i="16"/>
  <c r="K65" i="23"/>
  <c r="CM28" i="23"/>
  <c r="BV78" i="11"/>
  <c r="I26" i="23"/>
  <c r="CK26" i="23" s="1"/>
  <c r="CK5" i="23"/>
  <c r="T5" i="23"/>
  <c r="M3" i="27"/>
  <c r="Q5" i="23"/>
  <c r="Y7" i="24" s="1"/>
  <c r="DD62" i="23"/>
  <c r="AB61" i="23"/>
  <c r="CA34" i="23"/>
  <c r="DO35" i="23"/>
  <c r="CA53" i="23"/>
  <c r="DO53" i="23" s="1"/>
  <c r="BV40" i="11"/>
  <c r="K69" i="12"/>
  <c r="K57" i="12"/>
  <c r="E28" i="23"/>
  <c r="BM7" i="23"/>
  <c r="AD3" i="18"/>
  <c r="P9" i="24"/>
  <c r="P30" i="24" s="1"/>
  <c r="P67" i="24" s="1"/>
  <c r="H20" i="24"/>
  <c r="K20" i="24"/>
  <c r="M20" i="24"/>
  <c r="AC15" i="24"/>
  <c r="Z15" i="24"/>
  <c r="BG62" i="23"/>
  <c r="E67" i="12"/>
  <c r="D83" i="12"/>
  <c r="AZ81" i="11"/>
  <c r="AL81" i="11"/>
  <c r="BL21" i="11"/>
  <c r="AQ21" i="11"/>
  <c r="AQ23" i="11" s="1"/>
  <c r="I32" i="11"/>
  <c r="P30" i="11"/>
  <c r="M32" i="11"/>
  <c r="BL31" i="11"/>
  <c r="H53" i="11"/>
  <c r="J68" i="12"/>
  <c r="J91" i="12" s="1"/>
  <c r="J84" i="12"/>
  <c r="M84" i="12"/>
  <c r="M68" i="12"/>
  <c r="M91" i="12" s="1"/>
  <c r="BS39" i="11"/>
  <c r="BU39" i="11"/>
  <c r="AJ78" i="11"/>
  <c r="CA78" i="11"/>
  <c r="AX78" i="11"/>
  <c r="BE59" i="11"/>
  <c r="AB78" i="11"/>
  <c r="AQ59" i="11"/>
  <c r="Z78" i="11"/>
  <c r="BC59" i="11"/>
  <c r="AO59" i="11"/>
  <c r="CB60" i="11"/>
  <c r="AK60" i="11"/>
  <c r="V79" i="11"/>
  <c r="AY60" i="11"/>
  <c r="AQ60" i="11"/>
  <c r="AB79" i="11"/>
  <c r="BE60" i="11"/>
  <c r="U82" i="11"/>
  <c r="AX64" i="11"/>
  <c r="CA64" i="11"/>
  <c r="AJ64" i="11"/>
  <c r="AG64" i="11"/>
  <c r="AS64" i="11" s="1"/>
  <c r="R82" i="11"/>
  <c r="AH68" i="11"/>
  <c r="AV68" i="11"/>
  <c r="BF68" i="11"/>
  <c r="AR68" i="11"/>
  <c r="AK68" i="11"/>
  <c r="AY68" i="11"/>
  <c r="CB68" i="11"/>
  <c r="BA78" i="11"/>
  <c r="AM78" i="11"/>
  <c r="R85" i="11"/>
  <c r="AU85" i="11" s="1"/>
  <c r="AG67" i="11"/>
  <c r="AU67" i="11"/>
  <c r="BA67" i="11"/>
  <c r="AM67" i="11"/>
  <c r="AM69" i="11" s="1"/>
  <c r="X85" i="11"/>
  <c r="BA85" i="11" s="1"/>
  <c r="C397" i="3"/>
  <c r="I397" i="3"/>
  <c r="N397" i="3"/>
  <c r="C413" i="3"/>
  <c r="AM49" i="16"/>
  <c r="AL86" i="16"/>
  <c r="AD74" i="2"/>
  <c r="O74" i="2"/>
  <c r="O81" i="2" s="1"/>
  <c r="N409" i="3"/>
  <c r="S54" i="2"/>
  <c r="S81" i="2"/>
  <c r="S65" i="2"/>
  <c r="S34" i="2"/>
  <c r="AF76" i="2"/>
  <c r="P411" i="3"/>
  <c r="U65" i="2"/>
  <c r="U36" i="2"/>
  <c r="U82" i="2"/>
  <c r="U56" i="2"/>
  <c r="AB66" i="20"/>
  <c r="S65" i="20"/>
  <c r="M66" i="20"/>
  <c r="S79" i="20"/>
  <c r="S46" i="20"/>
  <c r="AB68" i="20"/>
  <c r="V68" i="20" s="1"/>
  <c r="M68" i="20"/>
  <c r="Y73" i="20"/>
  <c r="P33" i="20"/>
  <c r="P53" i="20"/>
  <c r="P61" i="20" s="1"/>
  <c r="W13" i="20"/>
  <c r="R6" i="11" s="1" a="1"/>
  <c r="Q224" i="21"/>
  <c r="R392" i="21" s="1"/>
  <c r="F397" i="21"/>
  <c r="T66" i="21"/>
  <c r="T403" i="21" s="1"/>
  <c r="Z8" i="20"/>
  <c r="Z48" i="20" s="1"/>
  <c r="Z6" i="20"/>
  <c r="V66" i="21"/>
  <c r="V403" i="21" s="1"/>
  <c r="AB8" i="20"/>
  <c r="AB6" i="20"/>
  <c r="V6" i="20" s="1"/>
  <c r="T287" i="21"/>
  <c r="T410" i="21" s="1"/>
  <c r="Z15" i="20"/>
  <c r="M395" i="21"/>
  <c r="L4" i="21"/>
  <c r="L407" i="21"/>
  <c r="S407" i="21"/>
  <c r="L403" i="21"/>
  <c r="S403" i="21"/>
  <c r="E413" i="21"/>
  <c r="BE18" i="23"/>
  <c r="CS19" i="23"/>
  <c r="G55" i="24"/>
  <c r="G36" i="24"/>
  <c r="S59" i="25"/>
  <c r="S57" i="25" s="1"/>
  <c r="U50" i="25"/>
  <c r="U39" i="25"/>
  <c r="U48" i="25" s="1"/>
  <c r="F59" i="25"/>
  <c r="F57" i="25" s="1"/>
  <c r="Q23" i="25"/>
  <c r="Q59" i="25" s="1"/>
  <c r="Q57" i="25" s="1"/>
  <c r="U60" i="25"/>
  <c r="V48" i="25"/>
  <c r="AU63" i="23"/>
  <c r="CI54" i="23"/>
  <c r="DC54" i="23"/>
  <c r="AZ67" i="23"/>
  <c r="CN30" i="23"/>
  <c r="DH30" i="23"/>
  <c r="AV67" i="23"/>
  <c r="CJ30" i="23"/>
  <c r="DD30" i="23"/>
  <c r="AZ66" i="23"/>
  <c r="CN29" i="23"/>
  <c r="DH29" i="23"/>
  <c r="AV66" i="23"/>
  <c r="DD29" i="23"/>
  <c r="AZ65" i="23"/>
  <c r="DH28" i="23"/>
  <c r="AW28" i="23"/>
  <c r="BH7" i="23"/>
  <c r="BQ7" i="23"/>
  <c r="AE4" i="27"/>
  <c r="AS65" i="23"/>
  <c r="DA28" i="23"/>
  <c r="CG28" i="23"/>
  <c r="AY26" i="23"/>
  <c r="CM5" i="23"/>
  <c r="DG5" i="23"/>
  <c r="D4" i="27"/>
  <c r="AW25" i="23"/>
  <c r="DE4" i="23"/>
  <c r="AW3" i="23"/>
  <c r="BH4" i="23"/>
  <c r="AS62" i="23"/>
  <c r="DA25" i="23"/>
  <c r="CG25" i="23"/>
  <c r="Z58" i="26"/>
  <c r="CN43" i="23"/>
  <c r="DH43" i="23"/>
  <c r="DI55" i="23"/>
  <c r="CO55" i="23"/>
  <c r="BA5" i="23"/>
  <c r="DI5" i="23" s="1"/>
  <c r="AV61" i="10"/>
  <c r="AU67" i="10"/>
  <c r="BN34" i="10"/>
  <c r="BT34" i="10" s="1"/>
  <c r="S36" i="10"/>
  <c r="CD15" i="16"/>
  <c r="AT27" i="10"/>
  <c r="AG27" i="10"/>
  <c r="U33" i="26"/>
  <c r="U87" i="26" s="1"/>
  <c r="BE4" i="10"/>
  <c r="AA34" i="2"/>
  <c r="Y7" i="2"/>
  <c r="Y27" i="2" s="1"/>
  <c r="W60" i="2"/>
  <c r="N51" i="2"/>
  <c r="W39" i="2"/>
  <c r="C9" i="2"/>
  <c r="C29" i="2" s="1"/>
  <c r="F20" i="2"/>
  <c r="F40" i="2" s="1"/>
  <c r="F51" i="2"/>
  <c r="F60" i="2" s="1"/>
  <c r="T54" i="2"/>
  <c r="I5" i="2"/>
  <c r="W14" i="20"/>
  <c r="W34" i="20" s="1"/>
  <c r="Y49" i="20"/>
  <c r="AX23" i="10"/>
  <c r="CB39" i="16"/>
  <c r="CB41" i="16" s="1"/>
  <c r="CB78" i="16" s="1"/>
  <c r="Q393" i="3"/>
  <c r="I29" i="2"/>
  <c r="X52" i="10"/>
  <c r="Y55" i="20"/>
  <c r="Y62" i="20" s="1"/>
  <c r="AZ24" i="23"/>
  <c r="S26" i="24"/>
  <c r="Z31" i="24"/>
  <c r="AC31" i="24"/>
  <c r="BV31" i="16"/>
  <c r="CF19" i="16"/>
  <c r="W27" i="10"/>
  <c r="AY27" i="10" s="1"/>
  <c r="K35" i="2"/>
  <c r="CF32" i="16"/>
  <c r="BD27" i="10"/>
  <c r="Q53" i="2"/>
  <c r="CB27" i="23"/>
  <c r="J397" i="21"/>
  <c r="AH81" i="2"/>
  <c r="J78" i="12"/>
  <c r="R46" i="24"/>
  <c r="X46" i="24"/>
  <c r="O45" i="24"/>
  <c r="S55" i="24"/>
  <c r="S54" i="24" s="1"/>
  <c r="S45" i="24"/>
  <c r="P55" i="24"/>
  <c r="P54" i="24" s="1"/>
  <c r="V39" i="24"/>
  <c r="U57" i="24"/>
  <c r="Q61" i="25"/>
  <c r="F64" i="23"/>
  <c r="CH64" i="23" s="1"/>
  <c r="T32" i="2"/>
  <c r="Q391" i="3"/>
  <c r="AB405" i="3"/>
  <c r="AH20" i="2"/>
  <c r="AH40" i="2" s="1"/>
  <c r="V35" i="10"/>
  <c r="V36" i="10" s="1"/>
  <c r="M386" i="3"/>
  <c r="P19" i="2"/>
  <c r="P39" i="2" s="1"/>
  <c r="V396" i="3"/>
  <c r="AC5" i="10"/>
  <c r="AA37" i="2"/>
  <c r="AA57" i="2"/>
  <c r="I53" i="2"/>
  <c r="I61" i="2" s="1"/>
  <c r="I33" i="2"/>
  <c r="I21" i="2"/>
  <c r="I41" i="2" s="1"/>
  <c r="H392" i="3"/>
  <c r="T23" i="10"/>
  <c r="AB48" i="2"/>
  <c r="Z48" i="2" s="1"/>
  <c r="AD49" i="2"/>
  <c r="X404" i="3"/>
  <c r="L49" i="2"/>
  <c r="L20" i="2"/>
  <c r="L40" i="2" s="1"/>
  <c r="P56" i="2"/>
  <c r="N56" i="2" s="1"/>
  <c r="P22" i="2"/>
  <c r="P42" i="2" s="1"/>
  <c r="AB4" i="10"/>
  <c r="BD4" i="10" s="1"/>
  <c r="F393" i="3"/>
  <c r="G54" i="2"/>
  <c r="G61" i="2" s="1"/>
  <c r="G34" i="2"/>
  <c r="S53" i="2"/>
  <c r="Y30" i="10"/>
  <c r="CC35" i="16" s="1"/>
  <c r="S33" i="2"/>
  <c r="X9" i="10"/>
  <c r="AL9" i="10" s="1"/>
  <c r="AL10" i="10" s="1"/>
  <c r="Z391" i="3"/>
  <c r="AE52" i="2"/>
  <c r="N17" i="2"/>
  <c r="N37" i="2" s="1"/>
  <c r="Q396" i="3"/>
  <c r="AC8" i="10"/>
  <c r="R16" i="10"/>
  <c r="BN16" i="10" s="1"/>
  <c r="BT16" i="10" s="1"/>
  <c r="V26" i="2"/>
  <c r="S385" i="3"/>
  <c r="V5" i="2"/>
  <c r="O385" i="3"/>
  <c r="R26" i="2"/>
  <c r="R12" i="10"/>
  <c r="AG31" i="2"/>
  <c r="AB390" i="3"/>
  <c r="J405" i="3"/>
  <c r="L50" i="2"/>
  <c r="L60" i="2" s="1"/>
  <c r="X412" i="3"/>
  <c r="AD37" i="2"/>
  <c r="AC31" i="10"/>
  <c r="AC50" i="2"/>
  <c r="V13" i="10"/>
  <c r="J32" i="20"/>
  <c r="J21" i="20"/>
  <c r="J41" i="20" s="1"/>
  <c r="V20" i="24"/>
  <c r="T20" i="24"/>
  <c r="S7" i="23"/>
  <c r="AA15" i="24"/>
  <c r="I20" i="24"/>
  <c r="CN18" i="23"/>
  <c r="X81" i="20"/>
  <c r="X65" i="20"/>
  <c r="X52" i="20"/>
  <c r="BO60" i="11"/>
  <c r="N72" i="12"/>
  <c r="AM60" i="11"/>
  <c r="AJ85" i="16"/>
  <c r="BH70" i="10"/>
  <c r="BH71" i="10"/>
  <c r="DO29" i="23"/>
  <c r="AU64" i="11"/>
  <c r="X79" i="11"/>
  <c r="Q397" i="21"/>
  <c r="Z81" i="20"/>
  <c r="Z65" i="20"/>
  <c r="Z53" i="20"/>
  <c r="V73" i="20"/>
  <c r="V81" i="20" s="1"/>
  <c r="Z33" i="20"/>
  <c r="N20" i="12"/>
  <c r="BK97" i="11"/>
  <c r="BK98" i="11"/>
  <c r="P21" i="11"/>
  <c r="BU63" i="11"/>
  <c r="G84" i="12"/>
  <c r="G68" i="12"/>
  <c r="G64" i="12"/>
  <c r="BJ56" i="11"/>
  <c r="BJ76" i="11" s="1"/>
  <c r="AT50" i="16"/>
  <c r="AT72" i="16"/>
  <c r="BF59" i="16"/>
  <c r="BG59" i="16" s="1"/>
  <c r="BH59" i="16" s="1"/>
  <c r="BI59" i="16" s="1"/>
  <c r="BJ59" i="16" s="1"/>
  <c r="BK59" i="16" s="1"/>
  <c r="BL59" i="16" s="1"/>
  <c r="BM59" i="16" s="1"/>
  <c r="BN59" i="16" s="1"/>
  <c r="BO59" i="16" s="1"/>
  <c r="BP59" i="16"/>
  <c r="BD81" i="11"/>
  <c r="AP81" i="11"/>
  <c r="Z5" i="10"/>
  <c r="BB5" i="10" s="1"/>
  <c r="C55" i="2"/>
  <c r="U4" i="21"/>
  <c r="V393" i="21"/>
  <c r="V397" i="21" s="1"/>
  <c r="K55" i="24"/>
  <c r="AY31" i="10"/>
  <c r="CA36" i="16"/>
  <c r="AG12" i="10"/>
  <c r="AG14" i="10" s="1"/>
  <c r="AU12" i="10"/>
  <c r="AV5" i="10"/>
  <c r="AH5" i="10"/>
  <c r="BW39" i="16"/>
  <c r="CG7" i="16"/>
  <c r="CA3" i="4"/>
  <c r="J25" i="2"/>
  <c r="V8" i="4" s="1"/>
  <c r="S39" i="20"/>
  <c r="BN26" i="10"/>
  <c r="BT26" i="10" s="1"/>
  <c r="AH30" i="10"/>
  <c r="N52" i="2"/>
  <c r="AA14" i="24"/>
  <c r="DQ62" i="23"/>
  <c r="AA39" i="24"/>
  <c r="AQ24" i="12"/>
  <c r="AA16" i="24"/>
  <c r="AC16" i="24"/>
  <c r="AL16" i="10"/>
  <c r="X18" i="10"/>
  <c r="X79" i="10" s="1"/>
  <c r="AL79" i="10" s="1"/>
  <c r="C57" i="2"/>
  <c r="C51" i="20"/>
  <c r="G28" i="24"/>
  <c r="H7" i="24"/>
  <c r="J26" i="24"/>
  <c r="U75" i="20"/>
  <c r="Y35" i="20"/>
  <c r="BP65" i="16"/>
  <c r="DF24" i="23"/>
  <c r="X385" i="3"/>
  <c r="Y6" i="2"/>
  <c r="Y26" i="2" s="1"/>
  <c r="G47" i="2"/>
  <c r="G59" i="2" s="1"/>
  <c r="G19" i="2"/>
  <c r="G39" i="2" s="1"/>
  <c r="C17" i="2"/>
  <c r="C37" i="2" s="1"/>
  <c r="Z402" i="3"/>
  <c r="AF27" i="2"/>
  <c r="V13" i="20"/>
  <c r="X53" i="20"/>
  <c r="P7" i="24"/>
  <c r="P28" i="24" s="1"/>
  <c r="P65" i="24" s="1"/>
  <c r="BP64" i="23"/>
  <c r="BY27" i="23"/>
  <c r="CM52" i="23"/>
  <c r="DG52" i="23"/>
  <c r="CG7" i="23"/>
  <c r="CM4" i="23"/>
  <c r="K3" i="23"/>
  <c r="K24" i="23" s="1"/>
  <c r="K25" i="23"/>
  <c r="K62" i="23" s="1"/>
  <c r="DP45" i="23"/>
  <c r="CB54" i="23"/>
  <c r="DP54" i="23" s="1"/>
  <c r="CB43" i="23"/>
  <c r="DP43" i="23" s="1"/>
  <c r="BG63" i="23"/>
  <c r="CU63" i="23" s="1"/>
  <c r="BK82" i="11"/>
  <c r="BW82" i="11" s="1"/>
  <c r="BW64" i="11"/>
  <c r="BY46" i="11"/>
  <c r="BM68" i="11"/>
  <c r="BY68" i="11" s="1"/>
  <c r="BM100" i="11"/>
  <c r="AU83" i="16"/>
  <c r="AU86" i="16" s="1"/>
  <c r="AU71" i="16"/>
  <c r="AU73" i="16" s="1"/>
  <c r="BP60" i="16"/>
  <c r="BF60" i="16"/>
  <c r="BG60" i="16" s="1"/>
  <c r="BH60" i="16" s="1"/>
  <c r="BI60" i="16" s="1"/>
  <c r="BJ60" i="16" s="1"/>
  <c r="BK60" i="16" s="1"/>
  <c r="BL60" i="16" s="1"/>
  <c r="BM60" i="16" s="1"/>
  <c r="BN60" i="16" s="1"/>
  <c r="BO60" i="16" s="1"/>
  <c r="AY33" i="16"/>
  <c r="AO86" i="12"/>
  <c r="BC86" i="12"/>
  <c r="AX15" i="16"/>
  <c r="BC15" i="16" s="1"/>
  <c r="I21" i="12"/>
  <c r="CB9" i="23"/>
  <c r="DP9" i="23" s="1"/>
  <c r="DP10" i="23"/>
  <c r="E3" i="23"/>
  <c r="BM4" i="23"/>
  <c r="CG4" i="23"/>
  <c r="AD61" i="23"/>
  <c r="DO18" i="23"/>
  <c r="BP26" i="23"/>
  <c r="BP63" i="23" s="1"/>
  <c r="CB5" i="23"/>
  <c r="DP47" i="23"/>
  <c r="CB57" i="23"/>
  <c r="DP57" i="23" s="1"/>
  <c r="DO37" i="23"/>
  <c r="CA55" i="23"/>
  <c r="DO55" i="23" s="1"/>
  <c r="T15" i="24"/>
  <c r="S14" i="24"/>
  <c r="BY100" i="11"/>
  <c r="AJ16" i="12"/>
  <c r="V24" i="12"/>
  <c r="AX16" i="12"/>
  <c r="BI82" i="11"/>
  <c r="BU82" i="11" s="1"/>
  <c r="BU64" i="11"/>
  <c r="N413" i="3"/>
  <c r="J70" i="12"/>
  <c r="J93" i="12" s="1"/>
  <c r="J85" i="12"/>
  <c r="AL79" i="11"/>
  <c r="AZ79" i="11"/>
  <c r="P53" i="12"/>
  <c r="G76" i="12"/>
  <c r="BI27" i="11"/>
  <c r="BI103" i="11" s="1"/>
  <c r="P15" i="12"/>
  <c r="H17" i="12"/>
  <c r="G38" i="12"/>
  <c r="BJ30" i="11"/>
  <c r="BK31" i="11"/>
  <c r="BK56" i="11" s="1"/>
  <c r="BK76" i="11" s="1"/>
  <c r="P31" i="11"/>
  <c r="E36" i="11"/>
  <c r="E61" i="12" s="1"/>
  <c r="P34" i="11"/>
  <c r="P36" i="11" s="1"/>
  <c r="BK95" i="11"/>
  <c r="BK60" i="11"/>
  <c r="BK79" i="11" s="1"/>
  <c r="BM14" i="11"/>
  <c r="E52" i="11"/>
  <c r="E62" i="12" s="1"/>
  <c r="E70" i="12" s="1"/>
  <c r="P50" i="11"/>
  <c r="P52" i="11" s="1"/>
  <c r="BI50" i="11"/>
  <c r="S78" i="11"/>
  <c r="AH59" i="11"/>
  <c r="AV59" i="11"/>
  <c r="P81" i="11"/>
  <c r="BG63" i="11"/>
  <c r="BB63" i="11"/>
  <c r="AN63" i="11"/>
  <c r="AN65" i="11" s="1"/>
  <c r="Y81" i="11"/>
  <c r="AQ64" i="11"/>
  <c r="AB82" i="11"/>
  <c r="AY64" i="11"/>
  <c r="CB64" i="11"/>
  <c r="AK64" i="11"/>
  <c r="V82" i="11"/>
  <c r="BF67" i="11"/>
  <c r="AC85" i="11"/>
  <c r="BF85" i="11" s="1"/>
  <c r="AR67" i="11"/>
  <c r="AR69" i="11" s="1"/>
  <c r="CA68" i="11"/>
  <c r="AX68" i="11"/>
  <c r="AJ68" i="11"/>
  <c r="AP68" i="11"/>
  <c r="BD68" i="11"/>
  <c r="AA85" i="11"/>
  <c r="BD85" i="11" s="1"/>
  <c r="BD67" i="11"/>
  <c r="AP67" i="11"/>
  <c r="AP69" i="11" s="1"/>
  <c r="S85" i="11"/>
  <c r="AV85" i="11" s="1"/>
  <c r="AV67" i="11"/>
  <c r="AH67" i="11"/>
  <c r="AH69" i="11" s="1"/>
  <c r="D24" i="12"/>
  <c r="D39" i="12"/>
  <c r="AT16" i="12"/>
  <c r="D17" i="12"/>
  <c r="E397" i="3"/>
  <c r="G397" i="3"/>
  <c r="P397" i="3"/>
  <c r="R397" i="3"/>
  <c r="AO46" i="16"/>
  <c r="AV46" i="16" s="1"/>
  <c r="AO22" i="16"/>
  <c r="AN77" i="16"/>
  <c r="AN84" i="16" s="1"/>
  <c r="AN42" i="16"/>
  <c r="AV37" i="16"/>
  <c r="AD76" i="2"/>
  <c r="N411" i="3"/>
  <c r="S82" i="2"/>
  <c r="Y395" i="3"/>
  <c r="Y397" i="3" s="1"/>
  <c r="Y76" i="2"/>
  <c r="AE65" i="2"/>
  <c r="U67" i="20"/>
  <c r="W27" i="20"/>
  <c r="U66" i="20"/>
  <c r="V67" i="20"/>
  <c r="AB27" i="20"/>
  <c r="AB47" i="20"/>
  <c r="L68" i="20"/>
  <c r="AA68" i="20"/>
  <c r="U68" i="20" s="1"/>
  <c r="R65" i="20"/>
  <c r="R79" i="20"/>
  <c r="AA73" i="20"/>
  <c r="AA65" i="20" s="1"/>
  <c r="R81" i="20"/>
  <c r="M397" i="21"/>
  <c r="T192" i="21"/>
  <c r="T407" i="21" s="1"/>
  <c r="Z12" i="20"/>
  <c r="Z52" i="20" s="1"/>
  <c r="T5" i="21"/>
  <c r="T401" i="21" s="1"/>
  <c r="T256" i="21"/>
  <c r="T409" i="21" s="1"/>
  <c r="R66" i="21"/>
  <c r="R403" i="21" s="1"/>
  <c r="X8" i="20"/>
  <c r="X5" i="20" s="1"/>
  <c r="X25" i="20" s="1"/>
  <c r="V5" i="21"/>
  <c r="V401" i="21" s="1"/>
  <c r="Q319" i="21"/>
  <c r="R395" i="21" s="1"/>
  <c r="W16" i="20"/>
  <c r="U16" i="20" s="1"/>
  <c r="U36" i="20" s="1"/>
  <c r="J401" i="21"/>
  <c r="J413" i="21" s="1"/>
  <c r="N405" i="21"/>
  <c r="N413" i="21" s="1"/>
  <c r="G413" i="21"/>
  <c r="CS9" i="23"/>
  <c r="BM57" i="23"/>
  <c r="CA47" i="23"/>
  <c r="BY47" i="23"/>
  <c r="AP57" i="23"/>
  <c r="DR47" i="23"/>
  <c r="AP43" i="23"/>
  <c r="J11" i="24"/>
  <c r="K11" i="24" s="1"/>
  <c r="K12" i="24"/>
  <c r="K21" i="25"/>
  <c r="L21" i="25"/>
  <c r="U59" i="25"/>
  <c r="U57" i="25" s="1"/>
  <c r="V12" i="25"/>
  <c r="V21" i="25" s="1"/>
  <c r="V23" i="25"/>
  <c r="V59" i="25" s="1"/>
  <c r="V57" i="25" s="1"/>
  <c r="V51" i="25"/>
  <c r="V60" i="25" s="1"/>
  <c r="AX67" i="23"/>
  <c r="CL30" i="23"/>
  <c r="DF30" i="23"/>
  <c r="AT67" i="23"/>
  <c r="CH30" i="23"/>
  <c r="DB30" i="23"/>
  <c r="AX66" i="23"/>
  <c r="CL29" i="23"/>
  <c r="DF29" i="23"/>
  <c r="AT66" i="23"/>
  <c r="DB29" i="23"/>
  <c r="CH29" i="23"/>
  <c r="AX65" i="23"/>
  <c r="DF28" i="23"/>
  <c r="CL28" i="23"/>
  <c r="AU65" i="23"/>
  <c r="DC28" i="23"/>
  <c r="CI28" i="23"/>
  <c r="AW63" i="23"/>
  <c r="DE26" i="23"/>
  <c r="AT63" i="23"/>
  <c r="DB26" i="23"/>
  <c r="H4" i="23"/>
  <c r="M4" i="23"/>
  <c r="U4" i="23" s="1"/>
  <c r="P4" i="23"/>
  <c r="F4" i="23"/>
  <c r="J4" i="23"/>
  <c r="I4" i="23"/>
  <c r="O4" i="23"/>
  <c r="G4" i="23"/>
  <c r="N4" i="23"/>
  <c r="BD4" i="23"/>
  <c r="CR4" i="23" s="1"/>
  <c r="AB79" i="10"/>
  <c r="AP79" i="10" s="1"/>
  <c r="F25" i="2"/>
  <c r="T8" i="4" s="1"/>
  <c r="R393" i="21"/>
  <c r="R397" i="21" s="1"/>
  <c r="M55" i="24"/>
  <c r="AC6" i="10"/>
  <c r="BX99" i="16"/>
  <c r="AU53" i="10"/>
  <c r="AF47" i="2"/>
  <c r="AF59" i="2" s="1"/>
  <c r="AA47" i="2"/>
  <c r="Y47" i="2" s="1"/>
  <c r="V386" i="3"/>
  <c r="V397" i="3" s="1"/>
  <c r="BW7" i="16"/>
  <c r="AG4" i="10"/>
  <c r="D11" i="2"/>
  <c r="D31" i="2" s="1"/>
  <c r="S26" i="20"/>
  <c r="BE30" i="23"/>
  <c r="AO23" i="10"/>
  <c r="AO24" i="10" s="1"/>
  <c r="BC23" i="10"/>
  <c r="AG17" i="10"/>
  <c r="Z34" i="20"/>
  <c r="AA26" i="20"/>
  <c r="CN28" i="23"/>
  <c r="F56" i="24"/>
  <c r="H56" i="24" s="1"/>
  <c r="K38" i="24"/>
  <c r="Z79" i="2"/>
  <c r="Y30" i="24"/>
  <c r="CA27" i="23"/>
  <c r="Z39" i="24"/>
  <c r="Z16" i="24"/>
  <c r="BC34" i="10"/>
  <c r="CL27" i="23"/>
  <c r="U27" i="24"/>
  <c r="Q57" i="24"/>
  <c r="R57" i="24"/>
  <c r="V57" i="24"/>
  <c r="E36" i="2"/>
  <c r="AL17" i="10"/>
  <c r="CB20" i="16"/>
  <c r="CB104" i="16" s="1"/>
  <c r="AE56" i="2"/>
  <c r="Y56" i="2" s="1"/>
  <c r="R33" i="20"/>
  <c r="BV27" i="16"/>
  <c r="AF22" i="10"/>
  <c r="AH4" i="10"/>
  <c r="AH6" i="10" s="1"/>
  <c r="AV4" i="10"/>
  <c r="BX7" i="16"/>
  <c r="BG81" i="11"/>
  <c r="M31" i="12"/>
  <c r="M45" i="12" s="1"/>
  <c r="T12" i="24"/>
  <c r="O11" i="24"/>
  <c r="X12" i="24"/>
  <c r="V17" i="24"/>
  <c r="R17" i="24"/>
  <c r="O14" i="24"/>
  <c r="Q17" i="24"/>
  <c r="T17" i="24"/>
  <c r="U67" i="24"/>
  <c r="U36" i="24"/>
  <c r="CJ29" i="23"/>
  <c r="AB29" i="2"/>
  <c r="AB49" i="2"/>
  <c r="U23" i="10"/>
  <c r="AI23" i="10" s="1"/>
  <c r="AB20" i="2"/>
  <c r="AB40" i="2" s="1"/>
  <c r="J410" i="3"/>
  <c r="L35" i="2"/>
  <c r="D15" i="2"/>
  <c r="D35" i="2" s="1"/>
  <c r="AG20" i="2"/>
  <c r="AG40" i="2" s="1"/>
  <c r="AG29" i="2"/>
  <c r="H5" i="2"/>
  <c r="BG3" i="4" s="1"/>
  <c r="D13" i="2"/>
  <c r="D33" i="2" s="1"/>
  <c r="U49" i="2"/>
  <c r="O49" i="2" s="1"/>
  <c r="U29" i="2"/>
  <c r="AB8" i="10"/>
  <c r="Q395" i="3"/>
  <c r="T36" i="2"/>
  <c r="T56" i="2"/>
  <c r="AD31" i="2"/>
  <c r="AD51" i="2"/>
  <c r="K34" i="2"/>
  <c r="CP2" i="4" s="1"/>
  <c r="J393" i="3"/>
  <c r="AB52" i="2"/>
  <c r="AB61" i="2" s="1"/>
  <c r="AB32" i="2"/>
  <c r="X23" i="10"/>
  <c r="BP23" i="10" s="1"/>
  <c r="BV23" i="10" s="1"/>
  <c r="Z12" i="2"/>
  <c r="Z32" i="2" s="1"/>
  <c r="X5" i="10"/>
  <c r="AA52" i="2"/>
  <c r="V391" i="3"/>
  <c r="Y12" i="2"/>
  <c r="Y32" i="2" s="1"/>
  <c r="S392" i="3"/>
  <c r="V21" i="2"/>
  <c r="V41" i="2" s="1"/>
  <c r="V53" i="2"/>
  <c r="V61" i="2" s="1"/>
  <c r="V33" i="2"/>
  <c r="N13" i="2"/>
  <c r="N33" i="2" s="1"/>
  <c r="R34" i="2"/>
  <c r="R54" i="2"/>
  <c r="N54" i="2" s="1"/>
  <c r="H390" i="3"/>
  <c r="C11" i="2"/>
  <c r="C31" i="2" s="1"/>
  <c r="W8" i="10"/>
  <c r="AD8" i="10" s="1"/>
  <c r="BF8" i="10" s="1"/>
  <c r="Q390" i="3"/>
  <c r="Q397" i="3" s="1"/>
  <c r="T31" i="2"/>
  <c r="T5" i="2"/>
  <c r="T25" i="2" s="1"/>
  <c r="V32" i="4" s="1"/>
  <c r="V31" i="2"/>
  <c r="W16" i="10"/>
  <c r="AY16" i="10" s="1"/>
  <c r="J388" i="3"/>
  <c r="K20" i="2"/>
  <c r="K40" i="2" s="1"/>
  <c r="K49" i="2"/>
  <c r="K60" i="2" s="1"/>
  <c r="W55" i="2"/>
  <c r="S410" i="3"/>
  <c r="W22" i="2"/>
  <c r="W42" i="2" s="1"/>
  <c r="W35" i="2"/>
  <c r="O9" i="2"/>
  <c r="O29" i="2" s="1"/>
  <c r="Q29" i="2"/>
  <c r="U22" i="10"/>
  <c r="Q5" i="2"/>
  <c r="H36" i="2"/>
  <c r="F411" i="3"/>
  <c r="D16" i="2"/>
  <c r="D36" i="2" s="1"/>
  <c r="S36" i="2"/>
  <c r="O411" i="3"/>
  <c r="S22" i="2"/>
  <c r="S42" i="2" s="1"/>
  <c r="S56" i="2"/>
  <c r="AB30" i="10"/>
  <c r="J5" i="20"/>
  <c r="J25" i="20" s="1"/>
  <c r="V8" i="19" s="1"/>
  <c r="J28" i="20"/>
  <c r="D8" i="20"/>
  <c r="D28" i="20" s="1"/>
  <c r="I56" i="20"/>
  <c r="I36" i="20"/>
  <c r="AA46" i="20"/>
  <c r="Y47" i="20"/>
  <c r="Y27" i="20"/>
  <c r="U7" i="20"/>
  <c r="U27" i="20" s="1"/>
  <c r="D11" i="20"/>
  <c r="D31" i="20" s="1"/>
  <c r="H51" i="20"/>
  <c r="D51" i="20" s="1"/>
  <c r="Q37" i="20"/>
  <c r="Q57" i="20"/>
  <c r="G35" i="20"/>
  <c r="G55" i="20"/>
  <c r="G62" i="20" s="1"/>
  <c r="C15" i="20"/>
  <c r="C35" i="20" s="1"/>
  <c r="G22" i="20"/>
  <c r="G42" i="20" s="1"/>
  <c r="AA47" i="20"/>
  <c r="AA27" i="20"/>
  <c r="DM19" i="23"/>
  <c r="CH26" i="23"/>
  <c r="AY65" i="23"/>
  <c r="CM7" i="23"/>
  <c r="K26" i="23"/>
  <c r="K63" i="23" s="1"/>
  <c r="U5" i="23"/>
  <c r="U26" i="23" s="1"/>
  <c r="S48" i="25"/>
  <c r="CB40" i="23"/>
  <c r="DP40" i="23" s="1"/>
  <c r="DP41" i="23"/>
  <c r="Y82" i="2"/>
  <c r="AV9" i="16"/>
  <c r="AV42" i="16"/>
  <c r="AX27" i="16"/>
  <c r="P86" i="12"/>
  <c r="AZ86" i="12"/>
  <c r="AR70" i="16"/>
  <c r="AR67" i="16"/>
  <c r="CA12" i="23"/>
  <c r="DO12" i="23" s="1"/>
  <c r="DO14" i="23"/>
  <c r="BG59" i="11"/>
  <c r="AD79" i="11"/>
  <c r="BG79" i="11" s="1"/>
  <c r="AD78" i="11"/>
  <c r="BG78" i="11" s="1"/>
  <c r="D94" i="12"/>
  <c r="P94" i="12" s="1"/>
  <c r="P71" i="12"/>
  <c r="DR28" i="23"/>
  <c r="BY12" i="23"/>
  <c r="DE7" i="23"/>
  <c r="U387" i="21"/>
  <c r="N397" i="21"/>
  <c r="H61" i="12"/>
  <c r="AD82" i="11"/>
  <c r="BG82" i="11" s="1"/>
  <c r="BG64" i="11"/>
  <c r="BW14" i="11"/>
  <c r="BH79" i="10"/>
  <c r="BH80" i="10"/>
  <c r="AY13" i="16"/>
  <c r="AX12" i="16"/>
  <c r="BI48" i="16"/>
  <c r="BJ48" i="16" s="1"/>
  <c r="BK48" i="16" s="1"/>
  <c r="BL48" i="16" s="1"/>
  <c r="BM48" i="16" s="1"/>
  <c r="BN48" i="16" s="1"/>
  <c r="BO48" i="16" s="1"/>
  <c r="I20" i="12"/>
  <c r="G36" i="12"/>
  <c r="Q13" i="12"/>
  <c r="P13" i="12"/>
  <c r="I17" i="12"/>
  <c r="AS40" i="11"/>
  <c r="AS60" i="11"/>
  <c r="BL54" i="16"/>
  <c r="BM54" i="16" s="1"/>
  <c r="BN54" i="16" s="1"/>
  <c r="BO54" i="16" s="1"/>
  <c r="O30" i="2"/>
  <c r="R60" i="2"/>
  <c r="L37" i="20"/>
  <c r="L46" i="20"/>
  <c r="BX61" i="23"/>
  <c r="Q48" i="24"/>
  <c r="R48" i="24"/>
  <c r="AK61" i="23"/>
  <c r="V30" i="10"/>
  <c r="S50" i="2"/>
  <c r="J54" i="2"/>
  <c r="J34" i="2"/>
  <c r="CE15" i="16"/>
  <c r="BC12" i="10"/>
  <c r="S37" i="2"/>
  <c r="S57" i="2"/>
  <c r="U55" i="2"/>
  <c r="O55" i="2" s="1"/>
  <c r="U22" i="2"/>
  <c r="U42" i="2" s="1"/>
  <c r="O403" i="3"/>
  <c r="S48" i="2"/>
  <c r="Y35" i="10"/>
  <c r="AH33" i="2"/>
  <c r="Z29" i="20"/>
  <c r="V9" i="20"/>
  <c r="V29" i="20" s="1"/>
  <c r="P19" i="20"/>
  <c r="P39" i="20" s="1"/>
  <c r="Y81" i="2"/>
  <c r="AJ56" i="16"/>
  <c r="V3" i="27"/>
  <c r="CK6" i="23"/>
  <c r="CB12" i="23"/>
  <c r="DP12" i="23" s="1"/>
  <c r="DQ43" i="23"/>
  <c r="CA81" i="11"/>
  <c r="AX81" i="11"/>
  <c r="P20" i="24"/>
  <c r="Q20" i="24" s="1"/>
  <c r="R21" i="24"/>
  <c r="L64" i="24"/>
  <c r="L54" i="24"/>
  <c r="BV82" i="11"/>
  <c r="BW60" i="11"/>
  <c r="BQ79" i="11"/>
  <c r="BW79" i="11" s="1"/>
  <c r="N64" i="12"/>
  <c r="L69" i="12"/>
  <c r="L72" i="12" s="1"/>
  <c r="L57" i="12"/>
  <c r="BJ94" i="11"/>
  <c r="BV15" i="11"/>
  <c r="AY7" i="16"/>
  <c r="AX7" i="16"/>
  <c r="BC7" i="16" s="1"/>
  <c r="BK91" i="11"/>
  <c r="BK28" i="11"/>
  <c r="BK106" i="11" s="1"/>
  <c r="BK107" i="11" s="1"/>
  <c r="BK92" i="11"/>
  <c r="J76" i="12"/>
  <c r="J80" i="12" s="1"/>
  <c r="K67" i="12"/>
  <c r="K72" i="12" s="1"/>
  <c r="BI7" i="11"/>
  <c r="BM5" i="11"/>
  <c r="BM6" i="11"/>
  <c r="BQ15" i="11"/>
  <c r="BS13" i="11"/>
  <c r="BW13" i="11"/>
  <c r="BL95" i="11"/>
  <c r="BL60" i="11"/>
  <c r="BL79" i="11" s="1"/>
  <c r="BR95" i="11"/>
  <c r="BR15" i="11"/>
  <c r="BR60" i="11"/>
  <c r="Y97" i="11"/>
  <c r="BB97" i="11" s="1"/>
  <c r="Y98" i="11"/>
  <c r="BB98" i="11" s="1"/>
  <c r="BB19" i="11"/>
  <c r="BE19" i="11"/>
  <c r="AB98" i="11"/>
  <c r="BE98" i="11" s="1"/>
  <c r="AB97" i="11"/>
  <c r="BE97" i="11" s="1"/>
  <c r="BG38" i="11"/>
  <c r="AD40" i="11"/>
  <c r="BG40" i="11" s="1"/>
  <c r="AD44" i="11"/>
  <c r="BG44" i="11" s="1"/>
  <c r="BG43" i="11"/>
  <c r="AK63" i="12"/>
  <c r="W71" i="12"/>
  <c r="AY63" i="12"/>
  <c r="AI15" i="16"/>
  <c r="AY15" i="16"/>
  <c r="E22" i="16"/>
  <c r="Q9" i="16"/>
  <c r="AI21" i="16"/>
  <c r="AB22" i="16"/>
  <c r="AF9" i="16"/>
  <c r="AD10" i="16"/>
  <c r="AE22" i="16"/>
  <c r="AE14" i="16"/>
  <c r="AY31" i="16"/>
  <c r="AH31" i="16"/>
  <c r="AI39" i="16"/>
  <c r="S39" i="16"/>
  <c r="Q41" i="16"/>
  <c r="L42" i="16"/>
  <c r="Q37" i="16"/>
  <c r="O42" i="16"/>
  <c r="K42" i="16"/>
  <c r="Q29" i="16"/>
  <c r="S27" i="16" s="1"/>
  <c r="AD42" i="16"/>
  <c r="Z42" i="16"/>
  <c r="AE42" i="16"/>
  <c r="AF37" i="16"/>
  <c r="AF42" i="16" s="1"/>
  <c r="T62" i="16"/>
  <c r="AF61" i="16"/>
  <c r="AC86" i="16"/>
  <c r="U56" i="16"/>
  <c r="AF55" i="16"/>
  <c r="T82" i="16"/>
  <c r="AF50" i="16"/>
  <c r="AR75" i="16"/>
  <c r="AR79" i="16" s="1"/>
  <c r="AR42" i="16"/>
  <c r="AY28" i="16"/>
  <c r="AX28" i="16"/>
  <c r="AV76" i="16"/>
  <c r="AG59" i="2"/>
  <c r="T48" i="10"/>
  <c r="AH48" i="10" s="1"/>
  <c r="BJ48" i="10" s="1"/>
  <c r="BJ63" i="10" s="1"/>
  <c r="W39" i="20"/>
  <c r="Y27" i="10"/>
  <c r="AF33" i="2"/>
  <c r="U66" i="24"/>
  <c r="L46" i="2"/>
  <c r="L59" i="2" s="1"/>
  <c r="L26" i="2"/>
  <c r="J401" i="3"/>
  <c r="Y26" i="10"/>
  <c r="U33" i="2"/>
  <c r="S59" i="2"/>
  <c r="AA9" i="10"/>
  <c r="Z394" i="3"/>
  <c r="AB411" i="3"/>
  <c r="AH56" i="2"/>
  <c r="C15" i="2"/>
  <c r="I35" i="20"/>
  <c r="I55" i="20"/>
  <c r="N22" i="20"/>
  <c r="N42" i="20" s="1"/>
  <c r="X36" i="20"/>
  <c r="X56" i="20"/>
  <c r="H21" i="20"/>
  <c r="H41" i="20" s="1"/>
  <c r="D13" i="20"/>
  <c r="D33" i="20" s="1"/>
  <c r="Q19" i="20"/>
  <c r="Q39" i="20" s="1"/>
  <c r="Y57" i="20"/>
  <c r="U17" i="20"/>
  <c r="Y65" i="2"/>
  <c r="DG54" i="23"/>
  <c r="CM54" i="23"/>
  <c r="BB32" i="16"/>
  <c r="BC32" i="16"/>
  <c r="BY26" i="23"/>
  <c r="BY63" i="23" s="1"/>
  <c r="N28" i="23"/>
  <c r="N65" i="23" s="1"/>
  <c r="V7" i="23"/>
  <c r="V28" i="23" s="1"/>
  <c r="BM52" i="23"/>
  <c r="AL86" i="12"/>
  <c r="AN86" i="16"/>
  <c r="AV77" i="16"/>
  <c r="V49" i="24"/>
  <c r="X49" i="24"/>
  <c r="BK66" i="16"/>
  <c r="BL66" i="16" s="1"/>
  <c r="BM66" i="16" s="1"/>
  <c r="BN66" i="16" s="1"/>
  <c r="BO66" i="16" s="1"/>
  <c r="BP66" i="16"/>
  <c r="S5" i="24"/>
  <c r="T47" i="24"/>
  <c r="S56" i="24"/>
  <c r="S65" i="24" s="1"/>
  <c r="U5" i="24"/>
  <c r="P413" i="3"/>
  <c r="J20" i="12"/>
  <c r="J29" i="12"/>
  <c r="J10" i="12"/>
  <c r="AX8" i="16"/>
  <c r="AY8" i="16"/>
  <c r="AR82" i="11"/>
  <c r="BF82" i="11"/>
  <c r="P54" i="12"/>
  <c r="M77" i="12"/>
  <c r="M80" i="12" s="1"/>
  <c r="N57" i="12"/>
  <c r="P76" i="10"/>
  <c r="P20" i="10"/>
  <c r="P82" i="10" s="1"/>
  <c r="P83" i="10" s="1"/>
  <c r="BJ32" i="10"/>
  <c r="BL32" i="10" s="1"/>
  <c r="BL30" i="10"/>
  <c r="BL91" i="11"/>
  <c r="BJ7" i="11"/>
  <c r="BI15" i="11"/>
  <c r="BM13" i="11"/>
  <c r="BI94" i="11"/>
  <c r="BI59" i="11"/>
  <c r="BI78" i="11" s="1"/>
  <c r="BU13" i="11"/>
  <c r="AV15" i="11"/>
  <c r="S94" i="11"/>
  <c r="AH94" i="11" s="1"/>
  <c r="AK15" i="11"/>
  <c r="AS13" i="11"/>
  <c r="AK19" i="11"/>
  <c r="AS17" i="11"/>
  <c r="AS19" i="11" s="1"/>
  <c r="V98" i="11"/>
  <c r="AY98" i="11" s="1"/>
  <c r="V97" i="11"/>
  <c r="AY97" i="11" s="1"/>
  <c r="AY19" i="11"/>
  <c r="CB19" i="11"/>
  <c r="BI48" i="11"/>
  <c r="BU46" i="11"/>
  <c r="M94" i="12"/>
  <c r="AO71" i="12"/>
  <c r="V63" i="12"/>
  <c r="CB48" i="11"/>
  <c r="AI19" i="16"/>
  <c r="AY19" i="16"/>
  <c r="F22" i="16"/>
  <c r="Q13" i="16"/>
  <c r="T22" i="16"/>
  <c r="AF17" i="16"/>
  <c r="AF13" i="16"/>
  <c r="AI28" i="16"/>
  <c r="AH28" i="16"/>
  <c r="AI32" i="16"/>
  <c r="AI36" i="16"/>
  <c r="S36" i="16"/>
  <c r="Q33" i="16"/>
  <c r="M42" i="16"/>
  <c r="AF41" i="16"/>
  <c r="AB42" i="16"/>
  <c r="AB83" i="16"/>
  <c r="AB86" i="16" s="1"/>
  <c r="AB71" i="16"/>
  <c r="Z86" i="16"/>
  <c r="AM75" i="16"/>
  <c r="AM42" i="16"/>
  <c r="BH53" i="16"/>
  <c r="BI53" i="16" s="1"/>
  <c r="BJ53" i="16" s="1"/>
  <c r="BK53" i="16" s="1"/>
  <c r="BL53" i="16" s="1"/>
  <c r="BM53" i="16" s="1"/>
  <c r="BN53" i="16" s="1"/>
  <c r="BO53" i="16" s="1"/>
  <c r="AQ64" i="16"/>
  <c r="AV21" i="16"/>
  <c r="AM58" i="16"/>
  <c r="AM22" i="16"/>
  <c r="AS52" i="16"/>
  <c r="AS22" i="16"/>
  <c r="AO83" i="16"/>
  <c r="R19" i="2"/>
  <c r="R39" i="2" s="1"/>
  <c r="AF56" i="2"/>
  <c r="AA53" i="20"/>
  <c r="AA61" i="20" s="1"/>
  <c r="V17" i="20"/>
  <c r="V37" i="20" s="1"/>
  <c r="DO10" i="23"/>
  <c r="CA9" i="23"/>
  <c r="DO9" i="23" s="1"/>
  <c r="CB66" i="23"/>
  <c r="DP66" i="23" s="1"/>
  <c r="DP29" i="23"/>
  <c r="CB55" i="23"/>
  <c r="DP55" i="23" s="1"/>
  <c r="DP37" i="23"/>
  <c r="CB35" i="23"/>
  <c r="BP53" i="23"/>
  <c r="BY53" i="23" s="1"/>
  <c r="M32" i="12"/>
  <c r="M46" i="12" s="1"/>
  <c r="BJ85" i="11"/>
  <c r="BV85" i="11" s="1"/>
  <c r="BV67" i="11"/>
  <c r="L4" i="3"/>
  <c r="K70" i="10"/>
  <c r="K6" i="12"/>
  <c r="K71" i="10"/>
  <c r="O20" i="12"/>
  <c r="O25" i="12" s="1"/>
  <c r="BH10" i="10"/>
  <c r="BL9" i="10"/>
  <c r="BH74" i="10"/>
  <c r="F74" i="10"/>
  <c r="F7" i="12"/>
  <c r="L74" i="10"/>
  <c r="L7" i="12"/>
  <c r="F77" i="10"/>
  <c r="F8" i="12"/>
  <c r="I76" i="10"/>
  <c r="I77" i="10"/>
  <c r="I8" i="12"/>
  <c r="K76" i="10"/>
  <c r="K77" i="10"/>
  <c r="O77" i="10"/>
  <c r="O8" i="12"/>
  <c r="O22" i="12" s="1"/>
  <c r="O20" i="10"/>
  <c r="O82" i="10" s="1"/>
  <c r="O83" i="10" s="1"/>
  <c r="BJ18" i="10"/>
  <c r="BJ79" i="10" s="1"/>
  <c r="BJ80" i="10"/>
  <c r="F80" i="10"/>
  <c r="F9" i="12"/>
  <c r="F23" i="12" s="1"/>
  <c r="F79" i="10"/>
  <c r="L9" i="12"/>
  <c r="L80" i="10"/>
  <c r="L79" i="10"/>
  <c r="BI24" i="10"/>
  <c r="BI38" i="10" s="1"/>
  <c r="BI40" i="10"/>
  <c r="BI57" i="10" s="1"/>
  <c r="BL22" i="10"/>
  <c r="BK41" i="10"/>
  <c r="BK58" i="10" s="1"/>
  <c r="BL5" i="10"/>
  <c r="BH45" i="10"/>
  <c r="BH61" i="10" s="1"/>
  <c r="BL27" i="10"/>
  <c r="BL45" i="10" s="1"/>
  <c r="BL61" i="10" s="1"/>
  <c r="AG21" i="11"/>
  <c r="BI21" i="11"/>
  <c r="AM21" i="11"/>
  <c r="AM23" i="11" s="1"/>
  <c r="BK21" i="11"/>
  <c r="BM59" i="11"/>
  <c r="BM78" i="11" s="1"/>
  <c r="BP60" i="11"/>
  <c r="BS14" i="11"/>
  <c r="BX17" i="11"/>
  <c r="BR19" i="11"/>
  <c r="BR63" i="11"/>
  <c r="BK44" i="11"/>
  <c r="BW44" i="11" s="1"/>
  <c r="BW43" i="11"/>
  <c r="BM18" i="11"/>
  <c r="BM64" i="11" s="1"/>
  <c r="BM82" i="11" s="1"/>
  <c r="BI19" i="11"/>
  <c r="BS48" i="11"/>
  <c r="BK71" i="11"/>
  <c r="BK87" i="11" s="1"/>
  <c r="BK52" i="11"/>
  <c r="Y79" i="11"/>
  <c r="BB60" i="11"/>
  <c r="AN60" i="11"/>
  <c r="W82" i="11"/>
  <c r="AZ64" i="11"/>
  <c r="AL64" i="11"/>
  <c r="D36" i="12"/>
  <c r="D20" i="12"/>
  <c r="CA23" i="11"/>
  <c r="U16" i="12"/>
  <c r="F64" i="12"/>
  <c r="AP63" i="12"/>
  <c r="BD63" i="12"/>
  <c r="AD67" i="11"/>
  <c r="AD48" i="11"/>
  <c r="X68" i="16"/>
  <c r="AF67" i="16"/>
  <c r="AK83" i="16"/>
  <c r="AK86" i="16" s="1"/>
  <c r="V192" i="21"/>
  <c r="V407" i="21" s="1"/>
  <c r="BN29" i="23"/>
  <c r="BY16" i="23"/>
  <c r="N48" i="2"/>
  <c r="O47" i="2"/>
  <c r="D9" i="20"/>
  <c r="D29" i="20" s="1"/>
  <c r="C9" i="20"/>
  <c r="C29" i="20" s="1"/>
  <c r="BH64" i="23"/>
  <c r="E57" i="12"/>
  <c r="E69" i="12"/>
  <c r="N17" i="12"/>
  <c r="M36" i="12"/>
  <c r="G4" i="3"/>
  <c r="F76" i="10"/>
  <c r="M6" i="12"/>
  <c r="M70" i="10"/>
  <c r="D7" i="12"/>
  <c r="D74" i="10"/>
  <c r="D20" i="10"/>
  <c r="D82" i="10" s="1"/>
  <c r="D83" i="10" s="1"/>
  <c r="H20" i="10"/>
  <c r="H82" i="10" s="1"/>
  <c r="H83" i="10" s="1"/>
  <c r="H73" i="10"/>
  <c r="H7" i="12"/>
  <c r="BJ6" i="10"/>
  <c r="BJ40" i="10"/>
  <c r="BJ57" i="10" s="1"/>
  <c r="J22" i="12"/>
  <c r="J31" i="12"/>
  <c r="J45" i="12" s="1"/>
  <c r="BL17" i="10"/>
  <c r="D79" i="10"/>
  <c r="D9" i="12"/>
  <c r="H9" i="12"/>
  <c r="H23" i="12" s="1"/>
  <c r="H79" i="10"/>
  <c r="H80" i="10"/>
  <c r="N9" i="12"/>
  <c r="N23" i="12" s="1"/>
  <c r="N80" i="10"/>
  <c r="AP80" i="10" s="1"/>
  <c r="N20" i="10"/>
  <c r="N82" i="10" s="1"/>
  <c r="N83" i="10" s="1"/>
  <c r="BK6" i="10"/>
  <c r="BL26" i="10"/>
  <c r="BH44" i="10"/>
  <c r="BH60" i="10" s="1"/>
  <c r="F55" i="12"/>
  <c r="F38" i="10"/>
  <c r="AJ15" i="11"/>
  <c r="X94" i="11"/>
  <c r="AM94" i="11" s="1"/>
  <c r="X95" i="11"/>
  <c r="AM95" i="11" s="1"/>
  <c r="BA15" i="11"/>
  <c r="BK100" i="11"/>
  <c r="BW100" i="11" s="1"/>
  <c r="BK68" i="11"/>
  <c r="BW68" i="11" s="1"/>
  <c r="R39" i="12"/>
  <c r="R24" i="12"/>
  <c r="AF16" i="12"/>
  <c r="BK27" i="11"/>
  <c r="BK103" i="11" s="1"/>
  <c r="BL104" i="11"/>
  <c r="BW18" i="11"/>
  <c r="BQ19" i="11"/>
  <c r="BQ98" i="11" s="1"/>
  <c r="BW98" i="11" s="1"/>
  <c r="BS18" i="11"/>
  <c r="T71" i="12"/>
  <c r="AH63" i="12"/>
  <c r="R71" i="12"/>
  <c r="AT63" i="12"/>
  <c r="F17" i="12"/>
  <c r="M14" i="12"/>
  <c r="M28" i="11"/>
  <c r="G37" i="12"/>
  <c r="Y24" i="12"/>
  <c r="X39" i="12"/>
  <c r="BA16" i="12"/>
  <c r="AO16" i="12"/>
  <c r="AP16" i="12"/>
  <c r="AB24" i="12"/>
  <c r="AC71" i="12"/>
  <c r="AQ63" i="12"/>
  <c r="BE63" i="12"/>
  <c r="BP47" i="16"/>
  <c r="AP75" i="16"/>
  <c r="AP42" i="16"/>
  <c r="AO78" i="16"/>
  <c r="AV41" i="16"/>
  <c r="S129" i="21"/>
  <c r="T389" i="21" s="1"/>
  <c r="BO29" i="23"/>
  <c r="BO66" i="23" s="1"/>
  <c r="BO12" i="23"/>
  <c r="R4" i="3"/>
  <c r="N21" i="12"/>
  <c r="G9" i="12"/>
  <c r="G79" i="10"/>
  <c r="G80" i="10"/>
  <c r="P44" i="10"/>
  <c r="P60" i="10" s="1"/>
  <c r="BL23" i="10"/>
  <c r="G57" i="12"/>
  <c r="BL35" i="10"/>
  <c r="BL53" i="10" s="1"/>
  <c r="BL67" i="10" s="1"/>
  <c r="BI53" i="10"/>
  <c r="BI67" i="10" s="1"/>
  <c r="BL15" i="11"/>
  <c r="BL94" i="11" s="1"/>
  <c r="U94" i="11"/>
  <c r="AJ94" i="11" s="1"/>
  <c r="AX15" i="11"/>
  <c r="U95" i="11"/>
  <c r="AJ95" i="11" s="1"/>
  <c r="BU17" i="11"/>
  <c r="BI63" i="11"/>
  <c r="BI81" i="11" s="1"/>
  <c r="BU81" i="11" s="1"/>
  <c r="J38" i="12"/>
  <c r="J40" i="12" s="1"/>
  <c r="F68" i="12"/>
  <c r="BQ59" i="11"/>
  <c r="BS42" i="11"/>
  <c r="CB59" i="11"/>
  <c r="AY59" i="11"/>
  <c r="AA79" i="11"/>
  <c r="BD60" i="11"/>
  <c r="AX60" i="11"/>
  <c r="AJ60" i="11"/>
  <c r="CB67" i="11"/>
  <c r="AY67" i="11"/>
  <c r="AL63" i="12"/>
  <c r="W22" i="16"/>
  <c r="AS59" i="16"/>
  <c r="AV59" i="16" s="1"/>
  <c r="AQ22" i="16"/>
  <c r="AQ46" i="16"/>
  <c r="W69" i="20"/>
  <c r="N80" i="20"/>
  <c r="N40" i="20" s="1"/>
  <c r="O397" i="21"/>
  <c r="N396" i="21"/>
  <c r="U396" i="21"/>
  <c r="L401" i="21"/>
  <c r="L413" i="21" s="1"/>
  <c r="S401" i="21"/>
  <c r="BN52" i="23"/>
  <c r="CW40" i="23"/>
  <c r="AM25" i="23"/>
  <c r="AM62" i="23" s="1"/>
  <c r="AM61" i="23" s="1"/>
  <c r="AM3" i="23"/>
  <c r="AM24" i="23" s="1"/>
  <c r="DR19" i="23"/>
  <c r="AP18" i="23"/>
  <c r="AO28" i="23"/>
  <c r="DQ7" i="23"/>
  <c r="L48" i="25"/>
  <c r="AR84" i="16"/>
  <c r="Q4" i="3"/>
  <c r="K17" i="12"/>
  <c r="BL16" i="10"/>
  <c r="O9" i="12"/>
  <c r="O23" i="12" s="1"/>
  <c r="O79" i="10"/>
  <c r="P49" i="10"/>
  <c r="P64" i="10" s="1"/>
  <c r="BH41" i="10"/>
  <c r="BH58" i="10" s="1"/>
  <c r="BJ53" i="10"/>
  <c r="BJ67" i="10" s="1"/>
  <c r="BJ59" i="11"/>
  <c r="BJ78" i="11" s="1"/>
  <c r="BO98" i="11"/>
  <c r="BU18" i="11"/>
  <c r="AP23" i="11"/>
  <c r="J32" i="11"/>
  <c r="BK30" i="11"/>
  <c r="BO59" i="11"/>
  <c r="BO40" i="11"/>
  <c r="BU40" i="11" s="1"/>
  <c r="BW38" i="11"/>
  <c r="BM39" i="11"/>
  <c r="BL44" i="11"/>
  <c r="BX44" i="11" s="1"/>
  <c r="BX42" i="11"/>
  <c r="AU44" i="11"/>
  <c r="BP68" i="11"/>
  <c r="BV68" i="11" s="1"/>
  <c r="BR68" i="11"/>
  <c r="BX68" i="11" s="1"/>
  <c r="D52" i="11"/>
  <c r="D62" i="12" s="1"/>
  <c r="H52" i="11"/>
  <c r="H62" i="12" s="1"/>
  <c r="AH60" i="11"/>
  <c r="S79" i="11"/>
  <c r="AO63" i="11"/>
  <c r="AO65" i="11" s="1"/>
  <c r="BC63" i="11"/>
  <c r="Z81" i="11"/>
  <c r="BA68" i="11"/>
  <c r="AM68" i="11"/>
  <c r="BB78" i="11"/>
  <c r="AI81" i="11"/>
  <c r="M39" i="12"/>
  <c r="N24" i="12"/>
  <c r="E413" i="3"/>
  <c r="AH11" i="16"/>
  <c r="H42" i="16"/>
  <c r="AN79" i="16"/>
  <c r="AT75" i="16"/>
  <c r="AT79" i="16" s="1"/>
  <c r="AT42" i="16"/>
  <c r="N65" i="2"/>
  <c r="N81" i="2"/>
  <c r="D81" i="20"/>
  <c r="W72" i="20"/>
  <c r="W32" i="20" s="1"/>
  <c r="L72" i="20"/>
  <c r="L81" i="20" s="1"/>
  <c r="V75" i="20"/>
  <c r="V82" i="20" s="1"/>
  <c r="R192" i="21"/>
  <c r="R407" i="21" s="1"/>
  <c r="U394" i="21"/>
  <c r="J408" i="21"/>
  <c r="Q408" i="21"/>
  <c r="U410" i="21"/>
  <c r="BO52" i="23"/>
  <c r="CS44" i="23"/>
  <c r="Q43" i="23"/>
  <c r="Q52" i="23" s="1"/>
  <c r="AN26" i="23"/>
  <c r="AN63" i="23" s="1"/>
  <c r="AN61" i="23" s="1"/>
  <c r="DQ19" i="23"/>
  <c r="AO18" i="23"/>
  <c r="AO54" i="23"/>
  <c r="AO63" i="23" s="1"/>
  <c r="F4" i="3"/>
  <c r="N4" i="3"/>
  <c r="S4" i="3"/>
  <c r="D82" i="20"/>
  <c r="Y80" i="20"/>
  <c r="T98" i="21"/>
  <c r="T404" i="21" s="1"/>
  <c r="V98" i="21"/>
  <c r="V404" i="21" s="1"/>
  <c r="R350" i="21"/>
  <c r="R412" i="21" s="1"/>
  <c r="S388" i="21"/>
  <c r="S397" i="21" s="1"/>
  <c r="U402" i="21"/>
  <c r="S412" i="21"/>
  <c r="BW52" i="23"/>
  <c r="I52" i="23"/>
  <c r="O52" i="23"/>
  <c r="CJ40" i="23"/>
  <c r="CS47" i="23"/>
  <c r="CC63" i="23"/>
  <c r="CB19" i="23"/>
  <c r="BP18" i="23"/>
  <c r="AG52" i="23"/>
  <c r="DI43" i="23"/>
  <c r="DB54" i="23"/>
  <c r="AK54" i="23"/>
  <c r="AK63" i="23" s="1"/>
  <c r="Z63" i="23"/>
  <c r="Z61" i="23" s="1"/>
  <c r="CU41" i="23"/>
  <c r="BG40" i="23"/>
  <c r="CV50" i="23"/>
  <c r="BH49" i="23"/>
  <c r="CU38" i="23"/>
  <c r="BG56" i="23"/>
  <c r="CU56" i="23" s="1"/>
  <c r="BH57" i="23"/>
  <c r="CV47" i="23"/>
  <c r="BM40" i="23"/>
  <c r="BY41" i="23"/>
  <c r="BY40" i="23" s="1"/>
  <c r="BM43" i="23"/>
  <c r="CC40" i="23"/>
  <c r="DQ40" i="23" s="1"/>
  <c r="DQ41" i="23"/>
  <c r="AP54" i="23"/>
  <c r="AP63" i="23" s="1"/>
  <c r="DR63" i="23" s="1"/>
  <c r="DR45" i="23"/>
  <c r="DR36" i="23"/>
  <c r="CD34" i="23"/>
  <c r="AO55" i="23"/>
  <c r="DQ55" i="23" s="1"/>
  <c r="DQ37" i="23"/>
  <c r="BQ43" i="23"/>
  <c r="BQ52" i="23" s="1"/>
  <c r="CB49" i="23"/>
  <c r="DP50" i="23"/>
  <c r="V39" i="25"/>
  <c r="T61" i="25"/>
  <c r="AB21" i="24"/>
  <c r="AK18" i="23"/>
  <c r="AK24" i="23" s="1"/>
  <c r="E4" i="3"/>
  <c r="V80" i="20"/>
  <c r="P81" i="20"/>
  <c r="L77" i="20"/>
  <c r="L82" i="20" s="1"/>
  <c r="W77" i="20"/>
  <c r="S98" i="21"/>
  <c r="T388" i="21" s="1"/>
  <c r="S5" i="21"/>
  <c r="T385" i="21" s="1"/>
  <c r="S394" i="21"/>
  <c r="U412" i="21"/>
  <c r="BU24" i="23"/>
  <c r="DM40" i="23"/>
  <c r="CS40" i="23"/>
  <c r="DR14" i="23"/>
  <c r="CV44" i="23"/>
  <c r="BH43" i="23"/>
  <c r="CV43" i="23" s="1"/>
  <c r="BJ43" i="23"/>
  <c r="CX43" i="23" s="1"/>
  <c r="CX44" i="23"/>
  <c r="BI49" i="23"/>
  <c r="CW49" i="23" s="1"/>
  <c r="CW50" i="23"/>
  <c r="DH57" i="23"/>
  <c r="AF66" i="23"/>
  <c r="AF61" i="23" s="1"/>
  <c r="BJ57" i="23"/>
  <c r="BJ66" i="23" s="1"/>
  <c r="CX66" i="23" s="1"/>
  <c r="CX47" i="23"/>
  <c r="AO34" i="23"/>
  <c r="DQ34" i="23" s="1"/>
  <c r="DQ35" i="23"/>
  <c r="CD43" i="23"/>
  <c r="DR43" i="23" s="1"/>
  <c r="DR44" i="23"/>
  <c r="AO49" i="23"/>
  <c r="DQ50" i="23"/>
  <c r="AB12" i="24"/>
  <c r="AK9" i="23"/>
  <c r="DM9" i="23" s="1"/>
  <c r="AB350" i="3"/>
  <c r="M413" i="21"/>
  <c r="R256" i="21"/>
  <c r="S52" i="23"/>
  <c r="BR62" i="23"/>
  <c r="BR61" i="23" s="1"/>
  <c r="AM34" i="23"/>
  <c r="AM52" i="23" s="1"/>
  <c r="AP49" i="23"/>
  <c r="DR50" i="23"/>
  <c r="BG57" i="23"/>
  <c r="CU47" i="23"/>
  <c r="CD40" i="23"/>
  <c r="DR40" i="23" s="1"/>
  <c r="DR41" i="23"/>
  <c r="CC54" i="23"/>
  <c r="DQ54" i="23" s="1"/>
  <c r="DQ45" i="23"/>
  <c r="BO43" i="23"/>
  <c r="DQ47" i="23"/>
  <c r="CC57" i="23"/>
  <c r="DQ57" i="23" s="1"/>
  <c r="T3" i="25"/>
  <c r="T21" i="25" s="1"/>
  <c r="T22" i="25"/>
  <c r="T58" i="25" s="1"/>
  <c r="AB224" i="3"/>
  <c r="AB129" i="3"/>
  <c r="Z37" i="3"/>
  <c r="V129" i="3"/>
  <c r="AA5" i="3"/>
  <c r="Y192" i="3"/>
  <c r="Y66" i="3"/>
  <c r="Z51" i="26"/>
  <c r="X51" i="26" s="1"/>
  <c r="DA43" i="23"/>
  <c r="CI12" i="23"/>
  <c r="CC21" i="23"/>
  <c r="DQ21" i="23" s="1"/>
  <c r="DQ22" i="23"/>
  <c r="T12" i="23"/>
  <c r="U40" i="23"/>
  <c r="U52" i="23" s="1"/>
  <c r="CW41" i="23"/>
  <c r="DF43" i="23"/>
  <c r="AC23" i="24"/>
  <c r="BM64" i="23"/>
  <c r="AD24" i="24"/>
  <c r="Y32" i="24"/>
  <c r="AA24" i="24"/>
  <c r="DA56" i="23"/>
  <c r="BV24" i="23"/>
  <c r="Z24" i="23"/>
  <c r="DB24" i="23" s="1"/>
  <c r="DE18" i="23"/>
  <c r="AC24" i="23"/>
  <c r="F52" i="23"/>
  <c r="CH52" i="23" s="1"/>
  <c r="AO3" i="23"/>
  <c r="DQ3" i="23" s="1"/>
  <c r="DQ4" i="23"/>
  <c r="BV65" i="23"/>
  <c r="BV61" i="23" s="1"/>
  <c r="BN12" i="23"/>
  <c r="CC9" i="23"/>
  <c r="DQ10" i="23"/>
  <c r="AK34" i="23"/>
  <c r="AK52" i="23" s="1"/>
  <c r="AA52" i="23"/>
  <c r="DC52" i="23" s="1"/>
  <c r="DC49" i="23"/>
  <c r="DR37" i="23"/>
  <c r="AP34" i="23"/>
  <c r="BY45" i="23"/>
  <c r="BY43" i="23" s="1"/>
  <c r="BO55" i="23"/>
  <c r="BY50" i="23"/>
  <c r="BY49" i="23" s="1"/>
  <c r="CD56" i="23"/>
  <c r="DR56" i="23" s="1"/>
  <c r="DR38" i="23"/>
  <c r="F21" i="25"/>
  <c r="Q30" i="25"/>
  <c r="Q48" i="25" s="1"/>
  <c r="J58" i="25"/>
  <c r="J57" i="25" s="1"/>
  <c r="U62" i="25"/>
  <c r="AB192" i="3"/>
  <c r="AB66" i="3"/>
  <c r="AB37" i="3"/>
  <c r="V350" i="3"/>
  <c r="P4" i="3"/>
  <c r="Y287" i="3"/>
  <c r="Z53" i="26"/>
  <c r="X53" i="26" s="1"/>
  <c r="DC30" i="23"/>
  <c r="AA67" i="23"/>
  <c r="S54" i="23"/>
  <c r="S63" i="23" s="1"/>
  <c r="CU45" i="23"/>
  <c r="S43" i="23"/>
  <c r="CU43" i="23" s="1"/>
  <c r="T30" i="23"/>
  <c r="CV22" i="23"/>
  <c r="U30" i="23"/>
  <c r="U21" i="23"/>
  <c r="CW21" i="23" s="1"/>
  <c r="V56" i="23"/>
  <c r="V34" i="23"/>
  <c r="V52" i="23" s="1"/>
  <c r="DG18" i="23"/>
  <c r="DL55" i="23"/>
  <c r="E60" i="25"/>
  <c r="E57" i="25" s="1"/>
  <c r="S62" i="25"/>
  <c r="T62" i="25"/>
  <c r="K62" i="25"/>
  <c r="L28" i="24"/>
  <c r="Z161" i="3"/>
  <c r="Y319" i="3"/>
  <c r="Y161" i="3"/>
  <c r="Y37" i="3"/>
  <c r="AE10" i="2"/>
  <c r="CX22" i="23"/>
  <c r="BJ21" i="23"/>
  <c r="CX21" i="23" s="1"/>
  <c r="H24" i="24"/>
  <c r="G23" i="24"/>
  <c r="Y54" i="24"/>
  <c r="AZ34" i="23"/>
  <c r="AZ53" i="23"/>
  <c r="M65" i="23"/>
  <c r="CP57" i="23"/>
  <c r="K60" i="25"/>
  <c r="M61" i="25"/>
  <c r="M57" i="25" s="1"/>
  <c r="AB319" i="3"/>
  <c r="AB287" i="3"/>
  <c r="Z192" i="3"/>
  <c r="W66" i="3"/>
  <c r="Y350" i="3"/>
  <c r="Y224" i="3"/>
  <c r="Y98" i="3"/>
  <c r="CH21" i="23"/>
  <c r="CK21" i="23"/>
  <c r="T55" i="23"/>
  <c r="T64" i="23" s="1"/>
  <c r="V54" i="23"/>
  <c r="V63" i="23" s="1"/>
  <c r="Z56" i="26"/>
  <c r="X56" i="26" s="1"/>
  <c r="AW53" i="23"/>
  <c r="AW34" i="23"/>
  <c r="AW64" i="23"/>
  <c r="AY25" i="23"/>
  <c r="AY3" i="23"/>
  <c r="AZ64" i="23"/>
  <c r="J62" i="25"/>
  <c r="J55" i="24"/>
  <c r="L5" i="24"/>
  <c r="AB98" i="3"/>
  <c r="AC64" i="23"/>
  <c r="AC61" i="23" s="1"/>
  <c r="Y52" i="26"/>
  <c r="X52" i="26" s="1"/>
  <c r="U54" i="23"/>
  <c r="U53" i="23"/>
  <c r="DC27" i="23"/>
  <c r="AX62" i="23"/>
  <c r="AA58" i="26"/>
  <c r="M6" i="23"/>
  <c r="P6" i="23"/>
  <c r="P27" i="23" s="1"/>
  <c r="P64" i="23" s="1"/>
  <c r="I31" i="24"/>
  <c r="V98" i="3"/>
  <c r="Y129" i="3"/>
  <c r="AA55" i="26"/>
  <c r="AA56" i="26"/>
  <c r="AA57" i="26"/>
  <c r="AZ3" i="23"/>
  <c r="BA56" i="23"/>
  <c r="DI56" i="23" s="1"/>
  <c r="CO38" i="23"/>
  <c r="R50" i="20"/>
  <c r="R30" i="20"/>
  <c r="W22" i="20"/>
  <c r="U15" i="20"/>
  <c r="W55" i="20"/>
  <c r="U55" i="20" s="1"/>
  <c r="T59" i="24"/>
  <c r="R59" i="24"/>
  <c r="L8" i="20"/>
  <c r="R28" i="20"/>
  <c r="R48" i="20"/>
  <c r="L48" i="20" s="1"/>
  <c r="V15" i="20"/>
  <c r="V35" i="20" s="1"/>
  <c r="X54" i="20"/>
  <c r="X34" i="20"/>
  <c r="AA34" i="20"/>
  <c r="AA21" i="20"/>
  <c r="X21" i="20"/>
  <c r="X41" i="20" s="1"/>
  <c r="X55" i="20"/>
  <c r="P5" i="20"/>
  <c r="P25" i="20" s="1"/>
  <c r="L15" i="20"/>
  <c r="L35" i="20" s="1"/>
  <c r="V59" i="24"/>
  <c r="H31" i="20"/>
  <c r="L10" i="20"/>
  <c r="L30" i="20" s="1"/>
  <c r="AB33" i="20"/>
  <c r="F27" i="20"/>
  <c r="D7" i="20"/>
  <c r="D27" i="20" s="1"/>
  <c r="O62" i="20"/>
  <c r="AB55" i="20"/>
  <c r="O48" i="20"/>
  <c r="M48" i="20" s="1"/>
  <c r="H46" i="20"/>
  <c r="G36" i="20"/>
  <c r="G56" i="20"/>
  <c r="F53" i="20"/>
  <c r="F33" i="20"/>
  <c r="Z50" i="20"/>
  <c r="Z60" i="20" s="1"/>
  <c r="Z30" i="20"/>
  <c r="C11" i="20"/>
  <c r="E31" i="20"/>
  <c r="BD38" i="23"/>
  <c r="Q51" i="20"/>
  <c r="Q31" i="20"/>
  <c r="F49" i="20"/>
  <c r="F60" i="20" s="1"/>
  <c r="F29" i="20"/>
  <c r="C16" i="20"/>
  <c r="C36" i="20" s="1"/>
  <c r="E56" i="20"/>
  <c r="E22" i="20"/>
  <c r="E42" i="20" s="1"/>
  <c r="E36" i="20"/>
  <c r="O5" i="20"/>
  <c r="O25" i="20" s="1"/>
  <c r="F35" i="20"/>
  <c r="F55" i="20"/>
  <c r="D55" i="20" s="1"/>
  <c r="I49" i="20"/>
  <c r="I60" i="20" s="1"/>
  <c r="I20" i="20"/>
  <c r="I40" i="20" s="1"/>
  <c r="H50" i="20"/>
  <c r="H30" i="20"/>
  <c r="P51" i="20"/>
  <c r="L51" i="20" s="1"/>
  <c r="L11" i="20"/>
  <c r="L31" i="20" s="1"/>
  <c r="P31" i="20"/>
  <c r="R53" i="20"/>
  <c r="L13" i="20"/>
  <c r="L33" i="20" s="1"/>
  <c r="BA35" i="23" a="1"/>
  <c r="BB35" i="23" s="1"/>
  <c r="R21" i="20"/>
  <c r="R41" i="20" s="1"/>
  <c r="O19" i="20"/>
  <c r="O39" i="20" s="1"/>
  <c r="I29" i="20"/>
  <c r="Y28" i="20"/>
  <c r="Y19" i="20"/>
  <c r="Y39" i="20" s="1"/>
  <c r="P56" i="20"/>
  <c r="P36" i="20"/>
  <c r="S29" i="20"/>
  <c r="S49" i="20"/>
  <c r="M9" i="20"/>
  <c r="M29" i="20" s="1"/>
  <c r="X26" i="20"/>
  <c r="X46" i="20"/>
  <c r="H20" i="20"/>
  <c r="H40" i="20" s="1"/>
  <c r="Z22" i="20"/>
  <c r="Z42" i="20" s="1"/>
  <c r="G34" i="20"/>
  <c r="BA2" i="19" s="1"/>
  <c r="P55" i="20"/>
  <c r="R30" i="11" a="1"/>
  <c r="Q59" i="24"/>
  <c r="W20" i="20"/>
  <c r="G21" i="20"/>
  <c r="G41" i="20" s="1"/>
  <c r="J29" i="20"/>
  <c r="F20" i="20"/>
  <c r="F40" i="20" s="1"/>
  <c r="Q20" i="20"/>
  <c r="Q40" i="20" s="1"/>
  <c r="H37" i="24"/>
  <c r="I37" i="24"/>
  <c r="M37" i="24"/>
  <c r="K37" i="24"/>
  <c r="W35" i="20"/>
  <c r="D15" i="20"/>
  <c r="D35" i="20" s="1"/>
  <c r="Z27" i="20"/>
  <c r="V7" i="20"/>
  <c r="V27" i="20" s="1"/>
  <c r="H47" i="20"/>
  <c r="D47" i="20" s="1"/>
  <c r="H27" i="20"/>
  <c r="S21" i="20"/>
  <c r="S41" i="20" s="1"/>
  <c r="S32" i="20"/>
  <c r="V10" i="20"/>
  <c r="V30" i="20" s="1"/>
  <c r="X50" i="20"/>
  <c r="H34" i="20"/>
  <c r="BJ2" i="19" s="1"/>
  <c r="H54" i="20"/>
  <c r="U47" i="20"/>
  <c r="AA57" i="20"/>
  <c r="R62" i="20"/>
  <c r="V47" i="20"/>
  <c r="CX57" i="23"/>
  <c r="U34" i="26"/>
  <c r="U88" i="26" s="1"/>
  <c r="G60" i="20"/>
  <c r="BN52" i="10"/>
  <c r="BT52" i="10" s="1"/>
  <c r="Z55" i="12"/>
  <c r="Z69" i="12" s="1"/>
  <c r="BB32" i="10"/>
  <c r="AL12" i="10"/>
  <c r="AL14" i="10" s="1"/>
  <c r="AZ12" i="10"/>
  <c r="D22" i="2"/>
  <c r="D42" i="2" s="1"/>
  <c r="D37" i="2"/>
  <c r="CE16" i="16"/>
  <c r="AO13" i="10"/>
  <c r="AO14" i="10" s="1"/>
  <c r="BQ13" i="10"/>
  <c r="BW13" i="10" s="1"/>
  <c r="Z47" i="2"/>
  <c r="N46" i="2"/>
  <c r="P59" i="2"/>
  <c r="Y5" i="10"/>
  <c r="AA33" i="2"/>
  <c r="AA53" i="2"/>
  <c r="AA61" i="2" s="1"/>
  <c r="V392" i="3"/>
  <c r="AA35" i="2"/>
  <c r="V394" i="3"/>
  <c r="AA22" i="2"/>
  <c r="AA42" i="2" s="1"/>
  <c r="AA55" i="2"/>
  <c r="AA5" i="10"/>
  <c r="AZ9" i="10"/>
  <c r="BC26" i="23"/>
  <c r="BA6" i="23"/>
  <c r="BB6" i="23"/>
  <c r="AF55" i="12"/>
  <c r="AO57" i="10"/>
  <c r="AG45" i="10"/>
  <c r="S6" i="12"/>
  <c r="AC76" i="10"/>
  <c r="AQ76" i="10" s="1"/>
  <c r="AC77" i="10"/>
  <c r="AQ77" i="10" s="1"/>
  <c r="AA5" i="2"/>
  <c r="R45" i="10"/>
  <c r="R61" i="10" s="1"/>
  <c r="R28" i="10"/>
  <c r="N47" i="2"/>
  <c r="CE27" i="16"/>
  <c r="AA24" i="10"/>
  <c r="BZ39" i="16"/>
  <c r="AJ34" i="10"/>
  <c r="M30" i="24"/>
  <c r="H30" i="24"/>
  <c r="C56" i="2"/>
  <c r="C62" i="2" s="1"/>
  <c r="I62" i="2"/>
  <c r="D57" i="2"/>
  <c r="AX26" i="10"/>
  <c r="V44" i="10"/>
  <c r="Y32" i="10"/>
  <c r="T59" i="2"/>
  <c r="T45" i="2"/>
  <c r="BI5" i="23"/>
  <c r="BI26" i="23" s="1"/>
  <c r="CW26" i="23" s="1"/>
  <c r="CO5" i="23"/>
  <c r="X14" i="10"/>
  <c r="H68" i="24"/>
  <c r="CC36" i="16"/>
  <c r="BA31" i="10"/>
  <c r="AM31" i="10"/>
  <c r="K48" i="2"/>
  <c r="C48" i="2" s="1"/>
  <c r="K19" i="2"/>
  <c r="K39" i="2" s="1"/>
  <c r="J387" i="3"/>
  <c r="C8" i="2"/>
  <c r="K5" i="2"/>
  <c r="BV19" i="16"/>
  <c r="R18" i="10"/>
  <c r="AT18" i="10" s="1"/>
  <c r="CQ5" i="23"/>
  <c r="BA26" i="23"/>
  <c r="BA7" i="23"/>
  <c r="BC7" i="23"/>
  <c r="BD5" i="23"/>
  <c r="DL4" i="23"/>
  <c r="R69" i="12"/>
  <c r="S61" i="10"/>
  <c r="M68" i="24"/>
  <c r="S28" i="10"/>
  <c r="AU27" i="10"/>
  <c r="BB12" i="10"/>
  <c r="AN12" i="10"/>
  <c r="BR30" i="4"/>
  <c r="AN8" i="10"/>
  <c r="BP8" i="10"/>
  <c r="BV8" i="10" s="1"/>
  <c r="CD11" i="16"/>
  <c r="AB9" i="12"/>
  <c r="AP9" i="12" s="1"/>
  <c r="BD18" i="10"/>
  <c r="BD79" i="10" s="1"/>
  <c r="AC71" i="10"/>
  <c r="AQ71" i="10" s="1"/>
  <c r="CD28" i="16"/>
  <c r="AD54" i="2"/>
  <c r="AD61" i="2" s="1"/>
  <c r="AM23" i="10"/>
  <c r="AB21" i="2"/>
  <c r="AB41" i="2" s="1"/>
  <c r="W53" i="10"/>
  <c r="AB5" i="2"/>
  <c r="D49" i="2"/>
  <c r="AJ31" i="10"/>
  <c r="V32" i="10"/>
  <c r="D51" i="2"/>
  <c r="BO31" i="10"/>
  <c r="BU31" i="10" s="1"/>
  <c r="CB31" i="16"/>
  <c r="CB33" i="16" s="1"/>
  <c r="CB76" i="16" s="1"/>
  <c r="AZ26" i="10"/>
  <c r="X44" i="10"/>
  <c r="CA39" i="16"/>
  <c r="AY34" i="10"/>
  <c r="O391" i="3"/>
  <c r="R32" i="2"/>
  <c r="AB403" i="3"/>
  <c r="Z8" i="2"/>
  <c r="Z28" i="2" s="1"/>
  <c r="F410" i="3"/>
  <c r="H22" i="2"/>
  <c r="H42" i="2" s="1"/>
  <c r="H55" i="2"/>
  <c r="H62" i="2" s="1"/>
  <c r="Q19" i="2"/>
  <c r="Q39" i="2" s="1"/>
  <c r="M402" i="3"/>
  <c r="S22" i="10"/>
  <c r="S40" i="10" s="1"/>
  <c r="Q27" i="2"/>
  <c r="H27" i="2"/>
  <c r="H19" i="2"/>
  <c r="H39" i="2" s="1"/>
  <c r="F402" i="3"/>
  <c r="F413" i="3" s="1"/>
  <c r="AH49" i="2"/>
  <c r="AB404" i="3"/>
  <c r="AH29" i="2"/>
  <c r="U35" i="10"/>
  <c r="BO35" i="10" s="1"/>
  <c r="Z412" i="3"/>
  <c r="AF37" i="2"/>
  <c r="AF22" i="2"/>
  <c r="Z17" i="2"/>
  <c r="Z37" i="2" s="1"/>
  <c r="J407" i="3"/>
  <c r="L52" i="2"/>
  <c r="L21" i="2"/>
  <c r="L41" i="2" s="1"/>
  <c r="L32" i="2"/>
  <c r="V4" i="10"/>
  <c r="P30" i="2"/>
  <c r="Q405" i="3"/>
  <c r="U20" i="2"/>
  <c r="U40" i="2" s="1"/>
  <c r="U50" i="2"/>
  <c r="U30" i="2"/>
  <c r="AK27" i="10"/>
  <c r="CG31" i="16"/>
  <c r="BE26" i="10"/>
  <c r="BX39" i="16"/>
  <c r="BX103" i="16" s="1"/>
  <c r="T36" i="10"/>
  <c r="AH34" i="10"/>
  <c r="AH36" i="10" s="1"/>
  <c r="W44" i="10"/>
  <c r="AK44" i="10" s="1"/>
  <c r="AK26" i="10"/>
  <c r="AK28" i="10" s="1"/>
  <c r="R48" i="10"/>
  <c r="AF30" i="10"/>
  <c r="AF32" i="10" s="1"/>
  <c r="AT30" i="10"/>
  <c r="AG53" i="2"/>
  <c r="AG33" i="2"/>
  <c r="Y17" i="10"/>
  <c r="Y53" i="10" s="1"/>
  <c r="R4" i="10"/>
  <c r="P5" i="2"/>
  <c r="U21" i="2"/>
  <c r="U41" i="2" s="1"/>
  <c r="U34" i="2"/>
  <c r="Z26" i="10"/>
  <c r="I49" i="2"/>
  <c r="H388" i="3"/>
  <c r="F386" i="3"/>
  <c r="G27" i="2"/>
  <c r="AF20" i="2"/>
  <c r="AF40" i="2" s="1"/>
  <c r="U27" i="10"/>
  <c r="AD22" i="2"/>
  <c r="Z16" i="2"/>
  <c r="AD36" i="2"/>
  <c r="AB31" i="10"/>
  <c r="AD56" i="2"/>
  <c r="X411" i="3"/>
  <c r="H409" i="3"/>
  <c r="D14" i="2"/>
  <c r="D34" i="2" s="1"/>
  <c r="AC57" i="2"/>
  <c r="AC62" i="2" s="1"/>
  <c r="Y17" i="2"/>
  <c r="Y37" i="2" s="1"/>
  <c r="J21" i="2"/>
  <c r="J41" i="2" s="1"/>
  <c r="J53" i="2"/>
  <c r="J45" i="2" s="1"/>
  <c r="V256" i="3"/>
  <c r="BN9" i="10"/>
  <c r="BT9" i="10" s="1"/>
  <c r="AI10" i="10"/>
  <c r="AA36" i="2"/>
  <c r="Y16" i="2"/>
  <c r="Y36" i="2" s="1"/>
  <c r="Q51" i="2"/>
  <c r="O51" i="2" s="1"/>
  <c r="T6" i="10"/>
  <c r="AG14" i="2"/>
  <c r="AG21" i="2" s="1"/>
  <c r="AG41" i="2" s="1"/>
  <c r="T61" i="2"/>
  <c r="AB5" i="10"/>
  <c r="AY23" i="10"/>
  <c r="W22" i="10"/>
  <c r="AK22" i="10" s="1"/>
  <c r="AK24" i="10" s="1"/>
  <c r="L29" i="2"/>
  <c r="AB386" i="3"/>
  <c r="K9" i="24"/>
  <c r="M406" i="3"/>
  <c r="S61" i="2"/>
  <c r="U256" i="3"/>
  <c r="U4" i="3" s="1"/>
  <c r="BU4" i="19"/>
  <c r="BJ6" i="19"/>
  <c r="BJ3" i="19" s="1"/>
  <c r="AW2" i="19"/>
  <c r="AG2" i="19"/>
  <c r="BA4" i="19"/>
  <c r="BJ4" i="19"/>
  <c r="CD6" i="19"/>
  <c r="CD3" i="19" s="1"/>
  <c r="BF2" i="19"/>
  <c r="AG6" i="19"/>
  <c r="AG3" i="19" s="1"/>
  <c r="AG5" i="19" s="1"/>
  <c r="BA6" i="19"/>
  <c r="BA3" i="19" s="1"/>
  <c r="AC2" i="19"/>
  <c r="BZ2" i="19"/>
  <c r="CD2" i="19"/>
  <c r="AP4" i="19"/>
  <c r="CD4" i="19"/>
  <c r="Z32" i="20"/>
  <c r="Z21" i="20"/>
  <c r="Z41" i="20" s="1"/>
  <c r="G48" i="20"/>
  <c r="G5" i="20"/>
  <c r="G19" i="20"/>
  <c r="G39" i="20" s="1"/>
  <c r="G28" i="20"/>
  <c r="F56" i="20"/>
  <c r="F36" i="20"/>
  <c r="D16" i="20"/>
  <c r="F22" i="20"/>
  <c r="F42" i="20" s="1"/>
  <c r="R27" i="20"/>
  <c r="R19" i="20"/>
  <c r="R39" i="20" s="1"/>
  <c r="R5" i="20"/>
  <c r="R25" i="20" s="1"/>
  <c r="F46" i="20"/>
  <c r="F26" i="20"/>
  <c r="F19" i="20"/>
  <c r="F39" i="20" s="1"/>
  <c r="D6" i="20"/>
  <c r="F5" i="20"/>
  <c r="AA30" i="20"/>
  <c r="AA50" i="20"/>
  <c r="U10" i="20"/>
  <c r="U30" i="20" s="1"/>
  <c r="O409" i="21"/>
  <c r="O413" i="21" s="1"/>
  <c r="O4" i="21"/>
  <c r="CP55" i="23"/>
  <c r="DJ55" i="23"/>
  <c r="BE55" i="23"/>
  <c r="DI57" i="23"/>
  <c r="BE57" i="23"/>
  <c r="CO57" i="23"/>
  <c r="S57" i="20"/>
  <c r="S22" i="20"/>
  <c r="S42" i="20" s="1"/>
  <c r="S37" i="20"/>
  <c r="M17" i="20"/>
  <c r="M37" i="20" s="1"/>
  <c r="R47" i="20"/>
  <c r="I47" i="20"/>
  <c r="I27" i="20"/>
  <c r="I19" i="20"/>
  <c r="I39" i="20" s="1"/>
  <c r="I5" i="20"/>
  <c r="X31" i="20"/>
  <c r="X51" i="20"/>
  <c r="V11" i="20"/>
  <c r="V31" i="20" s="1"/>
  <c r="X20" i="20"/>
  <c r="X40" i="20" s="1"/>
  <c r="R49" i="20"/>
  <c r="R20" i="20"/>
  <c r="R40" i="20" s="1"/>
  <c r="R29" i="20"/>
  <c r="L9" i="20"/>
  <c r="N54" i="20"/>
  <c r="L54" i="20" s="1"/>
  <c r="L14" i="20"/>
  <c r="L34" i="20" s="1"/>
  <c r="N34" i="20"/>
  <c r="N32" i="20"/>
  <c r="L12" i="20"/>
  <c r="N52" i="20"/>
  <c r="N21" i="20"/>
  <c r="N41" i="20" s="1"/>
  <c r="N5" i="20"/>
  <c r="N25" i="20" s="1"/>
  <c r="R5" i="11" a="1"/>
  <c r="I39" i="24"/>
  <c r="H39" i="24"/>
  <c r="M39" i="24"/>
  <c r="K39" i="24"/>
  <c r="F57" i="24"/>
  <c r="F36" i="24"/>
  <c r="H36" i="20"/>
  <c r="H5" i="20"/>
  <c r="H22" i="20"/>
  <c r="H42" i="20" s="1"/>
  <c r="Q55" i="20"/>
  <c r="Q35" i="20"/>
  <c r="Q22" i="20"/>
  <c r="Q42" i="20" s="1"/>
  <c r="M15" i="20"/>
  <c r="I54" i="20"/>
  <c r="BU6" i="19" s="1"/>
  <c r="BU3" i="19" s="1"/>
  <c r="BQ2" i="19"/>
  <c r="I34" i="20"/>
  <c r="BU2" i="19" s="1"/>
  <c r="I21" i="20"/>
  <c r="I41" i="20" s="1"/>
  <c r="E62" i="20"/>
  <c r="AA19" i="20"/>
  <c r="AA48" i="20"/>
  <c r="AA5" i="20"/>
  <c r="R26" i="11" a="1"/>
  <c r="AA28" i="20"/>
  <c r="U8" i="20"/>
  <c r="U28" i="20" s="1"/>
  <c r="E26" i="20"/>
  <c r="E19" i="20"/>
  <c r="E39" i="20" s="1"/>
  <c r="C6" i="20"/>
  <c r="E46" i="20"/>
  <c r="O61" i="20"/>
  <c r="E5" i="20"/>
  <c r="E50" i="20"/>
  <c r="C50" i="20" s="1"/>
  <c r="E20" i="20"/>
  <c r="E40" i="20" s="1"/>
  <c r="C10" i="20"/>
  <c r="E30" i="20"/>
  <c r="I22" i="20"/>
  <c r="I42" i="20" s="1"/>
  <c r="I57" i="20"/>
  <c r="C57" i="20" s="1"/>
  <c r="I37" i="20"/>
  <c r="C17" i="20"/>
  <c r="F54" i="20"/>
  <c r="AL2" i="19"/>
  <c r="F21" i="20"/>
  <c r="F41" i="20" s="1"/>
  <c r="F34" i="20"/>
  <c r="AP2" i="19" s="1"/>
  <c r="D14" i="20"/>
  <c r="AB36" i="20"/>
  <c r="V16" i="20"/>
  <c r="AB56" i="20"/>
  <c r="AB62" i="20" s="1"/>
  <c r="AB22" i="20"/>
  <c r="AB42" i="20" s="1"/>
  <c r="R50" i="11" a="1"/>
  <c r="S50" i="20"/>
  <c r="S5" i="20"/>
  <c r="M10" i="20"/>
  <c r="S20" i="20"/>
  <c r="S40" i="20" s="1"/>
  <c r="K409" i="21"/>
  <c r="K413" i="21" s="1"/>
  <c r="K4" i="21"/>
  <c r="BA36" i="23" a="1"/>
  <c r="C14" i="20"/>
  <c r="C34" i="20" s="1"/>
  <c r="S30" i="20"/>
  <c r="U50" i="20"/>
  <c r="H56" i="20"/>
  <c r="H62" i="20" s="1"/>
  <c r="D49" i="20"/>
  <c r="J60" i="20"/>
  <c r="K56" i="24"/>
  <c r="I56" i="24"/>
  <c r="M56" i="24"/>
  <c r="X60" i="20"/>
  <c r="C33" i="20"/>
  <c r="D52" i="20"/>
  <c r="M38" i="24"/>
  <c r="H38" i="24"/>
  <c r="I38" i="24"/>
  <c r="M56" i="20"/>
  <c r="N27" i="20"/>
  <c r="N47" i="20"/>
  <c r="L7" i="20"/>
  <c r="S31" i="20"/>
  <c r="S51" i="20"/>
  <c r="M51" i="20" s="1"/>
  <c r="M7" i="20"/>
  <c r="M27" i="20" s="1"/>
  <c r="O47" i="20"/>
  <c r="M47" i="20" s="1"/>
  <c r="Y51" i="20"/>
  <c r="U51" i="20" s="1"/>
  <c r="Y31" i="20"/>
  <c r="Y20" i="20"/>
  <c r="Y40" i="20" s="1"/>
  <c r="C7" i="20"/>
  <c r="C27" i="20" s="1"/>
  <c r="E47" i="20"/>
  <c r="E27" i="20"/>
  <c r="S33" i="20"/>
  <c r="S53" i="20"/>
  <c r="F30" i="20"/>
  <c r="D10" i="20"/>
  <c r="P27" i="20"/>
  <c r="P47" i="20"/>
  <c r="R9" i="11" a="1"/>
  <c r="Y14" i="20"/>
  <c r="S256" i="21"/>
  <c r="DK55" i="23"/>
  <c r="CQ55" i="23"/>
  <c r="Y48" i="20"/>
  <c r="AA57" i="24"/>
  <c r="Z57" i="24"/>
  <c r="M40" i="24"/>
  <c r="K40" i="24"/>
  <c r="I40" i="24"/>
  <c r="H40" i="24"/>
  <c r="F58" i="24"/>
  <c r="C56" i="20"/>
  <c r="Q21" i="20"/>
  <c r="Q41" i="20" s="1"/>
  <c r="Q52" i="20"/>
  <c r="M12" i="20"/>
  <c r="L16" i="20"/>
  <c r="N56" i="20"/>
  <c r="X37" i="20"/>
  <c r="X57" i="20"/>
  <c r="E48" i="20"/>
  <c r="C8" i="20"/>
  <c r="C28" i="20" s="1"/>
  <c r="E28" i="20"/>
  <c r="G53" i="20"/>
  <c r="G33" i="20"/>
  <c r="O50" i="20"/>
  <c r="O30" i="20"/>
  <c r="Q28" i="20"/>
  <c r="R34" i="11" a="1"/>
  <c r="M8" i="20"/>
  <c r="M28" i="20" s="1"/>
  <c r="D17" i="20"/>
  <c r="D37" i="20" s="1"/>
  <c r="J22" i="20"/>
  <c r="J42" i="20" s="1"/>
  <c r="J57" i="20"/>
  <c r="J62" i="20" s="1"/>
  <c r="U9" i="20"/>
  <c r="AA20" i="20"/>
  <c r="AA40" i="20" s="1"/>
  <c r="AA49" i="20"/>
  <c r="P50" i="20"/>
  <c r="P20" i="20"/>
  <c r="P40" i="20" s="1"/>
  <c r="M11" i="20"/>
  <c r="M31" i="20" s="1"/>
  <c r="X27" i="20"/>
  <c r="H48" i="20"/>
  <c r="H19" i="20"/>
  <c r="H39" i="20" s="1"/>
  <c r="Q53" i="20"/>
  <c r="M53" i="20" s="1"/>
  <c r="M13" i="20"/>
  <c r="M33" i="20" s="1"/>
  <c r="M6" i="20"/>
  <c r="Q5" i="20"/>
  <c r="Q25" i="20" s="1"/>
  <c r="W49" i="20"/>
  <c r="Z36" i="20"/>
  <c r="Z56" i="20"/>
  <c r="K393" i="21"/>
  <c r="K397" i="21" s="1"/>
  <c r="J4" i="21"/>
  <c r="AB14" i="20"/>
  <c r="V256" i="21"/>
  <c r="BA66" i="23"/>
  <c r="DI66" i="23" s="1"/>
  <c r="S35" i="20"/>
  <c r="S55" i="20"/>
  <c r="AB48" i="20"/>
  <c r="U6" i="20"/>
  <c r="W46" i="20"/>
  <c r="W26" i="20"/>
  <c r="H53" i="20"/>
  <c r="H33" i="20"/>
  <c r="R25" i="11" a="1"/>
  <c r="S34" i="20"/>
  <c r="M14" i="20"/>
  <c r="M34" i="20" s="1"/>
  <c r="S54" i="20"/>
  <c r="M54" i="20" s="1"/>
  <c r="AB50" i="20"/>
  <c r="AB60" i="20" s="1"/>
  <c r="AB30" i="20"/>
  <c r="P22" i="20"/>
  <c r="P42" i="20" s="1"/>
  <c r="P28" i="20"/>
  <c r="O22" i="20"/>
  <c r="O42" i="20" s="1"/>
  <c r="R22" i="20"/>
  <c r="R42" i="20" s="1"/>
  <c r="J53" i="20"/>
  <c r="N19" i="20"/>
  <c r="N39" i="20" s="1"/>
  <c r="H409" i="21"/>
  <c r="H413" i="21" s="1"/>
  <c r="H4" i="21"/>
  <c r="W36" i="20"/>
  <c r="W56" i="20"/>
  <c r="Q49" i="20"/>
  <c r="Q29" i="20"/>
  <c r="D409" i="21"/>
  <c r="D413" i="21" s="1"/>
  <c r="D4" i="21"/>
  <c r="BV13" i="16"/>
  <c r="BV52" i="16" s="1"/>
  <c r="BV53" i="16" s="1"/>
  <c r="Z63" i="10"/>
  <c r="BB48" i="10"/>
  <c r="AN48" i="10"/>
  <c r="BP48" i="10" s="1"/>
  <c r="BZ95" i="16"/>
  <c r="T77" i="10"/>
  <c r="AH77" i="10" s="1"/>
  <c r="T76" i="10"/>
  <c r="AH76" i="10" s="1"/>
  <c r="AX17" i="10"/>
  <c r="BZ20" i="16"/>
  <c r="N26" i="2"/>
  <c r="R10" i="10"/>
  <c r="BN8" i="10"/>
  <c r="BN10" i="10" s="1"/>
  <c r="AF8" i="10"/>
  <c r="BV95" i="16"/>
  <c r="AK30" i="10"/>
  <c r="BO30" i="10"/>
  <c r="AT8" i="10"/>
  <c r="O46" i="2"/>
  <c r="Q59" i="2"/>
  <c r="AH16" i="10"/>
  <c r="AV16" i="10"/>
  <c r="T52" i="10"/>
  <c r="AY44" i="10"/>
  <c r="W60" i="10"/>
  <c r="P61" i="2"/>
  <c r="CD39" i="16"/>
  <c r="AN34" i="10"/>
  <c r="Z52" i="10"/>
  <c r="AQ12" i="10"/>
  <c r="AQ14" i="10" s="1"/>
  <c r="CG15" i="16"/>
  <c r="AU30" i="10"/>
  <c r="AG30" i="10"/>
  <c r="S48" i="10"/>
  <c r="AG8" i="10"/>
  <c r="AG10" i="10" s="1"/>
  <c r="BW11" i="16"/>
  <c r="S10" i="10"/>
  <c r="S74" i="10" s="1"/>
  <c r="AG74" i="10" s="1"/>
  <c r="AU8" i="10"/>
  <c r="BX11" i="16"/>
  <c r="BX95" i="16" s="1"/>
  <c r="AV8" i="10"/>
  <c r="T44" i="10"/>
  <c r="AZ16" i="10"/>
  <c r="CB19" i="16"/>
  <c r="BX16" i="16"/>
  <c r="AH13" i="10"/>
  <c r="AH14" i="10" s="1"/>
  <c r="AV13" i="10"/>
  <c r="BW20" i="16"/>
  <c r="BW104" i="16" s="1"/>
  <c r="AU17" i="10"/>
  <c r="AL18" i="10"/>
  <c r="BD23" i="10"/>
  <c r="AP23" i="10"/>
  <c r="AU26" i="10"/>
  <c r="S44" i="10"/>
  <c r="BW27" i="16"/>
  <c r="AT26" i="10"/>
  <c r="R44" i="10"/>
  <c r="BO23" i="10"/>
  <c r="BZ28" i="16"/>
  <c r="BZ29" i="16" s="1"/>
  <c r="BZ75" i="16" s="1"/>
  <c r="V24" i="10"/>
  <c r="T62" i="2"/>
  <c r="AT34" i="10"/>
  <c r="BV39" i="16"/>
  <c r="AV48" i="10"/>
  <c r="U73" i="10"/>
  <c r="AI73" i="10" s="1"/>
  <c r="U74" i="10"/>
  <c r="AI74" i="10" s="1"/>
  <c r="AW10" i="10"/>
  <c r="AW73" i="10" s="1"/>
  <c r="CE7" i="16"/>
  <c r="CE91" i="16" s="1"/>
  <c r="BQ4" i="10"/>
  <c r="AO4" i="10"/>
  <c r="AP4" i="10"/>
  <c r="CF7" i="16"/>
  <c r="AJ35" i="10"/>
  <c r="AJ36" i="10" s="1"/>
  <c r="BZ7" i="16"/>
  <c r="CG35" i="16"/>
  <c r="BE30" i="10"/>
  <c r="AC48" i="10"/>
  <c r="AQ30" i="10"/>
  <c r="AI31" i="10"/>
  <c r="AI32" i="10" s="1"/>
  <c r="U49" i="10"/>
  <c r="X392" i="3"/>
  <c r="Y13" i="10"/>
  <c r="BA13" i="10" s="1"/>
  <c r="AC33" i="2"/>
  <c r="S32" i="2"/>
  <c r="X30" i="10"/>
  <c r="S21" i="2"/>
  <c r="S41" i="2" s="1"/>
  <c r="S5" i="2"/>
  <c r="Q402" i="3"/>
  <c r="U27" i="2"/>
  <c r="U5" i="2"/>
  <c r="V55" i="2"/>
  <c r="AA16" i="10"/>
  <c r="AA18" i="10" s="1"/>
  <c r="AJ13" i="10"/>
  <c r="AH31" i="10"/>
  <c r="AC53" i="2"/>
  <c r="CE17" i="16"/>
  <c r="CE58" i="16" s="1"/>
  <c r="CE61" i="16" s="1"/>
  <c r="CE62" i="16" s="1"/>
  <c r="V35" i="2"/>
  <c r="V22" i="2"/>
  <c r="V42" i="2" s="1"/>
  <c r="AP18" i="10"/>
  <c r="BY36" i="16"/>
  <c r="BY37" i="16" s="1"/>
  <c r="BY77" i="16" s="1"/>
  <c r="AK31" i="10"/>
  <c r="S14" i="10"/>
  <c r="BW15" i="16"/>
  <c r="AJ12" i="10"/>
  <c r="V48" i="10"/>
  <c r="CB11" i="16"/>
  <c r="AZ8" i="10"/>
  <c r="CA31" i="16"/>
  <c r="AY26" i="10"/>
  <c r="T40" i="10"/>
  <c r="T24" i="10"/>
  <c r="BX27" i="16"/>
  <c r="AB33" i="2"/>
  <c r="Z13" i="2"/>
  <c r="Z33" i="2" s="1"/>
  <c r="CD35" i="16"/>
  <c r="CD99" i="16" s="1"/>
  <c r="BB30" i="10"/>
  <c r="AY22" i="10"/>
  <c r="BP34" i="10"/>
  <c r="BA34" i="10"/>
  <c r="R5" i="2"/>
  <c r="N8" i="2"/>
  <c r="N28" i="2" s="1"/>
  <c r="R59" i="2"/>
  <c r="AM30" i="10"/>
  <c r="AM32" i="10" s="1"/>
  <c r="AI27" i="10"/>
  <c r="AX16" i="10"/>
  <c r="AL26" i="10"/>
  <c r="S31" i="2"/>
  <c r="AO27" i="10"/>
  <c r="CE32" i="16"/>
  <c r="AA45" i="10"/>
  <c r="BC45" i="10" s="1"/>
  <c r="AO34" i="10"/>
  <c r="CE39" i="16"/>
  <c r="AG35" i="10"/>
  <c r="AU35" i="10"/>
  <c r="M385" i="3"/>
  <c r="P26" i="2"/>
  <c r="Q409" i="3"/>
  <c r="U54" i="2"/>
  <c r="AC26" i="2"/>
  <c r="AC46" i="2"/>
  <c r="AC59" i="2" s="1"/>
  <c r="BY28" i="16"/>
  <c r="AW23" i="10"/>
  <c r="O406" i="3"/>
  <c r="T60" i="2"/>
  <c r="BY31" i="16"/>
  <c r="AI26" i="10"/>
  <c r="U44" i="10"/>
  <c r="AW26" i="10"/>
  <c r="Y22" i="10"/>
  <c r="M408" i="3"/>
  <c r="Q54" i="2"/>
  <c r="Z22" i="10"/>
  <c r="Q34" i="2"/>
  <c r="O16" i="2"/>
  <c r="AB22" i="10"/>
  <c r="AF55" i="2"/>
  <c r="Z410" i="3"/>
  <c r="AF35" i="2"/>
  <c r="AC20" i="2"/>
  <c r="AC40" i="2" s="1"/>
  <c r="X390" i="3"/>
  <c r="Z387" i="3"/>
  <c r="AE28" i="2"/>
  <c r="Y8" i="2"/>
  <c r="Y12" i="10"/>
  <c r="R53" i="2"/>
  <c r="W29" i="2"/>
  <c r="U34" i="10"/>
  <c r="W53" i="2"/>
  <c r="W61" i="2" s="1"/>
  <c r="W33" i="2"/>
  <c r="Q57" i="2"/>
  <c r="M412" i="3"/>
  <c r="O17" i="2"/>
  <c r="O37" i="2" s="1"/>
  <c r="AC22" i="10"/>
  <c r="AC9" i="10"/>
  <c r="Z396" i="3"/>
  <c r="AE22" i="2"/>
  <c r="AE42" i="2" s="1"/>
  <c r="AE59" i="2"/>
  <c r="AF57" i="2"/>
  <c r="S411" i="3"/>
  <c r="S413" i="3" s="1"/>
  <c r="W56" i="2"/>
  <c r="V37" i="2"/>
  <c r="V57" i="2"/>
  <c r="N57" i="2" s="1"/>
  <c r="AC16" i="10"/>
  <c r="S396" i="3"/>
  <c r="U19" i="2"/>
  <c r="U39" i="2" s="1"/>
  <c r="U26" i="2"/>
  <c r="AB12" i="10"/>
  <c r="N16" i="2"/>
  <c r="N36" i="2" s="1"/>
  <c r="N15" i="2"/>
  <c r="AI12" i="10"/>
  <c r="AV23" i="10"/>
  <c r="AH23" i="10"/>
  <c r="AH24" i="10" s="1"/>
  <c r="AB31" i="2"/>
  <c r="AB51" i="2"/>
  <c r="Z51" i="2" s="1"/>
  <c r="Y256" i="3"/>
  <c r="AE14" i="2"/>
  <c r="N10" i="2"/>
  <c r="P50" i="2"/>
  <c r="O11" i="2"/>
  <c r="O48" i="2"/>
  <c r="AG49" i="2"/>
  <c r="AG60" i="2" s="1"/>
  <c r="U17" i="10"/>
  <c r="Z10" i="2"/>
  <c r="Z30" i="2" s="1"/>
  <c r="V27" i="10"/>
  <c r="AC14" i="2"/>
  <c r="AC5" i="2" s="1"/>
  <c r="AD59" i="2"/>
  <c r="T17" i="10"/>
  <c r="T18" i="10" s="1"/>
  <c r="T79" i="10" s="1"/>
  <c r="AH79" i="10" s="1"/>
  <c r="AB387" i="3"/>
  <c r="DJ26" i="23"/>
  <c r="CP26" i="23"/>
  <c r="BA25" i="23"/>
  <c r="BI4" i="23"/>
  <c r="DI4" i="23"/>
  <c r="DI26" i="23"/>
  <c r="BA27" i="23"/>
  <c r="DL7" i="23"/>
  <c r="DK7" i="23"/>
  <c r="CP5" i="23"/>
  <c r="CO26" i="23"/>
  <c r="BB7" i="23"/>
  <c r="O7" i="24"/>
  <c r="BC17" i="10"/>
  <c r="CE20" i="16"/>
  <c r="AO17" i="10"/>
  <c r="DJ5" i="23"/>
  <c r="BB4" i="23"/>
  <c r="O6" i="24" s="1"/>
  <c r="BC4" i="23"/>
  <c r="AU6" i="12"/>
  <c r="BB31" i="10"/>
  <c r="AN31" i="10"/>
  <c r="AN32" i="10" s="1"/>
  <c r="CD36" i="16"/>
  <c r="AV45" i="10"/>
  <c r="AH45" i="10"/>
  <c r="Z26" i="2"/>
  <c r="AU5" i="10"/>
  <c r="AU71" i="10" s="1"/>
  <c r="S71" i="10"/>
  <c r="AG71" i="10" s="1"/>
  <c r="BN5" i="10"/>
  <c r="AG5" i="10"/>
  <c r="AG6" i="10" s="1"/>
  <c r="CE29" i="16"/>
  <c r="AU23" i="10"/>
  <c r="BW28" i="16"/>
  <c r="AG23" i="10"/>
  <c r="S24" i="10"/>
  <c r="S41" i="10"/>
  <c r="D50" i="2"/>
  <c r="BX32" i="16"/>
  <c r="AH27" i="10"/>
  <c r="T28" i="10"/>
  <c r="AV27" i="10"/>
  <c r="BN27" i="10"/>
  <c r="Y46" i="2"/>
  <c r="F389" i="3"/>
  <c r="G50" i="2"/>
  <c r="C50" i="2" s="1"/>
  <c r="G20" i="2"/>
  <c r="G40" i="2" s="1"/>
  <c r="G30" i="2"/>
  <c r="G5" i="2"/>
  <c r="C10" i="2"/>
  <c r="CY4" i="4"/>
  <c r="BG29" i="4"/>
  <c r="BG2" i="4"/>
  <c r="CL29" i="4"/>
  <c r="AX2" i="4"/>
  <c r="CA29" i="4"/>
  <c r="CP4" i="4"/>
  <c r="AD29" i="4"/>
  <c r="BV2" i="4"/>
  <c r="BR2" i="4"/>
  <c r="CE4" i="4"/>
  <c r="BK4" i="4"/>
  <c r="B2" i="20"/>
  <c r="CP6" i="4"/>
  <c r="CP3" i="4" s="1"/>
  <c r="CL2" i="4"/>
  <c r="AX29" i="4"/>
  <c r="CU29" i="4"/>
  <c r="AH2" i="4"/>
  <c r="AH4" i="4"/>
  <c r="AD54" i="4"/>
  <c r="AD2" i="4"/>
  <c r="AG34" i="2"/>
  <c r="AG5" i="2"/>
  <c r="BJ67" i="23"/>
  <c r="CX30" i="23"/>
  <c r="S70" i="10"/>
  <c r="AG70" i="10" s="1"/>
  <c r="BW13" i="16"/>
  <c r="BW96" i="16"/>
  <c r="DM29" i="23"/>
  <c r="BE66" i="23"/>
  <c r="CS29" i="23"/>
  <c r="AE53" i="2"/>
  <c r="Y9" i="10"/>
  <c r="AE33" i="2"/>
  <c r="Y13" i="2"/>
  <c r="Z392" i="3"/>
  <c r="AM35" i="10"/>
  <c r="BA35" i="10"/>
  <c r="CC40" i="16"/>
  <c r="Y36" i="10"/>
  <c r="CW29" i="23"/>
  <c r="BI66" i="23"/>
  <c r="CW66" i="23" s="1"/>
  <c r="R35" i="10"/>
  <c r="AH46" i="2"/>
  <c r="AH26" i="2"/>
  <c r="AH19" i="2"/>
  <c r="AH39" i="2" s="1"/>
  <c r="AG35" i="2"/>
  <c r="AB394" i="3"/>
  <c r="AG55" i="2"/>
  <c r="AG22" i="2"/>
  <c r="AG42" i="2" s="1"/>
  <c r="BD66" i="23"/>
  <c r="DL29" i="23"/>
  <c r="CR29" i="23"/>
  <c r="CQ29" i="23"/>
  <c r="BC66" i="23"/>
  <c r="DK29" i="23"/>
  <c r="BB66" i="23"/>
  <c r="CP29" i="23"/>
  <c r="DJ29" i="23"/>
  <c r="AB256" i="3"/>
  <c r="AH14" i="2"/>
  <c r="Z256" i="3"/>
  <c r="AF14" i="2"/>
  <c r="AC54" i="2"/>
  <c r="AC61" i="2" s="1"/>
  <c r="AA256" i="3"/>
  <c r="AA4" i="3" s="1"/>
  <c r="BZ21" i="16"/>
  <c r="BZ64" i="16" s="1"/>
  <c r="H25" i="2"/>
  <c r="U8" i="4" s="1"/>
  <c r="BW8" i="16"/>
  <c r="Z55" i="2"/>
  <c r="AM54" i="4"/>
  <c r="AV9" i="10"/>
  <c r="AH9" i="10"/>
  <c r="AH10" i="10" s="1"/>
  <c r="BX12" i="16"/>
  <c r="T10" i="10"/>
  <c r="T74" i="10" s="1"/>
  <c r="AH74" i="10" s="1"/>
  <c r="Y15" i="2"/>
  <c r="AG6" i="12"/>
  <c r="Z17" i="10"/>
  <c r="D46" i="2"/>
  <c r="BU23" i="10"/>
  <c r="BD67" i="10"/>
  <c r="C28" i="2"/>
  <c r="AJ17" i="10"/>
  <c r="AJ18" i="10" s="1"/>
  <c r="V18" i="10"/>
  <c r="C49" i="2"/>
  <c r="C60" i="2" s="1"/>
  <c r="CB16" i="16"/>
  <c r="CB17" i="16" s="1"/>
  <c r="AZ13" i="10"/>
  <c r="X77" i="10"/>
  <c r="AL77" i="10" s="1"/>
  <c r="BX9" i="16"/>
  <c r="F65" i="24"/>
  <c r="K28" i="24"/>
  <c r="I28" i="24"/>
  <c r="AC45" i="10"/>
  <c r="CG32" i="16"/>
  <c r="AC28" i="10"/>
  <c r="BE27" i="10"/>
  <c r="AQ27" i="10"/>
  <c r="AQ28" i="10" s="1"/>
  <c r="BQ27" i="10"/>
  <c r="BW36" i="16"/>
  <c r="S49" i="10"/>
  <c r="AG31" i="10"/>
  <c r="S32" i="10"/>
  <c r="AU31" i="10"/>
  <c r="AI5" i="10"/>
  <c r="U41" i="10"/>
  <c r="AW5" i="10"/>
  <c r="U6" i="10"/>
  <c r="X53" i="10"/>
  <c r="AZ35" i="10"/>
  <c r="AL35" i="10"/>
  <c r="AL36" i="10" s="1"/>
  <c r="X36" i="10"/>
  <c r="J62" i="2"/>
  <c r="R9" i="12"/>
  <c r="AA61" i="10"/>
  <c r="M8" i="24"/>
  <c r="I8" i="24"/>
  <c r="F29" i="24"/>
  <c r="H8" i="24"/>
  <c r="K8" i="24"/>
  <c r="F5" i="24"/>
  <c r="AH60" i="2"/>
  <c r="Z50" i="2"/>
  <c r="BY40" i="16"/>
  <c r="AW35" i="10"/>
  <c r="AD62" i="2"/>
  <c r="BA17" i="10"/>
  <c r="BV20" i="16"/>
  <c r="AF17" i="10"/>
  <c r="AT17" i="10"/>
  <c r="AT80" i="10" s="1"/>
  <c r="AY17" i="10"/>
  <c r="CA20" i="16"/>
  <c r="AF9" i="10"/>
  <c r="AT9" i="10"/>
  <c r="AL27" i="10"/>
  <c r="AZ27" i="10"/>
  <c r="X28" i="10"/>
  <c r="K6" i="24"/>
  <c r="I6" i="24"/>
  <c r="F27" i="24"/>
  <c r="CA16" i="16"/>
  <c r="V31" i="24"/>
  <c r="Q31" i="24"/>
  <c r="O68" i="24"/>
  <c r="Y49" i="10"/>
  <c r="AX13" i="10"/>
  <c r="V14" i="10"/>
  <c r="Y48" i="2"/>
  <c r="AA14" i="10"/>
  <c r="BC13" i="10"/>
  <c r="AA49" i="10"/>
  <c r="T49" i="10"/>
  <c r="AV31" i="10"/>
  <c r="BY16" i="16"/>
  <c r="AI13" i="10"/>
  <c r="CF40" i="16"/>
  <c r="BD35" i="10"/>
  <c r="I59" i="2"/>
  <c r="I19" i="2"/>
  <c r="I39" i="2" s="1"/>
  <c r="I27" i="2"/>
  <c r="AE26" i="2"/>
  <c r="Z385" i="3"/>
  <c r="W9" i="10"/>
  <c r="Z390" i="3"/>
  <c r="AE51" i="2"/>
  <c r="Y11" i="2"/>
  <c r="Y31" i="2" s="1"/>
  <c r="AO31" i="10"/>
  <c r="CE36" i="16"/>
  <c r="BC31" i="10"/>
  <c r="BZ36" i="16"/>
  <c r="AX31" i="10"/>
  <c r="U32" i="10"/>
  <c r="AW31" i="10"/>
  <c r="F390" i="3"/>
  <c r="G31" i="2"/>
  <c r="AA30" i="2"/>
  <c r="AA50" i="2"/>
  <c r="V5" i="10"/>
  <c r="H406" i="3"/>
  <c r="J31" i="2"/>
  <c r="H54" i="2"/>
  <c r="BK6" i="4" s="1"/>
  <c r="BK3" i="4" s="1"/>
  <c r="H34" i="2"/>
  <c r="BK2" i="4" s="1"/>
  <c r="E32" i="2"/>
  <c r="E52" i="2"/>
  <c r="E21" i="2"/>
  <c r="E41" i="2" s="1"/>
  <c r="J60" i="2"/>
  <c r="R13" i="10"/>
  <c r="D390" i="3"/>
  <c r="AC19" i="2"/>
  <c r="AC39" i="2" s="1"/>
  <c r="BX40" i="16"/>
  <c r="AV35" i="10"/>
  <c r="E20" i="2"/>
  <c r="E40" i="2" s="1"/>
  <c r="D12" i="2"/>
  <c r="H52" i="2"/>
  <c r="F47" i="2"/>
  <c r="D47" i="2" s="1"/>
  <c r="D402" i="3"/>
  <c r="F27" i="2"/>
  <c r="D386" i="3"/>
  <c r="C7" i="2"/>
  <c r="F53" i="2"/>
  <c r="C6" i="2"/>
  <c r="E46" i="2"/>
  <c r="V401" i="3"/>
  <c r="R23" i="10"/>
  <c r="AB46" i="2"/>
  <c r="AB19" i="2"/>
  <c r="AB39" i="2" s="1"/>
  <c r="AB26" i="2"/>
  <c r="C14" i="2"/>
  <c r="D393" i="3"/>
  <c r="AB57" i="2"/>
  <c r="AB62" i="2" s="1"/>
  <c r="AC23" i="10"/>
  <c r="AB22" i="2"/>
  <c r="AB42" i="2" s="1"/>
  <c r="AB408" i="3"/>
  <c r="AH53" i="2"/>
  <c r="Z9" i="2"/>
  <c r="Z404" i="3"/>
  <c r="AF49" i="2"/>
  <c r="Y9" i="2"/>
  <c r="AC49" i="2"/>
  <c r="K53" i="2"/>
  <c r="K33" i="2"/>
  <c r="J392" i="3"/>
  <c r="D9" i="2"/>
  <c r="F29" i="2"/>
  <c r="W5" i="10"/>
  <c r="AA51" i="2"/>
  <c r="AD20" i="2"/>
  <c r="AD40" i="2" s="1"/>
  <c r="X406" i="3"/>
  <c r="AF52" i="2"/>
  <c r="Z407" i="3"/>
  <c r="D410" i="3"/>
  <c r="F55" i="2"/>
  <c r="K21" i="2"/>
  <c r="K41" i="2" s="1"/>
  <c r="K62" i="2"/>
  <c r="D8" i="2"/>
  <c r="D28" i="2" s="1"/>
  <c r="D403" i="3"/>
  <c r="AF19" i="2"/>
  <c r="AF39" i="2" s="1"/>
  <c r="K27" i="2"/>
  <c r="J386" i="3"/>
  <c r="Z15" i="2"/>
  <c r="AD35" i="2"/>
  <c r="X407" i="3"/>
  <c r="X31" i="10"/>
  <c r="AD32" i="2"/>
  <c r="AB412" i="3"/>
  <c r="AH57" i="2"/>
  <c r="AC35" i="10"/>
  <c r="W256" i="3"/>
  <c r="W4" i="3" s="1"/>
  <c r="CQ30" i="23"/>
  <c r="DK30" i="23"/>
  <c r="L54" i="2"/>
  <c r="CY6" i="4" s="1"/>
  <c r="CY3" i="4" s="1"/>
  <c r="CY5" i="4" s="1"/>
  <c r="J409" i="3"/>
  <c r="AE20" i="2"/>
  <c r="AE40" i="2" s="1"/>
  <c r="Z388" i="3"/>
  <c r="AM2" i="4"/>
  <c r="B2" i="2"/>
  <c r="AQ6" i="4"/>
  <c r="AQ3" i="4" s="1"/>
  <c r="BV4" i="4"/>
  <c r="CE6" i="4"/>
  <c r="CE3" i="4" s="1"/>
  <c r="AQ4" i="4"/>
  <c r="BG54" i="4"/>
  <c r="AH6" i="4"/>
  <c r="AH3" i="4" s="1"/>
  <c r="CA2" i="4"/>
  <c r="BR29" i="4"/>
  <c r="BB2" i="4"/>
  <c r="AM29" i="4"/>
  <c r="BV6" i="4"/>
  <c r="BV3" i="4" s="1"/>
  <c r="CU2" i="4"/>
  <c r="CE2" i="4"/>
  <c r="AQ2" i="4"/>
  <c r="CY2" i="4"/>
  <c r="BB4" i="4"/>
  <c r="Z28" i="20" l="1"/>
  <c r="V20" i="20"/>
  <c r="V40" i="20" s="1"/>
  <c r="BZ3" i="19"/>
  <c r="V12" i="20"/>
  <c r="V32" i="20" s="1"/>
  <c r="I68" i="24"/>
  <c r="BC38" i="23"/>
  <c r="O40" i="24" s="1"/>
  <c r="O58" i="24" s="1"/>
  <c r="BB38" i="23"/>
  <c r="BI38" i="23"/>
  <c r="CW38" i="23" s="1"/>
  <c r="P41" i="20"/>
  <c r="Q62" i="20"/>
  <c r="BA35" i="23"/>
  <c r="BC35" i="23"/>
  <c r="DK35" i="23" s="1"/>
  <c r="W21" i="20"/>
  <c r="Z61" i="20"/>
  <c r="V53" i="20"/>
  <c r="AA60" i="20"/>
  <c r="C49" i="20"/>
  <c r="C60" i="20" s="1"/>
  <c r="BD35" i="23"/>
  <c r="DL35" i="23" s="1"/>
  <c r="W54" i="20"/>
  <c r="L53" i="20"/>
  <c r="AK49" i="10"/>
  <c r="W64" i="10"/>
  <c r="BO12" i="10"/>
  <c r="BU12" i="10" s="1"/>
  <c r="AW12" i="10"/>
  <c r="U14" i="10"/>
  <c r="BO13" i="10"/>
  <c r="AO45" i="10"/>
  <c r="AU10" i="10"/>
  <c r="AU73" i="10" s="1"/>
  <c r="BY15" i="16"/>
  <c r="BY99" i="16" s="1"/>
  <c r="O413" i="3"/>
  <c r="CA27" i="16"/>
  <c r="CA29" i="16" s="1"/>
  <c r="CB95" i="16"/>
  <c r="AO35" i="10"/>
  <c r="AD30" i="10"/>
  <c r="BW95" i="16"/>
  <c r="CA35" i="16"/>
  <c r="Q60" i="2"/>
  <c r="BN30" i="10"/>
  <c r="CA32" i="16"/>
  <c r="CA33" i="16" s="1"/>
  <c r="CA76" i="16" s="1"/>
  <c r="BO4" i="10"/>
  <c r="BU4" i="10" s="1"/>
  <c r="CR28" i="23"/>
  <c r="W55" i="12"/>
  <c r="W69" i="12" s="1"/>
  <c r="T32" i="10"/>
  <c r="T55" i="12" s="1"/>
  <c r="W77" i="10"/>
  <c r="AD60" i="2"/>
  <c r="Y52" i="2"/>
  <c r="CC37" i="16"/>
  <c r="CC77" i="16" s="1"/>
  <c r="CF31" i="16"/>
  <c r="CF33" i="16" s="1"/>
  <c r="CF76" i="16" s="1"/>
  <c r="AB28" i="10"/>
  <c r="BD26" i="10"/>
  <c r="AP26" i="10"/>
  <c r="AP28" i="10" s="1"/>
  <c r="AG34" i="10"/>
  <c r="AG36" i="10" s="1"/>
  <c r="AU34" i="10"/>
  <c r="AW7" i="12"/>
  <c r="AI7" i="12"/>
  <c r="U48" i="10"/>
  <c r="AO26" i="10"/>
  <c r="CE31" i="16"/>
  <c r="AA28" i="10"/>
  <c r="CU30" i="4"/>
  <c r="W25" i="2"/>
  <c r="W33" i="4" s="1"/>
  <c r="BC30" i="10"/>
  <c r="AO30" i="10"/>
  <c r="AO32" i="10" s="1"/>
  <c r="AO38" i="10" s="1"/>
  <c r="AA48" i="10"/>
  <c r="CE35" i="16"/>
  <c r="CE99" i="16" s="1"/>
  <c r="BQ17" i="10"/>
  <c r="BB55" i="12"/>
  <c r="BO27" i="10"/>
  <c r="AO28" i="10"/>
  <c r="AK32" i="10"/>
  <c r="AH32" i="10"/>
  <c r="AQ17" i="10"/>
  <c r="CD103" i="16"/>
  <c r="AA44" i="10"/>
  <c r="W48" i="10"/>
  <c r="AY48" i="10" s="1"/>
  <c r="Z56" i="2"/>
  <c r="CB28" i="16"/>
  <c r="AZ23" i="10"/>
  <c r="J61" i="2"/>
  <c r="AA32" i="10"/>
  <c r="AW4" i="10"/>
  <c r="V52" i="10"/>
  <c r="AX34" i="10"/>
  <c r="BV32" i="16"/>
  <c r="AF27" i="10"/>
  <c r="AF28" i="10" s="1"/>
  <c r="BC8" i="10"/>
  <c r="CE11" i="16"/>
  <c r="AO8" i="10"/>
  <c r="BZ15" i="16"/>
  <c r="AX12" i="10"/>
  <c r="W14" i="10"/>
  <c r="AK12" i="10"/>
  <c r="AY12" i="10"/>
  <c r="CA15" i="16"/>
  <c r="W59" i="2"/>
  <c r="T8" i="12"/>
  <c r="AV14" i="10"/>
  <c r="AV76" i="10" s="1"/>
  <c r="AN23" i="10"/>
  <c r="BB23" i="10"/>
  <c r="AM36" i="10"/>
  <c r="CF39" i="16"/>
  <c r="AB52" i="10"/>
  <c r="BD34" i="10"/>
  <c r="AP34" i="10"/>
  <c r="AP36" i="10" s="1"/>
  <c r="CE40" i="16"/>
  <c r="BC35" i="10"/>
  <c r="AA36" i="10"/>
  <c r="BB6" i="4"/>
  <c r="BB3" i="4" s="1"/>
  <c r="V413" i="3"/>
  <c r="AB36" i="10"/>
  <c r="BD36" i="10" s="1"/>
  <c r="AB60" i="2"/>
  <c r="AK13" i="10"/>
  <c r="AE5" i="2"/>
  <c r="AH62" i="2"/>
  <c r="Y51" i="2"/>
  <c r="BO5" i="10"/>
  <c r="AY13" i="10"/>
  <c r="AI6" i="10"/>
  <c r="BD9" i="12"/>
  <c r="AT45" i="10"/>
  <c r="AE62" i="2"/>
  <c r="M397" i="3"/>
  <c r="CG20" i="16"/>
  <c r="AK16" i="10"/>
  <c r="AK18" i="10" s="1"/>
  <c r="T63" i="10"/>
  <c r="AV77" i="10"/>
  <c r="P62" i="2"/>
  <c r="AY30" i="10"/>
  <c r="W28" i="10"/>
  <c r="AN5" i="10"/>
  <c r="AN6" i="10" s="1"/>
  <c r="BY7" i="16"/>
  <c r="BY9" i="16" s="1"/>
  <c r="BY46" i="16" s="1"/>
  <c r="BY47" i="16" s="1"/>
  <c r="BY49" i="16" s="1"/>
  <c r="BY50" i="16" s="1"/>
  <c r="AV30" i="10"/>
  <c r="BQ26" i="10"/>
  <c r="AG26" i="10"/>
  <c r="AG28" i="10" s="1"/>
  <c r="BW31" i="16"/>
  <c r="BW33" i="16" s="1"/>
  <c r="BW76" i="16" s="1"/>
  <c r="BD9" i="10"/>
  <c r="AB45" i="10"/>
  <c r="AP9" i="10"/>
  <c r="CF12" i="16"/>
  <c r="CF96" i="16" s="1"/>
  <c r="BD6" i="23"/>
  <c r="BC6" i="23"/>
  <c r="AL22" i="10"/>
  <c r="X40" i="10"/>
  <c r="CB27" i="16"/>
  <c r="AZ22" i="10"/>
  <c r="W36" i="10"/>
  <c r="AK34" i="10"/>
  <c r="AK36" i="10" s="1"/>
  <c r="AM34" i="10"/>
  <c r="Y52" i="10"/>
  <c r="CC39" i="16"/>
  <c r="CC103" i="16" s="1"/>
  <c r="BE14" i="10"/>
  <c r="AC8" i="12"/>
  <c r="AI42" i="16"/>
  <c r="AH24" i="16"/>
  <c r="AG29" i="16"/>
  <c r="AG33" i="16"/>
  <c r="U25" i="23"/>
  <c r="U62" i="23" s="1"/>
  <c r="AD17" i="10"/>
  <c r="BY29" i="16"/>
  <c r="BY75" i="16" s="1"/>
  <c r="BY82" i="16" s="1"/>
  <c r="C47" i="20"/>
  <c r="C21" i="20"/>
  <c r="C41" i="20" s="1"/>
  <c r="AA25" i="20"/>
  <c r="V4" i="3"/>
  <c r="W42" i="20"/>
  <c r="CK64" i="23"/>
  <c r="DE64" i="23"/>
  <c r="AZ62" i="23"/>
  <c r="DH53" i="23"/>
  <c r="CN53" i="23"/>
  <c r="L65" i="24"/>
  <c r="L26" i="24"/>
  <c r="T67" i="23"/>
  <c r="CV30" i="23"/>
  <c r="BY55" i="23"/>
  <c r="BY64" i="23" s="1"/>
  <c r="BO64" i="23"/>
  <c r="DQ9" i="23"/>
  <c r="CC24" i="23"/>
  <c r="CV12" i="23"/>
  <c r="DR54" i="23"/>
  <c r="BG65" i="23"/>
  <c r="W57" i="20"/>
  <c r="U57" i="20" s="1"/>
  <c r="W82" i="20"/>
  <c r="U77" i="20"/>
  <c r="U37" i="20" s="1"/>
  <c r="W37" i="20"/>
  <c r="CV49" i="23"/>
  <c r="BH52" i="23"/>
  <c r="CV52" i="23" s="1"/>
  <c r="DQ63" i="23"/>
  <c r="D85" i="12"/>
  <c r="P85" i="12" s="1"/>
  <c r="P62" i="12"/>
  <c r="D64" i="12"/>
  <c r="Q62" i="12"/>
  <c r="D70" i="12"/>
  <c r="DR18" i="23"/>
  <c r="AP24" i="23"/>
  <c r="DR24" i="23" s="1"/>
  <c r="U69" i="20"/>
  <c r="U80" i="20" s="1"/>
  <c r="W80" i="20"/>
  <c r="W40" i="20" s="1"/>
  <c r="AP79" i="11"/>
  <c r="BD79" i="11"/>
  <c r="BQ78" i="11"/>
  <c r="BW78" i="11" s="1"/>
  <c r="BW59" i="11"/>
  <c r="BL41" i="10"/>
  <c r="BL58" i="10" s="1"/>
  <c r="G23" i="12"/>
  <c r="G25" i="12" s="1"/>
  <c r="G32" i="12"/>
  <c r="G46" i="12" s="1"/>
  <c r="AV78" i="16"/>
  <c r="AO79" i="16"/>
  <c r="AM24" i="12"/>
  <c r="BA24" i="12"/>
  <c r="X47" i="12"/>
  <c r="AH71" i="12"/>
  <c r="AV71" i="12"/>
  <c r="AF24" i="12"/>
  <c r="AT24" i="12"/>
  <c r="R47" i="12"/>
  <c r="BK70" i="10"/>
  <c r="BK20" i="10"/>
  <c r="BK82" i="10" s="1"/>
  <c r="BK83" i="10" s="1"/>
  <c r="AO85" i="16"/>
  <c r="D53" i="11"/>
  <c r="AO64" i="23"/>
  <c r="BB79" i="11"/>
  <c r="AN79" i="11"/>
  <c r="BU19" i="11"/>
  <c r="BI97" i="11"/>
  <c r="BU97" i="11" s="1"/>
  <c r="BM19" i="11"/>
  <c r="BM97" i="11" s="1"/>
  <c r="BS95" i="11"/>
  <c r="BY14" i="11"/>
  <c r="BK67" i="11"/>
  <c r="BK23" i="11"/>
  <c r="BW23" i="11" s="1"/>
  <c r="BK101" i="11"/>
  <c r="BW101" i="11" s="1"/>
  <c r="BW21" i="11"/>
  <c r="BK71" i="10"/>
  <c r="F22" i="12"/>
  <c r="D31" i="12"/>
  <c r="P8" i="12"/>
  <c r="F10" i="12"/>
  <c r="F21" i="12"/>
  <c r="F25" i="12" s="1"/>
  <c r="BH73" i="10"/>
  <c r="BL10" i="10"/>
  <c r="BL73" i="10" s="1"/>
  <c r="BH20" i="10"/>
  <c r="BH82" i="10" s="1"/>
  <c r="BH83" i="10" s="1"/>
  <c r="K10" i="12"/>
  <c r="K20" i="12"/>
  <c r="K25" i="12" s="1"/>
  <c r="CB34" i="23"/>
  <c r="DP34" i="23" s="1"/>
  <c r="DP35" i="23"/>
  <c r="CB53" i="23"/>
  <c r="DP53" i="23" s="1"/>
  <c r="AS3" i="16"/>
  <c r="BM22" i="16" s="1"/>
  <c r="AM61" i="16"/>
  <c r="AV58" i="16"/>
  <c r="S11" i="16"/>
  <c r="S12" i="16"/>
  <c r="BM94" i="11"/>
  <c r="BS66" i="16"/>
  <c r="BQ66" i="16"/>
  <c r="AF22" i="16"/>
  <c r="AG9" i="16"/>
  <c r="AH7" i="16"/>
  <c r="AH8" i="16"/>
  <c r="AI9" i="16"/>
  <c r="Q22" i="16"/>
  <c r="S4" i="16" s="1"/>
  <c r="S8" i="16"/>
  <c r="S7" i="16"/>
  <c r="CV55" i="23"/>
  <c r="BM44" i="11"/>
  <c r="BY44" i="11" s="1"/>
  <c r="CC52" i="23"/>
  <c r="V5" i="27"/>
  <c r="X3" i="27"/>
  <c r="X5" i="27" s="1"/>
  <c r="BO16" i="10"/>
  <c r="BU16" i="10" s="1"/>
  <c r="CD65" i="23"/>
  <c r="AW33" i="16"/>
  <c r="AX24" i="16"/>
  <c r="AY42" i="16"/>
  <c r="DG65" i="23"/>
  <c r="CM65" i="23"/>
  <c r="S62" i="2"/>
  <c r="AW22" i="10"/>
  <c r="BY27" i="16"/>
  <c r="AI22" i="10"/>
  <c r="AI24" i="10" s="1"/>
  <c r="U40" i="10"/>
  <c r="U24" i="10"/>
  <c r="AZ5" i="10"/>
  <c r="CB8" i="16"/>
  <c r="CB9" i="16" s="1"/>
  <c r="CB46" i="16" s="1"/>
  <c r="CB47" i="16" s="1"/>
  <c r="CB49" i="16" s="1"/>
  <c r="CB50" i="16" s="1"/>
  <c r="AL5" i="10"/>
  <c r="AL6" i="10" s="1"/>
  <c r="AL20" i="10" s="1"/>
  <c r="X6" i="10"/>
  <c r="AB44" i="10"/>
  <c r="BD8" i="10"/>
  <c r="AP8" i="10"/>
  <c r="AP10" i="10" s="1"/>
  <c r="AB10" i="10"/>
  <c r="CF11" i="16"/>
  <c r="BQ8" i="10"/>
  <c r="BW8" i="10" s="1"/>
  <c r="R14" i="24"/>
  <c r="V14" i="24"/>
  <c r="T14" i="24"/>
  <c r="R11" i="24"/>
  <c r="V11" i="24"/>
  <c r="T11" i="24"/>
  <c r="U64" i="24"/>
  <c r="U63" i="24" s="1"/>
  <c r="U26" i="24"/>
  <c r="AC70" i="10"/>
  <c r="AQ70" i="10" s="1"/>
  <c r="BE6" i="10"/>
  <c r="BE70" i="10" s="1"/>
  <c r="AC6" i="12"/>
  <c r="G25" i="23"/>
  <c r="BO4" i="23"/>
  <c r="CI4" i="23"/>
  <c r="E3" i="18"/>
  <c r="E5" i="18" s="1"/>
  <c r="G3" i="23"/>
  <c r="F25" i="23"/>
  <c r="D3" i="18"/>
  <c r="BN4" i="23"/>
  <c r="CH4" i="23"/>
  <c r="F3" i="23"/>
  <c r="DB66" i="23"/>
  <c r="CH66" i="23"/>
  <c r="BM66" i="23"/>
  <c r="BY57" i="23"/>
  <c r="G80" i="12"/>
  <c r="P76" i="12"/>
  <c r="CB26" i="23"/>
  <c r="DP5" i="23"/>
  <c r="CA4" i="23"/>
  <c r="BM3" i="23"/>
  <c r="BM24" i="23" s="1"/>
  <c r="BM25" i="23"/>
  <c r="U82" i="20"/>
  <c r="BO79" i="11"/>
  <c r="BU79" i="11" s="1"/>
  <c r="BU60" i="11"/>
  <c r="S28" i="23"/>
  <c r="CU7" i="23"/>
  <c r="R20" i="24"/>
  <c r="AT12" i="10"/>
  <c r="BV15" i="16"/>
  <c r="BV99" i="16" s="1"/>
  <c r="AF12" i="10"/>
  <c r="BN12" i="10"/>
  <c r="BT12" i="10" s="1"/>
  <c r="X45" i="24"/>
  <c r="AA46" i="24"/>
  <c r="Z46" i="24"/>
  <c r="AC46" i="24"/>
  <c r="Q4" i="23"/>
  <c r="DP27" i="23"/>
  <c r="CB64" i="23"/>
  <c r="DP64" i="23" s="1"/>
  <c r="X66" i="10"/>
  <c r="AZ52" i="10"/>
  <c r="AL52" i="10"/>
  <c r="BR3" i="4"/>
  <c r="I25" i="2"/>
  <c r="V7" i="4" s="1"/>
  <c r="BW26" i="10"/>
  <c r="AS61" i="23"/>
  <c r="DA62" i="23"/>
  <c r="CG62" i="23"/>
  <c r="CG65" i="23"/>
  <c r="DA65" i="23"/>
  <c r="AW65" i="23"/>
  <c r="CK28" i="23"/>
  <c r="DE28" i="23"/>
  <c r="CJ66" i="23"/>
  <c r="DD66" i="23"/>
  <c r="AU61" i="23"/>
  <c r="CI63" i="23"/>
  <c r="DC63" i="23"/>
  <c r="G54" i="24"/>
  <c r="H55" i="24"/>
  <c r="AB26" i="20"/>
  <c r="AB46" i="20"/>
  <c r="AB59" i="20" s="1"/>
  <c r="Z26" i="20"/>
  <c r="Z46" i="20"/>
  <c r="U73" i="20"/>
  <c r="Y81" i="20"/>
  <c r="Y33" i="20"/>
  <c r="Y53" i="20"/>
  <c r="Y65" i="20"/>
  <c r="CB79" i="11"/>
  <c r="AK79" i="11"/>
  <c r="AY79" i="11"/>
  <c r="M60" i="12"/>
  <c r="M53" i="11"/>
  <c r="BX21" i="11"/>
  <c r="BL67" i="11"/>
  <c r="BL23" i="11"/>
  <c r="BX23" i="11" s="1"/>
  <c r="BL101" i="11"/>
  <c r="BX101" i="11" s="1"/>
  <c r="D90" i="12"/>
  <c r="Q28" i="23"/>
  <c r="Q65" i="23" s="1"/>
  <c r="E65" i="23"/>
  <c r="E61" i="23" s="1"/>
  <c r="DO34" i="23"/>
  <c r="O3" i="27"/>
  <c r="O5" i="27" s="1"/>
  <c r="M5" i="27"/>
  <c r="BW19" i="16"/>
  <c r="BW21" i="16" s="1"/>
  <c r="BW64" i="16" s="1"/>
  <c r="BW65" i="16" s="1"/>
  <c r="BW67" i="16" s="1"/>
  <c r="BW68" i="16" s="1"/>
  <c r="BW85" i="16" s="1"/>
  <c r="AU16" i="10"/>
  <c r="AG16" i="10"/>
  <c r="S52" i="10"/>
  <c r="L61" i="2"/>
  <c r="H413" i="3"/>
  <c r="AM17" i="10"/>
  <c r="AM18" i="10" s="1"/>
  <c r="Y18" i="10"/>
  <c r="Y80" i="10" s="1"/>
  <c r="AM80" i="10" s="1"/>
  <c r="AI35" i="10"/>
  <c r="G60" i="2"/>
  <c r="AB4" i="3"/>
  <c r="AF45" i="10"/>
  <c r="O9" i="24"/>
  <c r="V9" i="24" s="1"/>
  <c r="CW5" i="23"/>
  <c r="U36" i="10"/>
  <c r="O54" i="2"/>
  <c r="Z19" i="20"/>
  <c r="Z39" i="20" s="1"/>
  <c r="I62" i="20"/>
  <c r="E60" i="20"/>
  <c r="S25" i="20"/>
  <c r="CQ38" i="23"/>
  <c r="M57" i="20"/>
  <c r="R35" i="11" a="1"/>
  <c r="X35" i="11" s="1"/>
  <c r="CD8" i="16"/>
  <c r="CD9" i="16" s="1"/>
  <c r="CD46" i="16" s="1"/>
  <c r="CR6" i="23"/>
  <c r="AF16" i="10"/>
  <c r="BA30" i="10"/>
  <c r="AA59" i="2"/>
  <c r="N21" i="2"/>
  <c r="N41" i="2" s="1"/>
  <c r="CB12" i="16"/>
  <c r="CB96" i="16" s="1"/>
  <c r="AA62" i="2"/>
  <c r="AA41" i="20"/>
  <c r="Y58" i="26"/>
  <c r="X58" i="26" s="1"/>
  <c r="DH3" i="23"/>
  <c r="CN3" i="23"/>
  <c r="M27" i="23"/>
  <c r="P8" i="24"/>
  <c r="P29" i="24" s="1"/>
  <c r="P66" i="24" s="1"/>
  <c r="U6" i="23"/>
  <c r="U27" i="23" s="1"/>
  <c r="U64" i="23" s="1"/>
  <c r="Q6" i="23"/>
  <c r="Y8" i="24" s="1"/>
  <c r="DH64" i="23"/>
  <c r="CN64" i="23"/>
  <c r="DE34" i="23"/>
  <c r="CK34" i="23"/>
  <c r="AW52" i="23"/>
  <c r="CN34" i="23"/>
  <c r="DH34" i="23"/>
  <c r="AZ52" i="23"/>
  <c r="Z32" i="24"/>
  <c r="Y69" i="24"/>
  <c r="Z69" i="24" s="1"/>
  <c r="AD32" i="24"/>
  <c r="AD69" i="24" s="1"/>
  <c r="AA32" i="24"/>
  <c r="AA69" i="24" s="1"/>
  <c r="T57" i="25"/>
  <c r="AP52" i="23"/>
  <c r="R4" i="21"/>
  <c r="R409" i="21"/>
  <c r="R413" i="21" s="1"/>
  <c r="AB11" i="24"/>
  <c r="AD11" i="24" s="1"/>
  <c r="AD12" i="24"/>
  <c r="AB27" i="24"/>
  <c r="BH66" i="23"/>
  <c r="CV66" i="23" s="1"/>
  <c r="CV57" i="23"/>
  <c r="CC66" i="23"/>
  <c r="DQ66" i="23" s="1"/>
  <c r="DR49" i="23"/>
  <c r="AO39" i="12"/>
  <c r="BC39" i="12"/>
  <c r="M47" i="12"/>
  <c r="AV79" i="11"/>
  <c r="AH79" i="11"/>
  <c r="BU59" i="11"/>
  <c r="BO78" i="11"/>
  <c r="BU78" i="11" s="1"/>
  <c r="BL52" i="10"/>
  <c r="BL66" i="10" s="1"/>
  <c r="AQ49" i="16"/>
  <c r="AQ70" i="16"/>
  <c r="AF39" i="12"/>
  <c r="AT39" i="12"/>
  <c r="F69" i="12"/>
  <c r="P69" i="12" s="1"/>
  <c r="P55" i="12"/>
  <c r="D78" i="12"/>
  <c r="F57" i="12"/>
  <c r="BJ71" i="10"/>
  <c r="BJ20" i="10"/>
  <c r="BJ82" i="10" s="1"/>
  <c r="BJ83" i="10" s="1"/>
  <c r="BJ70" i="10"/>
  <c r="M20" i="12"/>
  <c r="M29" i="12"/>
  <c r="M10" i="12"/>
  <c r="D92" i="12"/>
  <c r="BN66" i="23"/>
  <c r="BY29" i="23"/>
  <c r="BY66" i="23" s="1"/>
  <c r="X85" i="16"/>
  <c r="AF68" i="16"/>
  <c r="X71" i="16"/>
  <c r="D25" i="12"/>
  <c r="AL82" i="11"/>
  <c r="AZ82" i="11"/>
  <c r="BI98" i="11"/>
  <c r="BX63" i="11"/>
  <c r="BR81" i="11"/>
  <c r="BX81" i="11" s="1"/>
  <c r="BP79" i="11"/>
  <c r="BV79" i="11" s="1"/>
  <c r="BV60" i="11"/>
  <c r="BL24" i="10"/>
  <c r="BL38" i="10" s="1"/>
  <c r="BL40" i="10"/>
  <c r="BL57" i="10" s="1"/>
  <c r="I22" i="12"/>
  <c r="G31" i="12"/>
  <c r="G45" i="12" s="1"/>
  <c r="O10" i="12"/>
  <c r="AS53" i="16"/>
  <c r="AV53" i="16" s="1"/>
  <c r="AS55" i="16"/>
  <c r="AV52" i="16"/>
  <c r="AS70" i="16"/>
  <c r="AY21" i="16"/>
  <c r="AX20" i="16"/>
  <c r="BC20" i="16" s="1"/>
  <c r="AW21" i="16"/>
  <c r="AX19" i="16"/>
  <c r="BC19" i="16" s="1"/>
  <c r="S31" i="16"/>
  <c r="R33" i="16"/>
  <c r="AI33" i="16"/>
  <c r="S32" i="16"/>
  <c r="AH12" i="16"/>
  <c r="AG13" i="16"/>
  <c r="AI13" i="16"/>
  <c r="V71" i="12"/>
  <c r="AD63" i="12"/>
  <c r="BF63" i="12" s="1"/>
  <c r="AX63" i="12"/>
  <c r="U86" i="12"/>
  <c r="AJ63" i="12"/>
  <c r="AR63" i="12" s="1"/>
  <c r="BU48" i="11"/>
  <c r="BM48" i="11"/>
  <c r="BY48" i="11" s="1"/>
  <c r="AS15" i="11"/>
  <c r="AS95" i="11" s="1"/>
  <c r="AS59" i="11"/>
  <c r="BI95" i="11"/>
  <c r="BM15" i="11"/>
  <c r="BU15" i="11"/>
  <c r="T84" i="16"/>
  <c r="AF84" i="16" s="1"/>
  <c r="AF62" i="16"/>
  <c r="T71" i="16"/>
  <c r="AF71" i="16" s="1"/>
  <c r="S35" i="16"/>
  <c r="AE23" i="16"/>
  <c r="BA21" i="16"/>
  <c r="BY13" i="11"/>
  <c r="BS59" i="11"/>
  <c r="BM91" i="11"/>
  <c r="G10" i="12"/>
  <c r="BP54" i="16"/>
  <c r="G40" i="12"/>
  <c r="G43" i="12"/>
  <c r="H64" i="12"/>
  <c r="H68" i="12"/>
  <c r="AR68" i="16"/>
  <c r="AR72" i="16"/>
  <c r="AV22" i="16"/>
  <c r="AY9" i="16"/>
  <c r="AW9" i="16"/>
  <c r="U405" i="21"/>
  <c r="U413" i="21" s="1"/>
  <c r="O25" i="23"/>
  <c r="O62" i="23" s="1"/>
  <c r="O61" i="23" s="1"/>
  <c r="O3" i="23"/>
  <c r="O24" i="23" s="1"/>
  <c r="P25" i="23"/>
  <c r="P62" i="23" s="1"/>
  <c r="P61" i="23" s="1"/>
  <c r="P3" i="23"/>
  <c r="P24" i="23" s="1"/>
  <c r="AT61" i="23"/>
  <c r="DB63" i="23"/>
  <c r="CH63" i="23"/>
  <c r="DF65" i="23"/>
  <c r="CL65" i="23"/>
  <c r="AP66" i="23"/>
  <c r="DR66" i="23" s="1"/>
  <c r="DR57" i="23"/>
  <c r="Q401" i="21"/>
  <c r="Q413" i="21" s="1"/>
  <c r="T413" i="21"/>
  <c r="W65" i="20"/>
  <c r="W411" i="3"/>
  <c r="AD82" i="2"/>
  <c r="AD42" i="2" s="1"/>
  <c r="Z76" i="2"/>
  <c r="Z82" i="2" s="1"/>
  <c r="AO3" i="16"/>
  <c r="BI22" i="16" s="1"/>
  <c r="D47" i="12"/>
  <c r="P47" i="12" s="1"/>
  <c r="P39" i="12"/>
  <c r="AY82" i="11"/>
  <c r="AK82" i="11"/>
  <c r="CB82" i="11"/>
  <c r="AQ82" i="11"/>
  <c r="BE82" i="11"/>
  <c r="BJ55" i="11"/>
  <c r="BJ75" i="11" s="1"/>
  <c r="BJ32" i="11"/>
  <c r="BJ53" i="11" s="1"/>
  <c r="P57" i="12"/>
  <c r="P6" i="24"/>
  <c r="E24" i="23"/>
  <c r="CG24" i="23" s="1"/>
  <c r="CG3" i="23"/>
  <c r="I10" i="12"/>
  <c r="P77" i="12"/>
  <c r="CU54" i="23"/>
  <c r="K61" i="23"/>
  <c r="BQ65" i="16"/>
  <c r="BS65" i="16"/>
  <c r="BW41" i="16"/>
  <c r="BW78" i="16" s="1"/>
  <c r="E53" i="11"/>
  <c r="AT82" i="16"/>
  <c r="AT86" i="16" s="1"/>
  <c r="AT71" i="16"/>
  <c r="AT73" i="16" s="1"/>
  <c r="G72" i="12"/>
  <c r="N10" i="12"/>
  <c r="BA79" i="11"/>
  <c r="AM79" i="11"/>
  <c r="CG36" i="16"/>
  <c r="CG100" i="16" s="1"/>
  <c r="BE31" i="10"/>
  <c r="AC32" i="10"/>
  <c r="AC49" i="10"/>
  <c r="AQ31" i="10"/>
  <c r="AQ32" i="10" s="1"/>
  <c r="BH25" i="23"/>
  <c r="BH3" i="23"/>
  <c r="AW62" i="23"/>
  <c r="DE25" i="23"/>
  <c r="CK25" i="23"/>
  <c r="CM26" i="23"/>
  <c r="AY63" i="23"/>
  <c r="DG26" i="23"/>
  <c r="AG4" i="27"/>
  <c r="AG5" i="27" s="1"/>
  <c r="AE5" i="27"/>
  <c r="AB19" i="20"/>
  <c r="W33" i="20"/>
  <c r="U13" i="20"/>
  <c r="U33" i="20" s="1"/>
  <c r="W5" i="20"/>
  <c r="W53" i="20"/>
  <c r="U53" i="20" s="1"/>
  <c r="M65" i="20"/>
  <c r="M79" i="20"/>
  <c r="AF82" i="2"/>
  <c r="AF36" i="2"/>
  <c r="AF65" i="2"/>
  <c r="Y411" i="3"/>
  <c r="Y413" i="3" s="1"/>
  <c r="W409" i="3"/>
  <c r="W413" i="3" s="1"/>
  <c r="AD81" i="2"/>
  <c r="AD41" i="2" s="1"/>
  <c r="Z74" i="2"/>
  <c r="AD65" i="2"/>
  <c r="AD25" i="2" s="1"/>
  <c r="U58" i="4" s="1"/>
  <c r="AD34" i="2"/>
  <c r="AM70" i="16"/>
  <c r="AV70" i="16" s="1"/>
  <c r="AQ79" i="11"/>
  <c r="BE79" i="11"/>
  <c r="AO78" i="11"/>
  <c r="BC78" i="11"/>
  <c r="BY39" i="11"/>
  <c r="BS60" i="11"/>
  <c r="BS40" i="11"/>
  <c r="P32" i="11"/>
  <c r="P53" i="11" s="1"/>
  <c r="S64" i="24"/>
  <c r="S63" i="24" s="1"/>
  <c r="T26" i="23"/>
  <c r="CV5" i="23"/>
  <c r="H6" i="24"/>
  <c r="G27" i="24"/>
  <c r="G5" i="24"/>
  <c r="O65" i="2"/>
  <c r="O34" i="2"/>
  <c r="AY24" i="23"/>
  <c r="Y57" i="26"/>
  <c r="X57" i="26" s="1"/>
  <c r="CM3" i="23"/>
  <c r="DG3" i="23"/>
  <c r="DE53" i="23"/>
  <c r="CK53" i="23"/>
  <c r="AD54" i="24"/>
  <c r="X82" i="24"/>
  <c r="CW30" i="23"/>
  <c r="U67" i="23"/>
  <c r="AP61" i="23"/>
  <c r="CU40" i="23"/>
  <c r="BG52" i="23"/>
  <c r="CU52" i="23" s="1"/>
  <c r="AO24" i="23"/>
  <c r="DQ18" i="23"/>
  <c r="CD52" i="23"/>
  <c r="DR52" i="23" s="1"/>
  <c r="U72" i="20"/>
  <c r="W81" i="20"/>
  <c r="W41" i="20" s="1"/>
  <c r="AO81" i="11"/>
  <c r="BC81" i="11"/>
  <c r="BM40" i="11"/>
  <c r="BM60" i="11"/>
  <c r="BM79" i="11" s="1"/>
  <c r="BK32" i="11"/>
  <c r="BK53" i="11" s="1"/>
  <c r="BK55" i="11"/>
  <c r="BK75" i="11" s="1"/>
  <c r="BU98" i="11"/>
  <c r="S413" i="21"/>
  <c r="AQ3" i="16"/>
  <c r="BK22" i="16" s="1"/>
  <c r="AP79" i="16"/>
  <c r="AP82" i="16"/>
  <c r="AP86" i="16" s="1"/>
  <c r="AQ71" i="12"/>
  <c r="AA94" i="12"/>
  <c r="BE71" i="12"/>
  <c r="AT71" i="12"/>
  <c r="AF71" i="12"/>
  <c r="R94" i="12"/>
  <c r="BY18" i="11"/>
  <c r="BS64" i="11"/>
  <c r="H21" i="12"/>
  <c r="H25" i="12" s="1"/>
  <c r="H10" i="12"/>
  <c r="G30" i="12"/>
  <c r="CV64" i="23"/>
  <c r="D40" i="12"/>
  <c r="P36" i="12"/>
  <c r="BM98" i="11"/>
  <c r="BR97" i="11"/>
  <c r="BX97" i="11" s="1"/>
  <c r="BX19" i="11"/>
  <c r="BR98" i="11"/>
  <c r="BX98" i="11" s="1"/>
  <c r="BU21" i="11"/>
  <c r="BI101" i="11"/>
  <c r="BU101" i="11" s="1"/>
  <c r="BM21" i="11"/>
  <c r="BI23" i="11"/>
  <c r="BL71" i="10"/>
  <c r="J32" i="12"/>
  <c r="J46" i="12" s="1"/>
  <c r="L23" i="12"/>
  <c r="L21" i="12"/>
  <c r="J30" i="12"/>
  <c r="J44" i="12" s="1"/>
  <c r="L10" i="12"/>
  <c r="BA17" i="16"/>
  <c r="AQ67" i="16"/>
  <c r="AV64" i="16"/>
  <c r="AM79" i="16"/>
  <c r="AV75" i="16"/>
  <c r="AV79" i="16" s="1"/>
  <c r="AH16" i="16"/>
  <c r="AI17" i="16"/>
  <c r="AG17" i="16"/>
  <c r="BI67" i="11"/>
  <c r="BJ91" i="11"/>
  <c r="BJ28" i="11"/>
  <c r="BJ106" i="11" s="1"/>
  <c r="BJ107" i="11" s="1"/>
  <c r="J43" i="12"/>
  <c r="X59" i="24"/>
  <c r="AC49" i="24"/>
  <c r="AA49" i="24"/>
  <c r="Z49" i="24"/>
  <c r="V65" i="23"/>
  <c r="AM26" i="10"/>
  <c r="CC31" i="16"/>
  <c r="Y28" i="10"/>
  <c r="Y44" i="10"/>
  <c r="BA26" i="10"/>
  <c r="BA27" i="10"/>
  <c r="AM27" i="10"/>
  <c r="CC32" i="16"/>
  <c r="BC28" i="16"/>
  <c r="BB28" i="16"/>
  <c r="U83" i="16"/>
  <c r="U71" i="16"/>
  <c r="AF56" i="16"/>
  <c r="AI37" i="16"/>
  <c r="AH35" i="16"/>
  <c r="AG37" i="16"/>
  <c r="AH36" i="16"/>
  <c r="Q42" i="16"/>
  <c r="S24" i="16" s="1"/>
  <c r="S28" i="16"/>
  <c r="AI29" i="16"/>
  <c r="R29" i="16"/>
  <c r="BA9" i="16"/>
  <c r="AH15" i="16"/>
  <c r="AK71" i="12"/>
  <c r="AY71" i="12"/>
  <c r="BR79" i="11"/>
  <c r="BX79" i="11" s="1"/>
  <c r="BX60" i="11"/>
  <c r="BW15" i="11"/>
  <c r="BQ95" i="11"/>
  <c r="BS15" i="11"/>
  <c r="BY15" i="11" s="1"/>
  <c r="BM7" i="11"/>
  <c r="BM92" i="11" s="1"/>
  <c r="BI92" i="11"/>
  <c r="BI28" i="11"/>
  <c r="BI91" i="11"/>
  <c r="L63" i="24"/>
  <c r="BA13" i="16"/>
  <c r="BB27" i="16"/>
  <c r="BC27" i="16"/>
  <c r="W52" i="10"/>
  <c r="CA19" i="16"/>
  <c r="X41" i="10"/>
  <c r="X24" i="10"/>
  <c r="DO27" i="23"/>
  <c r="CA64" i="23"/>
  <c r="DO64" i="23" s="1"/>
  <c r="BE67" i="23"/>
  <c r="CS30" i="23"/>
  <c r="DM30" i="23"/>
  <c r="I25" i="23"/>
  <c r="I62" i="23" s="1"/>
  <c r="I3" i="23"/>
  <c r="I24" i="23" s="1"/>
  <c r="D3" i="27"/>
  <c r="CK4" i="23"/>
  <c r="M25" i="23"/>
  <c r="M62" i="23" s="1"/>
  <c r="M3" i="23"/>
  <c r="M24" i="23" s="1"/>
  <c r="CI65" i="23"/>
  <c r="DC65" i="23"/>
  <c r="X28" i="20"/>
  <c r="V8" i="20"/>
  <c r="V28" i="20" s="1"/>
  <c r="X48" i="20"/>
  <c r="X59" i="20" s="1"/>
  <c r="AA33" i="20"/>
  <c r="AA81" i="20"/>
  <c r="L65" i="20"/>
  <c r="L79" i="20"/>
  <c r="U79" i="20"/>
  <c r="AX35" i="16"/>
  <c r="AW37" i="16"/>
  <c r="AY37" i="16"/>
  <c r="AX36" i="16"/>
  <c r="AO49" i="16"/>
  <c r="AO50" i="16" s="1"/>
  <c r="AO70" i="16"/>
  <c r="P24" i="12"/>
  <c r="AV78" i="11"/>
  <c r="AH78" i="11"/>
  <c r="BM95" i="11"/>
  <c r="P61" i="12"/>
  <c r="D84" i="12"/>
  <c r="P84" i="12" s="1"/>
  <c r="Q61" i="12"/>
  <c r="P38" i="12"/>
  <c r="BI104" i="11"/>
  <c r="BM27" i="11"/>
  <c r="AX24" i="12"/>
  <c r="AJ24" i="12"/>
  <c r="S4" i="23"/>
  <c r="BS60" i="16"/>
  <c r="BQ60" i="16"/>
  <c r="P29" i="12"/>
  <c r="BQ59" i="16"/>
  <c r="BS59" i="16"/>
  <c r="BM31" i="11"/>
  <c r="BM56" i="11" s="1"/>
  <c r="BM76" i="11" s="1"/>
  <c r="N25" i="12"/>
  <c r="BL6" i="10"/>
  <c r="CG8" i="16"/>
  <c r="CG9" i="16" s="1"/>
  <c r="CG46" i="16" s="1"/>
  <c r="CG49" i="16" s="1"/>
  <c r="CG50" i="16" s="1"/>
  <c r="AQ5" i="10"/>
  <c r="AQ6" i="10" s="1"/>
  <c r="BE5" i="10"/>
  <c r="BE71" i="10" s="1"/>
  <c r="AX35" i="10"/>
  <c r="BZ40" i="16"/>
  <c r="BZ104" i="16" s="1"/>
  <c r="V6" i="23"/>
  <c r="V27" i="23" s="1"/>
  <c r="V64" i="23" s="1"/>
  <c r="T4" i="21"/>
  <c r="DH24" i="23"/>
  <c r="CN24" i="23"/>
  <c r="AU36" i="10"/>
  <c r="S56" i="12"/>
  <c r="DE3" i="23"/>
  <c r="AW24" i="23"/>
  <c r="Y55" i="26"/>
  <c r="X55" i="26" s="1"/>
  <c r="X63" i="26" s="1"/>
  <c r="F4" i="27"/>
  <c r="D5" i="27"/>
  <c r="CB7" i="23"/>
  <c r="BQ28" i="23"/>
  <c r="BQ65" i="23" s="1"/>
  <c r="CN65" i="23"/>
  <c r="DH65" i="23"/>
  <c r="DM18" i="23"/>
  <c r="CS18" i="23"/>
  <c r="Z35" i="20"/>
  <c r="Z55" i="20"/>
  <c r="Z62" i="20" s="1"/>
  <c r="S45" i="2"/>
  <c r="AM50" i="16"/>
  <c r="AG82" i="11"/>
  <c r="AU82" i="11"/>
  <c r="I60" i="12"/>
  <c r="I53" i="11"/>
  <c r="AG3" i="18"/>
  <c r="AG5" i="18" s="1"/>
  <c r="AD5" i="18"/>
  <c r="CN25" i="23"/>
  <c r="L62" i="23"/>
  <c r="L61" i="23" s="1"/>
  <c r="BM30" i="11"/>
  <c r="I55" i="24"/>
  <c r="Q14" i="24"/>
  <c r="Z52" i="2"/>
  <c r="X45" i="10"/>
  <c r="AZ45" i="10" s="1"/>
  <c r="W18" i="10"/>
  <c r="CC20" i="16"/>
  <c r="CC21" i="16" s="1"/>
  <c r="CC64" i="16" s="1"/>
  <c r="CC65" i="16" s="1"/>
  <c r="CC67" i="16" s="1"/>
  <c r="CC68" i="16" s="1"/>
  <c r="M28" i="24"/>
  <c r="G45" i="2"/>
  <c r="V53" i="10"/>
  <c r="BW9" i="16"/>
  <c r="BW22" i="16" s="1"/>
  <c r="Z4" i="3"/>
  <c r="K59" i="2"/>
  <c r="Z19" i="2"/>
  <c r="Z39" i="2" s="1"/>
  <c r="AN55" i="12"/>
  <c r="CO4" i="23"/>
  <c r="Y4" i="3"/>
  <c r="S397" i="3"/>
  <c r="W62" i="2"/>
  <c r="X10" i="10"/>
  <c r="X73" i="10" s="1"/>
  <c r="AL73" i="10" s="1"/>
  <c r="R52" i="10"/>
  <c r="AF52" i="10" s="1"/>
  <c r="AG22" i="10"/>
  <c r="AG24" i="10" s="1"/>
  <c r="S18" i="10"/>
  <c r="S20" i="10" s="1"/>
  <c r="AU20" i="10" s="1"/>
  <c r="AU82" i="10" s="1"/>
  <c r="AU83" i="10" s="1"/>
  <c r="BN66" i="10"/>
  <c r="BT66" i="10" s="1"/>
  <c r="X19" i="20"/>
  <c r="X39" i="20" s="1"/>
  <c r="C54" i="20"/>
  <c r="AB28" i="20"/>
  <c r="W29" i="20"/>
  <c r="R31" i="11" a="1"/>
  <c r="U31" i="11" s="1"/>
  <c r="Y59" i="20"/>
  <c r="BE38" i="23"/>
  <c r="DM38" i="23" s="1"/>
  <c r="C55" i="20"/>
  <c r="Z5" i="20"/>
  <c r="Z25" i="20" s="1"/>
  <c r="Z36" i="2"/>
  <c r="AF42" i="2"/>
  <c r="O397" i="3"/>
  <c r="C47" i="2"/>
  <c r="Z6" i="10"/>
  <c r="BD25" i="23"/>
  <c r="DL25" i="23" s="1"/>
  <c r="AT16" i="10"/>
  <c r="AT79" i="10" s="1"/>
  <c r="AL23" i="10"/>
  <c r="V46" i="20"/>
  <c r="W52" i="20"/>
  <c r="U52" i="20" s="1"/>
  <c r="V55" i="20"/>
  <c r="R61" i="20"/>
  <c r="X61" i="20"/>
  <c r="L28" i="20"/>
  <c r="U30" i="26"/>
  <c r="U84" i="26" s="1"/>
  <c r="AX61" i="23"/>
  <c r="DF62" i="23"/>
  <c r="J64" i="24"/>
  <c r="J63" i="24" s="1"/>
  <c r="J54" i="24"/>
  <c r="DG25" i="23"/>
  <c r="CM25" i="23"/>
  <c r="AY62" i="23"/>
  <c r="AV61" i="23"/>
  <c r="I23" i="24"/>
  <c r="H23" i="24"/>
  <c r="AE50" i="2"/>
  <c r="Y50" i="2" s="1"/>
  <c r="Z389" i="3"/>
  <c r="V9" i="10"/>
  <c r="AE30" i="2"/>
  <c r="Y10" i="2"/>
  <c r="Y30" i="2" s="1"/>
  <c r="BY52" i="23"/>
  <c r="CU57" i="23"/>
  <c r="BG66" i="23"/>
  <c r="CU66" i="23" s="1"/>
  <c r="AO52" i="23"/>
  <c r="DQ49" i="23"/>
  <c r="AB20" i="24"/>
  <c r="AB29" i="24"/>
  <c r="AB66" i="24" s="1"/>
  <c r="AD21" i="24"/>
  <c r="AC21" i="24"/>
  <c r="CB52" i="23"/>
  <c r="DP52" i="23" s="1"/>
  <c r="DP49" i="23"/>
  <c r="DR34" i="23"/>
  <c r="DP19" i="23"/>
  <c r="CB18" i="23"/>
  <c r="H70" i="12"/>
  <c r="G93" i="12" s="1"/>
  <c r="G85" i="12"/>
  <c r="J53" i="11"/>
  <c r="J60" i="12"/>
  <c r="AO65" i="23"/>
  <c r="DQ65" i="23" s="1"/>
  <c r="DQ28" i="23"/>
  <c r="AS61" i="16"/>
  <c r="AS62" i="16" s="1"/>
  <c r="AS84" i="16" s="1"/>
  <c r="BS63" i="11"/>
  <c r="BY42" i="11"/>
  <c r="E68" i="12"/>
  <c r="E72" i="12" s="1"/>
  <c r="AX40" i="16"/>
  <c r="AW41" i="16"/>
  <c r="AX39" i="16"/>
  <c r="AY41" i="16"/>
  <c r="BS47" i="16"/>
  <c r="BQ47" i="16"/>
  <c r="AP24" i="12"/>
  <c r="BD24" i="12"/>
  <c r="AA47" i="12"/>
  <c r="AL39" i="12"/>
  <c r="AZ39" i="12"/>
  <c r="M17" i="12"/>
  <c r="M21" i="12"/>
  <c r="P14" i="12"/>
  <c r="M37" i="12"/>
  <c r="M44" i="12" s="1"/>
  <c r="BW19" i="11"/>
  <c r="BS19" i="11"/>
  <c r="BS98" i="11" s="1"/>
  <c r="BY98" i="11" s="1"/>
  <c r="BQ97" i="11"/>
  <c r="BW97" i="11" s="1"/>
  <c r="AR16" i="12"/>
  <c r="BL28" i="10"/>
  <c r="BL44" i="10"/>
  <c r="BL60" i="10" s="1"/>
  <c r="D23" i="12"/>
  <c r="P9" i="12"/>
  <c r="D32" i="12"/>
  <c r="D10" i="12"/>
  <c r="D21" i="12"/>
  <c r="P7" i="12"/>
  <c r="D30" i="12"/>
  <c r="AD85" i="11"/>
  <c r="BG85" i="11" s="1"/>
  <c r="BG67" i="11"/>
  <c r="AD16" i="12"/>
  <c r="U39" i="12"/>
  <c r="AW16" i="12"/>
  <c r="AI16" i="12"/>
  <c r="U24" i="12"/>
  <c r="BK104" i="11"/>
  <c r="AG23" i="11"/>
  <c r="AS21" i="11"/>
  <c r="AS23" i="11" s="1"/>
  <c r="BL74" i="10"/>
  <c r="AM3" i="16"/>
  <c r="BG22" i="16" s="1"/>
  <c r="BP53" i="16"/>
  <c r="AI41" i="16"/>
  <c r="AH40" i="16"/>
  <c r="AH39" i="16"/>
  <c r="AG41" i="16"/>
  <c r="BL28" i="11"/>
  <c r="BL106" i="11" s="1"/>
  <c r="BL107" i="11" s="1"/>
  <c r="J25" i="12"/>
  <c r="CS43" i="23"/>
  <c r="BV59" i="11"/>
  <c r="C35" i="2"/>
  <c r="C22" i="2"/>
  <c r="C42" i="2" s="1"/>
  <c r="AA10" i="10"/>
  <c r="AO9" i="10"/>
  <c r="BC9" i="10"/>
  <c r="CE12" i="16"/>
  <c r="CE13" i="16" s="1"/>
  <c r="CE52" i="16" s="1"/>
  <c r="CE55" i="16" s="1"/>
  <c r="CE56" i="16" s="1"/>
  <c r="AK77" i="10"/>
  <c r="AF82" i="16"/>
  <c r="R41" i="16"/>
  <c r="S40" i="16"/>
  <c r="BR94" i="11"/>
  <c r="BX15" i="11"/>
  <c r="BQ94" i="11"/>
  <c r="BJ92" i="11"/>
  <c r="P6" i="12"/>
  <c r="AR82" i="16"/>
  <c r="AJ83" i="16"/>
  <c r="AJ71" i="16"/>
  <c r="U62" i="2"/>
  <c r="AJ30" i="10"/>
  <c r="AJ32" i="10" s="1"/>
  <c r="AX30" i="10"/>
  <c r="BZ35" i="16"/>
  <c r="BZ99" i="16" s="1"/>
  <c r="P17" i="12"/>
  <c r="BP48" i="16"/>
  <c r="BL18" i="10"/>
  <c r="BL79" i="10" s="1"/>
  <c r="U397" i="21"/>
  <c r="AW29" i="16"/>
  <c r="U63" i="23"/>
  <c r="BD30" i="10"/>
  <c r="CF35" i="16"/>
  <c r="AP30" i="10"/>
  <c r="AM30" i="4"/>
  <c r="Q25" i="2"/>
  <c r="T33" i="4" s="1"/>
  <c r="AK8" i="10"/>
  <c r="AY8" i="10"/>
  <c r="CA11" i="16"/>
  <c r="CA95" i="16" s="1"/>
  <c r="BO8" i="10"/>
  <c r="BR8" i="10" s="1"/>
  <c r="BX8" i="10" s="1"/>
  <c r="Z12" i="24"/>
  <c r="X11" i="24"/>
  <c r="AA12" i="24"/>
  <c r="AC12" i="24"/>
  <c r="D43" i="12"/>
  <c r="Y67" i="24"/>
  <c r="AD67" i="24" s="1"/>
  <c r="AD30" i="24"/>
  <c r="AG18" i="10"/>
  <c r="N25" i="23"/>
  <c r="N62" i="23" s="1"/>
  <c r="N61" i="23" s="1"/>
  <c r="N3" i="23"/>
  <c r="N24" i="23" s="1"/>
  <c r="V4" i="23"/>
  <c r="E3" i="27"/>
  <c r="E5" i="27" s="1"/>
  <c r="J3" i="23"/>
  <c r="J25" i="23"/>
  <c r="CL4" i="23"/>
  <c r="H25" i="23"/>
  <c r="H3" i="23"/>
  <c r="BP4" i="23"/>
  <c r="T4" i="23"/>
  <c r="CV4" i="23" s="1"/>
  <c r="C3" i="27"/>
  <c r="CJ4" i="23"/>
  <c r="CK63" i="23"/>
  <c r="DE63" i="23"/>
  <c r="DF66" i="23"/>
  <c r="CL66" i="23"/>
  <c r="CA43" i="23"/>
  <c r="DO47" i="23"/>
  <c r="CA57" i="23"/>
  <c r="AA79" i="20"/>
  <c r="AA39" i="20" s="1"/>
  <c r="AN81" i="11"/>
  <c r="BB81" i="11"/>
  <c r="BI71" i="11"/>
  <c r="BI87" i="11" s="1"/>
  <c r="BI52" i="11"/>
  <c r="BM52" i="11" s="1"/>
  <c r="BM50" i="11"/>
  <c r="BM71" i="11" s="1"/>
  <c r="BM87" i="11" s="1"/>
  <c r="AY17" i="16"/>
  <c r="V33" i="20"/>
  <c r="H28" i="24"/>
  <c r="G65" i="24"/>
  <c r="H65" i="24" s="1"/>
  <c r="AZ18" i="10"/>
  <c r="AZ80" i="10" s="1"/>
  <c r="X9" i="12"/>
  <c r="X80" i="10"/>
  <c r="AL80" i="10" s="1"/>
  <c r="BJ38" i="10"/>
  <c r="BZ16" i="16"/>
  <c r="BZ17" i="16" s="1"/>
  <c r="BZ58" i="16" s="1"/>
  <c r="V49" i="10"/>
  <c r="V25" i="2"/>
  <c r="W32" i="4" s="1"/>
  <c r="CL30" i="4"/>
  <c r="BE8" i="10"/>
  <c r="AQ8" i="10"/>
  <c r="AC44" i="10"/>
  <c r="CG11" i="16"/>
  <c r="CG95" i="16" s="1"/>
  <c r="BX28" i="16"/>
  <c r="BX92" i="16" s="1"/>
  <c r="T41" i="10"/>
  <c r="Q11" i="24"/>
  <c r="R45" i="24"/>
  <c r="T45" i="24"/>
  <c r="V45" i="24"/>
  <c r="CF103" i="16"/>
  <c r="CF21" i="16"/>
  <c r="CF64" i="16" s="1"/>
  <c r="CF67" i="16" s="1"/>
  <c r="CF68" i="16" s="1"/>
  <c r="Z41" i="10"/>
  <c r="BQ4" i="23"/>
  <c r="CV7" i="23"/>
  <c r="BH28" i="23"/>
  <c r="DH66" i="23"/>
  <c r="CN66" i="23"/>
  <c r="Q4" i="21"/>
  <c r="M46" i="20"/>
  <c r="M59" i="20" s="1"/>
  <c r="S59" i="20"/>
  <c r="AB65" i="20"/>
  <c r="V66" i="20"/>
  <c r="AB79" i="20"/>
  <c r="AG69" i="11"/>
  <c r="AS67" i="11"/>
  <c r="AS69" i="11" s="1"/>
  <c r="AJ82" i="11"/>
  <c r="CA82" i="11"/>
  <c r="AX82" i="11"/>
  <c r="BE78" i="11"/>
  <c r="AQ78" i="11"/>
  <c r="BL32" i="11"/>
  <c r="BL53" i="11" s="1"/>
  <c r="BL56" i="11"/>
  <c r="BL76" i="11" s="1"/>
  <c r="E64" i="12"/>
  <c r="BG61" i="23"/>
  <c r="BM28" i="23"/>
  <c r="CA7" i="23"/>
  <c r="BY7" i="23"/>
  <c r="J92" i="12"/>
  <c r="AD7" i="24"/>
  <c r="Y28" i="24"/>
  <c r="I63" i="23"/>
  <c r="Q26" i="23"/>
  <c r="Q63" i="23" s="1"/>
  <c r="AD3" i="4"/>
  <c r="E25" i="2"/>
  <c r="T7" i="4" s="1"/>
  <c r="O33" i="2"/>
  <c r="O21" i="2"/>
  <c r="O41" i="2" s="1"/>
  <c r="Q45" i="24"/>
  <c r="C54" i="2"/>
  <c r="BU5" i="19"/>
  <c r="CO66" i="23"/>
  <c r="J45" i="20"/>
  <c r="M50" i="20"/>
  <c r="V52" i="20"/>
  <c r="AA62" i="20"/>
  <c r="T6" i="11"/>
  <c r="AA6" i="11"/>
  <c r="AC6" i="11"/>
  <c r="Y6" i="11"/>
  <c r="X6" i="11"/>
  <c r="W6" i="11"/>
  <c r="S6" i="11"/>
  <c r="V6" i="11"/>
  <c r="U6" i="11"/>
  <c r="Z6" i="11"/>
  <c r="R6" i="11"/>
  <c r="AB6" i="11"/>
  <c r="C31" i="20"/>
  <c r="U32" i="26"/>
  <c r="U86" i="26" s="1"/>
  <c r="U35" i="20"/>
  <c r="U22" i="20"/>
  <c r="D60" i="20"/>
  <c r="S62" i="20"/>
  <c r="D57" i="20"/>
  <c r="I61" i="20"/>
  <c r="Y60" i="20"/>
  <c r="CO56" i="23"/>
  <c r="S30" i="11"/>
  <c r="Z30" i="11"/>
  <c r="AA30" i="11"/>
  <c r="W30" i="11"/>
  <c r="AB30" i="11"/>
  <c r="R30" i="11"/>
  <c r="T30" i="11"/>
  <c r="Y30" i="11"/>
  <c r="X30" i="11"/>
  <c r="U30" i="11"/>
  <c r="AC30" i="11"/>
  <c r="V30" i="11"/>
  <c r="O59" i="20"/>
  <c r="L55" i="20"/>
  <c r="P62" i="20"/>
  <c r="V26" i="20"/>
  <c r="DK38" i="23"/>
  <c r="H60" i="20"/>
  <c r="D50" i="20"/>
  <c r="CR38" i="23"/>
  <c r="BD56" i="23"/>
  <c r="DL38" i="23"/>
  <c r="BI56" i="23"/>
  <c r="CW56" i="23" s="1"/>
  <c r="CD31" i="16"/>
  <c r="CD95" i="16" s="1"/>
  <c r="BB26" i="10"/>
  <c r="BP26" i="10"/>
  <c r="AN26" i="10"/>
  <c r="Z44" i="10"/>
  <c r="AD26" i="10"/>
  <c r="AT4" i="10"/>
  <c r="R40" i="10"/>
  <c r="AF4" i="10"/>
  <c r="AF6" i="10" s="1"/>
  <c r="BV7" i="16"/>
  <c r="BN4" i="10"/>
  <c r="BT4" i="10" s="1"/>
  <c r="AD4" i="10"/>
  <c r="BF4" i="10" s="1"/>
  <c r="R63" i="10"/>
  <c r="AF48" i="10"/>
  <c r="BH48" i="10" s="1"/>
  <c r="BH63" i="10" s="1"/>
  <c r="AT48" i="10"/>
  <c r="CA41" i="16"/>
  <c r="CA78" i="16" s="1"/>
  <c r="CA103" i="16"/>
  <c r="W67" i="10"/>
  <c r="AK53" i="10"/>
  <c r="AY53" i="10"/>
  <c r="AG61" i="10"/>
  <c r="AU61" i="10"/>
  <c r="BD26" i="23"/>
  <c r="DL5" i="23"/>
  <c r="BJ5" i="23"/>
  <c r="CR5" i="23"/>
  <c r="K25" i="2"/>
  <c r="W7" i="4" s="1"/>
  <c r="CL3" i="4"/>
  <c r="R54" i="12"/>
  <c r="AT28" i="10"/>
  <c r="O8" i="24"/>
  <c r="DI6" i="23"/>
  <c r="BE6" i="23"/>
  <c r="CO6" i="23"/>
  <c r="R6" i="10"/>
  <c r="AK38" i="10"/>
  <c r="AJ14" i="10"/>
  <c r="O53" i="2"/>
  <c r="BZ103" i="16"/>
  <c r="AV6" i="10"/>
  <c r="T70" i="10"/>
  <c r="AH70" i="10" s="1"/>
  <c r="T6" i="12"/>
  <c r="T71" i="10"/>
  <c r="AH71" i="10" s="1"/>
  <c r="AV36" i="10"/>
  <c r="T56" i="12"/>
  <c r="S57" i="10"/>
  <c r="AG40" i="10"/>
  <c r="AU40" i="10"/>
  <c r="AL44" i="10"/>
  <c r="AZ44" i="10"/>
  <c r="X60" i="10"/>
  <c r="AU28" i="10"/>
  <c r="S54" i="12"/>
  <c r="CQ7" i="23"/>
  <c r="BC28" i="23"/>
  <c r="BA32" i="10"/>
  <c r="Y55" i="12"/>
  <c r="AJ44" i="10"/>
  <c r="AX44" i="10"/>
  <c r="V60" i="10"/>
  <c r="AA53" i="12"/>
  <c r="BC24" i="10"/>
  <c r="BD3" i="23"/>
  <c r="F397" i="3"/>
  <c r="AB393" i="3"/>
  <c r="BI6" i="23"/>
  <c r="BI27" i="23" s="1"/>
  <c r="J413" i="3"/>
  <c r="K45" i="2"/>
  <c r="CC16" i="16"/>
  <c r="S7" i="12"/>
  <c r="AU7" i="12" s="1"/>
  <c r="AD45" i="2"/>
  <c r="AG54" i="2"/>
  <c r="AG61" i="2" s="1"/>
  <c r="CL54" i="4"/>
  <c r="AO36" i="10"/>
  <c r="AX4" i="10"/>
  <c r="BN22" i="10"/>
  <c r="W24" i="10"/>
  <c r="BO22" i="10"/>
  <c r="W40" i="10"/>
  <c r="AB32" i="10"/>
  <c r="BQ31" i="10"/>
  <c r="BW31" i="10" s="1"/>
  <c r="BD31" i="10"/>
  <c r="AB49" i="10"/>
  <c r="CF36" i="16"/>
  <c r="AP31" i="10"/>
  <c r="BY32" i="16"/>
  <c r="BY96" i="16" s="1"/>
  <c r="AW27" i="10"/>
  <c r="U28" i="10"/>
  <c r="U45" i="10"/>
  <c r="V55" i="12"/>
  <c r="AX32" i="10"/>
  <c r="AB25" i="2"/>
  <c r="T58" i="4" s="1"/>
  <c r="AM55" i="4"/>
  <c r="CO7" i="23"/>
  <c r="BI7" i="23"/>
  <c r="DI7" i="23"/>
  <c r="BA28" i="23"/>
  <c r="AX36" i="10"/>
  <c r="V56" i="12"/>
  <c r="DK26" i="23"/>
  <c r="CQ26" i="23"/>
  <c r="AP6" i="10"/>
  <c r="BD5" i="10"/>
  <c r="AP5" i="10"/>
  <c r="AB41" i="10"/>
  <c r="O60" i="2"/>
  <c r="U60" i="2"/>
  <c r="O50" i="2"/>
  <c r="AI14" i="10"/>
  <c r="CF8" i="16"/>
  <c r="CF9" i="16" s="1"/>
  <c r="U53" i="10"/>
  <c r="U67" i="10" s="1"/>
  <c r="V40" i="10"/>
  <c r="BD80" i="10"/>
  <c r="J397" i="3"/>
  <c r="AM13" i="10"/>
  <c r="R80" i="10"/>
  <c r="AF80" i="10" s="1"/>
  <c r="R79" i="10"/>
  <c r="AF79" i="10" s="1"/>
  <c r="AY49" i="10"/>
  <c r="S73" i="10"/>
  <c r="AG73" i="10" s="1"/>
  <c r="AC34" i="2"/>
  <c r="D60" i="2"/>
  <c r="D5" i="2"/>
  <c r="D25" i="2" s="1"/>
  <c r="S8" i="4" s="1"/>
  <c r="BA3" i="23"/>
  <c r="DI3" i="23" s="1"/>
  <c r="Y57" i="2"/>
  <c r="AI28" i="10"/>
  <c r="AJ4" i="10"/>
  <c r="AB6" i="10"/>
  <c r="AU22" i="10"/>
  <c r="BN17" i="10"/>
  <c r="BN18" i="10" s="1"/>
  <c r="BT18" i="10" s="1"/>
  <c r="I60" i="2"/>
  <c r="I45" i="2"/>
  <c r="AD30" i="4"/>
  <c r="P25" i="2"/>
  <c r="T32" i="4" s="1"/>
  <c r="AF69" i="12"/>
  <c r="AT69" i="12"/>
  <c r="X76" i="10"/>
  <c r="AL76" i="10" s="1"/>
  <c r="AZ14" i="10"/>
  <c r="AZ76" i="10" s="1"/>
  <c r="X8" i="12"/>
  <c r="BE5" i="23"/>
  <c r="N59" i="2"/>
  <c r="AA25" i="2"/>
  <c r="T57" i="4" s="1"/>
  <c r="AD55" i="4"/>
  <c r="BB27" i="23"/>
  <c r="BJ6" i="23"/>
  <c r="DJ6" i="23"/>
  <c r="CP6" i="23"/>
  <c r="BC5" i="10"/>
  <c r="AA41" i="10"/>
  <c r="CE8" i="16"/>
  <c r="CE92" i="16" s="1"/>
  <c r="AA6" i="10"/>
  <c r="AA71" i="10" s="1"/>
  <c r="AO71" i="10" s="1"/>
  <c r="BQ5" i="10"/>
  <c r="AO5" i="10"/>
  <c r="AO6" i="10" s="1"/>
  <c r="CC8" i="16"/>
  <c r="BA5" i="10"/>
  <c r="Y6" i="10"/>
  <c r="Y71" i="10" s="1"/>
  <c r="AM71" i="10" s="1"/>
  <c r="Y41" i="10"/>
  <c r="BP5" i="10"/>
  <c r="AM5" i="10"/>
  <c r="AM6" i="10" s="1"/>
  <c r="AK55" i="12"/>
  <c r="AY55" i="12"/>
  <c r="BJ5" i="19"/>
  <c r="BA5" i="19"/>
  <c r="CE5" i="4"/>
  <c r="CD5" i="19"/>
  <c r="AQ5" i="4"/>
  <c r="Q61" i="20"/>
  <c r="M52" i="20"/>
  <c r="M61" i="20" s="1"/>
  <c r="T393" i="21"/>
  <c r="T397" i="21" s="1"/>
  <c r="S4" i="21"/>
  <c r="L47" i="20"/>
  <c r="N45" i="20"/>
  <c r="N59" i="20"/>
  <c r="J61" i="20"/>
  <c r="H57" i="24"/>
  <c r="I57" i="24"/>
  <c r="M57" i="24"/>
  <c r="F54" i="24"/>
  <c r="K57" i="24"/>
  <c r="V51" i="20"/>
  <c r="X45" i="20"/>
  <c r="F62" i="20"/>
  <c r="D56" i="20"/>
  <c r="D62" i="20" s="1"/>
  <c r="AA25" i="11"/>
  <c r="Z25" i="11"/>
  <c r="X25" i="11"/>
  <c r="AB25" i="11"/>
  <c r="Y25" i="11"/>
  <c r="W25" i="11"/>
  <c r="S25" i="11"/>
  <c r="R25" i="11"/>
  <c r="T25" i="11"/>
  <c r="V25" i="11"/>
  <c r="AC25" i="11"/>
  <c r="U25" i="11"/>
  <c r="W59" i="20"/>
  <c r="U46" i="20"/>
  <c r="AB54" i="20"/>
  <c r="AB34" i="20"/>
  <c r="AB5" i="20"/>
  <c r="R51" i="11" a="1"/>
  <c r="AB21" i="20"/>
  <c r="AB41" i="20" s="1"/>
  <c r="V14" i="20"/>
  <c r="M26" i="20"/>
  <c r="M5" i="20"/>
  <c r="M25" i="20" s="1"/>
  <c r="M19" i="20"/>
  <c r="M39" i="20" s="1"/>
  <c r="L56" i="20"/>
  <c r="N62" i="20"/>
  <c r="V56" i="20"/>
  <c r="O45" i="20"/>
  <c r="Y34" i="20"/>
  <c r="Y21" i="20"/>
  <c r="Y41" i="20" s="1"/>
  <c r="Y54" i="20"/>
  <c r="Y5" i="20"/>
  <c r="Y25" i="20" s="1"/>
  <c r="U14" i="20"/>
  <c r="D30" i="20"/>
  <c r="D20" i="20"/>
  <c r="D40" i="20" s="1"/>
  <c r="O60" i="20"/>
  <c r="S45" i="20"/>
  <c r="S60" i="20"/>
  <c r="V36" i="20"/>
  <c r="V22" i="20"/>
  <c r="V42" i="20" s="1"/>
  <c r="C30" i="20"/>
  <c r="C20" i="20"/>
  <c r="C40" i="20" s="1"/>
  <c r="E25" i="20"/>
  <c r="T7" i="19" s="1"/>
  <c r="AC3" i="19"/>
  <c r="C19" i="20"/>
  <c r="C39" i="20" s="1"/>
  <c r="C5" i="20"/>
  <c r="C25" i="20" s="1"/>
  <c r="S7" i="19" s="1"/>
  <c r="C26" i="20"/>
  <c r="BF3" i="19"/>
  <c r="H25" i="20"/>
  <c r="U8" i="19" s="1"/>
  <c r="BD53" i="23"/>
  <c r="CR35" i="23"/>
  <c r="Y5" i="11"/>
  <c r="AA5" i="11"/>
  <c r="T5" i="11"/>
  <c r="AB5" i="11"/>
  <c r="AC5" i="11"/>
  <c r="R5" i="11"/>
  <c r="W5" i="11"/>
  <c r="S5" i="11"/>
  <c r="V5" i="11"/>
  <c r="U5" i="11"/>
  <c r="Z5" i="11"/>
  <c r="X5" i="11"/>
  <c r="L32" i="20"/>
  <c r="L21" i="20"/>
  <c r="L41" i="20" s="1"/>
  <c r="R60" i="20"/>
  <c r="L49" i="20"/>
  <c r="BC53" i="23"/>
  <c r="CS55" i="23"/>
  <c r="DM55" i="23"/>
  <c r="AL3" i="19"/>
  <c r="F25" i="20"/>
  <c r="T8" i="19" s="1"/>
  <c r="F59" i="20"/>
  <c r="D46" i="20"/>
  <c r="F45" i="20"/>
  <c r="R35" i="11"/>
  <c r="S35" i="11"/>
  <c r="W35" i="11"/>
  <c r="AA35" i="11"/>
  <c r="V35" i="11"/>
  <c r="Z35" i="11"/>
  <c r="AC31" i="11"/>
  <c r="AB31" i="11"/>
  <c r="Z31" i="11"/>
  <c r="G59" i="20"/>
  <c r="G45" i="20"/>
  <c r="Q60" i="20"/>
  <c r="M49" i="20"/>
  <c r="Q45" i="20"/>
  <c r="U26" i="20"/>
  <c r="U19" i="20"/>
  <c r="U49" i="20"/>
  <c r="U60" i="20" s="1"/>
  <c r="W60" i="20"/>
  <c r="D48" i="20"/>
  <c r="H45" i="20"/>
  <c r="H59" i="20"/>
  <c r="U29" i="20"/>
  <c r="U20" i="20"/>
  <c r="U40" i="20" s="1"/>
  <c r="X34" i="11"/>
  <c r="W34" i="11"/>
  <c r="Y34" i="11"/>
  <c r="Z34" i="11"/>
  <c r="R34" i="11"/>
  <c r="S34" i="11"/>
  <c r="T34" i="11"/>
  <c r="V34" i="11"/>
  <c r="V36" i="11" s="1"/>
  <c r="V61" i="12" s="1"/>
  <c r="AA34" i="11"/>
  <c r="AB34" i="11"/>
  <c r="U34" i="11"/>
  <c r="AC34" i="11"/>
  <c r="C48" i="20"/>
  <c r="L36" i="20"/>
  <c r="L22" i="20"/>
  <c r="L42" i="20" s="1"/>
  <c r="Z9" i="11"/>
  <c r="V9" i="11"/>
  <c r="U9" i="11"/>
  <c r="R9" i="11"/>
  <c r="AA9" i="11"/>
  <c r="AB9" i="11"/>
  <c r="X9" i="11"/>
  <c r="Y9" i="11"/>
  <c r="W9" i="11"/>
  <c r="S9" i="11"/>
  <c r="T9" i="11"/>
  <c r="AC9" i="11"/>
  <c r="R10" i="11" a="1"/>
  <c r="R50" i="11"/>
  <c r="Z50" i="11"/>
  <c r="U50" i="11"/>
  <c r="S50" i="11"/>
  <c r="W50" i="11"/>
  <c r="AC50" i="11"/>
  <c r="AB50" i="11"/>
  <c r="T50" i="11"/>
  <c r="AA50" i="11"/>
  <c r="V50" i="11"/>
  <c r="Y50" i="11"/>
  <c r="X50" i="11"/>
  <c r="Y26" i="11"/>
  <c r="W26" i="11"/>
  <c r="Z26" i="11"/>
  <c r="V26" i="11"/>
  <c r="AB26" i="11"/>
  <c r="T26" i="11"/>
  <c r="AC26" i="11"/>
  <c r="S26" i="11"/>
  <c r="X26" i="11"/>
  <c r="R26" i="11"/>
  <c r="AA26" i="11"/>
  <c r="U26" i="11"/>
  <c r="C62" i="20"/>
  <c r="R40" i="24"/>
  <c r="V40" i="24"/>
  <c r="T40" i="24"/>
  <c r="L29" i="20"/>
  <c r="L20" i="20"/>
  <c r="L40" i="20" s="1"/>
  <c r="I59" i="20"/>
  <c r="I45" i="20"/>
  <c r="CP35" i="23"/>
  <c r="BJ35" i="23"/>
  <c r="DJ35" i="23"/>
  <c r="BB53" i="23"/>
  <c r="D5" i="20"/>
  <c r="D25" i="20" s="1"/>
  <c r="S8" i="19" s="1"/>
  <c r="D19" i="20"/>
  <c r="D39" i="20" s="1"/>
  <c r="D26" i="20"/>
  <c r="D36" i="20"/>
  <c r="D22" i="20"/>
  <c r="D42" i="20" s="1"/>
  <c r="V4" i="21"/>
  <c r="V409" i="21"/>
  <c r="V413" i="21" s="1"/>
  <c r="V48" i="20"/>
  <c r="Z59" i="20"/>
  <c r="K58" i="24"/>
  <c r="I58" i="24"/>
  <c r="M58" i="24"/>
  <c r="F67" i="24"/>
  <c r="H58" i="24"/>
  <c r="V50" i="20"/>
  <c r="C37" i="20"/>
  <c r="C22" i="20"/>
  <c r="C42" i="20" s="1"/>
  <c r="E59" i="20"/>
  <c r="C46" i="20"/>
  <c r="E45" i="20"/>
  <c r="AA59" i="20"/>
  <c r="AA45" i="20"/>
  <c r="M35" i="20"/>
  <c r="M22" i="20"/>
  <c r="M42" i="20" s="1"/>
  <c r="DI35" i="23"/>
  <c r="BA53" i="23"/>
  <c r="BA62" i="23" s="1"/>
  <c r="O37" i="24"/>
  <c r="BI35" i="23"/>
  <c r="CO35" i="23"/>
  <c r="L52" i="20"/>
  <c r="N61" i="20"/>
  <c r="AH5" i="4"/>
  <c r="U56" i="20"/>
  <c r="W62" i="20"/>
  <c r="D53" i="20"/>
  <c r="H61" i="20"/>
  <c r="P60" i="20"/>
  <c r="L50" i="20"/>
  <c r="C53" i="20"/>
  <c r="C61" i="20" s="1"/>
  <c r="G61" i="20"/>
  <c r="V57" i="20"/>
  <c r="X62" i="20"/>
  <c r="M21" i="20"/>
  <c r="M41" i="20" s="1"/>
  <c r="M32" i="20"/>
  <c r="M55" i="20"/>
  <c r="P59" i="20"/>
  <c r="P45" i="20"/>
  <c r="S61" i="20"/>
  <c r="L5" i="20"/>
  <c r="L27" i="20"/>
  <c r="L19" i="20"/>
  <c r="L39" i="20" s="1"/>
  <c r="U48" i="20"/>
  <c r="BC36" i="23"/>
  <c r="BD36" i="23"/>
  <c r="BD34" i="23" s="1"/>
  <c r="BB36" i="23"/>
  <c r="BB34" i="23" s="1"/>
  <c r="BA36" i="23"/>
  <c r="M20" i="20"/>
  <c r="M40" i="20" s="1"/>
  <c r="M30" i="20"/>
  <c r="D34" i="20"/>
  <c r="D21" i="20"/>
  <c r="D41" i="20" s="1"/>
  <c r="D54" i="20"/>
  <c r="F61" i="20"/>
  <c r="AP6" i="19"/>
  <c r="AP3" i="19" s="1"/>
  <c r="AP5" i="19" s="1"/>
  <c r="U29" i="26"/>
  <c r="U83" i="26" s="1"/>
  <c r="H36" i="24"/>
  <c r="K36" i="24"/>
  <c r="M36" i="24"/>
  <c r="F81" i="24"/>
  <c r="I36" i="24"/>
  <c r="BQ3" i="19"/>
  <c r="I25" i="20"/>
  <c r="V7" i="19" s="1"/>
  <c r="R45" i="20"/>
  <c r="R59" i="20"/>
  <c r="CS57" i="23"/>
  <c r="DM57" i="23"/>
  <c r="AW3" i="19"/>
  <c r="G25" i="20"/>
  <c r="U7" i="19" s="1"/>
  <c r="BU27" i="10"/>
  <c r="BO28" i="10"/>
  <c r="BU28" i="10" s="1"/>
  <c r="U56" i="12"/>
  <c r="AI56" i="12" s="1"/>
  <c r="AW36" i="10"/>
  <c r="X74" i="10"/>
  <c r="AL74" i="10" s="1"/>
  <c r="AZ10" i="10"/>
  <c r="AZ74" i="10" s="1"/>
  <c r="BE48" i="10"/>
  <c r="AC63" i="10"/>
  <c r="AQ48" i="10"/>
  <c r="BW4" i="10"/>
  <c r="BV103" i="16"/>
  <c r="AK48" i="10"/>
  <c r="BV48" i="10"/>
  <c r="BP63" i="10"/>
  <c r="BV63" i="10" s="1"/>
  <c r="Z9" i="10"/>
  <c r="BP9" i="10" s="1"/>
  <c r="AE34" i="2"/>
  <c r="Z393" i="3"/>
  <c r="Z397" i="3" s="1"/>
  <c r="AE54" i="2"/>
  <c r="N35" i="2"/>
  <c r="N22" i="2"/>
  <c r="N42" i="2" s="1"/>
  <c r="O36" i="2"/>
  <c r="O22" i="2"/>
  <c r="O42" i="2" s="1"/>
  <c r="AW44" i="10"/>
  <c r="U60" i="10"/>
  <c r="AI44" i="10"/>
  <c r="CE41" i="16"/>
  <c r="CE78" i="16" s="1"/>
  <c r="R25" i="2"/>
  <c r="U32" i="4" s="1"/>
  <c r="AX30" i="4"/>
  <c r="CA30" i="4"/>
  <c r="U25" i="2"/>
  <c r="V33" i="4" s="1"/>
  <c r="BU35" i="10"/>
  <c r="AH63" i="10"/>
  <c r="AV63" i="10"/>
  <c r="T9" i="12"/>
  <c r="AV18" i="10"/>
  <c r="AV79" i="10" s="1"/>
  <c r="R7" i="12"/>
  <c r="R74" i="10"/>
  <c r="AF74" i="10" s="1"/>
  <c r="AT10" i="10"/>
  <c r="AT73" i="10" s="1"/>
  <c r="CH11" i="16"/>
  <c r="CK11" i="16" s="1"/>
  <c r="BV5" i="4"/>
  <c r="X413" i="3"/>
  <c r="AT74" i="10"/>
  <c r="AC21" i="2"/>
  <c r="AC41" i="2" s="1"/>
  <c r="X393" i="3"/>
  <c r="X397" i="3" s="1"/>
  <c r="AD5" i="10"/>
  <c r="AD6" i="10" s="1"/>
  <c r="AH17" i="10"/>
  <c r="AH18" i="10" s="1"/>
  <c r="AH20" i="10" s="1"/>
  <c r="BX20" i="16"/>
  <c r="BX21" i="16" s="1"/>
  <c r="BX64" i="16" s="1"/>
  <c r="T53" i="10"/>
  <c r="AV17" i="10"/>
  <c r="T80" i="10"/>
  <c r="AH80" i="10" s="1"/>
  <c r="O20" i="2"/>
  <c r="O40" i="2" s="1"/>
  <c r="O31" i="2"/>
  <c r="O5" i="2"/>
  <c r="O25" i="2" s="1"/>
  <c r="S33" i="4" s="1"/>
  <c r="CG27" i="16"/>
  <c r="CG91" i="16" s="1"/>
  <c r="AQ22" i="10"/>
  <c r="BE22" i="10"/>
  <c r="AC40" i="10"/>
  <c r="R45" i="2"/>
  <c r="R61" i="2"/>
  <c r="M413" i="3"/>
  <c r="AE21" i="2"/>
  <c r="AE41" i="2" s="1"/>
  <c r="BX91" i="16"/>
  <c r="BX29" i="16"/>
  <c r="BX75" i="16" s="1"/>
  <c r="AX48" i="10"/>
  <c r="V63" i="10"/>
  <c r="AJ48" i="10"/>
  <c r="BL48" i="10" s="1"/>
  <c r="BL63" i="10" s="1"/>
  <c r="AL30" i="10"/>
  <c r="AZ30" i="10"/>
  <c r="BP30" i="10"/>
  <c r="CB35" i="16"/>
  <c r="CB99" i="16" s="1"/>
  <c r="X48" i="10"/>
  <c r="BW30" i="10"/>
  <c r="CG99" i="16"/>
  <c r="BZ91" i="16"/>
  <c r="CH7" i="16"/>
  <c r="CK7" i="16" s="1"/>
  <c r="AT52" i="10"/>
  <c r="BW91" i="16"/>
  <c r="O56" i="2"/>
  <c r="Q61" i="2"/>
  <c r="T60" i="10"/>
  <c r="AH44" i="10"/>
  <c r="AV44" i="10"/>
  <c r="Z66" i="10"/>
  <c r="BB52" i="10"/>
  <c r="AN52" i="10"/>
  <c r="N53" i="2"/>
  <c r="N61" i="2" s="1"/>
  <c r="AA60" i="10"/>
  <c r="BC44" i="10"/>
  <c r="AO44" i="10"/>
  <c r="Q45" i="2"/>
  <c r="R73" i="10"/>
  <c r="AF73" i="10" s="1"/>
  <c r="BU30" i="10"/>
  <c r="BO32" i="10"/>
  <c r="BU32" i="10" s="1"/>
  <c r="N5" i="2"/>
  <c r="N25" i="2" s="1"/>
  <c r="S32" i="4" s="1"/>
  <c r="W45" i="2"/>
  <c r="BB63" i="10"/>
  <c r="AN63" i="10"/>
  <c r="N30" i="2"/>
  <c r="N20" i="2"/>
  <c r="N40" i="2" s="1"/>
  <c r="AW34" i="10"/>
  <c r="AI34" i="10"/>
  <c r="AR34" i="10" s="1"/>
  <c r="BY39" i="16"/>
  <c r="BY103" i="16" s="1"/>
  <c r="BO34" i="10"/>
  <c r="U52" i="10"/>
  <c r="AD34" i="10"/>
  <c r="Y28" i="2"/>
  <c r="Y19" i="2"/>
  <c r="Y39" i="2" s="1"/>
  <c r="CF27" i="16"/>
  <c r="BD22" i="10"/>
  <c r="AP22" i="10"/>
  <c r="AP24" i="10" s="1"/>
  <c r="BQ22" i="10"/>
  <c r="AB40" i="10"/>
  <c r="AB24" i="10"/>
  <c r="AB38" i="10" s="1"/>
  <c r="BD38" i="10" s="1"/>
  <c r="AN22" i="10"/>
  <c r="AN24" i="10" s="1"/>
  <c r="CD27" i="16"/>
  <c r="BB22" i="10"/>
  <c r="Z40" i="10"/>
  <c r="Z24" i="10"/>
  <c r="CE33" i="16"/>
  <c r="CE76" i="16" s="1"/>
  <c r="BV34" i="10"/>
  <c r="BP52" i="10"/>
  <c r="AH40" i="10"/>
  <c r="AV40" i="10"/>
  <c r="T57" i="10"/>
  <c r="BW17" i="16"/>
  <c r="BW58" i="16" s="1"/>
  <c r="BW59" i="16" s="1"/>
  <c r="BW61" i="16" s="1"/>
  <c r="BW62" i="16" s="1"/>
  <c r="V62" i="2"/>
  <c r="V45" i="2"/>
  <c r="S25" i="2"/>
  <c r="U33" i="4" s="1"/>
  <c r="BG30" i="4"/>
  <c r="U64" i="10"/>
  <c r="AW49" i="10"/>
  <c r="AI49" i="10"/>
  <c r="BK49" i="10" s="1"/>
  <c r="BK64" i="10" s="1"/>
  <c r="BY92" i="16"/>
  <c r="AT44" i="10"/>
  <c r="R60" i="10"/>
  <c r="AF44" i="10"/>
  <c r="BT22" i="10"/>
  <c r="CB21" i="16"/>
  <c r="CB64" i="16" s="1"/>
  <c r="CB65" i="16" s="1"/>
  <c r="CB67" i="16" s="1"/>
  <c r="CB68" i="16" s="1"/>
  <c r="CB85" i="16" s="1"/>
  <c r="CB103" i="16"/>
  <c r="AH52" i="10"/>
  <c r="T66" i="10"/>
  <c r="AV52" i="10"/>
  <c r="O59" i="2"/>
  <c r="BT8" i="10"/>
  <c r="Z13" i="10"/>
  <c r="BB13" i="10" s="1"/>
  <c r="Y14" i="2"/>
  <c r="Y34" i="2" s="1"/>
  <c r="AX54" i="4"/>
  <c r="AX27" i="10"/>
  <c r="BZ32" i="16"/>
  <c r="V45" i="10"/>
  <c r="AJ27" i="10"/>
  <c r="AJ28" i="10" s="1"/>
  <c r="V28" i="10"/>
  <c r="BE9" i="10"/>
  <c r="CG12" i="16"/>
  <c r="CG13" i="16" s="1"/>
  <c r="CG52" i="16" s="1"/>
  <c r="BQ9" i="10"/>
  <c r="BQ45" i="10" s="1"/>
  <c r="AC10" i="10"/>
  <c r="AC74" i="10" s="1"/>
  <c r="AQ74" i="10" s="1"/>
  <c r="AQ9" i="10"/>
  <c r="O57" i="2"/>
  <c r="Q62" i="2"/>
  <c r="S8" i="12"/>
  <c r="S76" i="10"/>
  <c r="AG76" i="10" s="1"/>
  <c r="S77" i="10"/>
  <c r="AG77" i="10" s="1"/>
  <c r="AU14" i="10"/>
  <c r="V53" i="12"/>
  <c r="AX24" i="10"/>
  <c r="V38" i="10"/>
  <c r="AX38" i="10" s="1"/>
  <c r="AU48" i="10"/>
  <c r="S63" i="10"/>
  <c r="AG48" i="10"/>
  <c r="BI48" i="10" s="1"/>
  <c r="BI63" i="10" s="1"/>
  <c r="AK60" i="10"/>
  <c r="AY60" i="10"/>
  <c r="BF30" i="10"/>
  <c r="BK5" i="4"/>
  <c r="AL28" i="10"/>
  <c r="BR54" i="4"/>
  <c r="AW74" i="10"/>
  <c r="AB397" i="3"/>
  <c r="CP5" i="4"/>
  <c r="AG20" i="10"/>
  <c r="AI17" i="10"/>
  <c r="AI18" i="10" s="1"/>
  <c r="BY20" i="16"/>
  <c r="BY21" i="16" s="1"/>
  <c r="BY64" i="16" s="1"/>
  <c r="AW17" i="10"/>
  <c r="BO17" i="10"/>
  <c r="U18" i="10"/>
  <c r="U80" i="10" s="1"/>
  <c r="AI80" i="10" s="1"/>
  <c r="N50" i="2"/>
  <c r="P45" i="2"/>
  <c r="P60" i="2"/>
  <c r="AP12" i="10"/>
  <c r="AP14" i="10" s="1"/>
  <c r="BD12" i="10"/>
  <c r="AB48" i="10"/>
  <c r="CF15" i="16"/>
  <c r="AB14" i="10"/>
  <c r="AB76" i="10" s="1"/>
  <c r="AP76" i="10" s="1"/>
  <c r="BQ12" i="10"/>
  <c r="CG19" i="16"/>
  <c r="AC18" i="10"/>
  <c r="AC79" i="10" s="1"/>
  <c r="AQ79" i="10" s="1"/>
  <c r="AC52" i="10"/>
  <c r="BE16" i="10"/>
  <c r="AQ16" i="10"/>
  <c r="AQ18" i="10" s="1"/>
  <c r="BA12" i="10"/>
  <c r="AM12" i="10"/>
  <c r="Y14" i="10"/>
  <c r="CC15" i="16"/>
  <c r="CC99" i="16" s="1"/>
  <c r="BP12" i="10"/>
  <c r="Y48" i="10"/>
  <c r="AD12" i="10"/>
  <c r="BF12" i="10" s="1"/>
  <c r="AF62" i="2"/>
  <c r="AM22" i="10"/>
  <c r="AM24" i="10" s="1"/>
  <c r="Y40" i="10"/>
  <c r="CC27" i="16"/>
  <c r="BA22" i="10"/>
  <c r="AD22" i="10"/>
  <c r="BP22" i="10"/>
  <c r="Y24" i="10"/>
  <c r="BY95" i="16"/>
  <c r="U61" i="2"/>
  <c r="U45" i="2"/>
  <c r="AV24" i="10"/>
  <c r="T53" i="12"/>
  <c r="BQ16" i="10"/>
  <c r="BC16" i="10"/>
  <c r="CE19" i="16"/>
  <c r="CE103" i="16" s="1"/>
  <c r="AA52" i="10"/>
  <c r="AO16" i="10"/>
  <c r="AO18" i="10" s="1"/>
  <c r="Q413" i="3"/>
  <c r="AJ40" i="10"/>
  <c r="AX40" i="10"/>
  <c r="V57" i="10"/>
  <c r="BW99" i="16"/>
  <c r="CB13" i="16"/>
  <c r="CB52" i="16" s="1"/>
  <c r="N55" i="2"/>
  <c r="N62" i="2" s="1"/>
  <c r="AU44" i="10"/>
  <c r="AG44" i="10"/>
  <c r="S60" i="10"/>
  <c r="BX17" i="16"/>
  <c r="BX58" i="16" s="1"/>
  <c r="BX100" i="16"/>
  <c r="BN44" i="10"/>
  <c r="AD16" i="10"/>
  <c r="BF16" i="10" s="1"/>
  <c r="AK69" i="12"/>
  <c r="AY69" i="12"/>
  <c r="CA37" i="16"/>
  <c r="CA77" i="16" s="1"/>
  <c r="CA99" i="16"/>
  <c r="N19" i="2"/>
  <c r="N39" i="2" s="1"/>
  <c r="O27" i="24"/>
  <c r="T6" i="24"/>
  <c r="X6" i="24"/>
  <c r="R6" i="24"/>
  <c r="Q6" i="24"/>
  <c r="V6" i="24"/>
  <c r="T9" i="24"/>
  <c r="BU5" i="10"/>
  <c r="BO6" i="10"/>
  <c r="BO71" i="10" s="1"/>
  <c r="BO41" i="10"/>
  <c r="Z35" i="2"/>
  <c r="Z22" i="2"/>
  <c r="Z42" i="2" s="1"/>
  <c r="D55" i="2"/>
  <c r="D62" i="2" s="1"/>
  <c r="F62" i="2"/>
  <c r="C34" i="2"/>
  <c r="C21" i="2"/>
  <c r="C41" i="2" s="1"/>
  <c r="AT23" i="10"/>
  <c r="AF23" i="10"/>
  <c r="BV28" i="16"/>
  <c r="R24" i="10"/>
  <c r="AD23" i="10"/>
  <c r="R41" i="10"/>
  <c r="BN23" i="10"/>
  <c r="F61" i="2"/>
  <c r="D53" i="2"/>
  <c r="C52" i="2"/>
  <c r="E61" i="2"/>
  <c r="U55" i="12"/>
  <c r="AW32" i="10"/>
  <c r="U38" i="10"/>
  <c r="AW38" i="10" s="1"/>
  <c r="CE100" i="16"/>
  <c r="CE37" i="16"/>
  <c r="CE77" i="16" s="1"/>
  <c r="CE84" i="16" s="1"/>
  <c r="BY17" i="16"/>
  <c r="BY100" i="16"/>
  <c r="CC100" i="16"/>
  <c r="AL45" i="10"/>
  <c r="BV21" i="16"/>
  <c r="F66" i="24"/>
  <c r="M29" i="24"/>
  <c r="I29" i="24"/>
  <c r="K29" i="24"/>
  <c r="H29" i="24"/>
  <c r="AT9" i="12"/>
  <c r="AF9" i="12"/>
  <c r="AC61" i="10"/>
  <c r="BE45" i="10"/>
  <c r="AQ45" i="10"/>
  <c r="BX46" i="16"/>
  <c r="AK64" i="10"/>
  <c r="AY64" i="10"/>
  <c r="D59" i="2"/>
  <c r="BN73" i="10"/>
  <c r="BT10" i="10"/>
  <c r="BN74" i="10"/>
  <c r="AE61" i="2"/>
  <c r="Y53" i="2"/>
  <c r="AX3" i="4"/>
  <c r="G25" i="2"/>
  <c r="U7" i="4" s="1"/>
  <c r="CE104" i="16"/>
  <c r="CG40" i="16"/>
  <c r="AC36" i="10"/>
  <c r="AQ35" i="10"/>
  <c r="AQ36" i="10" s="1"/>
  <c r="BQ35" i="10"/>
  <c r="BE35" i="10"/>
  <c r="AC53" i="10"/>
  <c r="AL31" i="10"/>
  <c r="CB36" i="16"/>
  <c r="AZ31" i="10"/>
  <c r="AD31" i="10"/>
  <c r="X32" i="10"/>
  <c r="X38" i="10" s="1"/>
  <c r="AZ38" i="10" s="1"/>
  <c r="X49" i="10"/>
  <c r="BP31" i="10"/>
  <c r="D29" i="2"/>
  <c r="D20" i="2"/>
  <c r="D40" i="2" s="1"/>
  <c r="Y49" i="2"/>
  <c r="AC60" i="2"/>
  <c r="Z29" i="2"/>
  <c r="Z20" i="2"/>
  <c r="Z40" i="2" s="1"/>
  <c r="BE23" i="10"/>
  <c r="AQ23" i="10"/>
  <c r="AQ24" i="10" s="1"/>
  <c r="BQ23" i="10"/>
  <c r="AC41" i="10"/>
  <c r="AC24" i="10"/>
  <c r="CG28" i="16"/>
  <c r="C27" i="2"/>
  <c r="U28" i="26"/>
  <c r="U82" i="26" s="1"/>
  <c r="R14" i="10"/>
  <c r="R77" i="10" s="1"/>
  <c r="AF77" i="10" s="1"/>
  <c r="AT13" i="10"/>
  <c r="BV16" i="16"/>
  <c r="AF13" i="10"/>
  <c r="R49" i="10"/>
  <c r="BN13" i="10"/>
  <c r="CA12" i="16"/>
  <c r="AY9" i="10"/>
  <c r="AK9" i="10"/>
  <c r="W45" i="10"/>
  <c r="W10" i="10"/>
  <c r="W74" i="10" s="1"/>
  <c r="AK74" i="10" s="1"/>
  <c r="BO9" i="10"/>
  <c r="CF104" i="16"/>
  <c r="CF41" i="16"/>
  <c r="BC49" i="10"/>
  <c r="AA64" i="10"/>
  <c r="AO49" i="10"/>
  <c r="BQ49" i="10" s="1"/>
  <c r="BU13" i="10"/>
  <c r="BO14" i="10"/>
  <c r="BU14" i="10" s="1"/>
  <c r="CA100" i="16"/>
  <c r="CA17" i="16"/>
  <c r="CA58" i="16" s="1"/>
  <c r="AF10" i="10"/>
  <c r="I5" i="24"/>
  <c r="F76" i="24"/>
  <c r="M5" i="24"/>
  <c r="H5" i="24"/>
  <c r="K5" i="24"/>
  <c r="X56" i="12"/>
  <c r="AZ36" i="10"/>
  <c r="U6" i="12"/>
  <c r="U70" i="10"/>
  <c r="AI70" i="10" s="1"/>
  <c r="AW6" i="10"/>
  <c r="U71" i="10"/>
  <c r="AI71" i="10" s="1"/>
  <c r="S64" i="10"/>
  <c r="AG49" i="10"/>
  <c r="BI49" i="10" s="1"/>
  <c r="BI64" i="10" s="1"/>
  <c r="AU49" i="10"/>
  <c r="V9" i="12"/>
  <c r="AX18" i="10"/>
  <c r="V79" i="10"/>
  <c r="AJ79" i="10" s="1"/>
  <c r="V80" i="10"/>
  <c r="AJ80" i="10" s="1"/>
  <c r="F59" i="2"/>
  <c r="Y67" i="10"/>
  <c r="BA53" i="10"/>
  <c r="AM53" i="10"/>
  <c r="Y33" i="2"/>
  <c r="AT61" i="10"/>
  <c r="AF61" i="10"/>
  <c r="AG25" i="2"/>
  <c r="W57" i="4" s="1"/>
  <c r="CL55" i="4"/>
  <c r="AH28" i="10"/>
  <c r="AH38" i="10" s="1"/>
  <c r="BW29" i="16"/>
  <c r="BW92" i="16"/>
  <c r="CE75" i="16"/>
  <c r="DI27" i="23"/>
  <c r="BA64" i="23"/>
  <c r="BA24" i="23"/>
  <c r="AB409" i="3"/>
  <c r="AB413" i="3" s="1"/>
  <c r="Z35" i="10"/>
  <c r="AH21" i="2"/>
  <c r="AH41" i="2" s="1"/>
  <c r="AH54" i="2"/>
  <c r="AH45" i="2" s="1"/>
  <c r="AH34" i="2"/>
  <c r="Y59" i="2"/>
  <c r="AV28" i="10"/>
  <c r="T54" i="12"/>
  <c r="BF5" i="10"/>
  <c r="CD37" i="16"/>
  <c r="CD77" i="16" s="1"/>
  <c r="DJ4" i="23"/>
  <c r="BB25" i="23"/>
  <c r="BJ4" i="23"/>
  <c r="CP4" i="23"/>
  <c r="BB3" i="23"/>
  <c r="AA9" i="12"/>
  <c r="BC18" i="10"/>
  <c r="BC79" i="10" s="1"/>
  <c r="AA79" i="10"/>
  <c r="AO79" i="10" s="1"/>
  <c r="BE7" i="23"/>
  <c r="BJ7" i="23"/>
  <c r="DJ7" i="23"/>
  <c r="BB28" i="23"/>
  <c r="CP7" i="23"/>
  <c r="BE4" i="23"/>
  <c r="Y20" i="2"/>
  <c r="Y40" i="2" s="1"/>
  <c r="Y29" i="2"/>
  <c r="Z53" i="2"/>
  <c r="Z57" i="2"/>
  <c r="Z62" i="2" s="1"/>
  <c r="E59" i="2"/>
  <c r="C46" i="2"/>
  <c r="E45" i="2"/>
  <c r="D397" i="3"/>
  <c r="D52" i="2"/>
  <c r="H61" i="2"/>
  <c r="H45" i="2"/>
  <c r="BX41" i="16"/>
  <c r="BX78" i="16" s="1"/>
  <c r="V41" i="10"/>
  <c r="V6" i="10"/>
  <c r="V71" i="10" s="1"/>
  <c r="AJ71" i="10" s="1"/>
  <c r="AJ5" i="10"/>
  <c r="BZ8" i="16"/>
  <c r="AX5" i="10"/>
  <c r="BZ100" i="16"/>
  <c r="AB56" i="12"/>
  <c r="V76" i="10"/>
  <c r="AJ76" i="10" s="1"/>
  <c r="V8" i="12"/>
  <c r="AX14" i="10"/>
  <c r="AX76" i="10" s="1"/>
  <c r="V77" i="10"/>
  <c r="AJ77" i="10" s="1"/>
  <c r="AM49" i="10"/>
  <c r="BO49" i="10" s="1"/>
  <c r="BA49" i="10"/>
  <c r="Y64" i="10"/>
  <c r="X54" i="12"/>
  <c r="AZ28" i="10"/>
  <c r="W80" i="10"/>
  <c r="AK80" i="10" s="1"/>
  <c r="W9" i="12"/>
  <c r="AY18" i="10"/>
  <c r="AY79" i="10" s="1"/>
  <c r="W79" i="10"/>
  <c r="AK79" i="10" s="1"/>
  <c r="Y79" i="10"/>
  <c r="AM79" i="10" s="1"/>
  <c r="BW37" i="16"/>
  <c r="BW100" i="16"/>
  <c r="AC54" i="12"/>
  <c r="BE28" i="10"/>
  <c r="CB58" i="16"/>
  <c r="AX53" i="10"/>
  <c r="AJ53" i="10"/>
  <c r="V67" i="10"/>
  <c r="BB17" i="10"/>
  <c r="AN17" i="10"/>
  <c r="AN18" i="10" s="1"/>
  <c r="Z18" i="10"/>
  <c r="Z80" i="10" s="1"/>
  <c r="AN80" i="10" s="1"/>
  <c r="CD20" i="16"/>
  <c r="CD21" i="16" s="1"/>
  <c r="CD64" i="16" s="1"/>
  <c r="CD67" i="16" s="1"/>
  <c r="CD68" i="16" s="1"/>
  <c r="BP17" i="10"/>
  <c r="Y22" i="2"/>
  <c r="Y42" i="2" s="1"/>
  <c r="Y35" i="2"/>
  <c r="T7" i="12"/>
  <c r="T20" i="10"/>
  <c r="AV10" i="10"/>
  <c r="AV73" i="10" s="1"/>
  <c r="T73" i="10"/>
  <c r="AH73" i="10" s="1"/>
  <c r="BZ65" i="16"/>
  <c r="BZ67" i="16" s="1"/>
  <c r="BZ68" i="16" s="1"/>
  <c r="AX55" i="4"/>
  <c r="AC25" i="2"/>
  <c r="U57" i="4" s="1"/>
  <c r="AF34" i="2"/>
  <c r="AF5" i="2"/>
  <c r="Z409" i="3"/>
  <c r="Z413" i="3" s="1"/>
  <c r="Z27" i="10"/>
  <c r="AF54" i="2"/>
  <c r="Z14" i="2"/>
  <c r="Z5" i="2" s="1"/>
  <c r="AF21" i="2"/>
  <c r="AF41" i="2" s="1"/>
  <c r="DK66" i="23"/>
  <c r="CQ66" i="23"/>
  <c r="CR66" i="23"/>
  <c r="DL66" i="23"/>
  <c r="AH59" i="2"/>
  <c r="Y56" i="12"/>
  <c r="BA36" i="10"/>
  <c r="CU54" i="4"/>
  <c r="CA54" i="4"/>
  <c r="BT27" i="10"/>
  <c r="BN28" i="10"/>
  <c r="BT28" i="10" s="1"/>
  <c r="BN45" i="10"/>
  <c r="BX96" i="16"/>
  <c r="BX33" i="16"/>
  <c r="AG41" i="10"/>
  <c r="S58" i="10"/>
  <c r="AU41" i="10"/>
  <c r="BT5" i="10"/>
  <c r="CD49" i="16"/>
  <c r="CD50" i="16" s="1"/>
  <c r="BQ18" i="10"/>
  <c r="BQ80" i="10" s="1"/>
  <c r="BW80" i="10" s="1"/>
  <c r="BW17" i="10"/>
  <c r="AA67" i="10"/>
  <c r="AO53" i="10"/>
  <c r="BC53" i="10"/>
  <c r="DI25" i="23"/>
  <c r="CO25" i="23"/>
  <c r="K61" i="2"/>
  <c r="C53" i="2"/>
  <c r="D413" i="3"/>
  <c r="T64" i="10"/>
  <c r="AH49" i="10"/>
  <c r="BJ49" i="10" s="1"/>
  <c r="BJ64" i="10" s="1"/>
  <c r="AV49" i="10"/>
  <c r="X67" i="10"/>
  <c r="AL53" i="10"/>
  <c r="AZ53" i="10"/>
  <c r="AG32" i="10"/>
  <c r="AR31" i="10"/>
  <c r="AD18" i="10"/>
  <c r="AD80" i="10" s="1"/>
  <c r="AR80" i="10" s="1"/>
  <c r="BF17" i="10"/>
  <c r="Z14" i="10"/>
  <c r="DJ66" i="23"/>
  <c r="CP66" i="23"/>
  <c r="AG62" i="2"/>
  <c r="Y55" i="2"/>
  <c r="Y62" i="2" s="1"/>
  <c r="BW52" i="16"/>
  <c r="W41" i="10"/>
  <c r="AK5" i="10"/>
  <c r="AK6" i="10" s="1"/>
  <c r="AY5" i="10"/>
  <c r="CA8" i="16"/>
  <c r="W6" i="10"/>
  <c r="W71" i="10" s="1"/>
  <c r="AK71" i="10" s="1"/>
  <c r="Z49" i="2"/>
  <c r="Z60" i="2" s="1"/>
  <c r="AF60" i="2"/>
  <c r="Z46" i="2"/>
  <c r="AB59" i="2"/>
  <c r="AB45" i="2"/>
  <c r="C5" i="2"/>
  <c r="C25" i="2" s="1"/>
  <c r="S7" i="4" s="1"/>
  <c r="C19" i="2"/>
  <c r="C39" i="2" s="1"/>
  <c r="C26" i="2"/>
  <c r="U27" i="26"/>
  <c r="D32" i="2"/>
  <c r="D21" i="2"/>
  <c r="D41" i="2" s="1"/>
  <c r="D54" i="2"/>
  <c r="AA60" i="2"/>
  <c r="AA45" i="2"/>
  <c r="AE60" i="2"/>
  <c r="AE25" i="2"/>
  <c r="V57" i="4" s="1"/>
  <c r="BR55" i="4"/>
  <c r="AA8" i="12"/>
  <c r="BC14" i="10"/>
  <c r="BC76" i="10" s="1"/>
  <c r="AA76" i="10"/>
  <c r="AO76" i="10" s="1"/>
  <c r="AA77" i="10"/>
  <c r="AO77" i="10" s="1"/>
  <c r="Q68" i="24"/>
  <c r="V68" i="24"/>
  <c r="R68" i="24"/>
  <c r="T68" i="24"/>
  <c r="M27" i="24"/>
  <c r="I27" i="24"/>
  <c r="F64" i="24"/>
  <c r="F26" i="24"/>
  <c r="K27" i="24"/>
  <c r="CF92" i="16"/>
  <c r="CA104" i="16"/>
  <c r="CA21" i="16"/>
  <c r="CA64" i="16" s="1"/>
  <c r="AF18" i="10"/>
  <c r="BC61" i="10"/>
  <c r="AO61" i="10"/>
  <c r="AI41" i="10"/>
  <c r="U58" i="10"/>
  <c r="AW41" i="10"/>
  <c r="AU32" i="10"/>
  <c r="S55" i="12"/>
  <c r="BW27" i="10"/>
  <c r="BQ28" i="10"/>
  <c r="BW28" i="10" s="1"/>
  <c r="CG33" i="16"/>
  <c r="CG76" i="16" s="1"/>
  <c r="M65" i="24"/>
  <c r="I65" i="24"/>
  <c r="K65" i="24"/>
  <c r="F45" i="2"/>
  <c r="AU74" i="10"/>
  <c r="BX13" i="16"/>
  <c r="BX52" i="16" s="1"/>
  <c r="AH5" i="2"/>
  <c r="R36" i="10"/>
  <c r="BV40" i="16"/>
  <c r="AT35" i="10"/>
  <c r="BN35" i="10"/>
  <c r="AF35" i="10"/>
  <c r="R53" i="10"/>
  <c r="CC12" i="16"/>
  <c r="AM9" i="10"/>
  <c r="AM10" i="10" s="1"/>
  <c r="Y10" i="10"/>
  <c r="Y45" i="10"/>
  <c r="BA9" i="10"/>
  <c r="AW56" i="12"/>
  <c r="DM66" i="23"/>
  <c r="CS66" i="23"/>
  <c r="BV55" i="16"/>
  <c r="AG45" i="2"/>
  <c r="C20" i="2"/>
  <c r="C40" i="2" s="1"/>
  <c r="C30" i="2"/>
  <c r="U31" i="26"/>
  <c r="U85" i="26" s="1"/>
  <c r="AC45" i="2"/>
  <c r="L45" i="2"/>
  <c r="S38" i="10"/>
  <c r="AU38" i="10" s="1"/>
  <c r="S53" i="12"/>
  <c r="AU24" i="10"/>
  <c r="D19" i="2"/>
  <c r="D39" i="2" s="1"/>
  <c r="BC3" i="23"/>
  <c r="CQ4" i="23"/>
  <c r="BC25" i="23"/>
  <c r="DK4" i="23"/>
  <c r="AA80" i="10"/>
  <c r="AO80" i="10" s="1"/>
  <c r="R7" i="24"/>
  <c r="V7" i="24"/>
  <c r="T7" i="24"/>
  <c r="X7" i="24"/>
  <c r="O28" i="24"/>
  <c r="Q7" i="24"/>
  <c r="AN69" i="12"/>
  <c r="BB69" i="12"/>
  <c r="CW4" i="23"/>
  <c r="BI25" i="23"/>
  <c r="BB5" i="4"/>
  <c r="L61" i="20" l="1"/>
  <c r="BE35" i="23"/>
  <c r="X40" i="24"/>
  <c r="AC40" i="24" s="1"/>
  <c r="Q40" i="24"/>
  <c r="R31" i="11"/>
  <c r="R56" i="11" s="1"/>
  <c r="U35" i="11"/>
  <c r="Y35" i="11"/>
  <c r="Y36" i="11" s="1"/>
  <c r="Y61" i="12" s="1"/>
  <c r="T35" i="11"/>
  <c r="CQ35" i="23"/>
  <c r="BC56" i="23"/>
  <c r="DJ38" i="23"/>
  <c r="BJ38" i="23"/>
  <c r="BB56" i="23"/>
  <c r="BE56" i="23" s="1"/>
  <c r="CP38" i="23"/>
  <c r="M60" i="20"/>
  <c r="CS38" i="23"/>
  <c r="X36" i="11"/>
  <c r="X61" i="12" s="1"/>
  <c r="T31" i="11"/>
  <c r="T32" i="11" s="1"/>
  <c r="S31" i="11"/>
  <c r="AB35" i="11"/>
  <c r="AB36" i="11" s="1"/>
  <c r="AB61" i="12" s="1"/>
  <c r="AC35" i="11"/>
  <c r="AC36" i="11" s="1"/>
  <c r="AC61" i="12" s="1"/>
  <c r="L62" i="20"/>
  <c r="V21" i="20"/>
  <c r="V41" i="20" s="1"/>
  <c r="V19" i="20"/>
  <c r="V59" i="20"/>
  <c r="Z45" i="20"/>
  <c r="CA75" i="16"/>
  <c r="CA42" i="16"/>
  <c r="BC36" i="10"/>
  <c r="AA56" i="12"/>
  <c r="T22" i="12"/>
  <c r="AV8" i="12"/>
  <c r="AH8" i="12"/>
  <c r="BV96" i="16"/>
  <c r="BV33" i="16"/>
  <c r="BV76" i="16" s="1"/>
  <c r="BW46" i="16"/>
  <c r="BZ37" i="16"/>
  <c r="T38" i="10"/>
  <c r="AV38" i="10" s="1"/>
  <c r="CE42" i="16"/>
  <c r="AW70" i="10"/>
  <c r="S82" i="10"/>
  <c r="S83" i="10" s="1"/>
  <c r="R9" i="24"/>
  <c r="Q9" i="24"/>
  <c r="CA91" i="16"/>
  <c r="CE83" i="16"/>
  <c r="W63" i="10"/>
  <c r="AK63" i="10" s="1"/>
  <c r="CR25" i="23"/>
  <c r="CG37" i="16"/>
  <c r="CG77" i="16" s="1"/>
  <c r="CD92" i="16"/>
  <c r="Y66" i="10"/>
  <c r="AM52" i="10"/>
  <c r="BA52" i="10"/>
  <c r="DK6" i="23"/>
  <c r="BC27" i="23"/>
  <c r="CQ6" i="23"/>
  <c r="AB61" i="10"/>
  <c r="AP45" i="10"/>
  <c r="BD45" i="10"/>
  <c r="AY28" i="10"/>
  <c r="W54" i="12"/>
  <c r="AY77" i="10"/>
  <c r="BD52" i="10"/>
  <c r="AB66" i="10"/>
  <c r="AP52" i="10"/>
  <c r="W76" i="10"/>
  <c r="AK76" i="10" s="1"/>
  <c r="AY14" i="10"/>
  <c r="AY76" i="10" s="1"/>
  <c r="W8" i="12"/>
  <c r="CE95" i="16"/>
  <c r="BT30" i="10"/>
  <c r="BN32" i="10"/>
  <c r="BT32" i="10" s="1"/>
  <c r="AY36" i="10"/>
  <c r="W56" i="12"/>
  <c r="BC28" i="10"/>
  <c r="AA54" i="12"/>
  <c r="CC104" i="16"/>
  <c r="U20" i="10"/>
  <c r="AW20" i="10" s="1"/>
  <c r="AW82" i="10" s="1"/>
  <c r="AW83" i="10" s="1"/>
  <c r="AK10" i="10"/>
  <c r="X9" i="24"/>
  <c r="O30" i="24"/>
  <c r="AU18" i="10"/>
  <c r="AU79" i="10" s="1"/>
  <c r="BN80" i="10"/>
  <c r="BT80" i="10" s="1"/>
  <c r="CE96" i="16"/>
  <c r="BN79" i="10"/>
  <c r="BT79" i="10" s="1"/>
  <c r="AO10" i="10"/>
  <c r="AO20" i="10" s="1"/>
  <c r="AL24" i="10"/>
  <c r="AM28" i="10"/>
  <c r="BW103" i="16"/>
  <c r="BY91" i="16"/>
  <c r="AV32" i="10"/>
  <c r="AC22" i="12"/>
  <c r="AQ8" i="12"/>
  <c r="BE8" i="12"/>
  <c r="CB29" i="16"/>
  <c r="CB75" i="16" s="1"/>
  <c r="CB91" i="16"/>
  <c r="DL6" i="23"/>
  <c r="BD27" i="23"/>
  <c r="AK14" i="10"/>
  <c r="V66" i="10"/>
  <c r="AX52" i="10"/>
  <c r="AJ52" i="10"/>
  <c r="AA55" i="12"/>
  <c r="BC32" i="10"/>
  <c r="BD28" i="10"/>
  <c r="AB54" i="12"/>
  <c r="AR8" i="10"/>
  <c r="BI3" i="23"/>
  <c r="CC41" i="16"/>
  <c r="CW6" i="23"/>
  <c r="AG7" i="12"/>
  <c r="CH19" i="16"/>
  <c r="CK19" i="16" s="1"/>
  <c r="CH35" i="16"/>
  <c r="CK35" i="16" s="1"/>
  <c r="S79" i="10"/>
  <c r="AG79" i="10" s="1"/>
  <c r="AR12" i="10"/>
  <c r="AR26" i="10"/>
  <c r="X20" i="10"/>
  <c r="X82" i="10" s="1"/>
  <c r="X83" i="10" s="1"/>
  <c r="BE77" i="10"/>
  <c r="BE76" i="10"/>
  <c r="AZ40" i="10"/>
  <c r="X57" i="10"/>
  <c r="AL40" i="10"/>
  <c r="AA38" i="10"/>
  <c r="BC38" i="10" s="1"/>
  <c r="BC48" i="10"/>
  <c r="AO48" i="10"/>
  <c r="BQ48" i="10" s="1"/>
  <c r="AA63" i="10"/>
  <c r="AI48" i="10"/>
  <c r="BK48" i="10" s="1"/>
  <c r="BK63" i="10" s="1"/>
  <c r="AW48" i="10"/>
  <c r="U63" i="10"/>
  <c r="AW14" i="10"/>
  <c r="AW77" i="10" s="1"/>
  <c r="U76" i="10"/>
  <c r="AI76" i="10" s="1"/>
  <c r="U8" i="12"/>
  <c r="U31" i="12" s="1"/>
  <c r="U77" i="10"/>
  <c r="AI77" i="10" s="1"/>
  <c r="Z25" i="2"/>
  <c r="S58" i="4" s="1"/>
  <c r="AD28" i="24"/>
  <c r="Y65" i="24"/>
  <c r="AD65" i="24" s="1"/>
  <c r="DO7" i="23"/>
  <c r="CA28" i="23"/>
  <c r="BQ25" i="23"/>
  <c r="BQ62" i="23" s="1"/>
  <c r="BQ61" i="23" s="1"/>
  <c r="BQ3" i="23"/>
  <c r="BQ24" i="23" s="1"/>
  <c r="AV41" i="10"/>
  <c r="AH41" i="10"/>
  <c r="T58" i="10"/>
  <c r="AJ49" i="10"/>
  <c r="BL49" i="10" s="1"/>
  <c r="BL64" i="10" s="1"/>
  <c r="AX49" i="10"/>
  <c r="V64" i="10"/>
  <c r="AZ9" i="12"/>
  <c r="AL9" i="12"/>
  <c r="CA52" i="23"/>
  <c r="DO52" i="23" s="1"/>
  <c r="DO43" i="23"/>
  <c r="CB4" i="23"/>
  <c r="BP3" i="23"/>
  <c r="BP24" i="23" s="1"/>
  <c r="BP25" i="23"/>
  <c r="BP62" i="23" s="1"/>
  <c r="BP61" i="23" s="1"/>
  <c r="J62" i="23"/>
  <c r="CL25" i="23"/>
  <c r="AC11" i="24"/>
  <c r="Z11" i="24"/>
  <c r="AA11" i="24"/>
  <c r="AI24" i="12"/>
  <c r="U47" i="12"/>
  <c r="AW24" i="12"/>
  <c r="AD39" i="12"/>
  <c r="BF39" i="12" s="1"/>
  <c r="BF16" i="12"/>
  <c r="BB39" i="16"/>
  <c r="BC39" i="16"/>
  <c r="AY61" i="23"/>
  <c r="CM62" i="23"/>
  <c r="DG62" i="23"/>
  <c r="BM55" i="11"/>
  <c r="BM75" i="11" s="1"/>
  <c r="BM32" i="11"/>
  <c r="I64" i="12"/>
  <c r="G83" i="12"/>
  <c r="I67" i="12"/>
  <c r="Q60" i="12"/>
  <c r="P60" i="12"/>
  <c r="P64" i="12" s="1"/>
  <c r="AM82" i="16"/>
  <c r="AM71" i="16"/>
  <c r="AG56" i="12"/>
  <c r="AU56" i="12"/>
  <c r="W66" i="10"/>
  <c r="AY52" i="10"/>
  <c r="AK52" i="10"/>
  <c r="BM28" i="11"/>
  <c r="BM106" i="11" s="1"/>
  <c r="BM107" i="11" s="1"/>
  <c r="BI106" i="11"/>
  <c r="BI107" i="11" s="1"/>
  <c r="G33" i="12"/>
  <c r="G44" i="12"/>
  <c r="AR71" i="12"/>
  <c r="AB39" i="20"/>
  <c r="DG63" i="23"/>
  <c r="CM63" i="23"/>
  <c r="AW61" i="23"/>
  <c r="CK62" i="23"/>
  <c r="DE62" i="23"/>
  <c r="BE32" i="10"/>
  <c r="AC55" i="12"/>
  <c r="G48" i="12"/>
  <c r="U94" i="12"/>
  <c r="AX71" i="12"/>
  <c r="AJ71" i="12"/>
  <c r="AF85" i="16"/>
  <c r="X86" i="16"/>
  <c r="P92" i="12"/>
  <c r="M25" i="12"/>
  <c r="BL80" i="10"/>
  <c r="F72" i="12"/>
  <c r="AB26" i="24"/>
  <c r="AB64" i="24"/>
  <c r="AB63" i="24" s="1"/>
  <c r="CK52" i="23"/>
  <c r="DE52" i="23"/>
  <c r="M64" i="23"/>
  <c r="M61" i="23" s="1"/>
  <c r="BA75" i="23" s="1"/>
  <c r="Q27" i="23"/>
  <c r="Q64" i="23" s="1"/>
  <c r="S66" i="10"/>
  <c r="AU52" i="10"/>
  <c r="AG52" i="10"/>
  <c r="CG61" i="23"/>
  <c r="DA61" i="23"/>
  <c r="Y6" i="24"/>
  <c r="Q3" i="23"/>
  <c r="Q24" i="23" s="1"/>
  <c r="AC45" i="24"/>
  <c r="AA45" i="24"/>
  <c r="Z45" i="24"/>
  <c r="CB63" i="23"/>
  <c r="DP63" i="23" s="1"/>
  <c r="DP26" i="23"/>
  <c r="CI3" i="23"/>
  <c r="G24" i="23"/>
  <c r="CI24" i="23" s="1"/>
  <c r="G62" i="23"/>
  <c r="CI25" i="23"/>
  <c r="BW67" i="11"/>
  <c r="BK85" i="11"/>
  <c r="BW85" i="11" s="1"/>
  <c r="AF47" i="12"/>
  <c r="AD47" i="12"/>
  <c r="BF47" i="12" s="1"/>
  <c r="AT47" i="12"/>
  <c r="AE45" i="2"/>
  <c r="AG38" i="10"/>
  <c r="Y9" i="12"/>
  <c r="BA9" i="12" s="1"/>
  <c r="AH61" i="2"/>
  <c r="CH36" i="16"/>
  <c r="CK36" i="16" s="1"/>
  <c r="X61" i="10"/>
  <c r="S80" i="10"/>
  <c r="AG80" i="10" s="1"/>
  <c r="CH31" i="16"/>
  <c r="CK31" i="16" s="1"/>
  <c r="AM38" i="10"/>
  <c r="AI20" i="10"/>
  <c r="AJ38" i="10"/>
  <c r="BT17" i="10"/>
  <c r="R66" i="10"/>
  <c r="AT66" i="10" s="1"/>
  <c r="AR30" i="10"/>
  <c r="X7" i="12"/>
  <c r="X10" i="12" s="1"/>
  <c r="AZ10" i="12" s="1"/>
  <c r="U39" i="20"/>
  <c r="X31" i="11"/>
  <c r="W31" i="11"/>
  <c r="V31" i="11"/>
  <c r="AK31" i="11" s="1"/>
  <c r="Y45" i="20"/>
  <c r="AR4" i="10"/>
  <c r="U42" i="20"/>
  <c r="W61" i="20"/>
  <c r="BM65" i="23"/>
  <c r="BY28" i="23"/>
  <c r="BY65" i="23" s="1"/>
  <c r="Z58" i="10"/>
  <c r="BB41" i="10"/>
  <c r="AN41" i="10"/>
  <c r="BZ59" i="16"/>
  <c r="BZ61" i="16" s="1"/>
  <c r="BZ62" i="16" s="1"/>
  <c r="H24" i="23"/>
  <c r="CJ24" i="23" s="1"/>
  <c r="CJ3" i="23"/>
  <c r="J24" i="23"/>
  <c r="CL24" i="23" s="1"/>
  <c r="CL3" i="23"/>
  <c r="P43" i="12"/>
  <c r="P48" i="12" s="1"/>
  <c r="P10" i="12"/>
  <c r="T86" i="16"/>
  <c r="BQ53" i="16"/>
  <c r="BS53" i="16"/>
  <c r="P21" i="12"/>
  <c r="P23" i="12"/>
  <c r="BS81" i="11"/>
  <c r="BY81" i="11" s="1"/>
  <c r="BY63" i="11"/>
  <c r="J67" i="12"/>
  <c r="J83" i="12"/>
  <c r="J87" i="12" s="1"/>
  <c r="J64" i="12"/>
  <c r="BZ41" i="16"/>
  <c r="BZ78" i="16" s="1"/>
  <c r="BZ85" i="16" s="1"/>
  <c r="BB6" i="10"/>
  <c r="Z71" i="10"/>
  <c r="AN71" i="10" s="1"/>
  <c r="Z6" i="12"/>
  <c r="Z70" i="10"/>
  <c r="AN70" i="10" s="1"/>
  <c r="D87" i="12"/>
  <c r="CB28" i="23"/>
  <c r="DP7" i="23"/>
  <c r="DE24" i="23"/>
  <c r="CK24" i="23"/>
  <c r="X53" i="12"/>
  <c r="AZ24" i="10"/>
  <c r="I25" i="12"/>
  <c r="BA44" i="10"/>
  <c r="AM44" i="10"/>
  <c r="Y60" i="10"/>
  <c r="AC59" i="24"/>
  <c r="Z59" i="24"/>
  <c r="AA59" i="24"/>
  <c r="X68" i="24"/>
  <c r="AQ68" i="16"/>
  <c r="AV67" i="16"/>
  <c r="L25" i="12"/>
  <c r="BU23" i="11"/>
  <c r="BM23" i="11"/>
  <c r="BY23" i="11" s="1"/>
  <c r="BM53" i="11"/>
  <c r="U81" i="20"/>
  <c r="U32" i="20"/>
  <c r="BY40" i="11"/>
  <c r="W25" i="20"/>
  <c r="U51" i="26" a="1"/>
  <c r="AR85" i="16"/>
  <c r="AR86" i="16" s="1"/>
  <c r="AR71" i="16"/>
  <c r="AR73" i="16" s="1"/>
  <c r="BS94" i="11"/>
  <c r="AI86" i="12"/>
  <c r="AR86" i="12" s="1"/>
  <c r="AD86" i="12"/>
  <c r="BF86" i="12" s="1"/>
  <c r="AW86" i="12"/>
  <c r="P20" i="12"/>
  <c r="M40" i="12"/>
  <c r="DH52" i="23"/>
  <c r="CN52" i="23"/>
  <c r="AD8" i="24"/>
  <c r="Y29" i="24"/>
  <c r="M83" i="12"/>
  <c r="M87" i="12" s="1"/>
  <c r="M64" i="12"/>
  <c r="M67" i="12"/>
  <c r="AL66" i="10"/>
  <c r="AZ66" i="10"/>
  <c r="BY4" i="23"/>
  <c r="BY3" i="23" s="1"/>
  <c r="BY24" i="23" s="1"/>
  <c r="P80" i="12"/>
  <c r="BN25" i="23"/>
  <c r="BN62" i="23" s="1"/>
  <c r="BN61" i="23" s="1"/>
  <c r="BN3" i="23"/>
  <c r="BN24" i="23" s="1"/>
  <c r="BE6" i="12"/>
  <c r="AQ6" i="12"/>
  <c r="CF95" i="16"/>
  <c r="CF13" i="16"/>
  <c r="CF52" i="16" s="1"/>
  <c r="CF55" i="16" s="1"/>
  <c r="CF56" i="16" s="1"/>
  <c r="CF83" i="16" s="1"/>
  <c r="AP44" i="10"/>
  <c r="AB60" i="10"/>
  <c r="BD44" i="10"/>
  <c r="DR65" i="23"/>
  <c r="CD61" i="23"/>
  <c r="DR61" i="23" s="1"/>
  <c r="DQ52" i="23"/>
  <c r="AH4" i="16"/>
  <c r="AI22" i="16"/>
  <c r="AG21" i="16"/>
  <c r="R13" i="16"/>
  <c r="AM62" i="16"/>
  <c r="AV61" i="16"/>
  <c r="AH55" i="12"/>
  <c r="AV55" i="12"/>
  <c r="T69" i="12"/>
  <c r="AZ47" i="12"/>
  <c r="AL47" i="12"/>
  <c r="AZ61" i="23"/>
  <c r="CN62" i="23"/>
  <c r="DH62" i="23"/>
  <c r="CE21" i="16"/>
  <c r="CE64" i="16" s="1"/>
  <c r="AR22" i="10"/>
  <c r="AV80" i="10"/>
  <c r="AB25" i="20"/>
  <c r="AP32" i="10"/>
  <c r="AP38" i="10" s="1"/>
  <c r="BH65" i="23"/>
  <c r="CV65" i="23" s="1"/>
  <c r="CV28" i="23"/>
  <c r="DO57" i="23"/>
  <c r="CA66" i="23"/>
  <c r="DO66" i="23" s="1"/>
  <c r="C5" i="27"/>
  <c r="F3" i="27"/>
  <c r="CJ25" i="23"/>
  <c r="H62" i="23"/>
  <c r="BU8" i="10"/>
  <c r="BO44" i="10"/>
  <c r="AA74" i="10"/>
  <c r="AO74" i="10" s="1"/>
  <c r="AA7" i="12"/>
  <c r="AA73" i="10"/>
  <c r="AO73" i="10" s="1"/>
  <c r="BC10" i="10"/>
  <c r="BC73" i="10" s="1"/>
  <c r="BG17" i="16"/>
  <c r="BG13" i="16"/>
  <c r="BG9" i="16"/>
  <c r="BG21" i="16"/>
  <c r="BS97" i="11"/>
  <c r="BY97" i="11" s="1"/>
  <c r="BY19" i="11"/>
  <c r="AO47" i="12"/>
  <c r="BC47" i="12"/>
  <c r="BB40" i="16"/>
  <c r="BC40" i="16"/>
  <c r="DP18" i="23"/>
  <c r="AD20" i="24"/>
  <c r="AC20" i="24"/>
  <c r="BZ12" i="16"/>
  <c r="BZ13" i="16" s="1"/>
  <c r="BZ52" i="16" s="1"/>
  <c r="V10" i="10"/>
  <c r="V20" i="10" s="1"/>
  <c r="AJ9" i="10"/>
  <c r="AJ10" i="10" s="1"/>
  <c r="AX9" i="10"/>
  <c r="AO82" i="16"/>
  <c r="AO86" i="16" s="1"/>
  <c r="AO71" i="16"/>
  <c r="BC35" i="16"/>
  <c r="BB35" i="16"/>
  <c r="AZ41" i="10"/>
  <c r="X58" i="10"/>
  <c r="AL41" i="10"/>
  <c r="AF83" i="16"/>
  <c r="AF86" i="16" s="1"/>
  <c r="U86" i="16"/>
  <c r="Y54" i="12"/>
  <c r="BA28" i="10"/>
  <c r="J33" i="12"/>
  <c r="BI85" i="11"/>
  <c r="BU85" i="11" s="1"/>
  <c r="BU67" i="11"/>
  <c r="BM101" i="11"/>
  <c r="BY101" i="11" s="1"/>
  <c r="BY21" i="11"/>
  <c r="BM67" i="11"/>
  <c r="AT94" i="12"/>
  <c r="AF94" i="12"/>
  <c r="AD94" i="12"/>
  <c r="BF94" i="12" s="1"/>
  <c r="CM24" i="23"/>
  <c r="DG24" i="23"/>
  <c r="G64" i="24"/>
  <c r="G63" i="24" s="1"/>
  <c r="G26" i="24"/>
  <c r="H26" i="24" s="1"/>
  <c r="T63" i="23"/>
  <c r="CV63" i="23" s="1"/>
  <c r="CV26" i="23"/>
  <c r="BS79" i="11"/>
  <c r="BY79" i="11" s="1"/>
  <c r="BY60" i="11"/>
  <c r="BH24" i="23"/>
  <c r="BI17" i="16"/>
  <c r="BI13" i="16"/>
  <c r="BI21" i="16"/>
  <c r="BI9" i="16"/>
  <c r="H72" i="12"/>
  <c r="BS54" i="16"/>
  <c r="BQ54" i="16"/>
  <c r="BS78" i="11"/>
  <c r="BY78" i="11" s="1"/>
  <c r="BY59" i="11"/>
  <c r="AS56" i="16"/>
  <c r="AS72" i="16"/>
  <c r="AV55" i="16"/>
  <c r="P78" i="12"/>
  <c r="D80" i="12"/>
  <c r="AQ50" i="16"/>
  <c r="AQ72" i="16"/>
  <c r="BX67" i="11"/>
  <c r="BL85" i="11"/>
  <c r="BX85" i="11" s="1"/>
  <c r="DC61" i="23"/>
  <c r="DO4" i="23"/>
  <c r="CA3" i="23"/>
  <c r="CA25" i="23"/>
  <c r="D5" i="18"/>
  <c r="F3" i="18"/>
  <c r="F5" i="18" s="1"/>
  <c r="BD10" i="10"/>
  <c r="AB73" i="10"/>
  <c r="AP73" i="10" s="1"/>
  <c r="AB74" i="10"/>
  <c r="AP74" i="10" s="1"/>
  <c r="AB7" i="12"/>
  <c r="X6" i="12"/>
  <c r="X71" i="10"/>
  <c r="AL71" i="10" s="1"/>
  <c r="X70" i="10"/>
  <c r="AL70" i="10" s="1"/>
  <c r="AZ6" i="10"/>
  <c r="AW24" i="10"/>
  <c r="U53" i="12"/>
  <c r="R9" i="16"/>
  <c r="BM13" i="16"/>
  <c r="BM9" i="16"/>
  <c r="BM17" i="16"/>
  <c r="BM21" i="16"/>
  <c r="P31" i="12"/>
  <c r="D45" i="12"/>
  <c r="P45" i="12" s="1"/>
  <c r="AO61" i="23"/>
  <c r="DQ64" i="23"/>
  <c r="AR24" i="12"/>
  <c r="D72" i="12"/>
  <c r="P70" i="12"/>
  <c r="D93" i="12"/>
  <c r="P93" i="12" s="1"/>
  <c r="U61" i="23"/>
  <c r="AV74" i="10"/>
  <c r="H27" i="24"/>
  <c r="AA20" i="10"/>
  <c r="CB22" i="16"/>
  <c r="BA18" i="10"/>
  <c r="BA79" i="10" s="1"/>
  <c r="BX104" i="16"/>
  <c r="CO27" i="23"/>
  <c r="CA79" i="16"/>
  <c r="CC17" i="16"/>
  <c r="CC58" i="16" s="1"/>
  <c r="S9" i="12"/>
  <c r="R32" i="12" s="1"/>
  <c r="AT32" i="12" s="1"/>
  <c r="CH27" i="16"/>
  <c r="CK27" i="16" s="1"/>
  <c r="AQ10" i="10"/>
  <c r="BQ32" i="10"/>
  <c r="BW32" i="10" s="1"/>
  <c r="L25" i="20"/>
  <c r="M62" i="20"/>
  <c r="U62" i="20"/>
  <c r="V60" i="20"/>
  <c r="AA31" i="11"/>
  <c r="AP31" i="11" s="1"/>
  <c r="Y31" i="11"/>
  <c r="Y56" i="11" s="1"/>
  <c r="U5" i="20"/>
  <c r="W45" i="20"/>
  <c r="O61" i="2"/>
  <c r="V65" i="20"/>
  <c r="V79" i="20"/>
  <c r="AQ44" i="10"/>
  <c r="BE44" i="10"/>
  <c r="AC60" i="10"/>
  <c r="T25" i="23"/>
  <c r="T62" i="23" s="1"/>
  <c r="T61" i="23" s="1"/>
  <c r="T3" i="23"/>
  <c r="T24" i="23" s="1"/>
  <c r="V25" i="23"/>
  <c r="V62" i="23" s="1"/>
  <c r="V61" i="23" s="1"/>
  <c r="V3" i="23"/>
  <c r="V24" i="23" s="1"/>
  <c r="BS48" i="16"/>
  <c r="BQ48" i="16"/>
  <c r="AJ86" i="16"/>
  <c r="AW39" i="12"/>
  <c r="AI39" i="12"/>
  <c r="AR39" i="12" s="1"/>
  <c r="D44" i="12"/>
  <c r="P44" i="12" s="1"/>
  <c r="P30" i="12"/>
  <c r="P33" i="12" s="1"/>
  <c r="D33" i="12"/>
  <c r="P32" i="12"/>
  <c r="D46" i="12"/>
  <c r="P46" i="12" s="1"/>
  <c r="P68" i="12"/>
  <c r="D91" i="12"/>
  <c r="DD61" i="23"/>
  <c r="DF61" i="23"/>
  <c r="AV49" i="16"/>
  <c r="AV72" i="16" s="1"/>
  <c r="F5" i="27"/>
  <c r="CK3" i="23"/>
  <c r="BL20" i="10"/>
  <c r="BL82" i="10" s="1"/>
  <c r="BL83" i="10" s="1"/>
  <c r="BL70" i="10"/>
  <c r="CU4" i="23"/>
  <c r="S3" i="23"/>
  <c r="S25" i="23"/>
  <c r="BM104" i="11"/>
  <c r="BM103" i="11"/>
  <c r="BC36" i="16"/>
  <c r="BB36" i="16"/>
  <c r="U65" i="20"/>
  <c r="I61" i="23"/>
  <c r="BA22" i="16"/>
  <c r="CC33" i="16"/>
  <c r="CC76" i="16" s="1"/>
  <c r="CC95" i="16"/>
  <c r="J48" i="12"/>
  <c r="BY64" i="11"/>
  <c r="BS82" i="11"/>
  <c r="BY82" i="11" s="1"/>
  <c r="AD71" i="12"/>
  <c r="BF71" i="12" s="1"/>
  <c r="BC94" i="12"/>
  <c r="AO94" i="12"/>
  <c r="BK9" i="16"/>
  <c r="BK17" i="16"/>
  <c r="BK13" i="16"/>
  <c r="BK21" i="16"/>
  <c r="X83" i="24"/>
  <c r="Y82" i="24" s="1"/>
  <c r="CB92" i="16"/>
  <c r="Z65" i="2"/>
  <c r="Z81" i="2"/>
  <c r="BH62" i="23"/>
  <c r="CV25" i="23"/>
  <c r="AQ49" i="10"/>
  <c r="AC64" i="10"/>
  <c r="BE49" i="10"/>
  <c r="G91" i="12"/>
  <c r="P5" i="24"/>
  <c r="P27" i="24"/>
  <c r="Q27" i="24" s="1"/>
  <c r="DB61" i="23"/>
  <c r="AL3" i="16"/>
  <c r="BF22" i="16" s="1"/>
  <c r="AR3" i="16"/>
  <c r="BL22" i="16" s="1"/>
  <c r="AJ3" i="16"/>
  <c r="BD22" i="16" s="1"/>
  <c r="AN3" i="16"/>
  <c r="BH22" i="16" s="1"/>
  <c r="AX4" i="16"/>
  <c r="AP3" i="16"/>
  <c r="BJ22" i="16" s="1"/>
  <c r="BT22" i="16"/>
  <c r="AT3" i="16"/>
  <c r="BN22" i="16" s="1"/>
  <c r="AW17" i="16"/>
  <c r="AW13" i="16"/>
  <c r="AU3" i="16"/>
  <c r="BO22" i="16" s="1"/>
  <c r="AK3" i="16"/>
  <c r="BE22" i="16" s="1"/>
  <c r="R37" i="16"/>
  <c r="AS94" i="11"/>
  <c r="AS79" i="11" s="1"/>
  <c r="M43" i="12"/>
  <c r="M48" i="12" s="1"/>
  <c r="M33" i="12"/>
  <c r="P37" i="12"/>
  <c r="P40" i="12" s="1"/>
  <c r="D95" i="12"/>
  <c r="DE65" i="23"/>
  <c r="CK65" i="23"/>
  <c r="BQ44" i="10"/>
  <c r="CU28" i="23"/>
  <c r="S65" i="23"/>
  <c r="BM62" i="23"/>
  <c r="BM61" i="23" s="1"/>
  <c r="F24" i="23"/>
  <c r="CH24" i="23" s="1"/>
  <c r="CH3" i="23"/>
  <c r="F62" i="23"/>
  <c r="CH25" i="23"/>
  <c r="Q25" i="23"/>
  <c r="Q62" i="23" s="1"/>
  <c r="Q61" i="23" s="1"/>
  <c r="BO25" i="23"/>
  <c r="BO62" i="23" s="1"/>
  <c r="BO61" i="23" s="1"/>
  <c r="BO3" i="23"/>
  <c r="BO24" i="23" s="1"/>
  <c r="AI40" i="10"/>
  <c r="AW40" i="10"/>
  <c r="U57" i="10"/>
  <c r="P22" i="12"/>
  <c r="AD24" i="12"/>
  <c r="BF24" i="12" s="1"/>
  <c r="CC61" i="23"/>
  <c r="DQ61" i="23" s="1"/>
  <c r="CU65" i="23"/>
  <c r="DQ24" i="23"/>
  <c r="AZ79" i="10"/>
  <c r="U3" i="23"/>
  <c r="U24" i="23" s="1"/>
  <c r="CR56" i="23"/>
  <c r="DL56" i="23"/>
  <c r="BD65" i="23"/>
  <c r="AN30" i="11"/>
  <c r="BB30" i="11"/>
  <c r="AZ30" i="11"/>
  <c r="AL30" i="11"/>
  <c r="AP6" i="11"/>
  <c r="BD6" i="11"/>
  <c r="BR6" i="11"/>
  <c r="BX6" i="11" s="1"/>
  <c r="BF30" i="11"/>
  <c r="AR30" i="11"/>
  <c r="AW30" i="11"/>
  <c r="AI30" i="11"/>
  <c r="BR30" i="11"/>
  <c r="BX30" i="11" s="1"/>
  <c r="BD30" i="11"/>
  <c r="AP30" i="11"/>
  <c r="AJ6" i="11"/>
  <c r="BP6" i="11"/>
  <c r="BV6" i="11" s="1"/>
  <c r="CA6" i="11"/>
  <c r="AX6" i="11"/>
  <c r="AM6" i="11"/>
  <c r="BA6" i="11"/>
  <c r="BQ6" i="11"/>
  <c r="BW6" i="11" s="1"/>
  <c r="U36" i="11"/>
  <c r="U61" i="12" s="1"/>
  <c r="T36" i="11"/>
  <c r="T61" i="12" s="1"/>
  <c r="AH61" i="12" s="1"/>
  <c r="V62" i="20"/>
  <c r="AJ30" i="11"/>
  <c r="CA30" i="11"/>
  <c r="AX30" i="11"/>
  <c r="BP30" i="11"/>
  <c r="BV30" i="11" s="1"/>
  <c r="AU30" i="11"/>
  <c r="AG30" i="11"/>
  <c r="BO30" i="11"/>
  <c r="AD30" i="11"/>
  <c r="BG30" i="11" s="1"/>
  <c r="BC30" i="11"/>
  <c r="AO30" i="11"/>
  <c r="AQ6" i="11"/>
  <c r="BE6" i="11"/>
  <c r="AK6" i="11"/>
  <c r="AY6" i="11"/>
  <c r="CB6" i="11"/>
  <c r="AN6" i="11"/>
  <c r="BB6" i="11"/>
  <c r="DK56" i="23"/>
  <c r="CQ56" i="23"/>
  <c r="AY30" i="11"/>
  <c r="AK30" i="11"/>
  <c r="CB30" i="11"/>
  <c r="AO6" i="11"/>
  <c r="BC6" i="11"/>
  <c r="AZ6" i="11"/>
  <c r="AL6" i="11"/>
  <c r="D61" i="20"/>
  <c r="Z36" i="11"/>
  <c r="Z61" i="12" s="1"/>
  <c r="AW6" i="11"/>
  <c r="AI6" i="11"/>
  <c r="M45" i="20"/>
  <c r="W36" i="11"/>
  <c r="W61" i="12" s="1"/>
  <c r="W68" i="12" s="1"/>
  <c r="AK68" i="12" s="1"/>
  <c r="BA30" i="11"/>
  <c r="BQ30" i="11"/>
  <c r="BW30" i="11" s="1"/>
  <c r="AM30" i="11"/>
  <c r="AQ30" i="11"/>
  <c r="BE30" i="11"/>
  <c r="AV30" i="11"/>
  <c r="AH30" i="11"/>
  <c r="AD6" i="11"/>
  <c r="BG6" i="11" s="1"/>
  <c r="BO6" i="11"/>
  <c r="AG6" i="11"/>
  <c r="AU6" i="11"/>
  <c r="AV6" i="11"/>
  <c r="AH6" i="11"/>
  <c r="AR6" i="11"/>
  <c r="BF6" i="11"/>
  <c r="X8" i="24"/>
  <c r="T8" i="24"/>
  <c r="V8" i="24"/>
  <c r="R8" i="24"/>
  <c r="O29" i="24"/>
  <c r="Q8" i="24"/>
  <c r="BD6" i="10"/>
  <c r="BD70" i="10" s="1"/>
  <c r="AB6" i="12"/>
  <c r="AB70" i="10"/>
  <c r="AP70" i="10" s="1"/>
  <c r="AB71" i="10"/>
  <c r="AP71" i="10" s="1"/>
  <c r="AX56" i="12"/>
  <c r="AJ56" i="12"/>
  <c r="AK40" i="10"/>
  <c r="AY40" i="10"/>
  <c r="W57" i="10"/>
  <c r="AU54" i="12"/>
  <c r="AG54" i="12"/>
  <c r="AV56" i="12"/>
  <c r="AH56" i="12"/>
  <c r="R6" i="12"/>
  <c r="R71" i="10"/>
  <c r="AF71" i="10" s="1"/>
  <c r="AT6" i="10"/>
  <c r="AT71" i="10" s="1"/>
  <c r="R70" i="10"/>
  <c r="AF70" i="10" s="1"/>
  <c r="BJ26" i="23"/>
  <c r="CX26" i="23" s="1"/>
  <c r="CX5" i="23"/>
  <c r="BV26" i="10"/>
  <c r="BP44" i="10"/>
  <c r="BR26" i="10"/>
  <c r="AR5" i="10"/>
  <c r="R30" i="12"/>
  <c r="AF30" i="12" s="1"/>
  <c r="AI53" i="10"/>
  <c r="BR22" i="10"/>
  <c r="O45" i="2"/>
  <c r="BN40" i="10"/>
  <c r="BT40" i="10" s="1"/>
  <c r="BW5" i="10"/>
  <c r="BQ6" i="10"/>
  <c r="BJ27" i="23"/>
  <c r="CX6" i="23"/>
  <c r="AJ55" i="12"/>
  <c r="AX55" i="12"/>
  <c r="V69" i="12"/>
  <c r="AZ77" i="10"/>
  <c r="AJ60" i="10"/>
  <c r="AX60" i="10"/>
  <c r="BF26" i="10"/>
  <c r="AD44" i="10"/>
  <c r="CG96" i="16"/>
  <c r="BR5" i="10"/>
  <c r="BX5" i="10" s="1"/>
  <c r="BY41" i="16"/>
  <c r="Y5" i="2"/>
  <c r="Y25" i="2" s="1"/>
  <c r="S57" i="4" s="1"/>
  <c r="CO3" i="23"/>
  <c r="Y21" i="2"/>
  <c r="Y41" i="2" s="1"/>
  <c r="AW53" i="10"/>
  <c r="AZ73" i="10"/>
  <c r="BY33" i="16"/>
  <c r="BY76" i="16" s="1"/>
  <c r="BY83" i="16" s="1"/>
  <c r="AP20" i="10"/>
  <c r="Y54" i="2"/>
  <c r="Y61" i="2" s="1"/>
  <c r="BR4" i="10"/>
  <c r="BX4" i="10" s="1"/>
  <c r="BV5" i="10"/>
  <c r="BP41" i="10"/>
  <c r="BP6" i="10"/>
  <c r="DJ27" i="23"/>
  <c r="BB64" i="23"/>
  <c r="CP27" i="23"/>
  <c r="CS5" i="23"/>
  <c r="DM5" i="23"/>
  <c r="AB58" i="10"/>
  <c r="AP41" i="10"/>
  <c r="BD41" i="10"/>
  <c r="BA65" i="23"/>
  <c r="CO28" i="23"/>
  <c r="DI28" i="23"/>
  <c r="U61" i="10"/>
  <c r="AW45" i="10"/>
  <c r="AI45" i="10"/>
  <c r="AY24" i="10"/>
  <c r="W53" i="12"/>
  <c r="W38" i="10"/>
  <c r="AY38" i="10" s="1"/>
  <c r="AO53" i="12"/>
  <c r="BC53" i="12"/>
  <c r="CQ28" i="23"/>
  <c r="DK28" i="23"/>
  <c r="BC65" i="23"/>
  <c r="AL60" i="10"/>
  <c r="AZ60" i="10"/>
  <c r="DM6" i="23"/>
  <c r="CS6" i="23"/>
  <c r="AF54" i="12"/>
  <c r="AT54" i="12"/>
  <c r="DL26" i="23"/>
  <c r="CR26" i="23"/>
  <c r="BE26" i="23"/>
  <c r="AF63" i="10"/>
  <c r="AT63" i="10"/>
  <c r="AN44" i="10"/>
  <c r="Z60" i="10"/>
  <c r="BB44" i="10"/>
  <c r="BI28" i="23"/>
  <c r="CW7" i="23"/>
  <c r="AB64" i="10"/>
  <c r="BD49" i="10"/>
  <c r="AP49" i="10"/>
  <c r="BR49" i="10" s="1"/>
  <c r="CR3" i="23"/>
  <c r="DL3" i="23"/>
  <c r="BD24" i="23"/>
  <c r="BA55" i="12"/>
  <c r="AM55" i="12"/>
  <c r="Y69" i="12"/>
  <c r="CE9" i="16"/>
  <c r="CE46" i="16" s="1"/>
  <c r="CE49" i="16" s="1"/>
  <c r="CE50" i="16" s="1"/>
  <c r="CE82" i="16" s="1"/>
  <c r="Y6" i="12"/>
  <c r="BA6" i="10"/>
  <c r="BA70" i="10" s="1"/>
  <c r="Y70" i="10"/>
  <c r="AM70" i="10" s="1"/>
  <c r="BC41" i="10"/>
  <c r="AO41" i="10"/>
  <c r="AA58" i="10"/>
  <c r="BU22" i="10"/>
  <c r="BO40" i="10"/>
  <c r="BO24" i="10"/>
  <c r="BU24" i="10" s="1"/>
  <c r="AV71" i="10"/>
  <c r="AV70" i="10"/>
  <c r="BV91" i="16"/>
  <c r="BV9" i="16"/>
  <c r="BV46" i="16" s="1"/>
  <c r="AX77" i="10"/>
  <c r="AK20" i="10"/>
  <c r="BN6" i="10"/>
  <c r="BN71" i="10" s="1"/>
  <c r="BY104" i="16"/>
  <c r="AJ6" i="10"/>
  <c r="AJ20" i="10" s="1"/>
  <c r="O5" i="24"/>
  <c r="AR16" i="10"/>
  <c r="AR52" i="10" s="1"/>
  <c r="BA41" i="10"/>
  <c r="AM41" i="10"/>
  <c r="Y58" i="10"/>
  <c r="CC9" i="16"/>
  <c r="CC46" i="16" s="1"/>
  <c r="CC47" i="16" s="1"/>
  <c r="CC49" i="16" s="1"/>
  <c r="CC50" i="16" s="1"/>
  <c r="CC92" i="16"/>
  <c r="AA70" i="10"/>
  <c r="AO70" i="10" s="1"/>
  <c r="BC6" i="10"/>
  <c r="BC70" i="10" s="1"/>
  <c r="AA6" i="12"/>
  <c r="AA10" i="12" s="1"/>
  <c r="BC10" i="12" s="1"/>
  <c r="X22" i="12"/>
  <c r="AL8" i="12"/>
  <c r="AZ8" i="12"/>
  <c r="U54" i="12"/>
  <c r="AW28" i="10"/>
  <c r="CF37" i="16"/>
  <c r="CF77" i="16" s="1"/>
  <c r="CF100" i="16"/>
  <c r="BD32" i="10"/>
  <c r="AB55" i="12"/>
  <c r="AU57" i="10"/>
  <c r="AG57" i="10"/>
  <c r="AV6" i="12"/>
  <c r="AH6" i="12"/>
  <c r="AK67" i="10"/>
  <c r="AY67" i="10"/>
  <c r="AT40" i="10"/>
  <c r="R57" i="10"/>
  <c r="AF40" i="10"/>
  <c r="BD52" i="23"/>
  <c r="DL34" i="23"/>
  <c r="CR34" i="23"/>
  <c r="CO36" i="23"/>
  <c r="BA54" i="23"/>
  <c r="BI36" i="23"/>
  <c r="DI36" i="23"/>
  <c r="BE36" i="23"/>
  <c r="BE34" i="23" s="1"/>
  <c r="O38" i="24"/>
  <c r="CS35" i="23"/>
  <c r="DM35" i="23"/>
  <c r="C45" i="20"/>
  <c r="C59" i="20"/>
  <c r="DJ53" i="23"/>
  <c r="CP53" i="23"/>
  <c r="AM26" i="11"/>
  <c r="BQ26" i="11"/>
  <c r="BA26" i="11"/>
  <c r="W71" i="11"/>
  <c r="AL50" i="11"/>
  <c r="AZ50" i="11"/>
  <c r="AL31" i="11"/>
  <c r="AL32" i="11" s="1"/>
  <c r="AL53" i="11" s="1"/>
  <c r="W32" i="11"/>
  <c r="W56" i="11"/>
  <c r="AZ31" i="11"/>
  <c r="CB31" i="11"/>
  <c r="V32" i="11"/>
  <c r="W51" i="11"/>
  <c r="W52" i="11" s="1"/>
  <c r="Y51" i="11"/>
  <c r="Y52" i="11" s="1"/>
  <c r="V51" i="11"/>
  <c r="S51" i="11"/>
  <c r="S52" i="11" s="1"/>
  <c r="AA51" i="11"/>
  <c r="R51" i="11"/>
  <c r="R52" i="11" s="1"/>
  <c r="AB51" i="11"/>
  <c r="Z51" i="11"/>
  <c r="X51" i="11"/>
  <c r="X52" i="11" s="1"/>
  <c r="AC51" i="11"/>
  <c r="AC52" i="11" s="1"/>
  <c r="U51" i="11"/>
  <c r="T51" i="11"/>
  <c r="T52" i="11" s="1"/>
  <c r="U59" i="20"/>
  <c r="BF25" i="11"/>
  <c r="AR25" i="11"/>
  <c r="AC27" i="11"/>
  <c r="AC103" i="11" s="1"/>
  <c r="AH25" i="11"/>
  <c r="AV25" i="11"/>
  <c r="S27" i="11"/>
  <c r="S103" i="11" s="1"/>
  <c r="BQ25" i="11"/>
  <c r="AM25" i="11"/>
  <c r="BA25" i="11"/>
  <c r="X27" i="11"/>
  <c r="X104" i="11" s="1"/>
  <c r="M54" i="24"/>
  <c r="F82" i="24"/>
  <c r="I54" i="24"/>
  <c r="H54" i="24"/>
  <c r="K54" i="24"/>
  <c r="CP36" i="23"/>
  <c r="BJ36" i="23"/>
  <c r="BJ34" i="23" s="1"/>
  <c r="BB54" i="23"/>
  <c r="DJ36" i="23"/>
  <c r="BI53" i="23"/>
  <c r="CW53" i="23" s="1"/>
  <c r="BI34" i="23"/>
  <c r="CW35" i="23"/>
  <c r="CO53" i="23"/>
  <c r="BE53" i="23"/>
  <c r="DI53" i="23"/>
  <c r="Z40" i="24"/>
  <c r="AA40" i="24"/>
  <c r="BP26" i="11"/>
  <c r="AX26" i="11"/>
  <c r="CA26" i="11"/>
  <c r="AJ26" i="11"/>
  <c r="AV26" i="11"/>
  <c r="AH26" i="11"/>
  <c r="AY26" i="11"/>
  <c r="AK26" i="11"/>
  <c r="CB26" i="11"/>
  <c r="BA50" i="11"/>
  <c r="X71" i="11"/>
  <c r="AM50" i="11"/>
  <c r="BQ50" i="11"/>
  <c r="AW50" i="11"/>
  <c r="AI50" i="11"/>
  <c r="T71" i="11"/>
  <c r="AH50" i="11"/>
  <c r="S71" i="11"/>
  <c r="AV50" i="11"/>
  <c r="S36" i="11"/>
  <c r="S61" i="12" s="1"/>
  <c r="AI31" i="11"/>
  <c r="AI32" i="11" s="1"/>
  <c r="AI53" i="11" s="1"/>
  <c r="AW31" i="11"/>
  <c r="AD31" i="11"/>
  <c r="AG31" i="11"/>
  <c r="R32" i="11"/>
  <c r="AH31" i="11"/>
  <c r="AH32" i="11" s="1"/>
  <c r="AH53" i="11" s="1"/>
  <c r="AV31" i="11"/>
  <c r="S56" i="11"/>
  <c r="S32" i="11"/>
  <c r="AD35" i="11"/>
  <c r="AY5" i="11"/>
  <c r="V7" i="11"/>
  <c r="V91" i="11" s="1"/>
  <c r="AK91" i="11" s="1"/>
  <c r="CB5" i="11"/>
  <c r="AK5" i="11"/>
  <c r="V55" i="11"/>
  <c r="BF5" i="11"/>
  <c r="AC7" i="11"/>
  <c r="AR5" i="11"/>
  <c r="AC55" i="11"/>
  <c r="AN5" i="11"/>
  <c r="AN7" i="11" s="1"/>
  <c r="AN28" i="11" s="1"/>
  <c r="Y7" i="11"/>
  <c r="BB5" i="11"/>
  <c r="Y55" i="11"/>
  <c r="AK25" i="11"/>
  <c r="CB25" i="11"/>
  <c r="V27" i="11"/>
  <c r="AY25" i="11"/>
  <c r="V103" i="11"/>
  <c r="AL25" i="11"/>
  <c r="W27" i="11"/>
  <c r="W104" i="11" s="1"/>
  <c r="AZ25" i="11"/>
  <c r="W103" i="11"/>
  <c r="BC25" i="11"/>
  <c r="AO25" i="11"/>
  <c r="Z27" i="11"/>
  <c r="Z103" i="11" s="1"/>
  <c r="H67" i="24"/>
  <c r="I67" i="24"/>
  <c r="K67" i="24"/>
  <c r="M67" i="24"/>
  <c r="AN26" i="11"/>
  <c r="BB26" i="11"/>
  <c r="AD9" i="11"/>
  <c r="BA31" i="11"/>
  <c r="X32" i="11"/>
  <c r="D45" i="20"/>
  <c r="D59" i="20"/>
  <c r="R7" i="11"/>
  <c r="AU5" i="11"/>
  <c r="AD5" i="11"/>
  <c r="AG5" i="11"/>
  <c r="BO5" i="11"/>
  <c r="R91" i="11"/>
  <c r="AG91" i="11" s="1"/>
  <c r="R55" i="11"/>
  <c r="BD5" i="11"/>
  <c r="BR5" i="11"/>
  <c r="AP5" i="11"/>
  <c r="AP7" i="11" s="1"/>
  <c r="AP28" i="11" s="1"/>
  <c r="AA7" i="11"/>
  <c r="AA55" i="11"/>
  <c r="BD54" i="23"/>
  <c r="CR36" i="23"/>
  <c r="DL36" i="23"/>
  <c r="O55" i="24"/>
  <c r="O64" i="24" s="1"/>
  <c r="O36" i="24"/>
  <c r="V37" i="24"/>
  <c r="T37" i="24"/>
  <c r="Q37" i="24"/>
  <c r="R37" i="24"/>
  <c r="X37" i="24"/>
  <c r="CX35" i="23"/>
  <c r="BJ53" i="23"/>
  <c r="CX53" i="23" s="1"/>
  <c r="AP26" i="11"/>
  <c r="BD26" i="11"/>
  <c r="BR26" i="11"/>
  <c r="BF26" i="11"/>
  <c r="AR26" i="11"/>
  <c r="BC26" i="11"/>
  <c r="AO26" i="11"/>
  <c r="Y71" i="11"/>
  <c r="AN50" i="11"/>
  <c r="BB50" i="11"/>
  <c r="AB71" i="11"/>
  <c r="AQ50" i="11"/>
  <c r="BE50" i="11"/>
  <c r="BP50" i="11"/>
  <c r="AX50" i="11"/>
  <c r="CA50" i="11"/>
  <c r="AJ50" i="11"/>
  <c r="U71" i="11"/>
  <c r="U52" i="11"/>
  <c r="AA36" i="11"/>
  <c r="AA61" i="12" s="1"/>
  <c r="AD34" i="11"/>
  <c r="R36" i="11"/>
  <c r="R61" i="12" s="1"/>
  <c r="AZ61" i="12"/>
  <c r="AL61" i="12"/>
  <c r="BR31" i="11"/>
  <c r="AA56" i="11"/>
  <c r="AA32" i="11"/>
  <c r="AN31" i="11"/>
  <c r="BB31" i="11"/>
  <c r="AX31" i="11"/>
  <c r="U32" i="11"/>
  <c r="CA31" i="11"/>
  <c r="U56" i="11"/>
  <c r="AJ31" i="11"/>
  <c r="AJ32" i="11" s="1"/>
  <c r="AJ53" i="11" s="1"/>
  <c r="L60" i="20"/>
  <c r="BQ5" i="11"/>
  <c r="X7" i="11"/>
  <c r="AM5" i="11"/>
  <c r="BA5" i="11"/>
  <c r="X55" i="11"/>
  <c r="S55" i="11"/>
  <c r="S7" i="11"/>
  <c r="S91" i="11" s="1"/>
  <c r="AH91" i="11" s="1"/>
  <c r="AV5" i="11"/>
  <c r="AH5" i="11"/>
  <c r="AH7" i="11" s="1"/>
  <c r="AH28" i="11" s="1"/>
  <c r="AQ5" i="11"/>
  <c r="AQ7" i="11" s="1"/>
  <c r="AQ28" i="11" s="1"/>
  <c r="AB7" i="11"/>
  <c r="AB91" i="11" s="1"/>
  <c r="AQ91" i="11" s="1"/>
  <c r="BE5" i="11"/>
  <c r="AB55" i="11"/>
  <c r="U34" i="20"/>
  <c r="U21" i="20"/>
  <c r="U41" i="20" s="1"/>
  <c r="V34" i="20"/>
  <c r="V5" i="20"/>
  <c r="V25" i="20" s="1"/>
  <c r="AW25" i="11"/>
  <c r="AI25" i="11"/>
  <c r="T27" i="11"/>
  <c r="T104" i="11" s="1"/>
  <c r="AN25" i="11"/>
  <c r="BB25" i="11"/>
  <c r="Y27" i="11"/>
  <c r="Y104" i="11" s="1"/>
  <c r="AP25" i="11"/>
  <c r="AP27" i="11" s="1"/>
  <c r="BR25" i="11"/>
  <c r="AA27" i="11"/>
  <c r="BD25" i="11"/>
  <c r="L59" i="20"/>
  <c r="L45" i="20"/>
  <c r="AQ26" i="11"/>
  <c r="BE26" i="11"/>
  <c r="AP50" i="11"/>
  <c r="BD50" i="11"/>
  <c r="AA71" i="11"/>
  <c r="BR50" i="11"/>
  <c r="AA52" i="11"/>
  <c r="BO50" i="11"/>
  <c r="AU50" i="11"/>
  <c r="AD50" i="11"/>
  <c r="R71" i="11"/>
  <c r="AG50" i="11"/>
  <c r="AI61" i="12"/>
  <c r="AW61" i="12"/>
  <c r="CQ53" i="23"/>
  <c r="DK53" i="23"/>
  <c r="BP5" i="11"/>
  <c r="U7" i="11"/>
  <c r="U91" i="11" s="1"/>
  <c r="AJ91" i="11" s="1"/>
  <c r="CA5" i="11"/>
  <c r="AJ5" i="11"/>
  <c r="AX5" i="11"/>
  <c r="U55" i="11"/>
  <c r="U54" i="20"/>
  <c r="U61" i="20" s="1"/>
  <c r="Y61" i="20"/>
  <c r="F83" i="24"/>
  <c r="G83" i="24" s="1"/>
  <c r="DK36" i="23"/>
  <c r="CQ36" i="23"/>
  <c r="BC54" i="23"/>
  <c r="BA34" i="23"/>
  <c r="BB52" i="23"/>
  <c r="DJ34" i="23"/>
  <c r="CP34" i="23"/>
  <c r="R58" i="24"/>
  <c r="Q58" i="24"/>
  <c r="T58" i="24"/>
  <c r="V58" i="24"/>
  <c r="BO26" i="11"/>
  <c r="AU26" i="11"/>
  <c r="AG26" i="11"/>
  <c r="AD26" i="11"/>
  <c r="AW26" i="11"/>
  <c r="AI26" i="11"/>
  <c r="AL26" i="11"/>
  <c r="AZ26" i="11"/>
  <c r="AK50" i="11"/>
  <c r="CB50" i="11"/>
  <c r="AY50" i="11"/>
  <c r="V71" i="11"/>
  <c r="BF50" i="11"/>
  <c r="AR50" i="11"/>
  <c r="AC71" i="11"/>
  <c r="Z71" i="11"/>
  <c r="AO50" i="11"/>
  <c r="Z52" i="11"/>
  <c r="BC50" i="11"/>
  <c r="U10" i="11"/>
  <c r="U11" i="11" s="1"/>
  <c r="U14" i="12" s="1"/>
  <c r="AA10" i="11"/>
  <c r="AC10" i="11"/>
  <c r="AC11" i="11" s="1"/>
  <c r="AC14" i="12" s="1"/>
  <c r="AB10" i="11"/>
  <c r="AB11" i="11" s="1"/>
  <c r="AB14" i="12" s="1"/>
  <c r="X10" i="11"/>
  <c r="X11" i="11" s="1"/>
  <c r="X14" i="12" s="1"/>
  <c r="Z10" i="11"/>
  <c r="R10" i="11"/>
  <c r="W10" i="11"/>
  <c r="W11" i="11" s="1"/>
  <c r="W14" i="12" s="1"/>
  <c r="Y10" i="11"/>
  <c r="Y11" i="11" s="1"/>
  <c r="Y14" i="12" s="1"/>
  <c r="T10" i="11"/>
  <c r="T11" i="11" s="1"/>
  <c r="T14" i="12" s="1"/>
  <c r="V10" i="11"/>
  <c r="V11" i="11" s="1"/>
  <c r="V14" i="12" s="1"/>
  <c r="S10" i="11"/>
  <c r="S11" i="11" s="1"/>
  <c r="S14" i="12" s="1"/>
  <c r="AA11" i="11"/>
  <c r="AA14" i="12" s="1"/>
  <c r="Z11" i="11"/>
  <c r="Z14" i="12" s="1"/>
  <c r="AJ61" i="12"/>
  <c r="AX61" i="12"/>
  <c r="AN61" i="12"/>
  <c r="BC31" i="11"/>
  <c r="Z56" i="11"/>
  <c r="AO31" i="11"/>
  <c r="Z32" i="11"/>
  <c r="AQ31" i="11"/>
  <c r="BE31" i="11"/>
  <c r="AB56" i="11"/>
  <c r="AB32" i="11"/>
  <c r="AR31" i="11"/>
  <c r="BF31" i="11"/>
  <c r="AC32" i="11"/>
  <c r="AC56" i="11"/>
  <c r="BC34" i="23"/>
  <c r="AO5" i="11"/>
  <c r="AO7" i="11" s="1"/>
  <c r="AO28" i="11" s="1"/>
  <c r="Z55" i="11"/>
  <c r="BC5" i="11"/>
  <c r="Z7" i="11"/>
  <c r="Z91" i="11" s="1"/>
  <c r="AO91" i="11" s="1"/>
  <c r="AZ5" i="11"/>
  <c r="W7" i="11"/>
  <c r="W91" i="11" s="1"/>
  <c r="AL91" i="11" s="1"/>
  <c r="AL5" i="11"/>
  <c r="W55" i="11"/>
  <c r="T91" i="11"/>
  <c r="AI91" i="11" s="1"/>
  <c r="AI5" i="11"/>
  <c r="T7" i="11"/>
  <c r="AW5" i="11"/>
  <c r="T55" i="11"/>
  <c r="DL53" i="23"/>
  <c r="CR53" i="23"/>
  <c r="BD62" i="23"/>
  <c r="V54" i="20"/>
  <c r="V61" i="20" s="1"/>
  <c r="AB61" i="20"/>
  <c r="BP25" i="11"/>
  <c r="CA25" i="11"/>
  <c r="AJ25" i="11"/>
  <c r="U27" i="11"/>
  <c r="U104" i="11" s="1"/>
  <c r="AX25" i="11"/>
  <c r="AD25" i="11"/>
  <c r="AU25" i="11"/>
  <c r="BO25" i="11"/>
  <c r="R27" i="11"/>
  <c r="R103" i="11" s="1"/>
  <c r="AG25" i="11"/>
  <c r="AQ25" i="11"/>
  <c r="BE25" i="11"/>
  <c r="AB27" i="11"/>
  <c r="AB104" i="11" s="1"/>
  <c r="AB45" i="20"/>
  <c r="BX22" i="10"/>
  <c r="AQ20" i="10"/>
  <c r="BX59" i="16"/>
  <c r="BX61" i="16"/>
  <c r="BX62" i="16" s="1"/>
  <c r="BX84" i="16" s="1"/>
  <c r="BZ33" i="16"/>
  <c r="BZ76" i="16" s="1"/>
  <c r="BD40" i="10"/>
  <c r="AB57" i="10"/>
  <c r="AP40" i="10"/>
  <c r="AW52" i="10"/>
  <c r="AI52" i="10"/>
  <c r="U66" i="10"/>
  <c r="BB66" i="10"/>
  <c r="AN66" i="10"/>
  <c r="X63" i="10"/>
  <c r="AL48" i="10"/>
  <c r="BN48" i="10" s="1"/>
  <c r="AZ48" i="10"/>
  <c r="AN13" i="10"/>
  <c r="AN14" i="10" s="1"/>
  <c r="CE79" i="16"/>
  <c r="BA80" i="10"/>
  <c r="BF22" i="10"/>
  <c r="AD40" i="10"/>
  <c r="BV12" i="10"/>
  <c r="BR12" i="10"/>
  <c r="BX12" i="10" s="1"/>
  <c r="BW12" i="10"/>
  <c r="BQ14" i="10"/>
  <c r="BW14" i="10" s="1"/>
  <c r="BD48" i="10"/>
  <c r="AB63" i="10"/>
  <c r="AP48" i="10"/>
  <c r="BR48" i="10" s="1"/>
  <c r="BU17" i="10"/>
  <c r="BO18" i="10"/>
  <c r="AM14" i="10"/>
  <c r="AM20" i="10" s="1"/>
  <c r="AJ53" i="12"/>
  <c r="AX53" i="12"/>
  <c r="S22" i="12"/>
  <c r="AU8" i="12"/>
  <c r="AG8" i="12"/>
  <c r="CG55" i="16"/>
  <c r="CG56" i="16" s="1"/>
  <c r="AJ45" i="10"/>
  <c r="AX45" i="10"/>
  <c r="V61" i="10"/>
  <c r="AV66" i="10"/>
  <c r="AH66" i="10"/>
  <c r="AT60" i="10"/>
  <c r="AF60" i="10"/>
  <c r="AV57" i="10"/>
  <c r="AH57" i="10"/>
  <c r="AN40" i="10"/>
  <c r="BB40" i="10"/>
  <c r="Z57" i="10"/>
  <c r="AB53" i="12"/>
  <c r="BD24" i="10"/>
  <c r="BF34" i="10"/>
  <c r="AD52" i="10"/>
  <c r="O62" i="2"/>
  <c r="AR44" i="10"/>
  <c r="AQ40" i="10"/>
  <c r="BE40" i="10"/>
  <c r="AC57" i="10"/>
  <c r="AH9" i="12"/>
  <c r="AV9" i="12"/>
  <c r="BO53" i="10"/>
  <c r="AY63" i="10"/>
  <c r="AX57" i="10"/>
  <c r="AJ57" i="10"/>
  <c r="AV53" i="12"/>
  <c r="AH53" i="12"/>
  <c r="AQ52" i="10"/>
  <c r="AC66" i="10"/>
  <c r="BE52" i="10"/>
  <c r="AU76" i="10"/>
  <c r="AU77" i="10"/>
  <c r="Z49" i="10"/>
  <c r="BP13" i="10"/>
  <c r="BR13" i="10" s="1"/>
  <c r="BX13" i="10" s="1"/>
  <c r="AV60" i="10"/>
  <c r="AH60" i="10"/>
  <c r="AF66" i="10"/>
  <c r="AX63" i="10"/>
  <c r="AJ63" i="10"/>
  <c r="AW60" i="10"/>
  <c r="AI60" i="10"/>
  <c r="CD16" i="16"/>
  <c r="CD17" i="16" s="1"/>
  <c r="CD58" i="16" s="1"/>
  <c r="AR32" i="10"/>
  <c r="CH8" i="16"/>
  <c r="CK8" i="16" s="1"/>
  <c r="AD71" i="10"/>
  <c r="AR71" i="10" s="1"/>
  <c r="AD13" i="10"/>
  <c r="BF13" i="10" s="1"/>
  <c r="AL32" i="10"/>
  <c r="AL38" i="10" s="1"/>
  <c r="AG60" i="10"/>
  <c r="AU60" i="10"/>
  <c r="BW16" i="10"/>
  <c r="BQ52" i="10"/>
  <c r="BR16" i="10"/>
  <c r="BX16" i="10" s="1"/>
  <c r="Y53" i="12"/>
  <c r="Y57" i="12" s="1"/>
  <c r="BA57" i="12" s="1"/>
  <c r="Y38" i="10"/>
  <c r="BA38" i="10" s="1"/>
  <c r="BA24" i="10"/>
  <c r="CC91" i="16"/>
  <c r="CC29" i="16"/>
  <c r="CC75" i="16" s="1"/>
  <c r="CC82" i="16" s="1"/>
  <c r="BA14" i="10"/>
  <c r="Y77" i="10"/>
  <c r="AM77" i="10" s="1"/>
  <c r="Y8" i="12"/>
  <c r="Y76" i="10"/>
  <c r="AM76" i="10" s="1"/>
  <c r="BE18" i="10"/>
  <c r="BE80" i="10" s="1"/>
  <c r="AC80" i="10"/>
  <c r="AQ80" i="10" s="1"/>
  <c r="AC9" i="12"/>
  <c r="AB8" i="12"/>
  <c r="AA31" i="12" s="1"/>
  <c r="AB77" i="10"/>
  <c r="AP77" i="10" s="1"/>
  <c r="BD14" i="10"/>
  <c r="BY65" i="16"/>
  <c r="BY67" i="16" s="1"/>
  <c r="BY68" i="16" s="1"/>
  <c r="BE10" i="10"/>
  <c r="BE73" i="10" s="1"/>
  <c r="AC7" i="12"/>
  <c r="AC20" i="10"/>
  <c r="AC73" i="10"/>
  <c r="AQ73" i="10" s="1"/>
  <c r="AX28" i="10"/>
  <c r="V54" i="12"/>
  <c r="CH15" i="16"/>
  <c r="CK15" i="16" s="1"/>
  <c r="CD91" i="16"/>
  <c r="CD29" i="16"/>
  <c r="CD75" i="16" s="1"/>
  <c r="BW22" i="10"/>
  <c r="BQ40" i="10"/>
  <c r="BO52" i="10"/>
  <c r="BR34" i="10"/>
  <c r="BO36" i="10"/>
  <c r="BU34" i="10"/>
  <c r="BX65" i="16"/>
  <c r="BX67" i="16"/>
  <c r="BX68" i="16" s="1"/>
  <c r="BX85" i="16" s="1"/>
  <c r="AB20" i="10"/>
  <c r="AF7" i="12"/>
  <c r="AT7" i="12"/>
  <c r="AN9" i="10"/>
  <c r="AN10" i="10" s="1"/>
  <c r="BB9" i="10"/>
  <c r="Z10" i="10"/>
  <c r="Z20" i="10" s="1"/>
  <c r="CD12" i="16"/>
  <c r="CD13" i="16" s="1"/>
  <c r="CD52" i="16" s="1"/>
  <c r="CD55" i="16" s="1"/>
  <c r="CD56" i="16" s="1"/>
  <c r="AD9" i="10"/>
  <c r="CH39" i="16"/>
  <c r="CK39" i="16" s="1"/>
  <c r="N45" i="2"/>
  <c r="N60" i="2"/>
  <c r="AW64" i="10"/>
  <c r="AI64" i="10"/>
  <c r="CF91" i="16"/>
  <c r="CF29" i="16"/>
  <c r="CF75" i="16" s="1"/>
  <c r="BC60" i="10"/>
  <c r="AO60" i="10"/>
  <c r="T67" i="10"/>
  <c r="AH53" i="10"/>
  <c r="AV53" i="10"/>
  <c r="Z77" i="10"/>
  <c r="AN77" i="10" s="1"/>
  <c r="Z54" i="2"/>
  <c r="Z61" i="2" s="1"/>
  <c r="BC77" i="10"/>
  <c r="BN60" i="10"/>
  <c r="BT60" i="10" s="1"/>
  <c r="BT44" i="10"/>
  <c r="CB53" i="16"/>
  <c r="CB55" i="16"/>
  <c r="CB56" i="16" s="1"/>
  <c r="CB83" i="16" s="1"/>
  <c r="BC52" i="10"/>
  <c r="AA66" i="10"/>
  <c r="AO52" i="10"/>
  <c r="BV22" i="10"/>
  <c r="BP40" i="10"/>
  <c r="BP24" i="10"/>
  <c r="BV24" i="10" s="1"/>
  <c r="Y57" i="10"/>
  <c r="AM40" i="10"/>
  <c r="BA40" i="10"/>
  <c r="Y63" i="10"/>
  <c r="BA48" i="10"/>
  <c r="AM48" i="10"/>
  <c r="BO48" i="10" s="1"/>
  <c r="CG103" i="16"/>
  <c r="CG21" i="16"/>
  <c r="CG64" i="16" s="1"/>
  <c r="CG67" i="16" s="1"/>
  <c r="CG68" i="16" s="1"/>
  <c r="CF17" i="16"/>
  <c r="CF99" i="16"/>
  <c r="U79" i="10"/>
  <c r="AI79" i="10" s="1"/>
  <c r="AW18" i="10"/>
  <c r="AW79" i="10" s="1"/>
  <c r="U9" i="12"/>
  <c r="AD48" i="10"/>
  <c r="AG63" i="10"/>
  <c r="AU63" i="10"/>
  <c r="BW9" i="10"/>
  <c r="BQ10" i="10"/>
  <c r="BQ74" i="10" s="1"/>
  <c r="BP66" i="10"/>
  <c r="BV66" i="10" s="1"/>
  <c r="BV52" i="10"/>
  <c r="Z53" i="12"/>
  <c r="BB24" i="10"/>
  <c r="BV30" i="10"/>
  <c r="BR30" i="10"/>
  <c r="BX30" i="10" s="1"/>
  <c r="AI36" i="10"/>
  <c r="AI38" i="10" s="1"/>
  <c r="AQ63" i="10"/>
  <c r="BE63" i="10"/>
  <c r="Y73" i="10"/>
  <c r="AM73" i="10" s="1"/>
  <c r="Y7" i="12"/>
  <c r="BA10" i="10"/>
  <c r="BA73" i="10" s="1"/>
  <c r="Y20" i="10"/>
  <c r="R56" i="12"/>
  <c r="AT36" i="10"/>
  <c r="I26" i="24"/>
  <c r="M26" i="24"/>
  <c r="K26" i="24"/>
  <c r="F77" i="24"/>
  <c r="F78" i="24" s="1"/>
  <c r="G76" i="24" s="1"/>
  <c r="AZ67" i="10"/>
  <c r="AL67" i="10"/>
  <c r="AL54" i="12"/>
  <c r="AZ54" i="12"/>
  <c r="X68" i="12"/>
  <c r="BB24" i="23"/>
  <c r="DJ3" i="23"/>
  <c r="CP3" i="23"/>
  <c r="AN35" i="10"/>
  <c r="AN36" i="10" s="1"/>
  <c r="BB35" i="10"/>
  <c r="Z53" i="10"/>
  <c r="CD40" i="16"/>
  <c r="CH40" i="16" s="1"/>
  <c r="Z36" i="10"/>
  <c r="BP35" i="10"/>
  <c r="CA59" i="16"/>
  <c r="CA61" i="16" s="1"/>
  <c r="CA62" i="16" s="1"/>
  <c r="CA84" i="16" s="1"/>
  <c r="W61" i="10"/>
  <c r="AK45" i="10"/>
  <c r="AY45" i="10"/>
  <c r="T28" i="24"/>
  <c r="V28" i="24"/>
  <c r="Q28" i="24"/>
  <c r="R28" i="24"/>
  <c r="AU53" i="12"/>
  <c r="AG53" i="12"/>
  <c r="S57" i="12"/>
  <c r="AU57" i="12" s="1"/>
  <c r="Y74" i="10"/>
  <c r="AM74" i="10" s="1"/>
  <c r="CC78" i="16"/>
  <c r="BT35" i="10"/>
  <c r="BN36" i="10"/>
  <c r="BR35" i="10"/>
  <c r="BN53" i="10"/>
  <c r="CU55" i="4"/>
  <c r="AH25" i="2"/>
  <c r="W58" i="4" s="1"/>
  <c r="BW45" i="10"/>
  <c r="BQ61" i="10"/>
  <c r="BW61" i="10" s="1"/>
  <c r="AR17" i="10"/>
  <c r="M64" i="24"/>
  <c r="H64" i="24"/>
  <c r="I64" i="24"/>
  <c r="F63" i="24"/>
  <c r="K64" i="24"/>
  <c r="AA82" i="10"/>
  <c r="AA83" i="10" s="1"/>
  <c r="BC20" i="10"/>
  <c r="BC82" i="10" s="1"/>
  <c r="BC83" i="10" s="1"/>
  <c r="Z59" i="2"/>
  <c r="Z45" i="2"/>
  <c r="W70" i="10"/>
  <c r="AK70" i="10" s="1"/>
  <c r="W20" i="10"/>
  <c r="W6" i="12"/>
  <c r="AY6" i="10"/>
  <c r="AY70" i="10" s="1"/>
  <c r="Z8" i="12"/>
  <c r="BB14" i="10"/>
  <c r="BB76" i="10" s="1"/>
  <c r="Z76" i="10"/>
  <c r="AN76" i="10" s="1"/>
  <c r="BF18" i="10"/>
  <c r="BF79" i="10" s="1"/>
  <c r="AD79" i="10"/>
  <c r="AR79" i="10" s="1"/>
  <c r="AY80" i="10"/>
  <c r="CO62" i="23"/>
  <c r="DI62" i="23"/>
  <c r="AU58" i="10"/>
  <c r="AG58" i="10"/>
  <c r="Z28" i="10"/>
  <c r="Z45" i="10"/>
  <c r="AN27" i="10"/>
  <c r="BB27" i="10"/>
  <c r="CD32" i="16"/>
  <c r="BP27" i="10"/>
  <c r="AD27" i="10"/>
  <c r="AV20" i="10"/>
  <c r="AV82" i="10" s="1"/>
  <c r="AV83" i="10" s="1"/>
  <c r="T82" i="10"/>
  <c r="T83" i="10" s="1"/>
  <c r="BP18" i="10"/>
  <c r="BP80" i="10" s="1"/>
  <c r="BV80" i="10" s="1"/>
  <c r="BR17" i="10"/>
  <c r="BV17" i="10"/>
  <c r="AQ54" i="12"/>
  <c r="BE54" i="12"/>
  <c r="AW71" i="10"/>
  <c r="AY9" i="12"/>
  <c r="AK9" i="12"/>
  <c r="BA64" i="10"/>
  <c r="AM64" i="10"/>
  <c r="BE28" i="23"/>
  <c r="BB65" i="23"/>
  <c r="CP28" i="23"/>
  <c r="DJ28" i="23"/>
  <c r="AD70" i="10"/>
  <c r="AR70" i="10" s="1"/>
  <c r="BF6" i="10"/>
  <c r="BF70" i="10" s="1"/>
  <c r="DI64" i="23"/>
  <c r="AY68" i="12"/>
  <c r="AZ56" i="12"/>
  <c r="AL56" i="12"/>
  <c r="AO64" i="10"/>
  <c r="BC64" i="10"/>
  <c r="BO45" i="10"/>
  <c r="BU9" i="10"/>
  <c r="BR9" i="10"/>
  <c r="BO10" i="10"/>
  <c r="BO74" i="10" s="1"/>
  <c r="BT13" i="10"/>
  <c r="BN14" i="10"/>
  <c r="BQ41" i="10"/>
  <c r="BW23" i="10"/>
  <c r="BQ24" i="10"/>
  <c r="AD32" i="10"/>
  <c r="BF32" i="10" s="1"/>
  <c r="BF31" i="10"/>
  <c r="BE53" i="10"/>
  <c r="AQ53" i="10"/>
  <c r="AC67" i="10"/>
  <c r="BE36" i="10"/>
  <c r="AC56" i="12"/>
  <c r="M66" i="24"/>
  <c r="H66" i="24"/>
  <c r="I66" i="24"/>
  <c r="K66" i="24"/>
  <c r="C61" i="2"/>
  <c r="AT41" i="10"/>
  <c r="AF41" i="10"/>
  <c r="R58" i="10"/>
  <c r="AF24" i="10"/>
  <c r="AR23" i="10"/>
  <c r="X30" i="24"/>
  <c r="Z9" i="24"/>
  <c r="AA9" i="24"/>
  <c r="AC9" i="24"/>
  <c r="V30" i="24"/>
  <c r="R30" i="24"/>
  <c r="T30" i="24"/>
  <c r="O67" i="24"/>
  <c r="Q30" i="24"/>
  <c r="Z6" i="24"/>
  <c r="AA6" i="24"/>
  <c r="AC6" i="24"/>
  <c r="X27" i="24"/>
  <c r="X5" i="24"/>
  <c r="BI24" i="23"/>
  <c r="CW3" i="23"/>
  <c r="AF36" i="10"/>
  <c r="AR35" i="10"/>
  <c r="AG55" i="12"/>
  <c r="S69" i="12"/>
  <c r="AU55" i="12"/>
  <c r="R78" i="12"/>
  <c r="BI64" i="23"/>
  <c r="CW64" i="23" s="1"/>
  <c r="CW27" i="23"/>
  <c r="D61" i="2"/>
  <c r="CS7" i="23"/>
  <c r="DM7" i="23"/>
  <c r="BA67" i="10"/>
  <c r="AM67" i="10"/>
  <c r="BV17" i="16"/>
  <c r="BV100" i="16"/>
  <c r="AZ32" i="10"/>
  <c r="X55" i="12"/>
  <c r="CC59" i="16"/>
  <c r="CC61" i="16" s="1"/>
  <c r="CC62" i="16" s="1"/>
  <c r="CC84" i="16" s="1"/>
  <c r="BN24" i="10"/>
  <c r="BR23" i="10"/>
  <c r="BN41" i="10"/>
  <c r="BT23" i="10"/>
  <c r="V27" i="24"/>
  <c r="R27" i="24"/>
  <c r="O26" i="24"/>
  <c r="T27" i="24"/>
  <c r="BI62" i="23"/>
  <c r="CW25" i="23"/>
  <c r="X28" i="24"/>
  <c r="AC7" i="24"/>
  <c r="Z7" i="24"/>
  <c r="AA7" i="24"/>
  <c r="BC62" i="23"/>
  <c r="DK25" i="23"/>
  <c r="CQ25" i="23"/>
  <c r="BV56" i="16"/>
  <c r="BV9" i="10"/>
  <c r="BP10" i="10"/>
  <c r="BP74" i="10" s="1"/>
  <c r="R67" i="10"/>
  <c r="AT53" i="10"/>
  <c r="AF53" i="10"/>
  <c r="BX53" i="16"/>
  <c r="BX55" i="16" s="1"/>
  <c r="BX56" i="16" s="1"/>
  <c r="CF46" i="16"/>
  <c r="AF45" i="2"/>
  <c r="CA92" i="16"/>
  <c r="CA9" i="16"/>
  <c r="AK41" i="10"/>
  <c r="W58" i="10"/>
  <c r="AY41" i="10"/>
  <c r="BW18" i="10"/>
  <c r="BQ79" i="10"/>
  <c r="BW79" i="10" s="1"/>
  <c r="CD82" i="16"/>
  <c r="BR6" i="10"/>
  <c r="BT45" i="10"/>
  <c r="BN61" i="10"/>
  <c r="BT61" i="10" s="1"/>
  <c r="BW70" i="16"/>
  <c r="BW47" i="16"/>
  <c r="AV7" i="12"/>
  <c r="T10" i="12"/>
  <c r="AV10" i="12" s="1"/>
  <c r="AH7" i="12"/>
  <c r="BY78" i="16"/>
  <c r="AJ8" i="12"/>
  <c r="AX8" i="12"/>
  <c r="V22" i="12"/>
  <c r="AP56" i="12"/>
  <c r="BD56" i="12"/>
  <c r="AX6" i="10"/>
  <c r="AX70" i="10" s="1"/>
  <c r="V70" i="10"/>
  <c r="AJ70" i="10" s="1"/>
  <c r="V6" i="12"/>
  <c r="BJ3" i="23"/>
  <c r="CX4" i="23"/>
  <c r="BJ25" i="23"/>
  <c r="DI24" i="23"/>
  <c r="CO24" i="23"/>
  <c r="BC80" i="10"/>
  <c r="BW42" i="16"/>
  <c r="BW75" i="16"/>
  <c r="AX79" i="10"/>
  <c r="AX80" i="10"/>
  <c r="AU64" i="10"/>
  <c r="AG64" i="10"/>
  <c r="AF49" i="10"/>
  <c r="BH49" i="10" s="1"/>
  <c r="BH64" i="10" s="1"/>
  <c r="R64" i="10"/>
  <c r="AT49" i="10"/>
  <c r="CG29" i="16"/>
  <c r="CG92" i="16"/>
  <c r="AQ38" i="10"/>
  <c r="BP32" i="10"/>
  <c r="BV31" i="10"/>
  <c r="BR31" i="10"/>
  <c r="BX31" i="10" s="1"/>
  <c r="CG41" i="16"/>
  <c r="CG78" i="16" s="1"/>
  <c r="CG104" i="16"/>
  <c r="CH20" i="16"/>
  <c r="AL61" i="10"/>
  <c r="AZ61" i="10"/>
  <c r="BY58" i="16"/>
  <c r="BY22" i="16"/>
  <c r="AD24" i="10"/>
  <c r="BF23" i="10"/>
  <c r="AD41" i="10"/>
  <c r="BO70" i="10"/>
  <c r="BU6" i="10"/>
  <c r="R5" i="24"/>
  <c r="T5" i="24"/>
  <c r="V5" i="24"/>
  <c r="Q5" i="24"/>
  <c r="O76" i="24"/>
  <c r="CQ3" i="23"/>
  <c r="BC24" i="23"/>
  <c r="DK3" i="23"/>
  <c r="AO8" i="12"/>
  <c r="BC8" i="12"/>
  <c r="AA22" i="12"/>
  <c r="AV64" i="10"/>
  <c r="AH64" i="10"/>
  <c r="BX76" i="16"/>
  <c r="BX42" i="16"/>
  <c r="BW77" i="16"/>
  <c r="BZ77" i="16"/>
  <c r="BW49" i="10"/>
  <c r="BQ64" i="10"/>
  <c r="BW64" i="10" s="1"/>
  <c r="AQ41" i="10"/>
  <c r="BE41" i="10"/>
  <c r="AC58" i="10"/>
  <c r="D45" i="2"/>
  <c r="BX47" i="16"/>
  <c r="BX49" i="16" s="1"/>
  <c r="BX50" i="16" s="1"/>
  <c r="BX70" i="16"/>
  <c r="BV29" i="16"/>
  <c r="CH28" i="16"/>
  <c r="BV92" i="16"/>
  <c r="BO58" i="10"/>
  <c r="BU58" i="10" s="1"/>
  <c r="BU41" i="10"/>
  <c r="Y61" i="10"/>
  <c r="BA45" i="10"/>
  <c r="AM45" i="10"/>
  <c r="CC96" i="16"/>
  <c r="CC13" i="16"/>
  <c r="AD35" i="10"/>
  <c r="BV104" i="16"/>
  <c r="BV41" i="16"/>
  <c r="AI58" i="10"/>
  <c r="AW58" i="10"/>
  <c r="CA65" i="16"/>
  <c r="CA67" i="16" s="1"/>
  <c r="CA68" i="16" s="1"/>
  <c r="CA85" i="16" s="1"/>
  <c r="U81" i="26"/>
  <c r="W81" i="26" s="1"/>
  <c r="W82" i="26" s="1"/>
  <c r="W83" i="26" s="1"/>
  <c r="W84" i="26" s="1"/>
  <c r="W85" i="26" s="1"/>
  <c r="W86" i="26" s="1"/>
  <c r="W87" i="26" s="1"/>
  <c r="W88" i="26" s="1"/>
  <c r="U39" i="26"/>
  <c r="AF61" i="2"/>
  <c r="BW53" i="16"/>
  <c r="BW55" i="16" s="1"/>
  <c r="BW56" i="16" s="1"/>
  <c r="BW83" i="16" s="1"/>
  <c r="BE25" i="23"/>
  <c r="BC67" i="10"/>
  <c r="AO67" i="10"/>
  <c r="BA56" i="12"/>
  <c r="AM56" i="12"/>
  <c r="Z34" i="2"/>
  <c r="Z21" i="2"/>
  <c r="AF25" i="2"/>
  <c r="V58" i="4" s="1"/>
  <c r="CA55" i="4"/>
  <c r="Z9" i="12"/>
  <c r="BB18" i="10"/>
  <c r="BB79" i="10" s="1"/>
  <c r="Z79" i="10"/>
  <c r="AN79" i="10" s="1"/>
  <c r="AX67" i="10"/>
  <c r="AJ67" i="10"/>
  <c r="CB59" i="16"/>
  <c r="CB61" i="16"/>
  <c r="CB62" i="16" s="1"/>
  <c r="CB70" i="16"/>
  <c r="BO64" i="10"/>
  <c r="BU64" i="10" s="1"/>
  <c r="BU49" i="10"/>
  <c r="BZ9" i="16"/>
  <c r="BZ92" i="16"/>
  <c r="V58" i="10"/>
  <c r="AX41" i="10"/>
  <c r="AJ41" i="10"/>
  <c r="C45" i="2"/>
  <c r="C59" i="2"/>
  <c r="DM4" i="23"/>
  <c r="BE3" i="23"/>
  <c r="CS4" i="23"/>
  <c r="BJ28" i="23"/>
  <c r="CX7" i="23"/>
  <c r="AO9" i="12"/>
  <c r="AA32" i="12"/>
  <c r="BC9" i="12"/>
  <c r="BB62" i="23"/>
  <c r="DJ25" i="23"/>
  <c r="CP25" i="23"/>
  <c r="AV54" i="12"/>
  <c r="AH54" i="12"/>
  <c r="R77" i="12"/>
  <c r="T57" i="12"/>
  <c r="AV57" i="12" s="1"/>
  <c r="AJ9" i="12"/>
  <c r="AX9" i="12"/>
  <c r="AW6" i="12"/>
  <c r="U10" i="12"/>
  <c r="AW10" i="12" s="1"/>
  <c r="AI6" i="12"/>
  <c r="F86" i="24"/>
  <c r="AW67" i="10"/>
  <c r="AI67" i="10"/>
  <c r="CF78" i="16"/>
  <c r="W73" i="10"/>
  <c r="AK73" i="10" s="1"/>
  <c r="W7" i="12"/>
  <c r="AY10" i="10"/>
  <c r="AY73" i="10" s="1"/>
  <c r="CA13" i="16"/>
  <c r="CA52" i="16" s="1"/>
  <c r="CA96" i="16"/>
  <c r="AF14" i="10"/>
  <c r="AF20" i="10" s="1"/>
  <c r="R8" i="12"/>
  <c r="R76" i="10"/>
  <c r="AF76" i="10" s="1"/>
  <c r="AT14" i="10"/>
  <c r="AT76" i="10" s="1"/>
  <c r="R20" i="10"/>
  <c r="AC53" i="12"/>
  <c r="BE24" i="10"/>
  <c r="AC38" i="10"/>
  <c r="BE38" i="10" s="1"/>
  <c r="Y60" i="2"/>
  <c r="X64" i="10"/>
  <c r="AL49" i="10"/>
  <c r="BN49" i="10" s="1"/>
  <c r="AZ49" i="10"/>
  <c r="CB37" i="16"/>
  <c r="CB100" i="16"/>
  <c r="BQ53" i="10"/>
  <c r="BW35" i="10"/>
  <c r="BQ36" i="10"/>
  <c r="BW36" i="10" s="1"/>
  <c r="BX22" i="16"/>
  <c r="AQ61" i="10"/>
  <c r="BE61" i="10"/>
  <c r="BV64" i="16"/>
  <c r="CH21" i="16"/>
  <c r="AW55" i="12"/>
  <c r="U78" i="12"/>
  <c r="AI55" i="12"/>
  <c r="U69" i="12"/>
  <c r="AT24" i="10"/>
  <c r="R53" i="12"/>
  <c r="R38" i="10"/>
  <c r="AT38" i="10" s="1"/>
  <c r="CB82" i="16"/>
  <c r="AP61" i="12" l="1"/>
  <c r="BD61" i="12"/>
  <c r="BA61" i="12"/>
  <c r="Y68" i="12"/>
  <c r="AM68" i="12" s="1"/>
  <c r="AM61" i="12"/>
  <c r="AC68" i="12"/>
  <c r="BE68" i="12" s="1"/>
  <c r="BE61" i="12"/>
  <c r="AQ61" i="12"/>
  <c r="CS56" i="23"/>
  <c r="DM56" i="23"/>
  <c r="U103" i="11"/>
  <c r="AR32" i="11"/>
  <c r="AR53" i="11" s="1"/>
  <c r="AQ32" i="11"/>
  <c r="AQ53" i="11" s="1"/>
  <c r="Y32" i="11"/>
  <c r="BB32" i="11" s="1"/>
  <c r="AU31" i="11"/>
  <c r="BO31" i="11"/>
  <c r="BS31" i="11" s="1"/>
  <c r="T56" i="11"/>
  <c r="X58" i="24"/>
  <c r="Z58" i="24" s="1"/>
  <c r="AY31" i="11"/>
  <c r="V39" i="20"/>
  <c r="X84" i="12"/>
  <c r="BQ31" i="11"/>
  <c r="BW31" i="11" s="1"/>
  <c r="AB68" i="12"/>
  <c r="DJ56" i="23"/>
  <c r="CP56" i="23"/>
  <c r="AJ27" i="11"/>
  <c r="AO32" i="11"/>
  <c r="AO53" i="11" s="1"/>
  <c r="AM7" i="11"/>
  <c r="AM28" i="11" s="1"/>
  <c r="BP31" i="11"/>
  <c r="AM31" i="11"/>
  <c r="AM32" i="11" s="1"/>
  <c r="AM53" i="11" s="1"/>
  <c r="AK61" i="12"/>
  <c r="AM27" i="11"/>
  <c r="AP32" i="11"/>
  <c r="AP53" i="11" s="1"/>
  <c r="BJ56" i="23"/>
  <c r="CX56" i="23" s="1"/>
  <c r="CX38" i="23"/>
  <c r="AZ57" i="10"/>
  <c r="AL57" i="10"/>
  <c r="BC56" i="12"/>
  <c r="AO56" i="12"/>
  <c r="BY42" i="16"/>
  <c r="CE22" i="16"/>
  <c r="AA77" i="12"/>
  <c r="AY56" i="12"/>
  <c r="AK56" i="12"/>
  <c r="U79" i="12"/>
  <c r="AK54" i="12"/>
  <c r="AY54" i="12"/>
  <c r="BD61" i="10"/>
  <c r="AP61" i="10"/>
  <c r="CR27" i="23"/>
  <c r="DL27" i="23"/>
  <c r="BD64" i="23"/>
  <c r="U82" i="10"/>
  <c r="U83" i="10" s="1"/>
  <c r="AM9" i="12"/>
  <c r="AG9" i="12"/>
  <c r="AG10" i="12" s="1"/>
  <c r="AZ20" i="10"/>
  <c r="AZ82" i="10" s="1"/>
  <c r="AZ83" i="10" s="1"/>
  <c r="AU80" i="10"/>
  <c r="V74" i="10"/>
  <c r="AJ74" i="10" s="1"/>
  <c r="BC63" i="10"/>
  <c r="AO63" i="10"/>
  <c r="AX66" i="10"/>
  <c r="AJ66" i="10"/>
  <c r="AQ22" i="12"/>
  <c r="BE22" i="12"/>
  <c r="AW76" i="10"/>
  <c r="W22" i="12"/>
  <c r="AK8" i="12"/>
  <c r="AY8" i="12"/>
  <c r="BD66" i="10"/>
  <c r="AP66" i="10"/>
  <c r="U22" i="12"/>
  <c r="AW8" i="12"/>
  <c r="AI8" i="12"/>
  <c r="BD54" i="12"/>
  <c r="AP54" i="12"/>
  <c r="AF32" i="12"/>
  <c r="CD100" i="16"/>
  <c r="CD22" i="16"/>
  <c r="AZ7" i="12"/>
  <c r="BR40" i="10"/>
  <c r="AD6" i="12"/>
  <c r="BD71" i="10"/>
  <c r="AW63" i="10"/>
  <c r="AI63" i="10"/>
  <c r="BQ63" i="10"/>
  <c r="BW63" i="10" s="1"/>
  <c r="BW48" i="10"/>
  <c r="AA69" i="12"/>
  <c r="BC55" i="12"/>
  <c r="AO55" i="12"/>
  <c r="BC54" i="12"/>
  <c r="AO54" i="12"/>
  <c r="AO57" i="12" s="1"/>
  <c r="AA57" i="12"/>
  <c r="BC57" i="12" s="1"/>
  <c r="DK27" i="23"/>
  <c r="BC64" i="23"/>
  <c r="CQ27" i="23"/>
  <c r="AM66" i="10"/>
  <c r="BA66" i="10"/>
  <c r="BE27" i="23"/>
  <c r="AH22" i="12"/>
  <c r="AV22" i="12"/>
  <c r="AZ75" i="23"/>
  <c r="BA76" i="23"/>
  <c r="U29" i="12"/>
  <c r="AI29" i="12" s="1"/>
  <c r="Z74" i="10"/>
  <c r="AN74" i="10" s="1"/>
  <c r="S104" i="11"/>
  <c r="AV104" i="11" s="1"/>
  <c r="BE9" i="16"/>
  <c r="BE13" i="16"/>
  <c r="BE17" i="16"/>
  <c r="BE21" i="16"/>
  <c r="BN17" i="16"/>
  <c r="BN9" i="16"/>
  <c r="BN13" i="16"/>
  <c r="BN21" i="16"/>
  <c r="BH9" i="16"/>
  <c r="BH21" i="16"/>
  <c r="BH17" i="16"/>
  <c r="BH13" i="16"/>
  <c r="BK12" i="16"/>
  <c r="BK11" i="16" s="1"/>
  <c r="BK52" i="16"/>
  <c r="BK55" i="16" s="1"/>
  <c r="BK56" i="16" s="1"/>
  <c r="BK33" i="16" s="1"/>
  <c r="CU3" i="23"/>
  <c r="S24" i="23"/>
  <c r="CU24" i="23" s="1"/>
  <c r="BE60" i="10"/>
  <c r="AQ60" i="10"/>
  <c r="U25" i="20"/>
  <c r="BM52" i="16"/>
  <c r="BM55" i="16" s="1"/>
  <c r="BM56" i="16" s="1"/>
  <c r="BM33" i="16" s="1"/>
  <c r="BM11" i="16"/>
  <c r="BM12" i="16"/>
  <c r="AZ71" i="10"/>
  <c r="AZ70" i="10"/>
  <c r="BD7" i="12"/>
  <c r="AP7" i="12"/>
  <c r="AQ82" i="16"/>
  <c r="AQ71" i="16"/>
  <c r="AQ73" i="16" s="1"/>
  <c r="BI8" i="16"/>
  <c r="BI46" i="16"/>
  <c r="BI7" i="16"/>
  <c r="CV3" i="23"/>
  <c r="BA54" i="12"/>
  <c r="AM54" i="12"/>
  <c r="AL58" i="10"/>
  <c r="AZ58" i="10"/>
  <c r="BG58" i="16"/>
  <c r="BG61" i="16" s="1"/>
  <c r="BG62" i="16" s="1"/>
  <c r="BG37" i="16" s="1"/>
  <c r="BG16" i="16"/>
  <c r="BG15" i="16"/>
  <c r="CN61" i="23"/>
  <c r="DH61" i="23"/>
  <c r="AP60" i="10"/>
  <c r="BD60" i="10"/>
  <c r="M72" i="12"/>
  <c r="M90" i="12"/>
  <c r="M95" i="12" s="1"/>
  <c r="P25" i="12"/>
  <c r="AL53" i="12"/>
  <c r="AZ53" i="12"/>
  <c r="DP28" i="23"/>
  <c r="CB65" i="23"/>
  <c r="DP65" i="23" s="1"/>
  <c r="AG66" i="10"/>
  <c r="AU66" i="10"/>
  <c r="J61" i="23"/>
  <c r="CL61" i="23" s="1"/>
  <c r="CL62" i="23"/>
  <c r="AX64" i="10"/>
  <c r="AJ64" i="10"/>
  <c r="CA65" i="23"/>
  <c r="DO65" i="23" s="1"/>
  <c r="DO28" i="23"/>
  <c r="CF42" i="16"/>
  <c r="BN70" i="10"/>
  <c r="CW24" i="23"/>
  <c r="CO64" i="23"/>
  <c r="AL7" i="12"/>
  <c r="BB61" i="12"/>
  <c r="U84" i="12"/>
  <c r="AW84" i="12" s="1"/>
  <c r="BD31" i="11"/>
  <c r="AD36" i="11"/>
  <c r="X56" i="11"/>
  <c r="X103" i="11"/>
  <c r="AM103" i="11" s="1"/>
  <c r="V56" i="11"/>
  <c r="AR6" i="10"/>
  <c r="BY25" i="23"/>
  <c r="BY62" i="23" s="1"/>
  <c r="BY61" i="23" s="1"/>
  <c r="BQ60" i="10"/>
  <c r="BW60" i="10" s="1"/>
  <c r="BW44" i="10"/>
  <c r="BO17" i="16"/>
  <c r="BO9" i="16"/>
  <c r="BO21" i="16"/>
  <c r="BO13" i="16"/>
  <c r="BD17" i="16"/>
  <c r="BD21" i="16"/>
  <c r="BD13" i="16"/>
  <c r="BD9" i="16"/>
  <c r="BH61" i="23"/>
  <c r="CV61" i="23" s="1"/>
  <c r="CV62" i="23"/>
  <c r="BK15" i="16"/>
  <c r="BK16" i="16"/>
  <c r="BK58" i="16"/>
  <c r="BK61" i="16" s="1"/>
  <c r="BK62" i="16" s="1"/>
  <c r="BK37" i="16" s="1"/>
  <c r="BM20" i="16"/>
  <c r="BM19" i="16"/>
  <c r="BM64" i="16"/>
  <c r="BM67" i="16" s="1"/>
  <c r="BM68" i="16" s="1"/>
  <c r="BM41" i="16" s="1"/>
  <c r="BI19" i="16"/>
  <c r="BI20" i="16"/>
  <c r="BI64" i="16"/>
  <c r="BI67" i="16" s="1"/>
  <c r="BI68" i="16" s="1"/>
  <c r="BI41" i="16" s="1"/>
  <c r="CV24" i="23"/>
  <c r="BM85" i="11"/>
  <c r="BY85" i="11" s="1"/>
  <c r="BY67" i="11"/>
  <c r="V7" i="12"/>
  <c r="U30" i="12" s="1"/>
  <c r="AX10" i="10"/>
  <c r="AX73" i="10" s="1"/>
  <c r="V73" i="10"/>
  <c r="AJ73" i="10" s="1"/>
  <c r="BG19" i="16"/>
  <c r="BG64" i="16"/>
  <c r="BG67" i="16" s="1"/>
  <c r="BG68" i="16" s="1"/>
  <c r="BG41" i="16" s="1"/>
  <c r="BG20" i="16"/>
  <c r="BU44" i="10"/>
  <c r="BO60" i="10"/>
  <c r="BU60" i="10" s="1"/>
  <c r="BB70" i="10"/>
  <c r="BB71" i="10"/>
  <c r="J90" i="12"/>
  <c r="J95" i="12" s="1"/>
  <c r="J72" i="12"/>
  <c r="BB58" i="10"/>
  <c r="AN58" i="10"/>
  <c r="S10" i="12"/>
  <c r="AU10" i="12" s="1"/>
  <c r="AK66" i="10"/>
  <c r="AY66" i="10"/>
  <c r="AV50" i="16"/>
  <c r="DG61" i="23"/>
  <c r="CM61" i="23"/>
  <c r="BC74" i="10"/>
  <c r="CH62" i="23"/>
  <c r="F61" i="23"/>
  <c r="BJ13" i="16"/>
  <c r="BJ9" i="16"/>
  <c r="BJ17" i="16"/>
  <c r="BJ21" i="16"/>
  <c r="BL13" i="16"/>
  <c r="BL21" i="16"/>
  <c r="BL9" i="16"/>
  <c r="BL17" i="16"/>
  <c r="P64" i="24"/>
  <c r="P63" i="24" s="1"/>
  <c r="P26" i="24"/>
  <c r="AQ64" i="10"/>
  <c r="BE64" i="10"/>
  <c r="Y81" i="24"/>
  <c r="Y83" i="24"/>
  <c r="BK8" i="16"/>
  <c r="BK7" i="16" s="1"/>
  <c r="BK46" i="16"/>
  <c r="BM58" i="16"/>
  <c r="BM61" i="16" s="1"/>
  <c r="BM62" i="16" s="1"/>
  <c r="BM37" i="16" s="1"/>
  <c r="BM16" i="16"/>
  <c r="BM15" i="16" s="1"/>
  <c r="AI53" i="12"/>
  <c r="AW53" i="12"/>
  <c r="CA62" i="23"/>
  <c r="DO25" i="23"/>
  <c r="AS83" i="16"/>
  <c r="AS71" i="16"/>
  <c r="AS73" i="16" s="1"/>
  <c r="AV56" i="16"/>
  <c r="BI11" i="16"/>
  <c r="BI52" i="16"/>
  <c r="BI55" i="16" s="1"/>
  <c r="BI56" i="16" s="1"/>
  <c r="BI33" i="16" s="1"/>
  <c r="BI12" i="16"/>
  <c r="BZ53" i="16"/>
  <c r="BZ55" i="16" s="1"/>
  <c r="BZ56" i="16" s="1"/>
  <c r="BZ83" i="16" s="1"/>
  <c r="BG8" i="16"/>
  <c r="BG46" i="16"/>
  <c r="BG7" i="16"/>
  <c r="AQ85" i="16"/>
  <c r="AV85" i="16" s="1"/>
  <c r="AV68" i="16"/>
  <c r="CI62" i="23"/>
  <c r="G61" i="23"/>
  <c r="CI61" i="23" s="1"/>
  <c r="AC69" i="12"/>
  <c r="BE55" i="12"/>
  <c r="AQ55" i="12"/>
  <c r="CK61" i="23"/>
  <c r="DE61" i="23"/>
  <c r="I72" i="12"/>
  <c r="G90" i="12"/>
  <c r="P67" i="12"/>
  <c r="P72" i="12" s="1"/>
  <c r="Z41" i="2"/>
  <c r="AT77" i="10"/>
  <c r="AD55" i="12"/>
  <c r="BF55" i="12" s="1"/>
  <c r="CC79" i="16"/>
  <c r="BN57" i="10"/>
  <c r="BT57" i="10" s="1"/>
  <c r="AU9" i="12"/>
  <c r="BZ96" i="16"/>
  <c r="AB103" i="11"/>
  <c r="AQ103" i="11" s="1"/>
  <c r="AN32" i="11"/>
  <c r="AN53" i="11" s="1"/>
  <c r="AY61" i="12"/>
  <c r="BC71" i="10"/>
  <c r="AW57" i="10"/>
  <c r="AI57" i="10"/>
  <c r="BF13" i="16"/>
  <c r="BF17" i="16"/>
  <c r="BF21" i="16"/>
  <c r="BF9" i="16"/>
  <c r="BK19" i="16"/>
  <c r="BK20" i="16"/>
  <c r="BK64" i="16"/>
  <c r="BK67" i="16" s="1"/>
  <c r="BK68" i="16" s="1"/>
  <c r="BK41" i="16" s="1"/>
  <c r="S62" i="23"/>
  <c r="CU25" i="23"/>
  <c r="P91" i="12"/>
  <c r="BM8" i="16"/>
  <c r="BM7" i="16" s="1"/>
  <c r="BM46" i="16"/>
  <c r="AZ6" i="12"/>
  <c r="AL6" i="12"/>
  <c r="BD73" i="10"/>
  <c r="BD74" i="10"/>
  <c r="DO3" i="23"/>
  <c r="CA24" i="23"/>
  <c r="DO24" i="23" s="1"/>
  <c r="BI16" i="16"/>
  <c r="BI15" i="16" s="1"/>
  <c r="BI58" i="16"/>
  <c r="BI61" i="16" s="1"/>
  <c r="BI62" i="16" s="1"/>
  <c r="BI37" i="16" s="1"/>
  <c r="BG12" i="16"/>
  <c r="BG11" i="16" s="1"/>
  <c r="BG52" i="16"/>
  <c r="BG55" i="16" s="1"/>
  <c r="BG56" i="16" s="1"/>
  <c r="BG33" i="16" s="1"/>
  <c r="AO7" i="12"/>
  <c r="BC7" i="12"/>
  <c r="CJ62" i="23"/>
  <c r="H61" i="23"/>
  <c r="CJ61" i="23" s="1"/>
  <c r="AR40" i="10"/>
  <c r="AV69" i="12"/>
  <c r="AH69" i="12"/>
  <c r="AM84" i="16"/>
  <c r="AV84" i="16" s="1"/>
  <c r="AV62" i="16"/>
  <c r="Y66" i="24"/>
  <c r="AD66" i="24" s="1"/>
  <c r="AD29" i="24"/>
  <c r="U58" i="26"/>
  <c r="T58" i="26" s="1"/>
  <c r="U55" i="26"/>
  <c r="T55" i="26" s="1"/>
  <c r="U51" i="26"/>
  <c r="T51" i="26" s="1"/>
  <c r="U57" i="26"/>
  <c r="T57" i="26" s="1"/>
  <c r="U53" i="26"/>
  <c r="T53" i="26" s="1"/>
  <c r="U60" i="26"/>
  <c r="T60" i="26" s="1"/>
  <c r="U54" i="26"/>
  <c r="T54" i="26" s="1"/>
  <c r="U62" i="26"/>
  <c r="T62" i="26" s="1"/>
  <c r="U59" i="26"/>
  <c r="T59" i="26" s="1"/>
  <c r="U52" i="26"/>
  <c r="T52" i="26" s="1"/>
  <c r="U56" i="26"/>
  <c r="T56" i="26" s="1"/>
  <c r="U61" i="26"/>
  <c r="T61" i="26" s="1"/>
  <c r="Z68" i="24"/>
  <c r="AC68" i="24"/>
  <c r="AA68" i="24"/>
  <c r="BA60" i="10"/>
  <c r="AM60" i="10"/>
  <c r="AN6" i="12"/>
  <c r="BB6" i="12"/>
  <c r="D48" i="12"/>
  <c r="Y5" i="24"/>
  <c r="AD6" i="24"/>
  <c r="Y27" i="24"/>
  <c r="AI94" i="12"/>
  <c r="AR94" i="12" s="1"/>
  <c r="AW94" i="12"/>
  <c r="AM86" i="16"/>
  <c r="G87" i="12"/>
  <c r="P83" i="12"/>
  <c r="P87" i="12" s="1"/>
  <c r="AI47" i="12"/>
  <c r="AR47" i="12" s="1"/>
  <c r="AW47" i="12"/>
  <c r="DP4" i="23"/>
  <c r="CB3" i="23"/>
  <c r="CB25" i="23"/>
  <c r="AH58" i="10"/>
  <c r="AV58" i="10"/>
  <c r="AN27" i="11"/>
  <c r="AH27" i="11"/>
  <c r="AS6" i="11"/>
  <c r="AS30" i="11"/>
  <c r="T68" i="12"/>
  <c r="AH68" i="12" s="1"/>
  <c r="AL7" i="11"/>
  <c r="AL28" i="11" s="1"/>
  <c r="AJ7" i="11"/>
  <c r="AJ28" i="11" s="1"/>
  <c r="AR7" i="11"/>
  <c r="AR28" i="11" s="1"/>
  <c r="BS6" i="11"/>
  <c r="BY6" i="11" s="1"/>
  <c r="BU6" i="11"/>
  <c r="AI7" i="11"/>
  <c r="AI28" i="11" s="1"/>
  <c r="Z104" i="11"/>
  <c r="BC104" i="11" s="1"/>
  <c r="AC104" i="11"/>
  <c r="BF104" i="11" s="1"/>
  <c r="AK7" i="11"/>
  <c r="AK28" i="11" s="1"/>
  <c r="AK32" i="11"/>
  <c r="AK53" i="11" s="1"/>
  <c r="AV61" i="12"/>
  <c r="BU30" i="11"/>
  <c r="BS30" i="11"/>
  <c r="BY30" i="11" s="1"/>
  <c r="DL65" i="23"/>
  <c r="CR65" i="23"/>
  <c r="AZ22" i="12"/>
  <c r="AL22" i="12"/>
  <c r="AI54" i="12"/>
  <c r="AW54" i="12"/>
  <c r="U57" i="12"/>
  <c r="AW57" i="12" s="1"/>
  <c r="AO6" i="12"/>
  <c r="BC6" i="12"/>
  <c r="AA29" i="12"/>
  <c r="AO58" i="10"/>
  <c r="BC58" i="10"/>
  <c r="DL24" i="23"/>
  <c r="CR24" i="23"/>
  <c r="AY53" i="12"/>
  <c r="AK53" i="12"/>
  <c r="AK57" i="12" s="1"/>
  <c r="W57" i="12"/>
  <c r="AY57" i="12" s="1"/>
  <c r="AI61" i="10"/>
  <c r="AW61" i="10"/>
  <c r="AJ69" i="12"/>
  <c r="AX69" i="12"/>
  <c r="CX27" i="23"/>
  <c r="BJ64" i="23"/>
  <c r="CX64" i="23" s="1"/>
  <c r="V29" i="24"/>
  <c r="Q29" i="24"/>
  <c r="T29" i="24"/>
  <c r="R29" i="24"/>
  <c r="O66" i="24"/>
  <c r="Z8" i="24"/>
  <c r="AC8" i="24"/>
  <c r="X29" i="24"/>
  <c r="AA8" i="24"/>
  <c r="AY74" i="10"/>
  <c r="AB69" i="12"/>
  <c r="AP55" i="12"/>
  <c r="BD55" i="12"/>
  <c r="AA78" i="12"/>
  <c r="BV47" i="16"/>
  <c r="BV49" i="16" s="1"/>
  <c r="BV50" i="16" s="1"/>
  <c r="BX49" i="10"/>
  <c r="BR64" i="10"/>
  <c r="BX64" i="10" s="1"/>
  <c r="BP58" i="10"/>
  <c r="BV58" i="10" s="1"/>
  <c r="BV41" i="10"/>
  <c r="BF44" i="10"/>
  <c r="AD60" i="10"/>
  <c r="BF80" i="10"/>
  <c r="BN20" i="10"/>
  <c r="AR18" i="10"/>
  <c r="BA74" i="10"/>
  <c r="AT30" i="12"/>
  <c r="U76" i="12"/>
  <c r="CH12" i="16"/>
  <c r="CK12" i="16" s="1"/>
  <c r="AT57" i="10"/>
  <c r="AF57" i="10"/>
  <c r="BA58" i="10"/>
  <c r="AM58" i="10"/>
  <c r="AM6" i="12"/>
  <c r="BA6" i="12"/>
  <c r="X29" i="12"/>
  <c r="AM69" i="12"/>
  <c r="BA69" i="12"/>
  <c r="AP64" i="10"/>
  <c r="BD64" i="10"/>
  <c r="AN60" i="10"/>
  <c r="BB60" i="10"/>
  <c r="DM26" i="23"/>
  <c r="CS26" i="23"/>
  <c r="BA71" i="10"/>
  <c r="U68" i="12"/>
  <c r="BQ71" i="10"/>
  <c r="BQ70" i="10"/>
  <c r="BW6" i="10"/>
  <c r="BR44" i="10"/>
  <c r="BX26" i="10"/>
  <c r="AT6" i="12"/>
  <c r="R29" i="12"/>
  <c r="AF6" i="12"/>
  <c r="AP6" i="12"/>
  <c r="BD6" i="12"/>
  <c r="BI65" i="23"/>
  <c r="CW65" i="23" s="1"/>
  <c r="CW28" i="23"/>
  <c r="DI65" i="23"/>
  <c r="CO65" i="23"/>
  <c r="AB57" i="12"/>
  <c r="BD57" i="12" s="1"/>
  <c r="BO20" i="10"/>
  <c r="BU20" i="10" s="1"/>
  <c r="BT6" i="10"/>
  <c r="CC42" i="16"/>
  <c r="Y45" i="2"/>
  <c r="BO57" i="10"/>
  <c r="BU57" i="10" s="1"/>
  <c r="BU40" i="10"/>
  <c r="CQ65" i="23"/>
  <c r="DK65" i="23"/>
  <c r="BD58" i="10"/>
  <c r="AP58" i="10"/>
  <c r="DJ64" i="23"/>
  <c r="CP64" i="23"/>
  <c r="BP71" i="10"/>
  <c r="BP70" i="10"/>
  <c r="BV6" i="10"/>
  <c r="BV44" i="10"/>
  <c r="BP60" i="10"/>
  <c r="BV60" i="10" s="1"/>
  <c r="AK57" i="10"/>
  <c r="AY57" i="10"/>
  <c r="AT70" i="10"/>
  <c r="AJ14" i="12"/>
  <c r="AX14" i="12"/>
  <c r="AO103" i="11"/>
  <c r="BC103" i="11"/>
  <c r="AW104" i="11"/>
  <c r="AI104" i="11"/>
  <c r="AR103" i="11"/>
  <c r="BF103" i="11"/>
  <c r="BE14" i="12"/>
  <c r="AQ14" i="12"/>
  <c r="AQ104" i="11"/>
  <c r="BE104" i="11"/>
  <c r="AM14" i="12"/>
  <c r="BA14" i="12"/>
  <c r="X37" i="12"/>
  <c r="AZ14" i="12"/>
  <c r="AL14" i="12"/>
  <c r="X21" i="12"/>
  <c r="AL21" i="12" s="1"/>
  <c r="U37" i="12"/>
  <c r="AI14" i="12"/>
  <c r="U21" i="12"/>
  <c r="AW14" i="12"/>
  <c r="BB104" i="11"/>
  <c r="AN104" i="11"/>
  <c r="AG14" i="12"/>
  <c r="AU14" i="12"/>
  <c r="S21" i="12"/>
  <c r="AP14" i="12"/>
  <c r="BD14" i="12"/>
  <c r="AB21" i="12"/>
  <c r="AB60" i="12"/>
  <c r="AB67" i="12" s="1"/>
  <c r="BE32" i="11"/>
  <c r="Z87" i="11"/>
  <c r="BC71" i="11"/>
  <c r="AO71" i="11"/>
  <c r="BU26" i="11"/>
  <c r="BS26" i="11"/>
  <c r="BA7" i="11"/>
  <c r="X28" i="11"/>
  <c r="X13" i="12"/>
  <c r="X92" i="11"/>
  <c r="AM92" i="11" s="1"/>
  <c r="AN56" i="11"/>
  <c r="BB56" i="11"/>
  <c r="Y76" i="11"/>
  <c r="AA84" i="12"/>
  <c r="BC61" i="12"/>
  <c r="AO61" i="12"/>
  <c r="AA68" i="12"/>
  <c r="CA52" i="11"/>
  <c r="AX52" i="11"/>
  <c r="U62" i="12"/>
  <c r="BX26" i="11"/>
  <c r="AA13" i="12"/>
  <c r="AA92" i="11"/>
  <c r="AP92" i="11" s="1"/>
  <c r="AA28" i="11"/>
  <c r="BD7" i="11"/>
  <c r="AL27" i="11"/>
  <c r="AU56" i="11"/>
  <c r="R76" i="11"/>
  <c r="AG56" i="11"/>
  <c r="AV14" i="12"/>
  <c r="AH14" i="12"/>
  <c r="CA51" i="11"/>
  <c r="U72" i="11"/>
  <c r="BP51" i="11"/>
  <c r="BP52" i="11" s="1"/>
  <c r="BV52" i="11" s="1"/>
  <c r="AJ51" i="11"/>
  <c r="AX51" i="11"/>
  <c r="DM34" i="23"/>
  <c r="CS34" i="23"/>
  <c r="BE52" i="23"/>
  <c r="AU27" i="11"/>
  <c r="R15" i="12"/>
  <c r="DL62" i="23"/>
  <c r="CR62" i="23"/>
  <c r="W75" i="11"/>
  <c r="AZ55" i="11"/>
  <c r="AL55" i="11"/>
  <c r="AC60" i="12"/>
  <c r="AC67" i="12" s="1"/>
  <c r="BF32" i="11"/>
  <c r="AC53" i="11"/>
  <c r="BF53" i="11" s="1"/>
  <c r="AB76" i="11"/>
  <c r="AQ56" i="11"/>
  <c r="BE56" i="11"/>
  <c r="BF52" i="11"/>
  <c r="AC62" i="12"/>
  <c r="AK71" i="11"/>
  <c r="V87" i="11"/>
  <c r="CB71" i="11"/>
  <c r="AY71" i="11"/>
  <c r="AS26" i="11"/>
  <c r="CQ54" i="23"/>
  <c r="BC63" i="23"/>
  <c r="DK54" i="23"/>
  <c r="G81" i="24"/>
  <c r="AX7" i="11"/>
  <c r="U13" i="12"/>
  <c r="CA7" i="11"/>
  <c r="U28" i="11"/>
  <c r="U92" i="11"/>
  <c r="AJ92" i="11" s="1"/>
  <c r="AU52" i="11"/>
  <c r="R62" i="12"/>
  <c r="R70" i="12" s="1"/>
  <c r="BS50" i="11"/>
  <c r="BO71" i="11"/>
  <c r="BU50" i="11"/>
  <c r="BX25" i="11"/>
  <c r="BR27" i="11"/>
  <c r="BX27" i="11" s="1"/>
  <c r="AI27" i="11"/>
  <c r="BA55" i="11"/>
  <c r="X75" i="11"/>
  <c r="AM55" i="11"/>
  <c r="X91" i="11"/>
  <c r="AM91" i="11" s="1"/>
  <c r="CA56" i="11"/>
  <c r="AJ56" i="11"/>
  <c r="U76" i="11"/>
  <c r="AX56" i="11"/>
  <c r="CA71" i="11"/>
  <c r="AX71" i="11"/>
  <c r="AJ71" i="11"/>
  <c r="U87" i="11"/>
  <c r="BV50" i="11"/>
  <c r="BP71" i="11"/>
  <c r="BE71" i="11"/>
  <c r="AB87" i="11"/>
  <c r="AQ71" i="11"/>
  <c r="AQ73" i="11" s="1"/>
  <c r="Y87" i="11"/>
  <c r="AN71" i="11"/>
  <c r="BB71" i="11"/>
  <c r="X55" i="24"/>
  <c r="AC37" i="24"/>
  <c r="AA37" i="24"/>
  <c r="Z37" i="24"/>
  <c r="AU55" i="11"/>
  <c r="AG55" i="11"/>
  <c r="R75" i="11"/>
  <c r="BG5" i="11"/>
  <c r="AD7" i="11"/>
  <c r="AD91" i="11" s="1"/>
  <c r="AD55" i="11"/>
  <c r="BQ56" i="11"/>
  <c r="AZ103" i="11"/>
  <c r="AL103" i="11"/>
  <c r="AY103" i="11"/>
  <c r="AK103" i="11"/>
  <c r="AK27" i="11"/>
  <c r="Y13" i="12"/>
  <c r="Y28" i="11"/>
  <c r="BB7" i="11"/>
  <c r="Y92" i="11"/>
  <c r="AN92" i="11" s="1"/>
  <c r="AC13" i="12"/>
  <c r="BF7" i="11"/>
  <c r="AC28" i="11"/>
  <c r="AS31" i="11"/>
  <c r="AG32" i="11"/>
  <c r="AG53" i="11" s="1"/>
  <c r="AW71" i="11"/>
  <c r="T87" i="11"/>
  <c r="AI71" i="11"/>
  <c r="BQ71" i="11"/>
  <c r="BW50" i="11"/>
  <c r="BV26" i="11"/>
  <c r="AA58" i="24"/>
  <c r="AC58" i="24"/>
  <c r="CW34" i="23"/>
  <c r="BI52" i="23"/>
  <c r="CW52" i="23" s="1"/>
  <c r="CX36" i="23"/>
  <c r="BJ54" i="23"/>
  <c r="BA27" i="11"/>
  <c r="X15" i="12"/>
  <c r="S15" i="12"/>
  <c r="AV27" i="11"/>
  <c r="U45" i="20"/>
  <c r="AR51" i="11"/>
  <c r="AR52" i="11" s="1"/>
  <c r="AC72" i="11"/>
  <c r="BF51" i="11"/>
  <c r="AG51" i="11"/>
  <c r="AG52" i="11" s="1"/>
  <c r="BO51" i="11"/>
  <c r="BO52" i="11" s="1"/>
  <c r="AU51" i="11"/>
  <c r="R72" i="11"/>
  <c r="AD51" i="11"/>
  <c r="AD52" i="11" s="1"/>
  <c r="BG52" i="11" s="1"/>
  <c r="AN51" i="11"/>
  <c r="AN52" i="11" s="1"/>
  <c r="Y72" i="11"/>
  <c r="BB51" i="11"/>
  <c r="AL56" i="11"/>
  <c r="AZ56" i="11"/>
  <c r="W76" i="11"/>
  <c r="CW36" i="23"/>
  <c r="BI54" i="23"/>
  <c r="BG25" i="11"/>
  <c r="AD27" i="11"/>
  <c r="BG27" i="11" s="1"/>
  <c r="BF56" i="11"/>
  <c r="AR56" i="11"/>
  <c r="AC76" i="11"/>
  <c r="BC32" i="11"/>
  <c r="Z53" i="11"/>
  <c r="BC53" i="11" s="1"/>
  <c r="Z60" i="12"/>
  <c r="Z67" i="12" s="1"/>
  <c r="CO34" i="23"/>
  <c r="BA52" i="23"/>
  <c r="DI34" i="23"/>
  <c r="AS50" i="11"/>
  <c r="BD71" i="11"/>
  <c r="AA87" i="11"/>
  <c r="AP71" i="11"/>
  <c r="AP73" i="11" s="1"/>
  <c r="BD27" i="11"/>
  <c r="AA15" i="12"/>
  <c r="AW27" i="11"/>
  <c r="T15" i="12"/>
  <c r="AP56" i="11"/>
  <c r="AA76" i="11"/>
  <c r="BD56" i="11"/>
  <c r="CX34" i="23"/>
  <c r="BJ52" i="23"/>
  <c r="CX52" i="23" s="1"/>
  <c r="AG7" i="11"/>
  <c r="AG28" i="11" s="1"/>
  <c r="AS5" i="11"/>
  <c r="BA68" i="12"/>
  <c r="CP54" i="23"/>
  <c r="DJ54" i="23"/>
  <c r="BB63" i="23"/>
  <c r="BB61" i="23" s="1"/>
  <c r="BW25" i="11"/>
  <c r="BQ27" i="11"/>
  <c r="BW27" i="11" s="1"/>
  <c r="AQ51" i="11"/>
  <c r="AQ52" i="11" s="1"/>
  <c r="AB72" i="11"/>
  <c r="BE51" i="11"/>
  <c r="V72" i="11"/>
  <c r="CB51" i="11"/>
  <c r="AY51" i="11"/>
  <c r="AK51" i="11"/>
  <c r="AK52" i="11" s="1"/>
  <c r="BW26" i="11"/>
  <c r="V45" i="20"/>
  <c r="AQ27" i="11"/>
  <c r="BU25" i="11"/>
  <c r="BS25" i="11"/>
  <c r="BO27" i="11"/>
  <c r="BO104" i="11" s="1"/>
  <c r="BU104" i="11" s="1"/>
  <c r="AX103" i="11"/>
  <c r="AJ103" i="11"/>
  <c r="BV25" i="11"/>
  <c r="BP27" i="11"/>
  <c r="BV27" i="11" s="1"/>
  <c r="T92" i="11"/>
  <c r="AI92" i="11" s="1"/>
  <c r="AW7" i="11"/>
  <c r="T28" i="11"/>
  <c r="T13" i="12"/>
  <c r="Z28" i="11"/>
  <c r="Z13" i="12"/>
  <c r="Z92" i="11"/>
  <c r="AO92" i="11" s="1"/>
  <c r="BC7" i="11"/>
  <c r="Z76" i="11"/>
  <c r="AO56" i="11"/>
  <c r="BC56" i="11"/>
  <c r="AN14" i="12"/>
  <c r="BB14" i="12"/>
  <c r="AD10" i="11"/>
  <c r="AD11" i="11" s="1"/>
  <c r="BC52" i="11"/>
  <c r="Z62" i="12"/>
  <c r="AC87" i="11"/>
  <c r="BF71" i="11"/>
  <c r="AR71" i="11"/>
  <c r="AR73" i="11" s="1"/>
  <c r="V52" i="11"/>
  <c r="V53" i="11" s="1"/>
  <c r="AZ104" i="11"/>
  <c r="AL104" i="11"/>
  <c r="BV5" i="11"/>
  <c r="BP7" i="11"/>
  <c r="BP91" i="11" s="1"/>
  <c r="BP55" i="11"/>
  <c r="AU71" i="11"/>
  <c r="R87" i="11"/>
  <c r="AG71" i="11"/>
  <c r="BD52" i="11"/>
  <c r="AA62" i="12"/>
  <c r="AA103" i="11"/>
  <c r="AB13" i="12"/>
  <c r="BE7" i="11"/>
  <c r="AB28" i="11"/>
  <c r="AB92" i="11"/>
  <c r="AQ92" i="11" s="1"/>
  <c r="BQ7" i="11"/>
  <c r="BQ91" i="11" s="1"/>
  <c r="BW5" i="11"/>
  <c r="BQ55" i="11"/>
  <c r="Y53" i="11"/>
  <c r="BB53" i="11" s="1"/>
  <c r="BD32" i="11"/>
  <c r="AA53" i="11"/>
  <c r="BD53" i="11" s="1"/>
  <c r="AA60" i="12"/>
  <c r="BX31" i="11"/>
  <c r="BR56" i="11"/>
  <c r="BR32" i="11"/>
  <c r="AD61" i="12"/>
  <c r="BF61" i="12" s="1"/>
  <c r="AF61" i="12"/>
  <c r="AT61" i="12"/>
  <c r="R84" i="12"/>
  <c r="R68" i="12"/>
  <c r="AJ52" i="11"/>
  <c r="Y62" i="12"/>
  <c r="BB52" i="11"/>
  <c r="AA104" i="11"/>
  <c r="T36" i="24"/>
  <c r="O81" i="24"/>
  <c r="O86" i="24" s="1"/>
  <c r="R36" i="24"/>
  <c r="Q36" i="24"/>
  <c r="V36" i="24"/>
  <c r="DL54" i="23"/>
  <c r="CR54" i="23"/>
  <c r="BD63" i="23"/>
  <c r="AA91" i="11"/>
  <c r="AP91" i="11" s="1"/>
  <c r="X60" i="12"/>
  <c r="BA32" i="11"/>
  <c r="X53" i="11"/>
  <c r="BA53" i="11" s="1"/>
  <c r="Z15" i="12"/>
  <c r="Z23" i="12" s="1"/>
  <c r="BC27" i="11"/>
  <c r="Y75" i="11"/>
  <c r="BB55" i="11"/>
  <c r="AN55" i="11"/>
  <c r="AV32" i="11"/>
  <c r="S53" i="11"/>
  <c r="AV53" i="11" s="1"/>
  <c r="S60" i="12"/>
  <c r="BO56" i="11"/>
  <c r="BO32" i="11"/>
  <c r="AW56" i="11"/>
  <c r="T76" i="11"/>
  <c r="AI56" i="11"/>
  <c r="AG61" i="12"/>
  <c r="S68" i="12"/>
  <c r="AU61" i="12"/>
  <c r="S87" i="11"/>
  <c r="AV71" i="11"/>
  <c r="AH71" i="11"/>
  <c r="X62" i="12"/>
  <c r="BA52" i="11"/>
  <c r="CS53" i="23"/>
  <c r="DM53" i="23"/>
  <c r="G82" i="24"/>
  <c r="AC15" i="12"/>
  <c r="BF27" i="11"/>
  <c r="X72" i="11"/>
  <c r="BQ51" i="11"/>
  <c r="BA51" i="11"/>
  <c r="AM51" i="11"/>
  <c r="AM52" i="11" s="1"/>
  <c r="AP51" i="11"/>
  <c r="AP52" i="11" s="1"/>
  <c r="AA72" i="11"/>
  <c r="BR51" i="11"/>
  <c r="BR52" i="11" s="1"/>
  <c r="BX52" i="11" s="1"/>
  <c r="BD51" i="11"/>
  <c r="AZ51" i="11"/>
  <c r="W72" i="11"/>
  <c r="AL51" i="11"/>
  <c r="AL52" i="11" s="1"/>
  <c r="AY56" i="11"/>
  <c r="AK56" i="11"/>
  <c r="CB56" i="11"/>
  <c r="V76" i="11"/>
  <c r="W53" i="11"/>
  <c r="AZ53" i="11" s="1"/>
  <c r="W60" i="12"/>
  <c r="AZ32" i="11"/>
  <c r="W87" i="11"/>
  <c r="AZ71" i="11"/>
  <c r="AL71" i="11"/>
  <c r="AM104" i="11"/>
  <c r="BA104" i="11"/>
  <c r="R38" i="24"/>
  <c r="X38" i="24"/>
  <c r="T38" i="24"/>
  <c r="Q38" i="24"/>
  <c r="V38" i="24"/>
  <c r="O56" i="24"/>
  <c r="BE54" i="23"/>
  <c r="DI54" i="23"/>
  <c r="CO54" i="23"/>
  <c r="BA63" i="23"/>
  <c r="AS25" i="11"/>
  <c r="AG27" i="11"/>
  <c r="AW55" i="11"/>
  <c r="AI55" i="11"/>
  <c r="T75" i="11"/>
  <c r="BC55" i="11"/>
  <c r="AO55" i="11"/>
  <c r="Z75" i="11"/>
  <c r="AY14" i="12"/>
  <c r="AK14" i="12"/>
  <c r="BG26" i="11"/>
  <c r="AJ55" i="11"/>
  <c r="U75" i="11"/>
  <c r="AX55" i="11"/>
  <c r="CA55" i="11"/>
  <c r="BB27" i="11"/>
  <c r="Y15" i="12"/>
  <c r="AH55" i="11"/>
  <c r="AV55" i="11"/>
  <c r="S75" i="11"/>
  <c r="BV31" i="11"/>
  <c r="BP56" i="11"/>
  <c r="BP32" i="11"/>
  <c r="AW32" i="11"/>
  <c r="T53" i="11"/>
  <c r="AW53" i="11" s="1"/>
  <c r="T60" i="12"/>
  <c r="BA71" i="11"/>
  <c r="AM71" i="11"/>
  <c r="X87" i="11"/>
  <c r="AX104" i="11"/>
  <c r="AJ104" i="11"/>
  <c r="W62" i="12"/>
  <c r="AZ52" i="11"/>
  <c r="T21" i="12"/>
  <c r="AV21" i="12" s="1"/>
  <c r="BE27" i="11"/>
  <c r="AB15" i="12"/>
  <c r="AU103" i="11"/>
  <c r="AG103" i="11"/>
  <c r="CA27" i="11"/>
  <c r="AX27" i="11"/>
  <c r="U15" i="12"/>
  <c r="U23" i="12" s="1"/>
  <c r="W13" i="12"/>
  <c r="AZ7" i="11"/>
  <c r="W92" i="11"/>
  <c r="AL92" i="11" s="1"/>
  <c r="W28" i="11"/>
  <c r="BC52" i="23"/>
  <c r="CQ34" i="23"/>
  <c r="DK34" i="23"/>
  <c r="BC14" i="12"/>
  <c r="AO14" i="12"/>
  <c r="AA21" i="12"/>
  <c r="AA37" i="12"/>
  <c r="R104" i="11"/>
  <c r="DJ52" i="23"/>
  <c r="CP52" i="23"/>
  <c r="BG50" i="11"/>
  <c r="AD71" i="11"/>
  <c r="BR71" i="11"/>
  <c r="BX50" i="11"/>
  <c r="Y103" i="11"/>
  <c r="T103" i="11"/>
  <c r="AB75" i="11"/>
  <c r="BE55" i="11"/>
  <c r="AQ55" i="11"/>
  <c r="S28" i="11"/>
  <c r="S13" i="12"/>
  <c r="S92" i="11"/>
  <c r="AH92" i="11" s="1"/>
  <c r="AV7" i="11"/>
  <c r="CA32" i="11"/>
  <c r="U60" i="12"/>
  <c r="AX32" i="11"/>
  <c r="U53" i="11"/>
  <c r="AZ84" i="12"/>
  <c r="AL84" i="12"/>
  <c r="AB52" i="11"/>
  <c r="AO104" i="11"/>
  <c r="AR104" i="11"/>
  <c r="V55" i="24"/>
  <c r="T55" i="24"/>
  <c r="R55" i="24"/>
  <c r="O54" i="24"/>
  <c r="Q55" i="24"/>
  <c r="BD55" i="11"/>
  <c r="AP55" i="11"/>
  <c r="AA75" i="11"/>
  <c r="BX5" i="11"/>
  <c r="BR7" i="11"/>
  <c r="BR91" i="11" s="1"/>
  <c r="BR55" i="11"/>
  <c r="BU5" i="11"/>
  <c r="BO7" i="11"/>
  <c r="BO91" i="11" s="1"/>
  <c r="BS5" i="11"/>
  <c r="BO55" i="11"/>
  <c r="R13" i="12"/>
  <c r="R92" i="11"/>
  <c r="AG92" i="11" s="1"/>
  <c r="AU7" i="11"/>
  <c r="X76" i="11"/>
  <c r="BA56" i="11"/>
  <c r="AM56" i="11"/>
  <c r="R11" i="11"/>
  <c r="R14" i="12" s="1"/>
  <c r="AO27" i="11"/>
  <c r="AZ27" i="11"/>
  <c r="W15" i="12"/>
  <c r="V15" i="12"/>
  <c r="AY27" i="11"/>
  <c r="CB27" i="11"/>
  <c r="Y91" i="11"/>
  <c r="AN91" i="11" s="1"/>
  <c r="AR55" i="11"/>
  <c r="AC75" i="11"/>
  <c r="BF55" i="11"/>
  <c r="CB55" i="11"/>
  <c r="AK55" i="11"/>
  <c r="AY55" i="11"/>
  <c r="V75" i="11"/>
  <c r="V13" i="12"/>
  <c r="V20" i="12" s="1"/>
  <c r="CB7" i="11"/>
  <c r="V28" i="11"/>
  <c r="V92" i="11"/>
  <c r="AK92" i="11" s="1"/>
  <c r="AY7" i="11"/>
  <c r="S76" i="11"/>
  <c r="AV56" i="11"/>
  <c r="AH56" i="11"/>
  <c r="R60" i="12"/>
  <c r="R67" i="12" s="1"/>
  <c r="R53" i="11"/>
  <c r="AU53" i="11" s="1"/>
  <c r="AU32" i="11"/>
  <c r="BG31" i="11"/>
  <c r="AD56" i="11"/>
  <c r="AD32" i="11"/>
  <c r="AP68" i="12"/>
  <c r="BD68" i="12"/>
  <c r="S62" i="12"/>
  <c r="AV52" i="11"/>
  <c r="AW52" i="11"/>
  <c r="T62" i="12"/>
  <c r="V104" i="11"/>
  <c r="AH104" i="11"/>
  <c r="AH103" i="11"/>
  <c r="AV103" i="11"/>
  <c r="AR27" i="11"/>
  <c r="AI51" i="11"/>
  <c r="AI52" i="11" s="1"/>
  <c r="T72" i="11"/>
  <c r="AW51" i="11"/>
  <c r="BC51" i="11"/>
  <c r="AO51" i="11"/>
  <c r="AO52" i="11" s="1"/>
  <c r="Z72" i="11"/>
  <c r="AH51" i="11"/>
  <c r="AH52" i="11" s="1"/>
  <c r="S72" i="11"/>
  <c r="AV51" i="11"/>
  <c r="CB32" i="11"/>
  <c r="V60" i="12"/>
  <c r="AY32" i="11"/>
  <c r="DM36" i="23"/>
  <c r="CS36" i="23"/>
  <c r="DL52" i="23"/>
  <c r="CR52" i="23"/>
  <c r="AW9" i="12"/>
  <c r="AI9" i="12"/>
  <c r="AI10" i="12" s="1"/>
  <c r="CF58" i="16"/>
  <c r="CF61" i="16" s="1"/>
  <c r="CF62" i="16" s="1"/>
  <c r="CF84" i="16" s="1"/>
  <c r="CG17" i="16"/>
  <c r="BO63" i="10"/>
  <c r="BU63" i="10" s="1"/>
  <c r="BU48" i="10"/>
  <c r="AD10" i="10"/>
  <c r="BF9" i="10"/>
  <c r="BW40" i="10"/>
  <c r="BQ57" i="10"/>
  <c r="BW57" i="10" s="1"/>
  <c r="BE20" i="10"/>
  <c r="BE82" i="10" s="1"/>
  <c r="BE83" i="10" s="1"/>
  <c r="AC82" i="10"/>
  <c r="AC83" i="10" s="1"/>
  <c r="AQ9" i="12"/>
  <c r="BE9" i="12"/>
  <c r="Y22" i="12"/>
  <c r="BA8" i="12"/>
  <c r="AM8" i="12"/>
  <c r="AQ66" i="10"/>
  <c r="BE66" i="10"/>
  <c r="AD66" i="10"/>
  <c r="BF52" i="10"/>
  <c r="AN57" i="10"/>
  <c r="BB57" i="10"/>
  <c r="AU22" i="12"/>
  <c r="AG22" i="12"/>
  <c r="BR63" i="10"/>
  <c r="BX63" i="10" s="1"/>
  <c r="BX48" i="10"/>
  <c r="AD9" i="12"/>
  <c r="BF9" i="12" s="1"/>
  <c r="CC85" i="16"/>
  <c r="CF22" i="16"/>
  <c r="CH16" i="16"/>
  <c r="CK16" i="16" s="1"/>
  <c r="BB80" i="10"/>
  <c r="X32" i="12"/>
  <c r="AL32" i="12" s="1"/>
  <c r="BB53" i="12"/>
  <c r="AN53" i="12"/>
  <c r="AM57" i="10"/>
  <c r="BA57" i="10"/>
  <c r="AB82" i="10"/>
  <c r="AB83" i="10" s="1"/>
  <c r="BD20" i="10"/>
  <c r="BD82" i="10" s="1"/>
  <c r="BD83" i="10" s="1"/>
  <c r="BU36" i="10"/>
  <c r="BO38" i="10"/>
  <c r="BU38" i="10" s="1"/>
  <c r="V68" i="12"/>
  <c r="AX54" i="12"/>
  <c r="AJ54" i="12"/>
  <c r="AJ57" i="12" s="1"/>
  <c r="U77" i="12"/>
  <c r="U80" i="12" s="1"/>
  <c r="AW80" i="12" s="1"/>
  <c r="AQ7" i="12"/>
  <c r="BE7" i="12"/>
  <c r="AC21" i="12"/>
  <c r="AC10" i="12"/>
  <c r="BE10" i="12" s="1"/>
  <c r="AA30" i="12"/>
  <c r="BD76" i="10"/>
  <c r="BD77" i="10"/>
  <c r="BW52" i="10"/>
  <c r="BQ66" i="10"/>
  <c r="BW66" i="10" s="1"/>
  <c r="AJ61" i="10"/>
  <c r="AX61" i="10"/>
  <c r="V57" i="12"/>
  <c r="AX57" i="12" s="1"/>
  <c r="AP63" i="10"/>
  <c r="BD63" i="10"/>
  <c r="AN20" i="10"/>
  <c r="AR13" i="10"/>
  <c r="AR14" i="10" s="1"/>
  <c r="BF71" i="10"/>
  <c r="AD14" i="10"/>
  <c r="AD77" i="10" s="1"/>
  <c r="AR77" i="10" s="1"/>
  <c r="CG85" i="16"/>
  <c r="AR9" i="10"/>
  <c r="AR10" i="10" s="1"/>
  <c r="AR20" i="10" s="1"/>
  <c r="AD49" i="10"/>
  <c r="BF49" i="10" s="1"/>
  <c r="BA63" i="10"/>
  <c r="AM63" i="10"/>
  <c r="AO66" i="10"/>
  <c r="BC66" i="10"/>
  <c r="AV67" i="10"/>
  <c r="AH67" i="10"/>
  <c r="BR52" i="10"/>
  <c r="BX34" i="10"/>
  <c r="BA76" i="10"/>
  <c r="BA77" i="10"/>
  <c r="BP14" i="10"/>
  <c r="BV14" i="10" s="1"/>
  <c r="BV13" i="10"/>
  <c r="AW80" i="10"/>
  <c r="BU53" i="10"/>
  <c r="BO67" i="10"/>
  <c r="BU67" i="10" s="1"/>
  <c r="BE57" i="10"/>
  <c r="AQ57" i="10"/>
  <c r="AI76" i="12"/>
  <c r="AW76" i="12"/>
  <c r="BO80" i="10"/>
  <c r="BU80" i="10" s="1"/>
  <c r="BO79" i="10"/>
  <c r="BU79" i="10" s="1"/>
  <c r="BU18" i="10"/>
  <c r="BT48" i="10"/>
  <c r="BN63" i="10"/>
  <c r="BT63" i="10" s="1"/>
  <c r="AW66" i="10"/>
  <c r="AI66" i="10"/>
  <c r="BD57" i="10"/>
  <c r="AP57" i="10"/>
  <c r="BX40" i="10"/>
  <c r="BR57" i="10"/>
  <c r="BX57" i="10" s="1"/>
  <c r="U32" i="12"/>
  <c r="AD32" i="12" s="1"/>
  <c r="BF32" i="12" s="1"/>
  <c r="BZ42" i="16"/>
  <c r="AH10" i="12"/>
  <c r="AG57" i="12"/>
  <c r="BQ73" i="10"/>
  <c r="BW10" i="10"/>
  <c r="BQ20" i="10"/>
  <c r="BF48" i="10"/>
  <c r="AD63" i="10"/>
  <c r="AR48" i="10"/>
  <c r="BE79" i="10"/>
  <c r="BV40" i="10"/>
  <c r="BP57" i="10"/>
  <c r="BV57" i="10" s="1"/>
  <c r="BE74" i="10"/>
  <c r="Z73" i="10"/>
  <c r="AN73" i="10" s="1"/>
  <c r="BB10" i="10"/>
  <c r="Z7" i="12"/>
  <c r="BU52" i="10"/>
  <c r="BO66" i="10"/>
  <c r="BU66" i="10" s="1"/>
  <c r="AP8" i="12"/>
  <c r="BD8" i="12"/>
  <c r="AB22" i="12"/>
  <c r="AA45" i="12" s="1"/>
  <c r="AB10" i="12"/>
  <c r="BD10" i="12" s="1"/>
  <c r="AM53" i="12"/>
  <c r="AM57" i="12" s="1"/>
  <c r="BA53" i="12"/>
  <c r="X76" i="12"/>
  <c r="Z64" i="10"/>
  <c r="AN49" i="10"/>
  <c r="BP49" i="10" s="1"/>
  <c r="BB49" i="10"/>
  <c r="CG83" i="16"/>
  <c r="BD53" i="12"/>
  <c r="AP53" i="12"/>
  <c r="BF40" i="10"/>
  <c r="AD57" i="10"/>
  <c r="AZ63" i="10"/>
  <c r="AL63" i="10"/>
  <c r="BN82" i="10"/>
  <c r="BT20" i="10"/>
  <c r="BX82" i="16"/>
  <c r="BX71" i="16"/>
  <c r="AT53" i="12"/>
  <c r="AF53" i="12"/>
  <c r="R57" i="12"/>
  <c r="AT57" i="12" s="1"/>
  <c r="R76" i="12"/>
  <c r="AD53" i="12"/>
  <c r="BE53" i="12"/>
  <c r="AQ53" i="12"/>
  <c r="AC57" i="12"/>
  <c r="BE57" i="12" s="1"/>
  <c r="AA76" i="12"/>
  <c r="AT8" i="12"/>
  <c r="AF8" i="12"/>
  <c r="R31" i="12"/>
  <c r="R22" i="12"/>
  <c r="AD8" i="12"/>
  <c r="BF8" i="12" s="1"/>
  <c r="R10" i="12"/>
  <c r="AT10" i="12" s="1"/>
  <c r="DJ62" i="23"/>
  <c r="CP62" i="23"/>
  <c r="CB71" i="16"/>
  <c r="BF41" i="10"/>
  <c r="AD58" i="10"/>
  <c r="BV32" i="10"/>
  <c r="BR32" i="10"/>
  <c r="BX32" i="10" s="1"/>
  <c r="BY79" i="16"/>
  <c r="BY85" i="16"/>
  <c r="AR41" i="10"/>
  <c r="AR24" i="10"/>
  <c r="BE56" i="12"/>
  <c r="AC70" i="12"/>
  <c r="AQ56" i="12"/>
  <c r="AA79" i="12"/>
  <c r="BW24" i="10"/>
  <c r="BQ38" i="10"/>
  <c r="BW38" i="10" s="1"/>
  <c r="AY20" i="10"/>
  <c r="AY82" i="10" s="1"/>
  <c r="AY83" i="10" s="1"/>
  <c r="W82" i="10"/>
  <c r="W83" i="10" s="1"/>
  <c r="BT53" i="10"/>
  <c r="BN67" i="10"/>
  <c r="BT67" i="10" s="1"/>
  <c r="Z67" i="10"/>
  <c r="BB53" i="10"/>
  <c r="AN53" i="10"/>
  <c r="AZ68" i="12"/>
  <c r="AL68" i="12"/>
  <c r="AZ32" i="12"/>
  <c r="CB77" i="16"/>
  <c r="CB79" i="16" s="1"/>
  <c r="CB42" i="16"/>
  <c r="R82" i="10"/>
  <c r="R83" i="10" s="1"/>
  <c r="AT20" i="10"/>
  <c r="AT82" i="10" s="1"/>
  <c r="AT83" i="10" s="1"/>
  <c r="CF79" i="16"/>
  <c r="CF85" i="16"/>
  <c r="AF77" i="12"/>
  <c r="AT77" i="12"/>
  <c r="CS25" i="23"/>
  <c r="BE62" i="23"/>
  <c r="DM25" i="23"/>
  <c r="CK40" i="16"/>
  <c r="CC52" i="16"/>
  <c r="CH52" i="16" s="1"/>
  <c r="CC22" i="16"/>
  <c r="BA61" i="10"/>
  <c r="AM61" i="10"/>
  <c r="BZ84" i="16"/>
  <c r="BZ79" i="16"/>
  <c r="AO22" i="12"/>
  <c r="BC22" i="12"/>
  <c r="BW79" i="16"/>
  <c r="BJ24" i="23"/>
  <c r="CX24" i="23" s="1"/>
  <c r="CX3" i="23"/>
  <c r="AK58" i="10"/>
  <c r="AY58" i="10"/>
  <c r="BX83" i="16"/>
  <c r="AT67" i="10"/>
  <c r="AF67" i="10"/>
  <c r="BX23" i="10"/>
  <c r="BR41" i="10"/>
  <c r="BR24" i="10"/>
  <c r="AZ55" i="12"/>
  <c r="X69" i="12"/>
  <c r="AD69" i="12" s="1"/>
  <c r="BF69" i="12" s="1"/>
  <c r="AL55" i="12"/>
  <c r="AR55" i="12" s="1"/>
  <c r="X78" i="12"/>
  <c r="BV58" i="16"/>
  <c r="BV22" i="16"/>
  <c r="AT78" i="12"/>
  <c r="AF78" i="12"/>
  <c r="AF38" i="10"/>
  <c r="CS28" i="23"/>
  <c r="DM28" i="23"/>
  <c r="BE65" i="23"/>
  <c r="AQ68" i="12"/>
  <c r="AA91" i="12"/>
  <c r="AD45" i="10"/>
  <c r="BF45" i="10" s="1"/>
  <c r="BF27" i="10"/>
  <c r="AD28" i="10"/>
  <c r="BF28" i="10" s="1"/>
  <c r="AN28" i="10"/>
  <c r="AN38" i="10" s="1"/>
  <c r="AR27" i="10"/>
  <c r="BB8" i="12"/>
  <c r="AN8" i="12"/>
  <c r="Z22" i="12"/>
  <c r="X31" i="12"/>
  <c r="BX35" i="10"/>
  <c r="BR53" i="10"/>
  <c r="AK61" i="10"/>
  <c r="AY61" i="10"/>
  <c r="BP36" i="10"/>
  <c r="BV36" i="10" s="1"/>
  <c r="BP53" i="10"/>
  <c r="BV35" i="10"/>
  <c r="CP24" i="23"/>
  <c r="DJ24" i="23"/>
  <c r="BB77" i="10"/>
  <c r="AT56" i="12"/>
  <c r="AF56" i="12"/>
  <c r="R79" i="12"/>
  <c r="AI78" i="12"/>
  <c r="AW78" i="12"/>
  <c r="CA53" i="16"/>
  <c r="CA55" i="16" s="1"/>
  <c r="CA56" i="16" s="1"/>
  <c r="CA83" i="16" s="1"/>
  <c r="BZ46" i="16"/>
  <c r="BZ22" i="16"/>
  <c r="CH9" i="16"/>
  <c r="AD53" i="10"/>
  <c r="AD36" i="10"/>
  <c r="BF36" i="10" s="1"/>
  <c r="BF35" i="10"/>
  <c r="AQ58" i="10"/>
  <c r="BE58" i="10"/>
  <c r="AJ22" i="12"/>
  <c r="AX22" i="12"/>
  <c r="BT14" i="10"/>
  <c r="CP65" i="23"/>
  <c r="DJ65" i="23"/>
  <c r="AW69" i="12"/>
  <c r="AI69" i="12"/>
  <c r="U92" i="12"/>
  <c r="CK21" i="16"/>
  <c r="CI21" i="16"/>
  <c r="CJ19" i="16"/>
  <c r="AY7" i="12"/>
  <c r="W21" i="12"/>
  <c r="AK7" i="12"/>
  <c r="AW29" i="12"/>
  <c r="AV68" i="12"/>
  <c r="CX28" i="23"/>
  <c r="AJ58" i="10"/>
  <c r="AX58" i="10"/>
  <c r="BV78" i="16"/>
  <c r="CK28" i="16"/>
  <c r="CH37" i="16"/>
  <c r="BX79" i="16"/>
  <c r="BF24" i="10"/>
  <c r="AT64" i="10"/>
  <c r="AF64" i="10"/>
  <c r="AX20" i="10"/>
  <c r="AX82" i="10" s="1"/>
  <c r="AX83" i="10" s="1"/>
  <c r="V82" i="10"/>
  <c r="V83" i="10" s="1"/>
  <c r="AX71" i="10"/>
  <c r="BR70" i="10"/>
  <c r="BX6" i="10"/>
  <c r="CD61" i="16"/>
  <c r="CD62" i="16" s="1"/>
  <c r="CD70" i="16"/>
  <c r="CF49" i="16"/>
  <c r="CF50" i="16" s="1"/>
  <c r="CF70" i="16"/>
  <c r="BV10" i="10"/>
  <c r="BP73" i="10"/>
  <c r="CQ62" i="23"/>
  <c r="DK62" i="23"/>
  <c r="AA28" i="24"/>
  <c r="Z28" i="24"/>
  <c r="AC28" i="24"/>
  <c r="V64" i="24"/>
  <c r="T64" i="24"/>
  <c r="BN38" i="10"/>
  <c r="BT38" i="10" s="1"/>
  <c r="BT24" i="10"/>
  <c r="AA5" i="24"/>
  <c r="Z5" i="24"/>
  <c r="AC5" i="24"/>
  <c r="AT58" i="10"/>
  <c r="AF58" i="10"/>
  <c r="BE67" i="10"/>
  <c r="AQ67" i="10"/>
  <c r="BW41" i="10"/>
  <c r="BQ58" i="10"/>
  <c r="BW58" i="10" s="1"/>
  <c r="BO73" i="10"/>
  <c r="BU10" i="10"/>
  <c r="BR10" i="10"/>
  <c r="BR74" i="10" s="1"/>
  <c r="BU45" i="10"/>
  <c r="BO61" i="10"/>
  <c r="BU61" i="10" s="1"/>
  <c r="BX17" i="10"/>
  <c r="BV27" i="10"/>
  <c r="BP45" i="10"/>
  <c r="BP28" i="10"/>
  <c r="BR27" i="10"/>
  <c r="BB45" i="10"/>
  <c r="AN45" i="10"/>
  <c r="Z61" i="10"/>
  <c r="BR71" i="10"/>
  <c r="BB20" i="10"/>
  <c r="BB82" i="10" s="1"/>
  <c r="BB83" i="10" s="1"/>
  <c r="Z82" i="10"/>
  <c r="Z83" i="10" s="1"/>
  <c r="BR36" i="10"/>
  <c r="BX36" i="10" s="1"/>
  <c r="BT36" i="10"/>
  <c r="BB36" i="10"/>
  <c r="Z56" i="12"/>
  <c r="AD56" i="12" s="1"/>
  <c r="BF56" i="12" s="1"/>
  <c r="X57" i="12"/>
  <c r="AZ57" i="12" s="1"/>
  <c r="AY71" i="10"/>
  <c r="Y82" i="10"/>
  <c r="Y83" i="10" s="1"/>
  <c r="BA20" i="10"/>
  <c r="BA82" i="10" s="1"/>
  <c r="BA83" i="10" s="1"/>
  <c r="AL64" i="10"/>
  <c r="AZ64" i="10"/>
  <c r="DM3" i="23"/>
  <c r="CS3" i="23"/>
  <c r="BE24" i="23"/>
  <c r="AO31" i="12"/>
  <c r="BC31" i="12"/>
  <c r="BY59" i="16"/>
  <c r="BY61" i="16" s="1"/>
  <c r="BY62" i="16" s="1"/>
  <c r="BY70" i="16"/>
  <c r="BV83" i="16"/>
  <c r="CW62" i="23"/>
  <c r="BT41" i="10"/>
  <c r="BN58" i="10"/>
  <c r="BT58" i="10" s="1"/>
  <c r="AR36" i="10"/>
  <c r="AR53" i="10"/>
  <c r="V67" i="24"/>
  <c r="R67" i="24"/>
  <c r="Q67" i="24"/>
  <c r="T67" i="24"/>
  <c r="AO77" i="12"/>
  <c r="BC77" i="12"/>
  <c r="AM7" i="12"/>
  <c r="AM10" i="12" s="1"/>
  <c r="BA7" i="12"/>
  <c r="Y21" i="12"/>
  <c r="Y10" i="12"/>
  <c r="BA10" i="12" s="1"/>
  <c r="BV65" i="16"/>
  <c r="CH65" i="16" s="1"/>
  <c r="CH64" i="16"/>
  <c r="BW53" i="10"/>
  <c r="BQ67" i="10"/>
  <c r="BW67" i="10" s="1"/>
  <c r="BT49" i="10"/>
  <c r="BN64" i="10"/>
  <c r="BT64" i="10" s="1"/>
  <c r="BF6" i="12"/>
  <c r="AH57" i="12"/>
  <c r="AO32" i="12"/>
  <c r="BC32" i="12"/>
  <c r="BB9" i="12"/>
  <c r="AN9" i="12"/>
  <c r="BV75" i="16"/>
  <c r="CH29" i="16"/>
  <c r="CJ28" i="16" s="1"/>
  <c r="BV42" i="16"/>
  <c r="BW84" i="16"/>
  <c r="CQ24" i="23"/>
  <c r="DK24" i="23"/>
  <c r="CK20" i="16"/>
  <c r="CJ20" i="16"/>
  <c r="CG75" i="16"/>
  <c r="CG42" i="16"/>
  <c r="CX25" i="23"/>
  <c r="BJ62" i="23"/>
  <c r="AJ6" i="12"/>
  <c r="AX6" i="12"/>
  <c r="AI31" i="12"/>
  <c r="AW31" i="12"/>
  <c r="BW49" i="16"/>
  <c r="CH13" i="16"/>
  <c r="CA46" i="16"/>
  <c r="CA22" i="16"/>
  <c r="O77" i="24"/>
  <c r="O78" i="24" s="1"/>
  <c r="P78" i="24" s="1"/>
  <c r="V26" i="24"/>
  <c r="R26" i="24"/>
  <c r="T26" i="24"/>
  <c r="Q26" i="24"/>
  <c r="AG69" i="12"/>
  <c r="AU69" i="12"/>
  <c r="R92" i="12"/>
  <c r="X26" i="24"/>
  <c r="AA27" i="24"/>
  <c r="X64" i="24"/>
  <c r="Z27" i="24"/>
  <c r="AC27" i="24"/>
  <c r="AA30" i="24"/>
  <c r="AC30" i="24"/>
  <c r="Z30" i="24"/>
  <c r="CE67" i="16"/>
  <c r="CE68" i="16" s="1"/>
  <c r="CE70" i="16"/>
  <c r="BX9" i="10"/>
  <c r="BP79" i="10"/>
  <c r="BV79" i="10" s="1"/>
  <c r="BV18" i="10"/>
  <c r="BR18" i="10"/>
  <c r="CD33" i="16"/>
  <c r="CD96" i="16"/>
  <c r="CH32" i="16"/>
  <c r="BB28" i="10"/>
  <c r="Z38" i="10"/>
  <c r="BB38" i="10" s="1"/>
  <c r="Z54" i="12"/>
  <c r="W10" i="12"/>
  <c r="AY10" i="12" s="1"/>
  <c r="AK6" i="12"/>
  <c r="AY6" i="12"/>
  <c r="W20" i="12"/>
  <c r="K63" i="24"/>
  <c r="M63" i="24"/>
  <c r="H63" i="24"/>
  <c r="I63" i="24"/>
  <c r="CD104" i="16"/>
  <c r="CD41" i="16"/>
  <c r="CD78" i="16" s="1"/>
  <c r="CD85" i="16" s="1"/>
  <c r="F87" i="24"/>
  <c r="G77" i="24"/>
  <c r="G78" i="24" s="1"/>
  <c r="BA103" i="11" l="1"/>
  <c r="BU31" i="11"/>
  <c r="Y60" i="12"/>
  <c r="Y67" i="12" s="1"/>
  <c r="AM67" i="12" s="1"/>
  <c r="AI84" i="12"/>
  <c r="BQ32" i="11"/>
  <c r="X67" i="24"/>
  <c r="Z67" i="24" s="1"/>
  <c r="BJ65" i="23"/>
  <c r="CX65" i="23" s="1"/>
  <c r="BE103" i="11"/>
  <c r="CQ64" i="23"/>
  <c r="DK64" i="23"/>
  <c r="AI22" i="12"/>
  <c r="AW22" i="12"/>
  <c r="AZ21" i="12"/>
  <c r="AO10" i="12"/>
  <c r="AX74" i="10"/>
  <c r="AY22" i="12"/>
  <c r="AK22" i="12"/>
  <c r="CS27" i="23"/>
  <c r="BE64" i="23"/>
  <c r="DM27" i="23"/>
  <c r="U45" i="12"/>
  <c r="AP57" i="12"/>
  <c r="R91" i="12"/>
  <c r="AD29" i="12"/>
  <c r="AL57" i="12"/>
  <c r="AW79" i="12"/>
  <c r="AI79" i="12"/>
  <c r="AK10" i="12"/>
  <c r="BC61" i="23"/>
  <c r="BC69" i="12"/>
  <c r="AO69" i="12"/>
  <c r="CR64" i="23"/>
  <c r="DL64" i="23"/>
  <c r="CB62" i="23"/>
  <c r="DP25" i="23"/>
  <c r="BK40" i="16"/>
  <c r="BK104" i="16" s="1"/>
  <c r="BF20" i="16"/>
  <c r="BF19" i="16" s="1"/>
  <c r="BF64" i="16"/>
  <c r="BF67" i="16" s="1"/>
  <c r="BF68" i="16" s="1"/>
  <c r="BF41" i="16" s="1"/>
  <c r="BI32" i="16"/>
  <c r="BI96" i="16" s="1"/>
  <c r="AS86" i="16"/>
  <c r="AV83" i="16"/>
  <c r="BL52" i="16"/>
  <c r="BL55" i="16" s="1"/>
  <c r="BL56" i="16" s="1"/>
  <c r="BL33" i="16" s="1"/>
  <c r="BL12" i="16"/>
  <c r="BL11" i="16"/>
  <c r="BJ12" i="16"/>
  <c r="BJ11" i="16" s="1"/>
  <c r="BJ52" i="16"/>
  <c r="BJ55" i="16" s="1"/>
  <c r="BJ56" i="16" s="1"/>
  <c r="BJ33" i="16" s="1"/>
  <c r="BG39" i="16"/>
  <c r="BG103" i="16" s="1"/>
  <c r="BG40" i="16"/>
  <c r="BG104" i="16" s="1"/>
  <c r="AX7" i="12"/>
  <c r="AJ7" i="12"/>
  <c r="BI40" i="16"/>
  <c r="BI104" i="16" s="1"/>
  <c r="BD12" i="16"/>
  <c r="BD52" i="16"/>
  <c r="BP13" i="16"/>
  <c r="BO20" i="16"/>
  <c r="BO19" i="16" s="1"/>
  <c r="BO64" i="16"/>
  <c r="BO67" i="16" s="1"/>
  <c r="BO68" i="16" s="1"/>
  <c r="BO41" i="16" s="1"/>
  <c r="BG36" i="16"/>
  <c r="BG100" i="16" s="1"/>
  <c r="BH64" i="16"/>
  <c r="BH67" i="16" s="1"/>
  <c r="BH68" i="16" s="1"/>
  <c r="BH41" i="16" s="1"/>
  <c r="BH20" i="16"/>
  <c r="BH19" i="16" s="1"/>
  <c r="BN8" i="16"/>
  <c r="BN7" i="16" s="1"/>
  <c r="BN46" i="16"/>
  <c r="BE12" i="16"/>
  <c r="BE11" i="16" s="1"/>
  <c r="BE52" i="16"/>
  <c r="BE55" i="16" s="1"/>
  <c r="BE56" i="16" s="1"/>
  <c r="BE33" i="16" s="1"/>
  <c r="AJ10" i="12"/>
  <c r="R64" i="24"/>
  <c r="AD38" i="10"/>
  <c r="BF38" i="10" s="1"/>
  <c r="V21" i="12"/>
  <c r="U44" i="12" s="1"/>
  <c r="DP3" i="23"/>
  <c r="CB24" i="23"/>
  <c r="DP24" i="23" s="1"/>
  <c r="AD5" i="24"/>
  <c r="X76" i="24"/>
  <c r="BG31" i="16"/>
  <c r="BG95" i="16" s="1"/>
  <c r="BG32" i="16"/>
  <c r="BG96" i="16" s="1"/>
  <c r="BI35" i="16"/>
  <c r="BI99" i="16" s="1"/>
  <c r="BI36" i="16"/>
  <c r="BI100" i="16" s="1"/>
  <c r="BF58" i="16"/>
  <c r="BF61" i="16" s="1"/>
  <c r="BF62" i="16" s="1"/>
  <c r="BF37" i="16" s="1"/>
  <c r="BF16" i="16"/>
  <c r="BF15" i="16"/>
  <c r="G95" i="12"/>
  <c r="P90" i="12"/>
  <c r="P95" i="12" s="1"/>
  <c r="BK70" i="16"/>
  <c r="BK49" i="16"/>
  <c r="BK50" i="16" s="1"/>
  <c r="BL58" i="16"/>
  <c r="BL61" i="16" s="1"/>
  <c r="BL62" i="16" s="1"/>
  <c r="BL37" i="16" s="1"/>
  <c r="BL16" i="16"/>
  <c r="BL15" i="16" s="1"/>
  <c r="BJ19" i="16"/>
  <c r="BJ64" i="16"/>
  <c r="BJ67" i="16" s="1"/>
  <c r="BJ68" i="16" s="1"/>
  <c r="BJ41" i="16" s="1"/>
  <c r="BJ20" i="16"/>
  <c r="T3" i="26" a="1"/>
  <c r="CH61" i="23"/>
  <c r="BP21" i="16"/>
  <c r="BD20" i="16"/>
  <c r="BD19" i="16" s="1"/>
  <c r="BP19" i="16" s="1"/>
  <c r="BD64" i="16"/>
  <c r="BO46" i="16"/>
  <c r="BO8" i="16"/>
  <c r="BO7" i="16" s="1"/>
  <c r="BM31" i="16"/>
  <c r="BM95" i="16" s="1"/>
  <c r="BM32" i="16"/>
  <c r="BM96" i="16" s="1"/>
  <c r="BH7" i="16"/>
  <c r="BH8" i="16"/>
  <c r="BH46" i="16"/>
  <c r="BN58" i="16"/>
  <c r="BN61" i="16" s="1"/>
  <c r="BN62" i="16" s="1"/>
  <c r="BN37" i="16" s="1"/>
  <c r="BN16" i="16"/>
  <c r="BN15" i="16" s="1"/>
  <c r="BE8" i="16"/>
  <c r="BE7" i="16" s="1"/>
  <c r="BE46" i="16"/>
  <c r="BM70" i="16"/>
  <c r="BM49" i="16"/>
  <c r="BM50" i="16" s="1"/>
  <c r="BF12" i="16"/>
  <c r="BF11" i="16" s="1"/>
  <c r="BF52" i="16"/>
  <c r="BF55" i="16" s="1"/>
  <c r="BF56" i="16" s="1"/>
  <c r="BF33" i="16" s="1"/>
  <c r="BG70" i="16"/>
  <c r="BG49" i="16"/>
  <c r="BG50" i="16" s="1"/>
  <c r="CA61" i="23"/>
  <c r="DO61" i="23" s="1"/>
  <c r="DO62" i="23"/>
  <c r="BL8" i="16"/>
  <c r="BL7" i="16" s="1"/>
  <c r="BL46" i="16"/>
  <c r="BJ58" i="16"/>
  <c r="BJ61" i="16" s="1"/>
  <c r="BJ62" i="16" s="1"/>
  <c r="BJ37" i="16" s="1"/>
  <c r="BJ15" i="16"/>
  <c r="BJ16" i="16"/>
  <c r="BK36" i="16"/>
  <c r="BK100" i="16" s="1"/>
  <c r="BP17" i="16"/>
  <c r="BD16" i="16"/>
  <c r="BD58" i="16"/>
  <c r="BD15" i="16"/>
  <c r="BO15" i="16"/>
  <c r="BO16" i="16"/>
  <c r="BO58" i="16"/>
  <c r="BO61" i="16" s="1"/>
  <c r="BO62" i="16" s="1"/>
  <c r="BO37" i="16" s="1"/>
  <c r="AL10" i="12"/>
  <c r="AQ86" i="16"/>
  <c r="BH52" i="16"/>
  <c r="BH55" i="16" s="1"/>
  <c r="BH56" i="16" s="1"/>
  <c r="BH33" i="16" s="1"/>
  <c r="BH12" i="16"/>
  <c r="BH11" i="16" s="1"/>
  <c r="BN64" i="16"/>
  <c r="BN67" i="16" s="1"/>
  <c r="BN68" i="16" s="1"/>
  <c r="BN41" i="16" s="1"/>
  <c r="BN20" i="16"/>
  <c r="BN19" i="16"/>
  <c r="BE64" i="16"/>
  <c r="BE67" i="16" s="1"/>
  <c r="BE68" i="16" s="1"/>
  <c r="BE41" i="16" s="1"/>
  <c r="BE19" i="16"/>
  <c r="BE20" i="16"/>
  <c r="V10" i="12"/>
  <c r="AX10" i="12" s="1"/>
  <c r="Q64" i="24"/>
  <c r="AD7" i="12"/>
  <c r="BF7" i="12" s="1"/>
  <c r="AP10" i="12"/>
  <c r="AI57" i="12"/>
  <c r="AV82" i="16"/>
  <c r="AV86" i="16" s="1"/>
  <c r="AW86" i="16" s="1"/>
  <c r="Y64" i="24"/>
  <c r="Y26" i="24"/>
  <c r="AD27" i="24"/>
  <c r="T63" i="26"/>
  <c r="S61" i="23"/>
  <c r="CU61" i="23" s="1"/>
  <c r="CU62" i="23"/>
  <c r="BF46" i="16"/>
  <c r="BF8" i="16"/>
  <c r="BF7" i="16" s="1"/>
  <c r="BE69" i="12"/>
  <c r="AQ69" i="12"/>
  <c r="BM36" i="16"/>
  <c r="BM100" i="16" s="1"/>
  <c r="BM35" i="16"/>
  <c r="BM99" i="16" s="1"/>
  <c r="BL64" i="16"/>
  <c r="BL67" i="16" s="1"/>
  <c r="BL68" i="16" s="1"/>
  <c r="BL41" i="16" s="1"/>
  <c r="BL20" i="16"/>
  <c r="BL19" i="16" s="1"/>
  <c r="BJ8" i="16"/>
  <c r="BJ7" i="16" s="1"/>
  <c r="BJ46" i="16"/>
  <c r="BM40" i="16"/>
  <c r="BM104" i="16" s="1"/>
  <c r="BM39" i="16"/>
  <c r="BM103" i="16" s="1"/>
  <c r="BD8" i="16"/>
  <c r="BD46" i="16"/>
  <c r="BD7" i="16"/>
  <c r="BP9" i="16"/>
  <c r="BO52" i="16"/>
  <c r="BO55" i="16" s="1"/>
  <c r="BO56" i="16" s="1"/>
  <c r="BO33" i="16" s="1"/>
  <c r="BO12" i="16"/>
  <c r="BO11" i="16" s="1"/>
  <c r="BI49" i="16"/>
  <c r="BI50" i="16" s="1"/>
  <c r="BI70" i="16"/>
  <c r="BK31" i="16"/>
  <c r="BK95" i="16" s="1"/>
  <c r="BK32" i="16"/>
  <c r="BK96" i="16" s="1"/>
  <c r="BH16" i="16"/>
  <c r="BH15" i="16" s="1"/>
  <c r="BH58" i="16"/>
  <c r="BH61" i="16" s="1"/>
  <c r="BH62" i="16" s="1"/>
  <c r="BH37" i="16" s="1"/>
  <c r="BN52" i="16"/>
  <c r="BN55" i="16" s="1"/>
  <c r="BN56" i="16" s="1"/>
  <c r="BN33" i="16" s="1"/>
  <c r="BN12" i="16"/>
  <c r="BN11" i="16" s="1"/>
  <c r="BE15" i="16"/>
  <c r="BE16" i="16"/>
  <c r="BE58" i="16"/>
  <c r="BE61" i="16" s="1"/>
  <c r="BE62" i="16" s="1"/>
  <c r="BE37" i="16" s="1"/>
  <c r="AV71" i="16"/>
  <c r="AV73" i="16" s="1"/>
  <c r="BP103" i="11"/>
  <c r="BV103" i="11" s="1"/>
  <c r="BP104" i="11"/>
  <c r="BV104" i="11" s="1"/>
  <c r="BQ103" i="11"/>
  <c r="BW103" i="11" s="1"/>
  <c r="AI68" i="12"/>
  <c r="AW68" i="12"/>
  <c r="AO78" i="12"/>
  <c r="BC78" i="12"/>
  <c r="Q66" i="24"/>
  <c r="T66" i="24"/>
  <c r="R66" i="24"/>
  <c r="V66" i="24"/>
  <c r="BP20" i="10"/>
  <c r="BV20" i="10" s="1"/>
  <c r="BR14" i="10"/>
  <c r="BX14" i="10" s="1"/>
  <c r="BO82" i="10"/>
  <c r="AL29" i="12"/>
  <c r="AZ29" i="12"/>
  <c r="X66" i="24"/>
  <c r="Z29" i="24"/>
  <c r="AC29" i="24"/>
  <c r="AA29" i="24"/>
  <c r="BX44" i="10"/>
  <c r="BR60" i="10"/>
  <c r="BX60" i="10" s="1"/>
  <c r="AR60" i="10"/>
  <c r="BF60" i="10"/>
  <c r="AW32" i="12"/>
  <c r="AD78" i="12"/>
  <c r="BF78" i="12" s="1"/>
  <c r="AT29" i="12"/>
  <c r="AF29" i="12"/>
  <c r="BR20" i="10"/>
  <c r="BR82" i="10" s="1"/>
  <c r="AH21" i="12"/>
  <c r="BV67" i="16"/>
  <c r="BV68" i="16" s="1"/>
  <c r="AQ10" i="12"/>
  <c r="BD69" i="12"/>
  <c r="AP69" i="12"/>
  <c r="AA92" i="12"/>
  <c r="AO29" i="12"/>
  <c r="BC29" i="12"/>
  <c r="BU52" i="11"/>
  <c r="AX60" i="12"/>
  <c r="AJ60" i="12"/>
  <c r="V67" i="12"/>
  <c r="V106" i="11"/>
  <c r="CB28" i="11"/>
  <c r="AY28" i="11"/>
  <c r="AT13" i="12"/>
  <c r="R36" i="12"/>
  <c r="AF13" i="12"/>
  <c r="R17" i="12"/>
  <c r="AT17" i="12" s="1"/>
  <c r="AD13" i="12"/>
  <c r="R20" i="12"/>
  <c r="AV28" i="11"/>
  <c r="S106" i="11"/>
  <c r="CB76" i="11"/>
  <c r="AK76" i="11"/>
  <c r="AY76" i="11"/>
  <c r="BR72" i="11"/>
  <c r="BX51" i="11"/>
  <c r="BU32" i="11"/>
  <c r="BO53" i="11"/>
  <c r="BU53" i="11" s="1"/>
  <c r="CX54" i="23"/>
  <c r="BJ63" i="23"/>
  <c r="CX63" i="23" s="1"/>
  <c r="AS56" i="11"/>
  <c r="AS32" i="11"/>
  <c r="AS53" i="11" s="1"/>
  <c r="AG75" i="11"/>
  <c r="AU75" i="11"/>
  <c r="AQ87" i="11"/>
  <c r="BE87" i="11"/>
  <c r="AX28" i="11"/>
  <c r="CA28" i="11"/>
  <c r="U106" i="11"/>
  <c r="AZ75" i="11"/>
  <c r="AL75" i="11"/>
  <c r="AX72" i="11"/>
  <c r="U88" i="11"/>
  <c r="AJ72" i="11"/>
  <c r="AJ73" i="11" s="1"/>
  <c r="CA72" i="11"/>
  <c r="AW62" i="12"/>
  <c r="AI62" i="12"/>
  <c r="U70" i="12"/>
  <c r="X106" i="11"/>
  <c r="BA28" i="11"/>
  <c r="AG21" i="12"/>
  <c r="AU21" i="12"/>
  <c r="AI37" i="12"/>
  <c r="AW37" i="12"/>
  <c r="AZ37" i="12"/>
  <c r="AL37" i="12"/>
  <c r="AK104" i="11"/>
  <c r="AY104" i="11"/>
  <c r="AD53" i="11"/>
  <c r="BG53" i="11" s="1"/>
  <c r="BG32" i="11"/>
  <c r="AH76" i="11"/>
  <c r="AV76" i="11"/>
  <c r="AJ15" i="12"/>
  <c r="AX15" i="12"/>
  <c r="V23" i="12"/>
  <c r="V25" i="12" s="1"/>
  <c r="AX25" i="12" s="1"/>
  <c r="AT14" i="12"/>
  <c r="AD14" i="12"/>
  <c r="R37" i="12"/>
  <c r="AF14" i="12"/>
  <c r="AR14" i="12" s="1"/>
  <c r="R21" i="12"/>
  <c r="R28" i="11"/>
  <c r="BO75" i="11"/>
  <c r="BU75" i="11" s="1"/>
  <c r="BU55" i="11"/>
  <c r="CA53" i="11"/>
  <c r="AX53" i="11"/>
  <c r="BB103" i="11"/>
  <c r="AN103" i="11"/>
  <c r="BG71" i="11"/>
  <c r="AD87" i="11"/>
  <c r="BG87" i="11" s="1"/>
  <c r="AO37" i="12"/>
  <c r="BC37" i="12"/>
  <c r="BD15" i="12"/>
  <c r="AP15" i="12"/>
  <c r="AB23" i="12"/>
  <c r="AH75" i="11"/>
  <c r="AV75" i="11"/>
  <c r="AW75" i="11"/>
  <c r="AI75" i="11"/>
  <c r="AS27" i="11"/>
  <c r="CS54" i="23"/>
  <c r="DM54" i="23"/>
  <c r="BE63" i="23"/>
  <c r="BE61" i="23" s="1"/>
  <c r="W88" i="11"/>
  <c r="AL72" i="11"/>
  <c r="AZ72" i="11"/>
  <c r="AP72" i="11"/>
  <c r="BD72" i="11"/>
  <c r="AA88" i="11"/>
  <c r="BQ72" i="11"/>
  <c r="BW51" i="11"/>
  <c r="X85" i="12"/>
  <c r="AL62" i="12"/>
  <c r="AZ62" i="12"/>
  <c r="X70" i="12"/>
  <c r="AV87" i="11"/>
  <c r="AH87" i="11"/>
  <c r="BY31" i="11"/>
  <c r="BS56" i="11"/>
  <c r="BS32" i="11"/>
  <c r="BB75" i="11"/>
  <c r="AN75" i="11"/>
  <c r="CR63" i="23"/>
  <c r="DL63" i="23"/>
  <c r="BD104" i="11"/>
  <c r="AP104" i="11"/>
  <c r="AT68" i="12"/>
  <c r="AF68" i="12"/>
  <c r="AA64" i="12"/>
  <c r="BC64" i="12" s="1"/>
  <c r="BC60" i="12"/>
  <c r="AA83" i="12"/>
  <c r="AA67" i="12"/>
  <c r="AA90" i="12" s="1"/>
  <c r="AO60" i="12"/>
  <c r="BC62" i="12"/>
  <c r="AO62" i="12"/>
  <c r="AA70" i="12"/>
  <c r="AR87" i="11"/>
  <c r="BF87" i="11"/>
  <c r="BC76" i="11"/>
  <c r="AO76" i="11"/>
  <c r="BC28" i="11"/>
  <c r="Z106" i="11"/>
  <c r="BY25" i="11"/>
  <c r="BQ104" i="11"/>
  <c r="BW104" i="11" s="1"/>
  <c r="DJ63" i="23"/>
  <c r="CP63" i="23"/>
  <c r="AV15" i="12"/>
  <c r="AH15" i="12"/>
  <c r="T23" i="12"/>
  <c r="Z64" i="12"/>
  <c r="BB64" i="12" s="1"/>
  <c r="BB60" i="12"/>
  <c r="AN60" i="12"/>
  <c r="AL76" i="11"/>
  <c r="AZ76" i="11"/>
  <c r="BB72" i="11"/>
  <c r="Y88" i="11"/>
  <c r="AN72" i="11"/>
  <c r="AN73" i="11" s="1"/>
  <c r="BF72" i="11"/>
  <c r="AC88" i="11"/>
  <c r="AR72" i="11"/>
  <c r="AG15" i="12"/>
  <c r="AU15" i="12"/>
  <c r="S23" i="12"/>
  <c r="AW87" i="11"/>
  <c r="AI87" i="11"/>
  <c r="AC106" i="11"/>
  <c r="BF28" i="11"/>
  <c r="BW32" i="11"/>
  <c r="BG7" i="11"/>
  <c r="AD28" i="11"/>
  <c r="AD92" i="11"/>
  <c r="AJ87" i="11"/>
  <c r="CA87" i="11"/>
  <c r="AX87" i="11"/>
  <c r="AF62" i="12"/>
  <c r="R85" i="12"/>
  <c r="AT62" i="12"/>
  <c r="AQ60" i="12"/>
  <c r="AC64" i="12"/>
  <c r="BE64" i="12" s="1"/>
  <c r="BE60" i="12"/>
  <c r="AG76" i="11"/>
  <c r="AU76" i="11"/>
  <c r="AA106" i="11"/>
  <c r="BD28" i="11"/>
  <c r="BR104" i="11"/>
  <c r="BX104" i="11" s="1"/>
  <c r="BD60" i="12"/>
  <c r="AP60" i="12"/>
  <c r="BD21" i="12"/>
  <c r="AP21" i="12"/>
  <c r="AX21" i="12"/>
  <c r="BF75" i="11"/>
  <c r="AR75" i="11"/>
  <c r="AM76" i="11"/>
  <c r="BA76" i="11"/>
  <c r="W106" i="11"/>
  <c r="AZ28" i="11"/>
  <c r="AX75" i="11"/>
  <c r="AJ75" i="11"/>
  <c r="CA75" i="11"/>
  <c r="AZ87" i="11"/>
  <c r="AL87" i="11"/>
  <c r="AG60" i="12"/>
  <c r="S64" i="12"/>
  <c r="AU64" i="12" s="1"/>
  <c r="AU60" i="12"/>
  <c r="S67" i="12"/>
  <c r="AB106" i="11"/>
  <c r="BE28" i="11"/>
  <c r="AG87" i="11"/>
  <c r="AU87" i="11"/>
  <c r="AB88" i="11"/>
  <c r="BE72" i="11"/>
  <c r="AQ72" i="11"/>
  <c r="AU72" i="11"/>
  <c r="AG72" i="11"/>
  <c r="AG73" i="11" s="1"/>
  <c r="R88" i="11"/>
  <c r="BS71" i="11"/>
  <c r="BY50" i="11"/>
  <c r="AK87" i="11"/>
  <c r="AY87" i="11"/>
  <c r="CB87" i="11"/>
  <c r="R38" i="12"/>
  <c r="AF15" i="12"/>
  <c r="AT15" i="12"/>
  <c r="AD15" i="12"/>
  <c r="R23" i="12"/>
  <c r="CB53" i="11"/>
  <c r="AY53" i="11"/>
  <c r="BC72" i="11"/>
  <c r="Z88" i="11"/>
  <c r="AO72" i="11"/>
  <c r="AO73" i="11" s="1"/>
  <c r="AI72" i="11"/>
  <c r="AI73" i="11" s="1"/>
  <c r="AW72" i="11"/>
  <c r="T88" i="11"/>
  <c r="AG62" i="12"/>
  <c r="AU62" i="12"/>
  <c r="S70" i="12"/>
  <c r="BG56" i="11"/>
  <c r="AD76" i="11"/>
  <c r="BG76" i="11" s="1"/>
  <c r="R64" i="12"/>
  <c r="AT64" i="12" s="1"/>
  <c r="AT60" i="12"/>
  <c r="AF60" i="12"/>
  <c r="R83" i="12"/>
  <c r="AJ13" i="12"/>
  <c r="V17" i="12"/>
  <c r="AX17" i="12" s="1"/>
  <c r="AX13" i="12"/>
  <c r="AY15" i="12"/>
  <c r="AK15" i="12"/>
  <c r="W23" i="12"/>
  <c r="W25" i="12" s="1"/>
  <c r="AY25" i="12" s="1"/>
  <c r="BY5" i="11"/>
  <c r="BS55" i="11"/>
  <c r="BR75" i="11"/>
  <c r="BX75" i="11" s="1"/>
  <c r="BX55" i="11"/>
  <c r="BD75" i="11"/>
  <c r="AP75" i="11"/>
  <c r="T54" i="24"/>
  <c r="V54" i="24"/>
  <c r="R54" i="24"/>
  <c r="O82" i="24"/>
  <c r="O87" i="24" s="1"/>
  <c r="Q54" i="24"/>
  <c r="AB62" i="12"/>
  <c r="AA85" i="12" s="1"/>
  <c r="BE52" i="11"/>
  <c r="AG104" i="11"/>
  <c r="AS104" i="11" s="1"/>
  <c r="AU104" i="11"/>
  <c r="AO21" i="12"/>
  <c r="BC21" i="12"/>
  <c r="AY62" i="12"/>
  <c r="AK62" i="12"/>
  <c r="W70" i="12"/>
  <c r="BV32" i="11"/>
  <c r="BP53" i="11"/>
  <c r="BV53" i="11" s="1"/>
  <c r="AD104" i="11"/>
  <c r="BG104" i="11" s="1"/>
  <c r="BC75" i="11"/>
  <c r="AO75" i="11"/>
  <c r="CO63" i="23"/>
  <c r="DI63" i="23"/>
  <c r="BA61" i="23"/>
  <c r="T56" i="24"/>
  <c r="R56" i="24"/>
  <c r="Q56" i="24"/>
  <c r="V56" i="24"/>
  <c r="O65" i="24"/>
  <c r="Z38" i="24"/>
  <c r="AC38" i="24"/>
  <c r="X56" i="24"/>
  <c r="X54" i="24" s="1"/>
  <c r="AA38" i="24"/>
  <c r="AL73" i="11"/>
  <c r="W64" i="12"/>
  <c r="AY64" i="12" s="1"/>
  <c r="AY60" i="12"/>
  <c r="AK60" i="12"/>
  <c r="W67" i="12"/>
  <c r="BA72" i="11"/>
  <c r="X88" i="11"/>
  <c r="AM72" i="11"/>
  <c r="AM73" i="11" s="1"/>
  <c r="AI76" i="11"/>
  <c r="AW76" i="11"/>
  <c r="BU56" i="11"/>
  <c r="BO76" i="11"/>
  <c r="BU76" i="11" s="1"/>
  <c r="AD84" i="12"/>
  <c r="BF84" i="12" s="1"/>
  <c r="AF84" i="12"/>
  <c r="AT84" i="12"/>
  <c r="BX32" i="11"/>
  <c r="BR53" i="11"/>
  <c r="BX53" i="11" s="1"/>
  <c r="BW7" i="11"/>
  <c r="BQ28" i="11"/>
  <c r="BQ92" i="11"/>
  <c r="AB17" i="12"/>
  <c r="BD17" i="12" s="1"/>
  <c r="AP13" i="12"/>
  <c r="BD13" i="12"/>
  <c r="AB20" i="12"/>
  <c r="BV7" i="11"/>
  <c r="BP28" i="11"/>
  <c r="BP92" i="11"/>
  <c r="AY52" i="11"/>
  <c r="CB52" i="11"/>
  <c r="V62" i="12"/>
  <c r="AN62" i="12"/>
  <c r="BB62" i="12"/>
  <c r="AH13" i="12"/>
  <c r="AH17" i="12" s="1"/>
  <c r="T20" i="12"/>
  <c r="AV13" i="12"/>
  <c r="T17" i="12"/>
  <c r="AV17" i="12" s="1"/>
  <c r="CB72" i="11"/>
  <c r="V88" i="11"/>
  <c r="AY72" i="11"/>
  <c r="AK72" i="11"/>
  <c r="AK73" i="11" s="1"/>
  <c r="AS91" i="11"/>
  <c r="AS7" i="11"/>
  <c r="AS55" i="11"/>
  <c r="AP87" i="11"/>
  <c r="BD87" i="11"/>
  <c r="CW54" i="23"/>
  <c r="BI63" i="23"/>
  <c r="BU51" i="11"/>
  <c r="BO72" i="11"/>
  <c r="BS51" i="11"/>
  <c r="AZ15" i="12"/>
  <c r="AL15" i="12"/>
  <c r="X38" i="12"/>
  <c r="X23" i="12"/>
  <c r="BW71" i="11"/>
  <c r="BQ87" i="11"/>
  <c r="BW87" i="11" s="1"/>
  <c r="Y106" i="11"/>
  <c r="BB28" i="11"/>
  <c r="BQ76" i="11"/>
  <c r="BW76" i="11" s="1"/>
  <c r="BW56" i="11"/>
  <c r="X36" i="24"/>
  <c r="AN87" i="11"/>
  <c r="BB87" i="11"/>
  <c r="AX76" i="11"/>
  <c r="AJ76" i="11"/>
  <c r="CA76" i="11"/>
  <c r="BR103" i="11"/>
  <c r="BX103" i="11" s="1"/>
  <c r="U17" i="12"/>
  <c r="AW17" i="12" s="1"/>
  <c r="AI13" i="12"/>
  <c r="U36" i="12"/>
  <c r="AW13" i="12"/>
  <c r="U20" i="12"/>
  <c r="U43" i="12" s="1"/>
  <c r="CQ63" i="23"/>
  <c r="DK63" i="23"/>
  <c r="AQ62" i="12"/>
  <c r="BE62" i="12"/>
  <c r="BE76" i="11"/>
  <c r="AQ76" i="11"/>
  <c r="CS52" i="23"/>
  <c r="DM52" i="23"/>
  <c r="BC84" i="12"/>
  <c r="AO84" i="12"/>
  <c r="AB53" i="11"/>
  <c r="BE53" i="11" s="1"/>
  <c r="AW21" i="12"/>
  <c r="AI21" i="12"/>
  <c r="S88" i="11"/>
  <c r="AV72" i="11"/>
  <c r="AH72" i="11"/>
  <c r="AH73" i="11" s="1"/>
  <c r="AW103" i="11"/>
  <c r="AI103" i="11"/>
  <c r="AW15" i="12"/>
  <c r="AI15" i="12"/>
  <c r="U38" i="12"/>
  <c r="BA15" i="12"/>
  <c r="AM15" i="12"/>
  <c r="Y23" i="12"/>
  <c r="X46" i="12" s="1"/>
  <c r="BE15" i="12"/>
  <c r="AQ15" i="12"/>
  <c r="AR61" i="12"/>
  <c r="BA60" i="12"/>
  <c r="BV55" i="11"/>
  <c r="BP75" i="11"/>
  <c r="BV75" i="11" s="1"/>
  <c r="BB13" i="12"/>
  <c r="AN13" i="12"/>
  <c r="Z17" i="12"/>
  <c r="BB17" i="12" s="1"/>
  <c r="Z20" i="12"/>
  <c r="BU27" i="11"/>
  <c r="BS27" i="11"/>
  <c r="BY27" i="11" s="1"/>
  <c r="BF76" i="11"/>
  <c r="AR76" i="11"/>
  <c r="AD75" i="11"/>
  <c r="BG75" i="11" s="1"/>
  <c r="BG55" i="11"/>
  <c r="AC23" i="12"/>
  <c r="AQ23" i="12" s="1"/>
  <c r="AV62" i="12"/>
  <c r="AH62" i="12"/>
  <c r="T70" i="12"/>
  <c r="AK75" i="11"/>
  <c r="AY75" i="11"/>
  <c r="CB75" i="11"/>
  <c r="BU7" i="11"/>
  <c r="BO28" i="11"/>
  <c r="BS7" i="11"/>
  <c r="BO92" i="11"/>
  <c r="BR28" i="11"/>
  <c r="BX7" i="11"/>
  <c r="BR92" i="11"/>
  <c r="AI60" i="12"/>
  <c r="U64" i="12"/>
  <c r="AW64" i="12" s="1"/>
  <c r="AW60" i="12"/>
  <c r="U83" i="12"/>
  <c r="U67" i="12"/>
  <c r="AG13" i="12"/>
  <c r="S17" i="12"/>
  <c r="AU17" i="12" s="1"/>
  <c r="AU13" i="12"/>
  <c r="S20" i="12"/>
  <c r="AQ75" i="11"/>
  <c r="BE75" i="11"/>
  <c r="BX71" i="11"/>
  <c r="BR87" i="11"/>
  <c r="BX87" i="11" s="1"/>
  <c r="CQ52" i="23"/>
  <c r="DK52" i="23"/>
  <c r="AK13" i="12"/>
  <c r="AY13" i="12"/>
  <c r="W17" i="12"/>
  <c r="AY17" i="12" s="1"/>
  <c r="BA87" i="11"/>
  <c r="AM87" i="11"/>
  <c r="AV60" i="12"/>
  <c r="AH60" i="12"/>
  <c r="T64" i="12"/>
  <c r="AV64" i="12" s="1"/>
  <c r="T67" i="12"/>
  <c r="BV56" i="11"/>
  <c r="BP76" i="11"/>
  <c r="BV76" i="11" s="1"/>
  <c r="AG68" i="12"/>
  <c r="AU68" i="12"/>
  <c r="BB15" i="12"/>
  <c r="AN15" i="12"/>
  <c r="AL60" i="12"/>
  <c r="X64" i="12"/>
  <c r="AZ64" i="12" s="1"/>
  <c r="AZ60" i="12"/>
  <c r="X67" i="12"/>
  <c r="BA62" i="12"/>
  <c r="AM62" i="12"/>
  <c r="Y70" i="12"/>
  <c r="BR76" i="11"/>
  <c r="BX76" i="11" s="1"/>
  <c r="BX56" i="11"/>
  <c r="BW55" i="11"/>
  <c r="BQ75" i="11"/>
  <c r="BW75" i="11" s="1"/>
  <c r="BD103" i="11"/>
  <c r="AP103" i="11"/>
  <c r="AS71" i="11"/>
  <c r="AS73" i="11" s="1"/>
  <c r="AW28" i="11"/>
  <c r="T106" i="11"/>
  <c r="BO103" i="11"/>
  <c r="BU103" i="11" s="1"/>
  <c r="BD76" i="11"/>
  <c r="AP76" i="11"/>
  <c r="AA38" i="12"/>
  <c r="AO15" i="12"/>
  <c r="BC15" i="12"/>
  <c r="AA23" i="12"/>
  <c r="CO52" i="23"/>
  <c r="DI52" i="23"/>
  <c r="AD103" i="11"/>
  <c r="BG103" i="11" s="1"/>
  <c r="BG51" i="11"/>
  <c r="AD72" i="11"/>
  <c r="AS51" i="11"/>
  <c r="AS52" i="11" s="1"/>
  <c r="BQ52" i="11"/>
  <c r="BW52" i="11" s="1"/>
  <c r="BE13" i="12"/>
  <c r="AQ13" i="12"/>
  <c r="AC17" i="12"/>
  <c r="BE17" i="12" s="1"/>
  <c r="AC20" i="12"/>
  <c r="AM13" i="12"/>
  <c r="BA13" i="12"/>
  <c r="Y17" i="12"/>
  <c r="BA17" i="12" s="1"/>
  <c r="Y20" i="12"/>
  <c r="AA55" i="24"/>
  <c r="AC55" i="24"/>
  <c r="Z55" i="24"/>
  <c r="BV71" i="11"/>
  <c r="BP87" i="11"/>
  <c r="BV87" i="11" s="1"/>
  <c r="AM75" i="11"/>
  <c r="BA75" i="11"/>
  <c r="BO87" i="11"/>
  <c r="BU87" i="11" s="1"/>
  <c r="BU71" i="11"/>
  <c r="BD61" i="23"/>
  <c r="BV51" i="11"/>
  <c r="BP72" i="11"/>
  <c r="AA36" i="12"/>
  <c r="AA17" i="12"/>
  <c r="BC17" i="12" s="1"/>
  <c r="BC13" i="12"/>
  <c r="AO13" i="12"/>
  <c r="AA20" i="12"/>
  <c r="BC68" i="12"/>
  <c r="AO68" i="12"/>
  <c r="BB76" i="11"/>
  <c r="AN76" i="11"/>
  <c r="X17" i="12"/>
  <c r="AZ17" i="12" s="1"/>
  <c r="AZ13" i="12"/>
  <c r="X36" i="12"/>
  <c r="AL13" i="12"/>
  <c r="AL17" i="12" s="1"/>
  <c r="X20" i="12"/>
  <c r="BY26" i="11"/>
  <c r="BC87" i="11"/>
  <c r="AO87" i="11"/>
  <c r="BR80" i="10"/>
  <c r="BX80" i="10" s="1"/>
  <c r="CB84" i="16"/>
  <c r="CB86" i="16" s="1"/>
  <c r="BB7" i="12"/>
  <c r="Z21" i="12"/>
  <c r="AN7" i="12"/>
  <c r="AR7" i="12" s="1"/>
  <c r="AO30" i="12"/>
  <c r="BC30" i="12"/>
  <c r="AA33" i="12"/>
  <c r="BC33" i="12" s="1"/>
  <c r="AX68" i="12"/>
  <c r="AJ68" i="12"/>
  <c r="U91" i="12"/>
  <c r="BF66" i="10"/>
  <c r="AR66" i="10"/>
  <c r="AR49" i="10"/>
  <c r="BF14" i="10"/>
  <c r="BF76" i="10" s="1"/>
  <c r="X30" i="12"/>
  <c r="AD30" i="12" s="1"/>
  <c r="BF30" i="12" s="1"/>
  <c r="BA67" i="12"/>
  <c r="BB74" i="10"/>
  <c r="BB73" i="10"/>
  <c r="BW20" i="10"/>
  <c r="BQ82" i="10"/>
  <c r="AI77" i="12"/>
  <c r="AW77" i="12"/>
  <c r="AM22" i="12"/>
  <c r="BA22" i="12"/>
  <c r="CG22" i="16"/>
  <c r="CG58" i="16"/>
  <c r="AD64" i="10"/>
  <c r="BF64" i="10" s="1"/>
  <c r="AD76" i="10"/>
  <c r="AR76" i="10" s="1"/>
  <c r="CH41" i="16"/>
  <c r="CJ40" i="16" s="1"/>
  <c r="Z10" i="12"/>
  <c r="BB10" i="12" s="1"/>
  <c r="CH17" i="16"/>
  <c r="CJ16" i="16" s="1"/>
  <c r="AP67" i="12"/>
  <c r="BD67" i="12"/>
  <c r="BV49" i="10"/>
  <c r="BP64" i="10"/>
  <c r="BV64" i="10" s="1"/>
  <c r="AZ76" i="12"/>
  <c r="AL76" i="12"/>
  <c r="AQ21" i="12"/>
  <c r="BE21" i="12"/>
  <c r="AA44" i="12"/>
  <c r="BF10" i="10"/>
  <c r="BF73" i="10" s="1"/>
  <c r="AD20" i="10"/>
  <c r="AD73" i="10"/>
  <c r="CH77" i="16"/>
  <c r="AR9" i="12"/>
  <c r="AI32" i="12"/>
  <c r="AR32" i="12" s="1"/>
  <c r="AI80" i="12"/>
  <c r="AR57" i="10"/>
  <c r="BF57" i="10"/>
  <c r="BB64" i="10"/>
  <c r="AN64" i="10"/>
  <c r="BD22" i="12"/>
  <c r="AP22" i="12"/>
  <c r="AR63" i="10"/>
  <c r="BF63" i="10"/>
  <c r="BX52" i="10"/>
  <c r="BR66" i="10"/>
  <c r="BX66" i="10" s="1"/>
  <c r="AD74" i="10"/>
  <c r="AR74" i="10" s="1"/>
  <c r="BB67" i="12"/>
  <c r="AN67" i="12"/>
  <c r="AW23" i="12"/>
  <c r="AI23" i="12"/>
  <c r="BX20" i="10"/>
  <c r="AA67" i="24"/>
  <c r="AC67" i="24"/>
  <c r="BV79" i="16"/>
  <c r="CH75" i="16"/>
  <c r="BV82" i="16"/>
  <c r="AN61" i="10"/>
  <c r="BB61" i="10"/>
  <c r="BZ47" i="16"/>
  <c r="BZ49" i="16" s="1"/>
  <c r="BZ70" i="16"/>
  <c r="CH46" i="16"/>
  <c r="BV59" i="16"/>
  <c r="CH59" i="16" s="1"/>
  <c r="CH58" i="16"/>
  <c r="BV70" i="16"/>
  <c r="BF77" i="10"/>
  <c r="DM62" i="23"/>
  <c r="CS62" i="23"/>
  <c r="AR8" i="12"/>
  <c r="AF10" i="12"/>
  <c r="AF67" i="12"/>
  <c r="R72" i="12"/>
  <c r="AT72" i="12" s="1"/>
  <c r="AT67" i="12"/>
  <c r="CE85" i="16"/>
  <c r="CE86" i="16" s="1"/>
  <c r="CE71" i="16"/>
  <c r="AA64" i="24"/>
  <c r="AC64" i="24"/>
  <c r="Z64" i="24"/>
  <c r="BW50" i="16"/>
  <c r="AL30" i="12"/>
  <c r="BV45" i="10"/>
  <c r="BP61" i="10"/>
  <c r="BV61" i="10" s="1"/>
  <c r="CD84" i="16"/>
  <c r="CD71" i="16"/>
  <c r="AI30" i="12"/>
  <c r="AI33" i="12" s="1"/>
  <c r="AW30" i="12"/>
  <c r="AI92" i="12"/>
  <c r="AW92" i="12"/>
  <c r="AW45" i="12"/>
  <c r="AI45" i="12"/>
  <c r="AD67" i="10"/>
  <c r="BF53" i="10"/>
  <c r="AR6" i="12"/>
  <c r="AT79" i="12"/>
  <c r="AF79" i="12"/>
  <c r="BP67" i="10"/>
  <c r="BV67" i="10" s="1"/>
  <c r="BV53" i="10"/>
  <c r="AR45" i="10"/>
  <c r="AR28" i="10"/>
  <c r="CS65" i="23"/>
  <c r="DM65" i="23"/>
  <c r="AZ78" i="12"/>
  <c r="AL78" i="12"/>
  <c r="AR78" i="12" s="1"/>
  <c r="BX24" i="10"/>
  <c r="DJ61" i="23"/>
  <c r="CP61" i="23"/>
  <c r="AQ57" i="12"/>
  <c r="AD76" i="12"/>
  <c r="R80" i="12"/>
  <c r="AT80" i="12" s="1"/>
  <c r="AT76" i="12"/>
  <c r="AF76" i="12"/>
  <c r="CK32" i="16"/>
  <c r="CI41" i="16"/>
  <c r="AT70" i="12"/>
  <c r="AF70" i="12"/>
  <c r="CC53" i="16"/>
  <c r="CH53" i="16" s="1"/>
  <c r="CC70" i="16"/>
  <c r="BE70" i="12"/>
  <c r="AQ70" i="12"/>
  <c r="BB54" i="12"/>
  <c r="AN54" i="12"/>
  <c r="Z68" i="12"/>
  <c r="Z57" i="12"/>
  <c r="BB57" i="12" s="1"/>
  <c r="X77" i="12"/>
  <c r="AD54" i="12"/>
  <c r="BF54" i="12" s="1"/>
  <c r="CA47" i="16"/>
  <c r="CA49" i="16" s="1"/>
  <c r="CA50" i="16" s="1"/>
  <c r="CA70" i="16"/>
  <c r="CX62" i="23"/>
  <c r="AD10" i="12"/>
  <c r="BF10" i="12" s="1"/>
  <c r="BA21" i="12"/>
  <c r="AM21" i="12"/>
  <c r="CQ61" i="23"/>
  <c r="DK61" i="23"/>
  <c r="BF29" i="12"/>
  <c r="CJ7" i="16"/>
  <c r="CI9" i="16"/>
  <c r="CK9" i="16"/>
  <c r="CJ8" i="16"/>
  <c r="BX53" i="10"/>
  <c r="BR67" i="10"/>
  <c r="BX67" i="10" s="1"/>
  <c r="BB22" i="12"/>
  <c r="AN22" i="12"/>
  <c r="X45" i="12"/>
  <c r="BC91" i="12"/>
  <c r="AO91" i="12"/>
  <c r="BR58" i="10"/>
  <c r="BX58" i="10" s="1"/>
  <c r="BX41" i="10"/>
  <c r="AO79" i="12"/>
  <c r="BC79" i="12"/>
  <c r="AR38" i="10"/>
  <c r="AF22" i="12"/>
  <c r="R45" i="12"/>
  <c r="AT22" i="12"/>
  <c r="AD22" i="12"/>
  <c r="BF22" i="12" s="1"/>
  <c r="AO76" i="12"/>
  <c r="AA80" i="12"/>
  <c r="BC80" i="12" s="1"/>
  <c r="BC76" i="12"/>
  <c r="BX86" i="16"/>
  <c r="AN23" i="12"/>
  <c r="BB23" i="12"/>
  <c r="BY84" i="16"/>
  <c r="BY86" i="16" s="1"/>
  <c r="BY71" i="16"/>
  <c r="BV28" i="10"/>
  <c r="BP38" i="10"/>
  <c r="BV38" i="10" s="1"/>
  <c r="CJ35" i="16"/>
  <c r="CI37" i="16"/>
  <c r="CK37" i="16"/>
  <c r="CJ36" i="16"/>
  <c r="AF91" i="12"/>
  <c r="AT91" i="12"/>
  <c r="AZ31" i="12"/>
  <c r="AL31" i="12"/>
  <c r="BO83" i="10"/>
  <c r="BU83" i="10" s="1"/>
  <c r="BU82" i="10"/>
  <c r="BN83" i="10"/>
  <c r="BT83" i="10" s="1"/>
  <c r="BT82" i="10"/>
  <c r="AY20" i="12"/>
  <c r="AK20" i="12"/>
  <c r="CD76" i="16"/>
  <c r="CD42" i="16"/>
  <c r="CH33" i="16"/>
  <c r="CJ32" i="16" s="1"/>
  <c r="AR64" i="10"/>
  <c r="AT92" i="12"/>
  <c r="AF92" i="12"/>
  <c r="P77" i="24"/>
  <c r="AJ20" i="12"/>
  <c r="AX20" i="12"/>
  <c r="BX18" i="10"/>
  <c r="BR79" i="10"/>
  <c r="BX79" i="10" s="1"/>
  <c r="AC26" i="24"/>
  <c r="Z26" i="24"/>
  <c r="AA26" i="24"/>
  <c r="CK13" i="16"/>
  <c r="CJ11" i="16"/>
  <c r="CI13" i="16"/>
  <c r="CJ12" i="16"/>
  <c r="CG79" i="16"/>
  <c r="CG82" i="16"/>
  <c r="CK29" i="16"/>
  <c r="CI29" i="16"/>
  <c r="CJ27" i="16"/>
  <c r="P76" i="24"/>
  <c r="DM24" i="23"/>
  <c r="CS24" i="23"/>
  <c r="Z70" i="12"/>
  <c r="AN56" i="12"/>
  <c r="AR56" i="12" s="1"/>
  <c r="BB56" i="12"/>
  <c r="X79" i="12"/>
  <c r="BX27" i="10"/>
  <c r="BR28" i="10"/>
  <c r="BX28" i="10" s="1"/>
  <c r="BR45" i="10"/>
  <c r="BX10" i="10"/>
  <c r="BR73" i="10"/>
  <c r="BP82" i="10"/>
  <c r="CF82" i="16"/>
  <c r="CF86" i="16" s="1"/>
  <c r="CF71" i="16"/>
  <c r="CH78" i="16"/>
  <c r="U33" i="12"/>
  <c r="AW33" i="12" s="1"/>
  <c r="F88" i="24"/>
  <c r="G87" i="24" s="1"/>
  <c r="AY21" i="12"/>
  <c r="AK21" i="12"/>
  <c r="AN10" i="12"/>
  <c r="AZ69" i="12"/>
  <c r="AL69" i="12"/>
  <c r="X92" i="12"/>
  <c r="BC45" i="12"/>
  <c r="AO45" i="12"/>
  <c r="BB67" i="10"/>
  <c r="AN67" i="10"/>
  <c r="AR58" i="10"/>
  <c r="BF58" i="10"/>
  <c r="AF31" i="12"/>
  <c r="AT31" i="12"/>
  <c r="AD31" i="12"/>
  <c r="BF31" i="12" s="1"/>
  <c r="R33" i="12"/>
  <c r="AT33" i="12" s="1"/>
  <c r="AQ67" i="12"/>
  <c r="BE67" i="12"/>
  <c r="AC72" i="12"/>
  <c r="BE72" i="12" s="1"/>
  <c r="BF53" i="12"/>
  <c r="AR53" i="12"/>
  <c r="AF57" i="12"/>
  <c r="Y72" i="12" l="1"/>
  <c r="BA72" i="12" s="1"/>
  <c r="Y64" i="12"/>
  <c r="BA64" i="12" s="1"/>
  <c r="AJ21" i="12"/>
  <c r="BJ61" i="23"/>
  <c r="CX61" i="23" s="1"/>
  <c r="X83" i="12"/>
  <c r="AM60" i="12"/>
  <c r="AM64" i="12" s="1"/>
  <c r="AS103" i="11"/>
  <c r="AD60" i="12"/>
  <c r="BF60" i="12" s="1"/>
  <c r="CJ15" i="16"/>
  <c r="CH22" i="16"/>
  <c r="CA3" i="16" s="1"/>
  <c r="AR29" i="12"/>
  <c r="CS64" i="23"/>
  <c r="DM64" i="23"/>
  <c r="CK17" i="16"/>
  <c r="Y25" i="12"/>
  <c r="BA25" i="12" s="1"/>
  <c r="CI17" i="16"/>
  <c r="AO33" i="12"/>
  <c r="BR19" i="16"/>
  <c r="BS19" i="16"/>
  <c r="BE36" i="16"/>
  <c r="BE100" i="16" s="1"/>
  <c r="BI71" i="16"/>
  <c r="BI29" i="16"/>
  <c r="BQ9" i="16"/>
  <c r="BP23" i="16"/>
  <c r="BT23" i="16" s="1"/>
  <c r="BS9" i="16"/>
  <c r="BQ22" i="16"/>
  <c r="Y63" i="24"/>
  <c r="AD63" i="24" s="1"/>
  <c r="AD64" i="24"/>
  <c r="BN40" i="16"/>
  <c r="BN104" i="16" s="1"/>
  <c r="BS17" i="16"/>
  <c r="BQ17" i="16"/>
  <c r="BM71" i="16"/>
  <c r="BM29" i="16"/>
  <c r="BH49" i="16"/>
  <c r="BH50" i="16" s="1"/>
  <c r="BH70" i="16"/>
  <c r="BP64" i="16"/>
  <c r="BD67" i="16"/>
  <c r="BK29" i="16"/>
  <c r="BK71" i="16"/>
  <c r="BE32" i="16"/>
  <c r="BE96" i="16" s="1"/>
  <c r="BP12" i="16"/>
  <c r="BL31" i="16"/>
  <c r="BL95" i="16" s="1"/>
  <c r="BL32" i="16"/>
  <c r="BL96" i="16" s="1"/>
  <c r="AQ72" i="12"/>
  <c r="AR69" i="12"/>
  <c r="BE23" i="12"/>
  <c r="AL64" i="12"/>
  <c r="BN31" i="16"/>
  <c r="BN95" i="16" s="1"/>
  <c r="BN32" i="16"/>
  <c r="BN96" i="16" s="1"/>
  <c r="BP7" i="16"/>
  <c r="BF70" i="16"/>
  <c r="BF49" i="16"/>
  <c r="BF50" i="16" s="1"/>
  <c r="BE40" i="16"/>
  <c r="BE104" i="16" s="1"/>
  <c r="BP15" i="16"/>
  <c r="BK35" i="16"/>
  <c r="BK99" i="16" s="1"/>
  <c r="BJ36" i="16"/>
  <c r="BJ100" i="16" s="1"/>
  <c r="BF32" i="16"/>
  <c r="BF96" i="16" s="1"/>
  <c r="T11" i="26"/>
  <c r="T5" i="26"/>
  <c r="T8" i="26"/>
  <c r="T13" i="26"/>
  <c r="T3" i="26"/>
  <c r="T4" i="26"/>
  <c r="T7" i="26"/>
  <c r="T14" i="26"/>
  <c r="T9" i="26"/>
  <c r="T6" i="26"/>
  <c r="T12" i="26"/>
  <c r="T10" i="26"/>
  <c r="BG35" i="16"/>
  <c r="BG99" i="16" s="1"/>
  <c r="BD11" i="16"/>
  <c r="BP11" i="16" s="1"/>
  <c r="BI39" i="16"/>
  <c r="BI103" i="16" s="1"/>
  <c r="BF40" i="16"/>
  <c r="BF104" i="16" s="1"/>
  <c r="BK39" i="16"/>
  <c r="BK103" i="16" s="1"/>
  <c r="X33" i="12"/>
  <c r="AZ33" i="12" s="1"/>
  <c r="AO64" i="12"/>
  <c r="BH36" i="16"/>
  <c r="BH100" i="16" s="1"/>
  <c r="BD70" i="16"/>
  <c r="BP46" i="16"/>
  <c r="BD49" i="16"/>
  <c r="BJ49" i="16"/>
  <c r="BJ50" i="16" s="1"/>
  <c r="BJ70" i="16"/>
  <c r="BL39" i="16"/>
  <c r="BL103" i="16" s="1"/>
  <c r="BL40" i="16"/>
  <c r="BL104" i="16" s="1"/>
  <c r="BO35" i="16"/>
  <c r="BO99" i="16" s="1"/>
  <c r="BO36" i="16"/>
  <c r="BO100" i="16" s="1"/>
  <c r="BD61" i="16"/>
  <c r="BP58" i="16"/>
  <c r="BL70" i="16"/>
  <c r="BL49" i="16"/>
  <c r="BL50" i="16" s="1"/>
  <c r="BE49" i="16"/>
  <c r="BE50" i="16" s="1"/>
  <c r="BE70" i="16"/>
  <c r="BP20" i="16"/>
  <c r="BF36" i="16"/>
  <c r="BF100" i="16" s="1"/>
  <c r="BF35" i="16"/>
  <c r="BF99" i="16" s="1"/>
  <c r="BT21" i="16"/>
  <c r="BS13" i="16"/>
  <c r="BQ13" i="16"/>
  <c r="AZ30" i="12"/>
  <c r="AG17" i="12"/>
  <c r="AN17" i="12"/>
  <c r="BO32" i="16"/>
  <c r="BO96" i="16" s="1"/>
  <c r="BP8" i="16"/>
  <c r="X77" i="24"/>
  <c r="AD26" i="24"/>
  <c r="BH31" i="16"/>
  <c r="BH95" i="16" s="1"/>
  <c r="BH32" i="16"/>
  <c r="BH96" i="16" s="1"/>
  <c r="BP16" i="16"/>
  <c r="BG29" i="16"/>
  <c r="BG71" i="16"/>
  <c r="BN36" i="16"/>
  <c r="BN100" i="16" s="1"/>
  <c r="BO70" i="16"/>
  <c r="BO49" i="16"/>
  <c r="BO50" i="16" s="1"/>
  <c r="BQ21" i="16"/>
  <c r="BS21" i="16"/>
  <c r="BJ40" i="16"/>
  <c r="BJ104" i="16" s="1"/>
  <c r="BJ39" i="16"/>
  <c r="BJ103" i="16" s="1"/>
  <c r="BL36" i="16"/>
  <c r="BL100" i="16" s="1"/>
  <c r="BL35" i="16"/>
  <c r="BL99" i="16" s="1"/>
  <c r="X86" i="24"/>
  <c r="BN49" i="16"/>
  <c r="BN50" i="16" s="1"/>
  <c r="BN70" i="16"/>
  <c r="BH40" i="16"/>
  <c r="BH104" i="16" s="1"/>
  <c r="BO40" i="16"/>
  <c r="BO104" i="16" s="1"/>
  <c r="BD55" i="16"/>
  <c r="BP52" i="16"/>
  <c r="BJ32" i="16"/>
  <c r="BJ96" i="16" s="1"/>
  <c r="BI31" i="16"/>
  <c r="BI95" i="16" s="1"/>
  <c r="DP62" i="23"/>
  <c r="CB61" i="23"/>
  <c r="DP61" i="23" s="1"/>
  <c r="AM17" i="12"/>
  <c r="AI64" i="12"/>
  <c r="AC25" i="12"/>
  <c r="BE25" i="12" s="1"/>
  <c r="AD62" i="12"/>
  <c r="BF62" i="12" s="1"/>
  <c r="AP17" i="12"/>
  <c r="AJ17" i="12"/>
  <c r="AB64" i="12"/>
  <c r="BD64" i="12" s="1"/>
  <c r="AB25" i="12"/>
  <c r="BD25" i="12" s="1"/>
  <c r="AS72" i="11"/>
  <c r="AO92" i="12"/>
  <c r="BC92" i="12"/>
  <c r="CH67" i="16"/>
  <c r="BR38" i="10"/>
  <c r="BX38" i="10" s="1"/>
  <c r="AD92" i="12"/>
  <c r="BF92" i="12" s="1"/>
  <c r="AO80" i="12"/>
  <c r="BV61" i="16"/>
  <c r="BV62" i="16" s="1"/>
  <c r="Z25" i="12"/>
  <c r="BB25" i="12" s="1"/>
  <c r="AA66" i="24"/>
  <c r="AC66" i="24"/>
  <c r="Z66" i="24"/>
  <c r="BC85" i="12"/>
  <c r="AO85" i="12"/>
  <c r="AI43" i="12"/>
  <c r="AW43" i="12"/>
  <c r="AL20" i="12"/>
  <c r="AZ20" i="12"/>
  <c r="X25" i="12"/>
  <c r="AZ25" i="12" s="1"/>
  <c r="AZ67" i="12"/>
  <c r="AL67" i="12"/>
  <c r="AV67" i="12"/>
  <c r="AH67" i="12"/>
  <c r="T72" i="12"/>
  <c r="AV72" i="12" s="1"/>
  <c r="AG20" i="12"/>
  <c r="AU20" i="12"/>
  <c r="S25" i="12"/>
  <c r="AU25" i="12" s="1"/>
  <c r="AA36" i="24"/>
  <c r="AC36" i="24"/>
  <c r="Z36" i="24"/>
  <c r="BU72" i="11"/>
  <c r="BO88" i="11"/>
  <c r="BU88" i="11" s="1"/>
  <c r="AU70" i="12"/>
  <c r="AG70" i="12"/>
  <c r="AF23" i="12"/>
  <c r="AT23" i="12"/>
  <c r="R46" i="12"/>
  <c r="W107" i="11"/>
  <c r="AL106" i="11"/>
  <c r="AZ106" i="11"/>
  <c r="BG28" i="11"/>
  <c r="AD106" i="11"/>
  <c r="AE28" i="11"/>
  <c r="BF88" i="11"/>
  <c r="AR88" i="11"/>
  <c r="BS103" i="11"/>
  <c r="BY103" i="11" s="1"/>
  <c r="AP88" i="11"/>
  <c r="BD88" i="11"/>
  <c r="R43" i="12"/>
  <c r="AT20" i="12"/>
  <c r="AF20" i="12"/>
  <c r="AD23" i="12"/>
  <c r="BF23" i="12" s="1"/>
  <c r="R93" i="12"/>
  <c r="AT93" i="12" s="1"/>
  <c r="AD67" i="12"/>
  <c r="X90" i="12"/>
  <c r="BC20" i="12"/>
  <c r="AO20" i="12"/>
  <c r="AA43" i="12"/>
  <c r="AA25" i="12"/>
  <c r="BC25" i="12" s="1"/>
  <c r="BC36" i="12"/>
  <c r="AA40" i="12"/>
  <c r="BC40" i="12" s="1"/>
  <c r="AO36" i="12"/>
  <c r="AQ17" i="12"/>
  <c r="BG72" i="11"/>
  <c r="AD88" i="11"/>
  <c r="BG88" i="11" s="1"/>
  <c r="BC38" i="12"/>
  <c r="AO38" i="12"/>
  <c r="AI106" i="11"/>
  <c r="T107" i="11"/>
  <c r="AW106" i="11"/>
  <c r="AK17" i="12"/>
  <c r="AW83" i="12"/>
  <c r="AI83" i="12"/>
  <c r="BS28" i="11"/>
  <c r="BY7" i="11"/>
  <c r="BS92" i="11"/>
  <c r="AH88" i="11"/>
  <c r="AV88" i="11"/>
  <c r="AP20" i="12"/>
  <c r="AP25" i="12" s="1"/>
  <c r="BD20" i="12"/>
  <c r="AK64" i="12"/>
  <c r="Q65" i="24"/>
  <c r="T65" i="24"/>
  <c r="V65" i="24"/>
  <c r="R65" i="24"/>
  <c r="O63" i="24"/>
  <c r="BS91" i="11"/>
  <c r="AF83" i="12"/>
  <c r="AD83" i="12"/>
  <c r="AT83" i="12"/>
  <c r="R87" i="12"/>
  <c r="AT87" i="12" s="1"/>
  <c r="AD38" i="12"/>
  <c r="BF38" i="12" s="1"/>
  <c r="BF15" i="12"/>
  <c r="BY71" i="11"/>
  <c r="BS87" i="11"/>
  <c r="BY87" i="11" s="1"/>
  <c r="BE88" i="11"/>
  <c r="AQ88" i="11"/>
  <c r="BE106" i="11"/>
  <c r="AQ106" i="11"/>
  <c r="AB107" i="11"/>
  <c r="AG64" i="12"/>
  <c r="AQ64" i="12"/>
  <c r="BF106" i="11"/>
  <c r="AR106" i="11"/>
  <c r="AC107" i="11"/>
  <c r="AO67" i="12"/>
  <c r="BC67" i="12"/>
  <c r="AA72" i="12"/>
  <c r="BC72" i="12" s="1"/>
  <c r="BY32" i="11"/>
  <c r="AL85" i="12"/>
  <c r="AZ85" i="12"/>
  <c r="AZ88" i="11"/>
  <c r="AL88" i="11"/>
  <c r="AJ23" i="12"/>
  <c r="AJ25" i="12" s="1"/>
  <c r="AX23" i="12"/>
  <c r="U46" i="12"/>
  <c r="U48" i="12" s="1"/>
  <c r="AW48" i="12" s="1"/>
  <c r="AM106" i="11"/>
  <c r="BA106" i="11"/>
  <c r="X107" i="11"/>
  <c r="BF13" i="12"/>
  <c r="AD17" i="12"/>
  <c r="BF17" i="12" s="1"/>
  <c r="AD36" i="12"/>
  <c r="AX67" i="12"/>
  <c r="AJ67" i="12"/>
  <c r="DL61" i="23"/>
  <c r="CR61" i="23"/>
  <c r="U25" i="12"/>
  <c r="AW25" i="12" s="1"/>
  <c r="AI20" i="12"/>
  <c r="AI25" i="12" s="1"/>
  <c r="AW20" i="12"/>
  <c r="AZ38" i="12"/>
  <c r="AL38" i="12"/>
  <c r="AK67" i="12"/>
  <c r="AY67" i="12"/>
  <c r="W72" i="12"/>
  <c r="AY72" i="12" s="1"/>
  <c r="AD64" i="12"/>
  <c r="BF64" i="12" s="1"/>
  <c r="AA107" i="11"/>
  <c r="AP106" i="11"/>
  <c r="BD106" i="11"/>
  <c r="U107" i="11"/>
  <c r="AJ106" i="11"/>
  <c r="AX106" i="11"/>
  <c r="AY106" i="11"/>
  <c r="AK106" i="11"/>
  <c r="V107" i="11"/>
  <c r="R25" i="12"/>
  <c r="AT25" i="12" s="1"/>
  <c r="BS104" i="11"/>
  <c r="BY104" i="11" s="1"/>
  <c r="AZ36" i="12"/>
  <c r="X40" i="12"/>
  <c r="AZ40" i="12" s="1"/>
  <c r="AL36" i="12"/>
  <c r="AO17" i="12"/>
  <c r="BP88" i="11"/>
  <c r="BV88" i="11" s="1"/>
  <c r="BV72" i="11"/>
  <c r="AO23" i="12"/>
  <c r="BC23" i="12"/>
  <c r="AA46" i="12"/>
  <c r="AL83" i="12"/>
  <c r="X87" i="12"/>
  <c r="AZ87" i="12" s="1"/>
  <c r="AZ83" i="12"/>
  <c r="AH64" i="12"/>
  <c r="BO106" i="11"/>
  <c r="BU28" i="11"/>
  <c r="X43" i="12"/>
  <c r="AN20" i="12"/>
  <c r="BB20" i="12"/>
  <c r="AM23" i="12"/>
  <c r="BA23" i="12"/>
  <c r="AW38" i="12"/>
  <c r="AI38" i="12"/>
  <c r="X72" i="12"/>
  <c r="AZ72" i="12" s="1"/>
  <c r="U40" i="12"/>
  <c r="AW40" i="12" s="1"/>
  <c r="AI36" i="12"/>
  <c r="AW36" i="12"/>
  <c r="CW63" i="23"/>
  <c r="BI61" i="23"/>
  <c r="CW61" i="23" s="1"/>
  <c r="AS76" i="11"/>
  <c r="BQ106" i="11"/>
  <c r="BW28" i="11"/>
  <c r="AM88" i="11"/>
  <c r="BA88" i="11"/>
  <c r="AC56" i="24"/>
  <c r="AA56" i="24"/>
  <c r="Z56" i="24"/>
  <c r="X65" i="24"/>
  <c r="CO61" i="23"/>
  <c r="DI61" i="23"/>
  <c r="AK70" i="12"/>
  <c r="AY70" i="12"/>
  <c r="BD62" i="12"/>
  <c r="AP62" i="12"/>
  <c r="AB70" i="12"/>
  <c r="AA93" i="12" s="1"/>
  <c r="AF64" i="12"/>
  <c r="S72" i="12"/>
  <c r="AU72" i="12" s="1"/>
  <c r="AU67" i="12"/>
  <c r="AG67" i="12"/>
  <c r="BQ53" i="11"/>
  <c r="BW53" i="11" s="1"/>
  <c r="AH23" i="12"/>
  <c r="AV23" i="12"/>
  <c r="BC106" i="11"/>
  <c r="AO106" i="11"/>
  <c r="Z107" i="11"/>
  <c r="AA87" i="12"/>
  <c r="BC87" i="12" s="1"/>
  <c r="AO83" i="12"/>
  <c r="BC83" i="12"/>
  <c r="BS76" i="11"/>
  <c r="BY76" i="11" s="1"/>
  <c r="BY56" i="11"/>
  <c r="AL70" i="12"/>
  <c r="AZ70" i="12"/>
  <c r="CS63" i="23"/>
  <c r="DM63" i="23"/>
  <c r="AP23" i="12"/>
  <c r="BD23" i="12"/>
  <c r="AF37" i="12"/>
  <c r="AR37" i="12" s="1"/>
  <c r="AT37" i="12"/>
  <c r="AI70" i="12"/>
  <c r="AW70" i="12"/>
  <c r="BR88" i="11"/>
  <c r="BX88" i="11" s="1"/>
  <c r="BX72" i="11"/>
  <c r="AV106" i="11"/>
  <c r="S107" i="11"/>
  <c r="AH106" i="11"/>
  <c r="BS52" i="11"/>
  <c r="BY52" i="11" s="1"/>
  <c r="AA54" i="24"/>
  <c r="Z54" i="24"/>
  <c r="AC54" i="24"/>
  <c r="AW67" i="12"/>
  <c r="AI67" i="12"/>
  <c r="AI72" i="12" s="1"/>
  <c r="U72" i="12"/>
  <c r="AW72" i="12" s="1"/>
  <c r="U90" i="12"/>
  <c r="Y107" i="11"/>
  <c r="AN106" i="11"/>
  <c r="BB106" i="11"/>
  <c r="BY55" i="11"/>
  <c r="BS75" i="11"/>
  <c r="BY75" i="11" s="1"/>
  <c r="AF38" i="12"/>
  <c r="AT38" i="12"/>
  <c r="AT85" i="12"/>
  <c r="AF85" i="12"/>
  <c r="AU23" i="12"/>
  <c r="AG23" i="12"/>
  <c r="BC70" i="12"/>
  <c r="AO70" i="12"/>
  <c r="R44" i="12"/>
  <c r="AT21" i="12"/>
  <c r="AF21" i="12"/>
  <c r="AF25" i="12" s="1"/>
  <c r="AX88" i="11"/>
  <c r="CA88" i="11"/>
  <c r="AJ88" i="11"/>
  <c r="AT36" i="12"/>
  <c r="R40" i="12"/>
  <c r="AT40" i="12" s="1"/>
  <c r="AF36" i="12"/>
  <c r="AD21" i="12"/>
  <c r="BF21" i="12" s="1"/>
  <c r="R90" i="12"/>
  <c r="AF90" i="12" s="1"/>
  <c r="AD20" i="12"/>
  <c r="BF20" i="12" s="1"/>
  <c r="AM20" i="12"/>
  <c r="BA20" i="12"/>
  <c r="BE20" i="12"/>
  <c r="AQ20" i="12"/>
  <c r="AQ25" i="12" s="1"/>
  <c r="AM70" i="12"/>
  <c r="AM72" i="12" s="1"/>
  <c r="BA70" i="12"/>
  <c r="O83" i="24"/>
  <c r="BR106" i="11"/>
  <c r="BX28" i="11"/>
  <c r="AV70" i="12"/>
  <c r="AH70" i="12"/>
  <c r="AI17" i="12"/>
  <c r="AL23" i="12"/>
  <c r="AZ23" i="12"/>
  <c r="BS72" i="11"/>
  <c r="BY51" i="11"/>
  <c r="AS28" i="11"/>
  <c r="AS92" i="11"/>
  <c r="CB88" i="11"/>
  <c r="AY88" i="11"/>
  <c r="AK88" i="11"/>
  <c r="AH20" i="12"/>
  <c r="AV20" i="12"/>
  <c r="T25" i="12"/>
  <c r="AV25" i="12" s="1"/>
  <c r="AX62" i="12"/>
  <c r="V70" i="12"/>
  <c r="AJ62" i="12"/>
  <c r="AJ64" i="12" s="1"/>
  <c r="BP106" i="11"/>
  <c r="BV28" i="11"/>
  <c r="AR84" i="12"/>
  <c r="AY23" i="12"/>
  <c r="AK23" i="12"/>
  <c r="AK25" i="12" s="1"/>
  <c r="AW88" i="11"/>
  <c r="AI88" i="11"/>
  <c r="BC88" i="11"/>
  <c r="AO88" i="11"/>
  <c r="AR15" i="12"/>
  <c r="AU88" i="11"/>
  <c r="AG88" i="11"/>
  <c r="AS87" i="11"/>
  <c r="AN88" i="11"/>
  <c r="BB88" i="11"/>
  <c r="AN64" i="12"/>
  <c r="BW72" i="11"/>
  <c r="BQ88" i="11"/>
  <c r="BW88" i="11" s="1"/>
  <c r="AU28" i="11"/>
  <c r="R106" i="11"/>
  <c r="AD37" i="12"/>
  <c r="BF37" i="12" s="1"/>
  <c r="BF14" i="12"/>
  <c r="U85" i="12"/>
  <c r="U87" i="12" s="1"/>
  <c r="AW87" i="12" s="1"/>
  <c r="AF17" i="12"/>
  <c r="AR13" i="12"/>
  <c r="V64" i="12"/>
  <c r="AX64" i="12" s="1"/>
  <c r="AR10" i="12"/>
  <c r="BF20" i="10"/>
  <c r="BF82" i="10" s="1"/>
  <c r="BF83" i="10" s="1"/>
  <c r="AD82" i="10"/>
  <c r="AD83" i="10" s="1"/>
  <c r="CG61" i="16"/>
  <c r="CG62" i="16" s="1"/>
  <c r="CG70" i="16"/>
  <c r="CH70" i="16" s="1"/>
  <c r="AD57" i="12"/>
  <c r="BF57" i="12" s="1"/>
  <c r="BC44" i="12"/>
  <c r="AO44" i="12"/>
  <c r="AA48" i="12"/>
  <c r="BC48" i="12" s="1"/>
  <c r="CK41" i="16"/>
  <c r="AL33" i="12"/>
  <c r="BF74" i="10"/>
  <c r="AN21" i="12"/>
  <c r="AN25" i="12" s="1"/>
  <c r="BB21" i="12"/>
  <c r="CC3" i="16"/>
  <c r="X44" i="12"/>
  <c r="CJ39" i="16"/>
  <c r="AD61" i="10"/>
  <c r="AR73" i="10"/>
  <c r="BQ83" i="10"/>
  <c r="BW83" i="10" s="1"/>
  <c r="BW82" i="10"/>
  <c r="AL90" i="12"/>
  <c r="AZ90" i="12"/>
  <c r="AI91" i="12"/>
  <c r="AW91" i="12"/>
  <c r="BZ50" i="16"/>
  <c r="CH50" i="16" s="1"/>
  <c r="CH49" i="16"/>
  <c r="CA71" i="16"/>
  <c r="CA82" i="16"/>
  <c r="CA86" i="16" s="1"/>
  <c r="AI44" i="12"/>
  <c r="AW44" i="12"/>
  <c r="AN70" i="12"/>
  <c r="BB70" i="12"/>
  <c r="X93" i="12"/>
  <c r="AL79" i="12"/>
  <c r="AR79" i="12" s="1"/>
  <c r="AZ79" i="12"/>
  <c r="BV85" i="16"/>
  <c r="CH85" i="16" s="1"/>
  <c r="CH68" i="16"/>
  <c r="AZ77" i="12"/>
  <c r="AL77" i="12"/>
  <c r="X80" i="12"/>
  <c r="AZ80" i="12" s="1"/>
  <c r="AD77" i="12"/>
  <c r="BF77" i="12" s="1"/>
  <c r="AD79" i="12"/>
  <c r="BF79" i="12" s="1"/>
  <c r="AR30" i="12"/>
  <c r="BF67" i="12"/>
  <c r="AZ92" i="12"/>
  <c r="AL92" i="12"/>
  <c r="CJ31" i="16"/>
  <c r="CI33" i="16"/>
  <c r="CK33" i="16"/>
  <c r="AR22" i="12"/>
  <c r="AZ45" i="12"/>
  <c r="AL45" i="12"/>
  <c r="CJ4" i="16"/>
  <c r="CG3" i="16"/>
  <c r="CB3" i="16"/>
  <c r="BW3" i="16"/>
  <c r="CE3" i="16"/>
  <c r="BY3" i="16"/>
  <c r="BX3" i="16"/>
  <c r="CF3" i="16"/>
  <c r="CD3" i="16"/>
  <c r="BB68" i="12"/>
  <c r="AN68" i="12"/>
  <c r="Z72" i="12"/>
  <c r="BB72" i="12" s="1"/>
  <c r="X91" i="12"/>
  <c r="AD68" i="12"/>
  <c r="BF68" i="12" s="1"/>
  <c r="BF76" i="12"/>
  <c r="CS61" i="23"/>
  <c r="DM61" i="23"/>
  <c r="BV82" i="10"/>
  <c r="BP83" i="10"/>
  <c r="BV83" i="10" s="1"/>
  <c r="CH42" i="16"/>
  <c r="AZ46" i="12"/>
  <c r="AL46" i="12"/>
  <c r="AN57" i="12"/>
  <c r="AR54" i="12"/>
  <c r="AR57" i="12" s="1"/>
  <c r="AF80" i="12"/>
  <c r="AR76" i="12"/>
  <c r="CH47" i="16"/>
  <c r="BR83" i="10"/>
  <c r="BX83" i="10" s="1"/>
  <c r="BX82" i="10"/>
  <c r="AR31" i="12"/>
  <c r="AF33" i="12"/>
  <c r="BZ3" i="16"/>
  <c r="BX45" i="10"/>
  <c r="BR61" i="10"/>
  <c r="BX61" i="10" s="1"/>
  <c r="CD79" i="16"/>
  <c r="CD83" i="16"/>
  <c r="CD86" i="16" s="1"/>
  <c r="CH76" i="16"/>
  <c r="CH79" i="16" s="1"/>
  <c r="AO90" i="12"/>
  <c r="BC90" i="12"/>
  <c r="BV3" i="16"/>
  <c r="G88" i="24"/>
  <c r="G86" i="24"/>
  <c r="AD44" i="12"/>
  <c r="BF44" i="12" s="1"/>
  <c r="AD45" i="12"/>
  <c r="BF45" i="12" s="1"/>
  <c r="AF45" i="12"/>
  <c r="AT45" i="12"/>
  <c r="AD33" i="12"/>
  <c r="BF33" i="12" s="1"/>
  <c r="O88" i="24"/>
  <c r="AZ44" i="12"/>
  <c r="AL44" i="12"/>
  <c r="CC55" i="16"/>
  <c r="AR67" i="10"/>
  <c r="BF67" i="10"/>
  <c r="BW71" i="16"/>
  <c r="BW82" i="16"/>
  <c r="BW86" i="16" s="1"/>
  <c r="BW87" i="16" s="1"/>
  <c r="AR67" i="12"/>
  <c r="AF72" i="12"/>
  <c r="AR60" i="12" l="1"/>
  <c r="AR92" i="12"/>
  <c r="X48" i="12"/>
  <c r="AZ48" i="12" s="1"/>
  <c r="BQ104" i="16"/>
  <c r="BP104" i="16"/>
  <c r="BN71" i="16"/>
  <c r="BN29" i="16"/>
  <c r="BS16" i="16"/>
  <c r="BR16" i="16"/>
  <c r="X87" i="24"/>
  <c r="BR20" i="16"/>
  <c r="BS20" i="16"/>
  <c r="BQ99" i="16"/>
  <c r="BP99" i="16"/>
  <c r="BJ29" i="16"/>
  <c r="BJ71" i="16"/>
  <c r="BS11" i="16"/>
  <c r="BR11" i="16"/>
  <c r="BS7" i="16"/>
  <c r="BR7" i="16"/>
  <c r="CH61" i="16"/>
  <c r="BH39" i="16"/>
  <c r="BH103" i="16" s="1"/>
  <c r="BN35" i="16"/>
  <c r="BN99" i="16" s="1"/>
  <c r="BR8" i="16"/>
  <c r="BS8" i="16"/>
  <c r="BS4" i="16"/>
  <c r="BP49" i="16"/>
  <c r="BD50" i="16"/>
  <c r="BH35" i="16"/>
  <c r="BH99" i="16" s="1"/>
  <c r="BF39" i="16"/>
  <c r="BF103" i="16" s="1"/>
  <c r="T15" i="26"/>
  <c r="BJ35" i="16"/>
  <c r="BJ99" i="16" s="1"/>
  <c r="BE39" i="16"/>
  <c r="BE103" i="16" s="1"/>
  <c r="BS12" i="16"/>
  <c r="BR12" i="16"/>
  <c r="BK28" i="16"/>
  <c r="BK92" i="16" s="1"/>
  <c r="BK42" i="16"/>
  <c r="BH29" i="16"/>
  <c r="BH71" i="16"/>
  <c r="BE35" i="16"/>
  <c r="BE99" i="16" s="1"/>
  <c r="BP55" i="16"/>
  <c r="BD56" i="16"/>
  <c r="X88" i="24"/>
  <c r="Y88" i="24" s="1"/>
  <c r="BO71" i="16"/>
  <c r="BO29" i="16"/>
  <c r="BP96" i="16"/>
  <c r="BQ96" i="16"/>
  <c r="BE29" i="16"/>
  <c r="BE71" i="16"/>
  <c r="BP61" i="16"/>
  <c r="BD62" i="16"/>
  <c r="BF29" i="16"/>
  <c r="BF71" i="16"/>
  <c r="BD68" i="16"/>
  <c r="BP67" i="16"/>
  <c r="BM42" i="16"/>
  <c r="BM28" i="16"/>
  <c r="BM92" i="16" s="1"/>
  <c r="BI42" i="16"/>
  <c r="BI27" i="16"/>
  <c r="BI91" i="16" s="1"/>
  <c r="BI28" i="16"/>
  <c r="BI92" i="16" s="1"/>
  <c r="AO87" i="12"/>
  <c r="AG72" i="12"/>
  <c r="BJ31" i="16"/>
  <c r="BJ95" i="16" s="1"/>
  <c r="BO39" i="16"/>
  <c r="BO103" i="16" s="1"/>
  <c r="X78" i="24"/>
  <c r="Y77" i="24" s="1"/>
  <c r="BG28" i="16"/>
  <c r="BG92" i="16" s="1"/>
  <c r="BG42" i="16"/>
  <c r="BO31" i="16"/>
  <c r="BO95" i="16" s="1"/>
  <c r="BL29" i="16"/>
  <c r="BL71" i="16"/>
  <c r="BP100" i="16"/>
  <c r="BQ100" i="16"/>
  <c r="BP70" i="16"/>
  <c r="BF31" i="16"/>
  <c r="BF95" i="16" s="1"/>
  <c r="BR15" i="16"/>
  <c r="BS15" i="16"/>
  <c r="BE31" i="16"/>
  <c r="BE95" i="16" s="1"/>
  <c r="BN39" i="16"/>
  <c r="BN103" i="16" s="1"/>
  <c r="AR62" i="12"/>
  <c r="AL40" i="12"/>
  <c r="AD70" i="12"/>
  <c r="BF70" i="12" s="1"/>
  <c r="AH25" i="12"/>
  <c r="AO40" i="12"/>
  <c r="AT90" i="12"/>
  <c r="AR38" i="12"/>
  <c r="AD46" i="12"/>
  <c r="BF46" i="12" s="1"/>
  <c r="AO93" i="12"/>
  <c r="AO95" i="12" s="1"/>
  <c r="BC93" i="12"/>
  <c r="AA95" i="12"/>
  <c r="BC95" i="12" s="1"/>
  <c r="AF93" i="12"/>
  <c r="AF95" i="12" s="1"/>
  <c r="R95" i="12"/>
  <c r="AT95" i="12" s="1"/>
  <c r="AM25" i="12"/>
  <c r="AG25" i="12"/>
  <c r="AO72" i="12"/>
  <c r="AR20" i="12"/>
  <c r="AR23" i="12"/>
  <c r="AD90" i="12"/>
  <c r="AR21" i="12"/>
  <c r="AR45" i="12"/>
  <c r="AK72" i="12"/>
  <c r="AD25" i="12"/>
  <c r="BF25" i="12" s="1"/>
  <c r="AR17" i="12"/>
  <c r="BV106" i="11"/>
  <c r="BP107" i="11"/>
  <c r="BV107" i="11" s="1"/>
  <c r="BR107" i="11"/>
  <c r="BX107" i="11" s="1"/>
  <c r="BX106" i="11"/>
  <c r="AW90" i="12"/>
  <c r="AI90" i="12"/>
  <c r="AR90" i="12" s="1"/>
  <c r="AP64" i="12"/>
  <c r="BQ107" i="11"/>
  <c r="BW107" i="11" s="1"/>
  <c r="BW106" i="11"/>
  <c r="BO107" i="11"/>
  <c r="BU107" i="11" s="1"/>
  <c r="BU106" i="11"/>
  <c r="AL87" i="12"/>
  <c r="AI46" i="12"/>
  <c r="AW46" i="12"/>
  <c r="BS53" i="11"/>
  <c r="BY53" i="11" s="1"/>
  <c r="AR107" i="11"/>
  <c r="BF107" i="11"/>
  <c r="V63" i="24"/>
  <c r="Q63" i="24"/>
  <c r="T63" i="24"/>
  <c r="R63" i="24"/>
  <c r="AD107" i="11"/>
  <c r="BG107" i="11" s="1"/>
  <c r="BG106" i="11"/>
  <c r="AZ107" i="11"/>
  <c r="AL107" i="11"/>
  <c r="AH72" i="12"/>
  <c r="AI48" i="12"/>
  <c r="R107" i="11"/>
  <c r="AG106" i="11"/>
  <c r="AS106" i="11" s="1"/>
  <c r="AU106" i="11"/>
  <c r="AS88" i="11"/>
  <c r="BY72" i="11"/>
  <c r="BS88" i="11"/>
  <c r="BY88" i="11" s="1"/>
  <c r="P83" i="24"/>
  <c r="P81" i="24"/>
  <c r="AR36" i="12"/>
  <c r="AR40" i="12" s="1"/>
  <c r="AF40" i="12"/>
  <c r="AT44" i="12"/>
  <c r="AF44" i="12"/>
  <c r="AR64" i="12"/>
  <c r="X63" i="24"/>
  <c r="Z65" i="24"/>
  <c r="AA65" i="24"/>
  <c r="AC65" i="24"/>
  <c r="AI40" i="12"/>
  <c r="AO46" i="12"/>
  <c r="BC46" i="12"/>
  <c r="BA107" i="11"/>
  <c r="AM107" i="11"/>
  <c r="BF83" i="12"/>
  <c r="BY28" i="11"/>
  <c r="BS106" i="11"/>
  <c r="AT43" i="12"/>
  <c r="AF43" i="12"/>
  <c r="R48" i="12"/>
  <c r="AT48" i="12" s="1"/>
  <c r="AD43" i="12"/>
  <c r="BF43" i="12" s="1"/>
  <c r="AF46" i="12"/>
  <c r="AT46" i="12"/>
  <c r="BB107" i="11"/>
  <c r="AN107" i="11"/>
  <c r="AX107" i="11"/>
  <c r="AJ107" i="11"/>
  <c r="AW107" i="11"/>
  <c r="AI107" i="11"/>
  <c r="AO25" i="12"/>
  <c r="AR46" i="12"/>
  <c r="AW85" i="12"/>
  <c r="AI85" i="12"/>
  <c r="AR85" i="12" s="1"/>
  <c r="AJ70" i="12"/>
  <c r="AJ72" i="12" s="1"/>
  <c r="AX70" i="12"/>
  <c r="V72" i="12"/>
  <c r="AX72" i="12" s="1"/>
  <c r="AD85" i="12"/>
  <c r="BF85" i="12" s="1"/>
  <c r="AV107" i="11"/>
  <c r="AH107" i="11"/>
  <c r="U93" i="12"/>
  <c r="AO107" i="11"/>
  <c r="BC107" i="11"/>
  <c r="BD70" i="12"/>
  <c r="AP70" i="12"/>
  <c r="AP72" i="12" s="1"/>
  <c r="AB72" i="12"/>
  <c r="BD72" i="12" s="1"/>
  <c r="AZ43" i="12"/>
  <c r="AL43" i="12"/>
  <c r="AL48" i="12" s="1"/>
  <c r="AY107" i="11"/>
  <c r="AK107" i="11"/>
  <c r="BD107" i="11"/>
  <c r="AP107" i="11"/>
  <c r="BF36" i="12"/>
  <c r="AD40" i="12"/>
  <c r="BF40" i="12" s="1"/>
  <c r="AQ107" i="11"/>
  <c r="BE107" i="11"/>
  <c r="AR83" i="12"/>
  <c r="AF87" i="12"/>
  <c r="BC43" i="12"/>
  <c r="AO43" i="12"/>
  <c r="P82" i="24"/>
  <c r="AL72" i="12"/>
  <c r="AL25" i="12"/>
  <c r="BF61" i="10"/>
  <c r="AR61" i="10"/>
  <c r="AR33" i="12"/>
  <c r="CG84" i="16"/>
  <c r="CG86" i="16" s="1"/>
  <c r="CG71" i="16"/>
  <c r="AR44" i="12"/>
  <c r="P88" i="24"/>
  <c r="P86" i="24"/>
  <c r="P87" i="24"/>
  <c r="CK42" i="16"/>
  <c r="CJ24" i="16"/>
  <c r="CC56" i="16"/>
  <c r="CH55" i="16"/>
  <c r="AD80" i="12"/>
  <c r="BF80" i="12" s="1"/>
  <c r="AN72" i="12"/>
  <c r="AR68" i="12"/>
  <c r="AL80" i="12"/>
  <c r="AR77" i="12"/>
  <c r="AR80" i="12" s="1"/>
  <c r="BV84" i="16"/>
  <c r="CH62" i="16"/>
  <c r="BV71" i="16"/>
  <c r="BF90" i="12"/>
  <c r="AZ93" i="12"/>
  <c r="AL93" i="12"/>
  <c r="AL91" i="12"/>
  <c r="AZ91" i="12"/>
  <c r="X95" i="12"/>
  <c r="AZ95" i="12" s="1"/>
  <c r="AD91" i="12"/>
  <c r="BF91" i="12" s="1"/>
  <c r="BZ82" i="16"/>
  <c r="BZ71" i="16"/>
  <c r="AD72" i="12" l="1"/>
  <c r="BF72" i="12" s="1"/>
  <c r="BF42" i="16"/>
  <c r="BF28" i="16"/>
  <c r="BF92" i="16" s="1"/>
  <c r="BE28" i="16"/>
  <c r="BE92" i="16" s="1"/>
  <c r="BE42" i="16"/>
  <c r="BN28" i="16"/>
  <c r="BN92" i="16" s="1"/>
  <c r="BN27" i="16"/>
  <c r="BN91" i="16" s="1"/>
  <c r="BN42" i="16"/>
  <c r="AD48" i="12"/>
  <c r="BF48" i="12" s="1"/>
  <c r="BL42" i="16"/>
  <c r="BL28" i="16"/>
  <c r="BL92" i="16" s="1"/>
  <c r="BG27" i="16"/>
  <c r="BG91" i="16" s="1"/>
  <c r="BD37" i="16"/>
  <c r="BP62" i="16"/>
  <c r="Y86" i="24"/>
  <c r="BK27" i="16"/>
  <c r="BK91" i="16" s="1"/>
  <c r="Y87" i="24"/>
  <c r="BP95" i="16"/>
  <c r="BQ95" i="16"/>
  <c r="Y78" i="24"/>
  <c r="Y76" i="24"/>
  <c r="BD41" i="16"/>
  <c r="BP68" i="16"/>
  <c r="BP50" i="16"/>
  <c r="BD71" i="16"/>
  <c r="BP71" i="16" s="1"/>
  <c r="BD29" i="16"/>
  <c r="BQ103" i="16"/>
  <c r="BP103" i="16"/>
  <c r="BM27" i="16"/>
  <c r="BM91" i="16" s="1"/>
  <c r="BO28" i="16"/>
  <c r="BO92" i="16" s="1"/>
  <c r="BO42" i="16"/>
  <c r="BD33" i="16"/>
  <c r="BP56" i="16"/>
  <c r="BH28" i="16"/>
  <c r="BH92" i="16" s="1"/>
  <c r="BH42" i="16"/>
  <c r="BH27" i="16"/>
  <c r="BH91" i="16" s="1"/>
  <c r="BJ28" i="16"/>
  <c r="BJ92" i="16" s="1"/>
  <c r="BJ42" i="16"/>
  <c r="AO48" i="12"/>
  <c r="AI87" i="12"/>
  <c r="AR25" i="12"/>
  <c r="AR43" i="12"/>
  <c r="AR48" i="12" s="1"/>
  <c r="AF48" i="12"/>
  <c r="AR70" i="12"/>
  <c r="AR72" i="12" s="1"/>
  <c r="AR87" i="12"/>
  <c r="AW93" i="12"/>
  <c r="AI93" i="12"/>
  <c r="AR93" i="12" s="1"/>
  <c r="AD87" i="12"/>
  <c r="BF87" i="12" s="1"/>
  <c r="AD93" i="12"/>
  <c r="BF93" i="12" s="1"/>
  <c r="U95" i="12"/>
  <c r="AW95" i="12" s="1"/>
  <c r="AG107" i="11"/>
  <c r="AS107" i="11" s="1"/>
  <c r="AU107" i="11"/>
  <c r="BY106" i="11"/>
  <c r="BS107" i="11"/>
  <c r="BY107" i="11" s="1"/>
  <c r="AC63" i="24"/>
  <c r="AA63" i="24"/>
  <c r="Z63" i="24"/>
  <c r="BZ86" i="16"/>
  <c r="CH82" i="16"/>
  <c r="AL95" i="12"/>
  <c r="AR91" i="12"/>
  <c r="CC83" i="16"/>
  <c r="CC71" i="16"/>
  <c r="CH71" i="16" s="1"/>
  <c r="CH56" i="16"/>
  <c r="AD95" i="12"/>
  <c r="BF95" i="12" s="1"/>
  <c r="CH84" i="16"/>
  <c r="BV86" i="16"/>
  <c r="BV87" i="16" s="1"/>
  <c r="BQ92" i="16" l="1"/>
  <c r="BP92" i="16"/>
  <c r="BP29" i="16"/>
  <c r="BD27" i="16"/>
  <c r="BD42" i="16"/>
  <c r="BD28" i="16"/>
  <c r="BD40" i="16"/>
  <c r="BP41" i="16"/>
  <c r="BD32" i="16"/>
  <c r="BP33" i="16"/>
  <c r="BD31" i="16"/>
  <c r="BP37" i="16"/>
  <c r="BD35" i="16"/>
  <c r="BD36" i="16"/>
  <c r="BL27" i="16"/>
  <c r="BL91" i="16" s="1"/>
  <c r="BJ27" i="16"/>
  <c r="BJ91" i="16" s="1"/>
  <c r="BO27" i="16"/>
  <c r="BO91" i="16" s="1"/>
  <c r="BE27" i="16"/>
  <c r="BE91" i="16" s="1"/>
  <c r="BF27" i="16"/>
  <c r="BF91" i="16" s="1"/>
  <c r="AR95" i="12"/>
  <c r="AI95" i="12"/>
  <c r="CC86" i="16"/>
  <c r="CH83" i="16"/>
  <c r="CH86" i="16" s="1"/>
  <c r="CI86" i="16" s="1"/>
  <c r="BD95" i="16" l="1"/>
  <c r="BP31" i="16"/>
  <c r="BS41" i="16"/>
  <c r="BP27" i="16"/>
  <c r="BD91" i="16"/>
  <c r="BD100" i="16"/>
  <c r="BP36" i="16"/>
  <c r="BS33" i="16"/>
  <c r="BQ33" i="16"/>
  <c r="BD104" i="16"/>
  <c r="BP40" i="16"/>
  <c r="BP42" i="16"/>
  <c r="BQ41" i="16" s="1"/>
  <c r="BS29" i="16"/>
  <c r="BQ29" i="16"/>
  <c r="BP91" i="16"/>
  <c r="BQ91" i="16"/>
  <c r="BP35" i="16"/>
  <c r="BD99" i="16"/>
  <c r="BD96" i="16"/>
  <c r="BP32" i="16"/>
  <c r="BP28" i="16"/>
  <c r="BD92" i="16"/>
  <c r="BQ37" i="16"/>
  <c r="BS37" i="16"/>
  <c r="BD39" i="16"/>
  <c r="BR40" i="16" l="1"/>
  <c r="BS40" i="16"/>
  <c r="BR36" i="16"/>
  <c r="BS36" i="16"/>
  <c r="BD103" i="16"/>
  <c r="BP39" i="16"/>
  <c r="BS28" i="16"/>
  <c r="BR28" i="16"/>
  <c r="BS35" i="16"/>
  <c r="BR35" i="16"/>
  <c r="BS31" i="16"/>
  <c r="BR31" i="16"/>
  <c r="BR32" i="16"/>
  <c r="BS32" i="16"/>
  <c r="BR24" i="16"/>
  <c r="BS27" i="16"/>
  <c r="BR27" i="16"/>
  <c r="BR39" i="16" l="1"/>
  <c r="BS39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 Tran Hoang Giang</author>
  </authors>
  <commentList>
    <comment ref="AS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<sst xmlns="http://schemas.openxmlformats.org/spreadsheetml/2006/main" count="1701" uniqueCount="223">
  <si>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</si>
  <si>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</si>
  <si>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</si>
  <si>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</si>
  <si>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</si>
  <si>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</si>
  <si>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</si>
  <si>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</si>
  <si>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</si>
  <si>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</si>
  <si>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</si>
  <si>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</si>
  <si>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</si>
  <si>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</si>
  <si>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</si>
  <si>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</si>
  <si>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</si>
  <si>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</si>
  <si>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</si>
  <si>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</si>
  <si>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</si>
  <si>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</si>
  <si>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</si>
  <si>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</si>
  <si>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</si>
  <si>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</si>
  <si>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</si>
  <si>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</si>
  <si>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</si>
  <si>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</si>
  <si>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</si>
  <si>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</si>
  <si>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</si>
  <si>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</si>
  <si>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</si>
  <si>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</si>
  <si>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</si>
  <si>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</si>
  <si>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</si>
  <si>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</si>
  <si>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</si>
  <si>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</si>
  <si>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</si>
  <si>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</si>
  <si>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</si>
  <si>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</si>
  <si>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</si>
  <si>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</si>
  <si>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</si>
  <si>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</si>
  <si>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</si>
  <si>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</si>
  <si>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</si>
  <si>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</si>
  <si>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Music</t>
  </si>
  <si>
    <t>POPS Ent.</t>
  </si>
  <si>
    <t>POPS Kids CMS</t>
  </si>
  <si>
    <t>POPS Afiliate (Ent.)</t>
  </si>
  <si>
    <t>Total views VN</t>
  </si>
  <si>
    <t>POPS Afiliate</t>
  </si>
  <si>
    <t>Total revenue VN</t>
  </si>
  <si>
    <t>CPV</t>
  </si>
  <si>
    <t>POPS Entertainment</t>
  </si>
  <si>
    <t>POPS Kids</t>
  </si>
  <si>
    <t>RPM</t>
  </si>
  <si>
    <t>% Vn views and Ex VN views per total view</t>
  </si>
  <si>
    <t>POPS</t>
  </si>
  <si>
    <t>Rate exchange</t>
  </si>
  <si>
    <t>TH views</t>
  </si>
  <si>
    <t>Ex TH Views</t>
  </si>
  <si>
    <t>POPS TH Music CMS</t>
  </si>
  <si>
    <t>POPS TH Ent. CMS</t>
  </si>
  <si>
    <t>POPS TH Ent.</t>
  </si>
  <si>
    <t>POPS TH Kids</t>
  </si>
  <si>
    <t>Thoughtful</t>
  </si>
  <si>
    <t>POPS TH Afiliate (Ent.)</t>
  </si>
  <si>
    <t>Total views</t>
  </si>
  <si>
    <t>Total revenue</t>
  </si>
  <si>
    <t>POPS TH Music</t>
  </si>
  <si>
    <t>0905367173</t>
  </si>
  <si>
    <t>POPS TH Afiliate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</si>
  <si>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</si>
  <si>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</si>
  <si>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</si>
  <si>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</si>
  <si>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</si>
  <si>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</si>
  <si>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</si>
  <si>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</si>
  <si>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</si>
  <si>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</si>
  <si>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</si>
  <si>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</si>
  <si>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</si>
  <si>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</si>
  <si>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</si>
  <si>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</si>
  <si>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</si>
  <si>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</si>
  <si>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</si>
  <si>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</si>
  <si>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</si>
  <si>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</si>
  <si>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</si>
  <si>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</si>
  <si>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</si>
  <si>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</si>
  <si>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</si>
  <si>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</si>
  <si>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</si>
  <si>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</si>
  <si>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</si>
  <si>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</si>
  <si>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</si>
  <si>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</si>
  <si>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</si>
  <si>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</si>
  <si>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</si>
  <si>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</si>
  <si>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Music CMS</t>
  </si>
  <si>
    <t>EX VN</t>
  </si>
  <si>
    <t>Total View Music CMS</t>
  </si>
  <si>
    <t>Entertainment CMS</t>
  </si>
  <si>
    <t>VN View</t>
  </si>
  <si>
    <t>EX VN View</t>
  </si>
  <si>
    <t>Total View Ent. CMS</t>
  </si>
  <si>
    <t>Kids CMS</t>
  </si>
  <si>
    <t>Total View Kids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</si>
  <si>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</si>
  <si>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</si>
  <si>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</si>
  <si>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</si>
  <si>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</si>
  <si>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</si>
  <si>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</si>
  <si>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</si>
  <si>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</si>
  <si>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</si>
  <si>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</si>
  <si>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</si>
  <si>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</si>
  <si>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</si>
  <si>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</si>
  <si>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</si>
  <si>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</si>
  <si>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</si>
  <si>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</si>
  <si>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General deals</t>
  </si>
  <si>
    <t>Q1-2018</t>
  </si>
  <si>
    <t>Q1 2018</t>
  </si>
  <si>
    <t>Q2 2018</t>
  </si>
  <si>
    <t>THAILAND</t>
  </si>
  <si>
    <t>OVERSEAS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</si>
  <si>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</si>
  <si>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</si>
  <si>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</si>
  <si>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</si>
  <si>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</si>
  <si>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</si>
  <si>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</si>
  <si>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</si>
  <si>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</si>
  <si>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RBT + OTHERS</t>
  </si>
  <si>
    <t>BRANDED DEALS</t>
  </si>
  <si>
    <t>POPS APP</t>
  </si>
  <si>
    <t>% vs FORECAST</t>
  </si>
  <si>
    <t>TOTAL VN REVENUE</t>
  </si>
  <si>
    <t>TOTAL TH REVENUE</t>
  </si>
  <si>
    <t>POPS WORLDWIDE</t>
  </si>
  <si>
    <t>TOTAL POPS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</si>
  <si>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</si>
  <si>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</si>
  <si>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</si>
  <si>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</si>
  <si>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</si>
  <si>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</si>
  <si>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</si>
  <si>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</si>
  <si>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</si>
  <si>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</si>
  <si>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</si>
  <si>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</si>
  <si>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</si>
  <si>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</si>
  <si>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</si>
  <si>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YouTube</t>
  </si>
  <si>
    <t>Others</t>
  </si>
  <si>
    <t>Total Vietnam</t>
  </si>
  <si>
    <t>Total Thailand</t>
  </si>
  <si>
    <t>Total POPS WW</t>
  </si>
  <si>
    <t>$</t>
  </si>
  <si>
    <t>Actual YTD</t>
  </si>
  <si>
    <t>Actual Month</t>
  </si>
  <si>
    <t>*VN+TH</t>
  </si>
  <si>
    <t>*Includes all revenue sources</t>
  </si>
  <si>
    <t>YouTube Target</t>
  </si>
  <si>
    <t>Brand Target</t>
  </si>
  <si>
    <t>Other Target</t>
  </si>
  <si>
    <t>Total Target</t>
  </si>
  <si>
    <t>YouTube Actual</t>
  </si>
  <si>
    <t>Brand Actual</t>
  </si>
  <si>
    <t>Other Actual</t>
  </si>
  <si>
    <t>Total Actual</t>
  </si>
  <si>
    <t>*YouTube views</t>
  </si>
  <si>
    <t>Fillrate</t>
  </si>
  <si>
    <t>CPM</t>
  </si>
  <si>
    <t>OTHERS</t>
  </si>
  <si>
    <t>Q2-2018</t>
  </si>
  <si>
    <t>Q1-17</t>
  </si>
  <si>
    <t>Q2-17</t>
  </si>
  <si>
    <t>Q3-17</t>
  </si>
  <si>
    <t>Q4-17</t>
  </si>
  <si>
    <t>Difference</t>
  </si>
  <si>
    <t>Cumulative</t>
  </si>
  <si>
    <t>*Revenue all sources</t>
  </si>
  <si>
    <t>*Views YouTube only</t>
  </si>
  <si>
    <t>Q3 2018</t>
  </si>
  <si>
    <t>Q4 2018</t>
  </si>
  <si>
    <t>Other VN</t>
  </si>
  <si>
    <t>BAS VN</t>
  </si>
  <si>
    <t>BAS TH</t>
  </si>
  <si>
    <t>% act vs targ.</t>
  </si>
  <si>
    <t>GroupM/ Xaxis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</si>
</sst>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  <numFmt numFmtId="182" formatCode="&quot;$&quot;#,##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rgb="FFFF5050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8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8" fillId="26" borderId="80" xfId="0" applyNumberFormat="1" applyFont="1" applyFill="1" applyBorder="1"/>
    <xf numFmtId="166" fontId="18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9" fillId="0" borderId="77" xfId="1" applyNumberFormat="1" applyFont="1" applyFill="1" applyBorder="1"/>
    <xf numFmtId="166" fontId="29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8" fillId="26" borderId="79" xfId="0" applyNumberFormat="1" applyFont="1" applyFill="1" applyBorder="1"/>
    <xf numFmtId="166" fontId="28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8" fillId="26" borderId="72" xfId="0" applyNumberFormat="1" applyFont="1" applyFill="1" applyBorder="1"/>
    <xf numFmtId="9" fontId="18" fillId="26" borderId="73" xfId="2" applyFont="1" applyFill="1" applyBorder="1"/>
    <xf numFmtId="0" fontId="0" fillId="0" borderId="85" xfId="0" applyFill="1" applyBorder="1"/>
    <xf numFmtId="9" fontId="18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8" fillId="26" borderId="79" xfId="2" applyFont="1" applyFill="1" applyBorder="1"/>
    <xf numFmtId="166" fontId="28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8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9" fillId="0" borderId="82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2" xfId="2" applyFont="1" applyFill="1" applyBorder="1"/>
    <xf numFmtId="9" fontId="29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8" fillId="26" borderId="89" xfId="0" applyFont="1" applyFill="1" applyBorder="1" applyAlignment="1">
      <alignment horizontal="center"/>
    </xf>
    <xf numFmtId="0" fontId="18" fillId="26" borderId="90" xfId="0" applyFont="1" applyFill="1" applyBorder="1" applyAlignment="1">
      <alignment horizontal="center"/>
    </xf>
    <xf numFmtId="0" fontId="18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31" fillId="0" borderId="0" xfId="0" applyFont="1"/>
    <xf numFmtId="17" fontId="2" fillId="16" borderId="1" xfId="0" applyNumberFormat="1" applyFont="1" applyFill="1" applyBorder="1"/>
    <xf numFmtId="0" fontId="2" fillId="15" borderId="1" xfId="0" applyFont="1" applyFill="1" applyBorder="1" applyAlignment="1">
      <alignment horizontal="center"/>
    </xf>
    <xf numFmtId="166" fontId="2" fillId="15" borderId="1" xfId="1" applyNumberFormat="1" applyFont="1" applyFill="1" applyBorder="1"/>
    <xf numFmtId="0" fontId="3" fillId="0" borderId="1" xfId="0" applyFont="1" applyBorder="1" applyAlignment="1">
      <alignment horizontal="center"/>
    </xf>
    <xf numFmtId="0" fontId="34" fillId="0" borderId="0" xfId="0" applyFont="1"/>
    <xf numFmtId="166" fontId="1" fillId="0" borderId="1" xfId="1" applyNumberFormat="1" applyFont="1" applyFill="1" applyBorder="1"/>
    <xf numFmtId="0" fontId="0" fillId="0" borderId="0" xfId="0"/>
    <xf numFmtId="3" fontId="1" fillId="0" borderId="1" xfId="1" applyNumberFormat="1" applyFont="1" applyFill="1" applyBorder="1"/>
    <xf numFmtId="3" fontId="2" fillId="0" borderId="0" xfId="0" applyNumberFormat="1" applyFont="1"/>
    <xf numFmtId="164" fontId="0" fillId="0" borderId="0" xfId="14" applyFont="1" applyFill="1" applyBorder="1" applyAlignment="1"/>
    <xf numFmtId="179" fontId="0" fillId="0" borderId="0" xfId="14" applyNumberFormat="1" applyFont="1" applyFill="1" applyBorder="1" applyAlignment="1"/>
    <xf numFmtId="164" fontId="0" fillId="0" borderId="0" xfId="14" applyFont="1"/>
    <xf numFmtId="181" fontId="0" fillId="0" borderId="0" xfId="0" applyNumberFormat="1"/>
    <xf numFmtId="164" fontId="0" fillId="0" borderId="0" xfId="0" applyNumberFormat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182" fontId="0" fillId="0" borderId="1" xfId="0" applyNumberFormat="1" applyBorder="1"/>
    <xf numFmtId="182" fontId="2" fillId="0" borderId="1" xfId="0" applyNumberFormat="1" applyFont="1" applyBorder="1"/>
    <xf numFmtId="166" fontId="18" fillId="26" borderId="84" xfId="0" applyNumberFormat="1" applyFont="1" applyFill="1" applyBorder="1"/>
    <xf numFmtId="166" fontId="0" fillId="0" borderId="85" xfId="1" applyNumberFormat="1" applyFont="1" applyBorder="1"/>
    <xf numFmtId="166" fontId="0" fillId="0" borderId="93" xfId="1" applyNumberFormat="1" applyFont="1" applyBorder="1"/>
    <xf numFmtId="166" fontId="0" fillId="0" borderId="94" xfId="1" applyNumberFormat="1" applyFont="1" applyBorder="1"/>
    <xf numFmtId="0" fontId="5" fillId="26" borderId="92" xfId="0" applyFont="1" applyFill="1" applyBorder="1" applyAlignment="1">
      <alignment horizontal="center"/>
    </xf>
    <xf numFmtId="164" fontId="0" fillId="0" borderId="0" xfId="14" applyFont="1" applyFill="1" applyBorder="1"/>
    <xf numFmtId="0" fontId="2" fillId="8" borderId="11" xfId="0" applyFont="1" applyFill="1" applyBorder="1" applyAlignment="1">
      <alignment horizontal="center"/>
    </xf>
    <xf numFmtId="0" fontId="2" fillId="27" borderId="0" xfId="0" applyFont="1" applyFill="1" applyBorder="1"/>
    <xf numFmtId="0" fontId="2" fillId="28" borderId="0" xfId="0" applyFont="1" applyFill="1" applyBorder="1"/>
    <xf numFmtId="17" fontId="0" fillId="0" borderId="1" xfId="0" applyNumberFormat="1" applyBorder="1"/>
    <xf numFmtId="0" fontId="34" fillId="0" borderId="0" xfId="0" applyFont="1" applyBorder="1"/>
    <xf numFmtId="0" fontId="18" fillId="26" borderId="86" xfId="0" applyFont="1" applyFill="1" applyBorder="1" applyAlignment="1">
      <alignment horizontal="center"/>
    </xf>
    <xf numFmtId="0" fontId="18" fillId="26" borderId="87" xfId="0" applyFont="1" applyFill="1" applyBorder="1" applyAlignment="1">
      <alignment horizontal="center"/>
    </xf>
    <xf numFmtId="0" fontId="18" fillId="26" borderId="88" xfId="0" applyFont="1" applyFill="1" applyBorder="1" applyAlignment="1">
      <alignment horizontal="center"/>
    </xf>
    <xf numFmtId="0" fontId="18" fillId="26" borderId="0" xfId="0" applyFont="1" applyFill="1" applyBorder="1" applyAlignment="1">
      <alignment horizontal="center"/>
    </xf>
    <xf numFmtId="0" fontId="18" fillId="26" borderId="75" xfId="0" applyFont="1" applyFill="1" applyBorder="1" applyAlignment="1">
      <alignment horizontal="center"/>
    </xf>
    <xf numFmtId="0" fontId="18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 xr:uid="{00000000-0005-0000-0000-000002000000}"/>
    <cellStyle name="Comma 2" xfId="4" xr:uid="{00000000-0005-0000-0000-000003000000}"/>
    <cellStyle name="Comma 2 2" xfId="9" xr:uid="{00000000-0005-0000-0000-000004000000}"/>
    <cellStyle name="Comma 4" xfId="11" xr:uid="{00000000-0005-0000-0000-000005000000}"/>
    <cellStyle name="Currency" xfId="1" builtinId="4"/>
    <cellStyle name="Currency 2" xfId="8" xr:uid="{00000000-0005-0000-0000-000007000000}"/>
    <cellStyle name="Currency 3" xfId="12" xr:uid="{00000000-0005-0000-0000-000008000000}"/>
    <cellStyle name="Normal" xfId="0" builtinId="0"/>
    <cellStyle name="Normal 2" xfId="3" xr:uid="{00000000-0005-0000-0000-00000A000000}"/>
    <cellStyle name="Normal 3" xfId="7" xr:uid="{00000000-0005-0000-0000-00000B000000}"/>
    <cellStyle name="Percent" xfId="2" builtinId="5"/>
    <cellStyle name="Percent 2" xfId="5" xr:uid="{00000000-0005-0000-0000-00000D000000}"/>
    <cellStyle name="Percent 3" xfId="10" xr:uid="{00000000-0005-0000-0000-00000E000000}"/>
  </cellStyles>
  <dxfs count="30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ED7D31"/>
      <color rgb="FFCC99FF"/>
      <color rgb="FF0000FF"/>
      <color rgb="FFFF5050"/>
      <color rgb="FFFFDDDD"/>
      <color rgb="FF4472C4"/>
      <color rgb="FFFF0000"/>
      <color rgb="FF6199FF"/>
      <color rgb="FF0052E7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Revenue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graphs'!$T$3:$T$14</c:f>
              <c:numCache>
                <c:formatCode>_("$"* #,##0_);_("$"* \(#,##0\);_("$"* "-"??_);_(@_)</c:formatCode>
                <c:ptCount val="12"/>
                <c:pt idx="0">
                  <c:v>1022886.1898202833</c:v>
                </c:pt>
                <c:pt idx="1">
                  <c:v>939355.90060124965</c:v>
                </c:pt>
                <c:pt idx="2">
                  <c:v>1100711.4751053681</c:v>
                </c:pt>
                <c:pt idx="3">
                  <c:v>1170556.8317971802</c:v>
                </c:pt>
                <c:pt idx="4">
                  <c:v>1286824.6816618196</c:v>
                </c:pt>
                <c:pt idx="5">
                  <c:v>1273358.4958323627</c:v>
                </c:pt>
                <c:pt idx="6">
                  <c:v>1351687.7953692297</c:v>
                </c:pt>
                <c:pt idx="7">
                  <c:v>1348344.7934990593</c:v>
                </c:pt>
                <c:pt idx="8">
                  <c:v>1411069.0816695089</c:v>
                </c:pt>
                <c:pt idx="9">
                  <c:v>1501713.6177805807</c:v>
                </c:pt>
                <c:pt idx="10">
                  <c:v>1538685.6191429796</c:v>
                </c:pt>
                <c:pt idx="11">
                  <c:v>1682309.8350700231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6-475A-B585-A8BE996C5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571072"/>
        <c:axId val="324567264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graphs'!$U$3:$U$14</c:f>
              <c:numCache>
                <c:formatCode>_("$"* #,##0_);_("$"* \(#,##0\);_("$"* "-"??_);_(@_)</c:formatCode>
                <c:ptCount val="12"/>
                <c:pt idx="0">
                  <c:v>840145.36048500007</c:v>
                </c:pt>
                <c:pt idx="1">
                  <c:v>766534.85658499983</c:v>
                </c:pt>
                <c:pt idx="2">
                  <c:v>1114346.59525</c:v>
                </c:pt>
                <c:pt idx="3">
                  <c:v>1181018.4072307693</c:v>
                </c:pt>
                <c:pt idx="4">
                  <c:v>1309181.4980950288</c:v>
                </c:pt>
                <c:pt idx="5">
                  <c:v>1381306.1229651242</c:v>
                </c:pt>
                <c:pt idx="6">
                  <c:v>1353511.9109562866</c:v>
                </c:pt>
                <c:pt idx="7">
                  <c:v>1383068.41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6-475A-B585-A8BE996C5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572704"/>
        <c:axId val="324571616"/>
      </c:barChart>
      <c:dateAx>
        <c:axId val="3245710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67264"/>
        <c:crosses val="autoZero"/>
        <c:auto val="1"/>
        <c:lblOffset val="100"/>
        <c:baseTimeUnit val="months"/>
      </c:dateAx>
      <c:valAx>
        <c:axId val="3245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71072"/>
        <c:crosses val="autoZero"/>
        <c:crossBetween val="between"/>
      </c:valAx>
      <c:valAx>
        <c:axId val="324571616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24572704"/>
        <c:crosses val="max"/>
        <c:crossBetween val="between"/>
      </c:valAx>
      <c:dateAx>
        <c:axId val="32457270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32457161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</a:t>
            </a:r>
            <a:r>
              <a:rPr lang="en-US" sz="1600" b="1" baseline="0"/>
              <a:t> Actual Revenue vs Target details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graphs'!$T$50</c:f>
              <c:strCache>
                <c:ptCount val="1"/>
                <c:pt idx="0">
                  <c:v>Total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graphs'!$T$51:$T$62</c:f>
              <c:numCache>
                <c:formatCode>_("$"* #,##0_);_("$"* \(#,##0\);_("$"* "-"??_);_(@_)</c:formatCode>
                <c:ptCount val="12"/>
                <c:pt idx="0">
                  <c:v>958917.42418515601</c:v>
                </c:pt>
                <c:pt idx="1">
                  <c:v>910003.40468556643</c:v>
                </c:pt>
                <c:pt idx="2">
                  <c:v>1065487.3660172815</c:v>
                </c:pt>
                <c:pt idx="3">
                  <c:v>1143796.0894499433</c:v>
                </c:pt>
                <c:pt idx="4">
                  <c:v>1264522.4705198538</c:v>
                </c:pt>
                <c:pt idx="5">
                  <c:v>1161745.381916157</c:v>
                </c:pt>
                <c:pt idx="6">
                  <c:v>1245493.0481839539</c:v>
                </c:pt>
                <c:pt idx="7">
                  <c:v>1277915.6851623042</c:v>
                </c:pt>
                <c:pt idx="8">
                  <c:v>1320728.7593611456</c:v>
                </c:pt>
                <c:pt idx="9">
                  <c:v>1415881.8713812104</c:v>
                </c:pt>
                <c:pt idx="10">
                  <c:v>1509149.2531650236</c:v>
                </c:pt>
                <c:pt idx="11">
                  <c:v>1703897.2973970163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4-4EE2-AF10-04683E9E47A6}"/>
            </c:ext>
          </c:extLst>
        </c:ser>
        <c:ser>
          <c:idx val="1"/>
          <c:order val="1"/>
          <c:tx>
            <c:strRef>
              <c:f>'Monthly graphs'!$U$50</c:f>
              <c:strCache>
                <c:ptCount val="1"/>
                <c:pt idx="0">
                  <c:v>YouTube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graphs'!$U$51:$U$62</c:f>
              <c:numCache>
                <c:formatCode>_("$"* #,##0_);_("$"* \(#,##0\);_("$"* "-"??_);_(@_)</c:formatCode>
                <c:ptCount val="12"/>
                <c:pt idx="0">
                  <c:v>710544.91285182268</c:v>
                </c:pt>
                <c:pt idx="1">
                  <c:v>661635.04295223323</c:v>
                </c:pt>
                <c:pt idx="2">
                  <c:v>816999.67421994812</c:v>
                </c:pt>
                <c:pt idx="3">
                  <c:v>872265.13137418998</c:v>
                </c:pt>
                <c:pt idx="4">
                  <c:v>948447.45559480926</c:v>
                </c:pt>
                <c:pt idx="5">
                  <c:v>842043.84114073357</c:v>
                </c:pt>
                <c:pt idx="6">
                  <c:v>922683.73978405667</c:v>
                </c:pt>
                <c:pt idx="7">
                  <c:v>951788.74106672383</c:v>
                </c:pt>
                <c:pt idx="8">
                  <c:v>992450.08039195486</c:v>
                </c:pt>
                <c:pt idx="9">
                  <c:v>1078726.1385318786</c:v>
                </c:pt>
                <c:pt idx="10">
                  <c:v>1170393.8317531075</c:v>
                </c:pt>
                <c:pt idx="11">
                  <c:v>1363573.3582466443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84-4EE2-AF10-04683E9E47A6}"/>
            </c:ext>
          </c:extLst>
        </c:ser>
        <c:ser>
          <c:idx val="2"/>
          <c:order val="2"/>
          <c:tx>
            <c:strRef>
              <c:f>'Monthly graphs'!$V$50</c:f>
              <c:strCache>
                <c:ptCount val="1"/>
                <c:pt idx="0">
                  <c:v>Brand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graphs'!$V$51:$V$62</c:f>
              <c:numCache>
                <c:formatCode>_("$"* #,##0_);_("$"* \(#,##0\);_("$"* "-"??_);_(@_)</c:formatCode>
                <c:ptCount val="12"/>
                <c:pt idx="0">
                  <c:v>233333.33333333331</c:v>
                </c:pt>
                <c:pt idx="1">
                  <c:v>233333.33333333331</c:v>
                </c:pt>
                <c:pt idx="2">
                  <c:v>233333.33333333331</c:v>
                </c:pt>
                <c:pt idx="3">
                  <c:v>246655.58333333331</c:v>
                </c:pt>
                <c:pt idx="4">
                  <c:v>289269.23333333334</c:v>
                </c:pt>
                <c:pt idx="5">
                  <c:v>289269.23333333334</c:v>
                </c:pt>
                <c:pt idx="6">
                  <c:v>289269.23333333334</c:v>
                </c:pt>
                <c:pt idx="7">
                  <c:v>289269.23333333334</c:v>
                </c:pt>
                <c:pt idx="8">
                  <c:v>289269.23333333334</c:v>
                </c:pt>
                <c:pt idx="9">
                  <c:v>289269.23333333334</c:v>
                </c:pt>
                <c:pt idx="10">
                  <c:v>289269.23333333334</c:v>
                </c:pt>
                <c:pt idx="11">
                  <c:v>289269.23333333334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84-4EE2-AF10-04683E9E47A6}"/>
            </c:ext>
          </c:extLst>
        </c:ser>
        <c:ser>
          <c:idx val="3"/>
          <c:order val="3"/>
          <c:tx>
            <c:strRef>
              <c:f>'Monthly graphs'!$W$50</c:f>
              <c:strCache>
                <c:ptCount val="1"/>
                <c:pt idx="0">
                  <c:v>Other 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graphs'!$W$51:$W$62</c:f>
              <c:numCache>
                <c:formatCode>_("$"* #,##0_);_("$"* \(#,##0\);_("$"* "-"??_);_(@_)</c:formatCode>
                <c:ptCount val="12"/>
                <c:pt idx="0">
                  <c:v>15039.178</c:v>
                </c:pt>
                <c:pt idx="1">
                  <c:v>15035.028399999999</c:v>
                </c:pt>
                <c:pt idx="2">
                  <c:v>15154.358464000001</c:v>
                </c:pt>
                <c:pt idx="3">
                  <c:v>24875.374742419997</c:v>
                </c:pt>
                <c:pt idx="4">
                  <c:v>26805.781591710998</c:v>
                </c:pt>
                <c:pt idx="5">
                  <c:v>30432.307442090048</c:v>
                </c:pt>
                <c:pt idx="6">
                  <c:v>33540.075066563848</c:v>
                </c:pt>
                <c:pt idx="7">
                  <c:v>36857.710762247058</c:v>
                </c:pt>
                <c:pt idx="8">
                  <c:v>39009.445635857184</c:v>
                </c:pt>
                <c:pt idx="9">
                  <c:v>47886.499515998366</c:v>
                </c:pt>
                <c:pt idx="10">
                  <c:v>49486.188078582723</c:v>
                </c:pt>
                <c:pt idx="11">
                  <c:v>51054.705817038754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84-4EE2-AF10-04683E9E4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573792"/>
        <c:axId val="324553120"/>
      </c:barChart>
      <c:barChart>
        <c:barDir val="col"/>
        <c:grouping val="clustered"/>
        <c:varyColors val="0"/>
        <c:ser>
          <c:idx val="4"/>
          <c:order val="4"/>
          <c:tx>
            <c:strRef>
              <c:f>'Monthly graphs'!$X$50</c:f>
              <c:strCache>
                <c:ptCount val="1"/>
                <c:pt idx="0">
                  <c:v>Total Actual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graphs'!$X$51:$X$62</c:f>
              <c:numCache>
                <c:formatCode>_("$"* #,##0_);_("$"* \(#,##0\);_("$"* "-"??_);_(@_)</c:formatCode>
                <c:ptCount val="12"/>
                <c:pt idx="0">
                  <c:v>840145.36048500007</c:v>
                </c:pt>
                <c:pt idx="1">
                  <c:v>766532.475599</c:v>
                </c:pt>
                <c:pt idx="2">
                  <c:v>1114343.6615538823</c:v>
                </c:pt>
                <c:pt idx="3">
                  <c:v>1181018.4035667693</c:v>
                </c:pt>
                <c:pt idx="4">
                  <c:v>1309181.5010690284</c:v>
                </c:pt>
                <c:pt idx="5">
                  <c:v>1378507.2173062421</c:v>
                </c:pt>
                <c:pt idx="6">
                  <c:v>1353667.6633212869</c:v>
                </c:pt>
                <c:pt idx="7">
                  <c:v>1383068.41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84-4EE2-AF10-04683E9E47A6}"/>
            </c:ext>
          </c:extLst>
        </c:ser>
        <c:ser>
          <c:idx val="5"/>
          <c:order val="5"/>
          <c:tx>
            <c:strRef>
              <c:f>'Monthly graphs'!$Y$50</c:f>
              <c:strCache>
                <c:ptCount val="1"/>
                <c:pt idx="0">
                  <c:v>YouTube Actual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graphs'!$Y$51:$Y$62</c:f>
              <c:numCache>
                <c:formatCode>_("$"* #,##0_);_("$"* \(#,##0\);_("$"* "-"??_);_(@_)</c:formatCode>
                <c:ptCount val="12"/>
                <c:pt idx="0">
                  <c:v>639863.63048500009</c:v>
                </c:pt>
                <c:pt idx="1">
                  <c:v>636452.81658499991</c:v>
                </c:pt>
                <c:pt idx="2">
                  <c:v>1023382.03525</c:v>
                </c:pt>
                <c:pt idx="3">
                  <c:v>1078497.3600000001</c:v>
                </c:pt>
                <c:pt idx="4">
                  <c:v>1222750.0199999998</c:v>
                </c:pt>
                <c:pt idx="5">
                  <c:v>1088091.1499999999</c:v>
                </c:pt>
                <c:pt idx="6">
                  <c:v>968622.41</c:v>
                </c:pt>
                <c:pt idx="7">
                  <c:v>1137483.5799999998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84-4EE2-AF10-04683E9E47A6}"/>
            </c:ext>
          </c:extLst>
        </c:ser>
        <c:ser>
          <c:idx val="6"/>
          <c:order val="6"/>
          <c:tx>
            <c:strRef>
              <c:f>'Monthly graphs'!$Z$50</c:f>
              <c:strCache>
                <c:ptCount val="1"/>
                <c:pt idx="0">
                  <c:v>Brand Actual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graphs'!$Z$51:$Z$62</c:f>
              <c:numCache>
                <c:formatCode>_("$"* #,##0_);_("$"* \(#,##0\);_("$"* "-"??_);_(@_)</c:formatCode>
                <c:ptCount val="12"/>
                <c:pt idx="0">
                  <c:v>180734.78000000003</c:v>
                </c:pt>
                <c:pt idx="1">
                  <c:v>111137.33000000005</c:v>
                </c:pt>
                <c:pt idx="2">
                  <c:v>67786.320000000022</c:v>
                </c:pt>
                <c:pt idx="3">
                  <c:v>83942.349999999991</c:v>
                </c:pt>
                <c:pt idx="4">
                  <c:v>68588.53</c:v>
                </c:pt>
                <c:pt idx="5">
                  <c:v>275424.42</c:v>
                </c:pt>
                <c:pt idx="6">
                  <c:v>368779.77095628675</c:v>
                </c:pt>
                <c:pt idx="7">
                  <c:v>229642.97000000003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84-4EE2-AF10-04683E9E47A6}"/>
            </c:ext>
          </c:extLst>
        </c:ser>
        <c:ser>
          <c:idx val="7"/>
          <c:order val="7"/>
          <c:tx>
            <c:strRef>
              <c:f>'Monthly graphs'!$AA$50</c:f>
              <c:strCache>
                <c:ptCount val="1"/>
                <c:pt idx="0">
                  <c:v>Other Actual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graphs'!$AA$51:$AA$62</c:f>
              <c:numCache>
                <c:formatCode>_("$"* #,##0_);_("$"* \(#,##0\);_("$"* "-"??_);_(@_)</c:formatCode>
                <c:ptCount val="12"/>
                <c:pt idx="0">
                  <c:v>19546.949999999997</c:v>
                </c:pt>
                <c:pt idx="1">
                  <c:v>18942.329013999984</c:v>
                </c:pt>
                <c:pt idx="2">
                  <c:v>23175.306303882266</c:v>
                </c:pt>
                <c:pt idx="3">
                  <c:v>18578.693566769194</c:v>
                </c:pt>
                <c:pt idx="4">
                  <c:v>17842.951069028619</c:v>
                </c:pt>
                <c:pt idx="5">
                  <c:v>14991.647306242259</c:v>
                </c:pt>
                <c:pt idx="6">
                  <c:v>16265.482364999965</c:v>
                </c:pt>
                <c:pt idx="7">
                  <c:v>15941.859999999999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984-4EE2-AF10-04683E9E4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559104"/>
        <c:axId val="324554208"/>
      </c:barChart>
      <c:dateAx>
        <c:axId val="32457379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53120"/>
        <c:crosses val="autoZero"/>
        <c:auto val="1"/>
        <c:lblOffset val="100"/>
        <c:baseTimeUnit val="months"/>
      </c:dateAx>
      <c:valAx>
        <c:axId val="3245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73792"/>
        <c:crosses val="autoZero"/>
        <c:crossBetween val="between"/>
      </c:valAx>
      <c:valAx>
        <c:axId val="324554208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324559104"/>
        <c:crosses val="max"/>
        <c:crossBetween val="between"/>
      </c:valAx>
      <c:dateAx>
        <c:axId val="32455910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324554208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Views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graphs'!$T$27:$T$38</c:f>
              <c:numCache>
                <c:formatCode>#,##0</c:formatCode>
                <c:ptCount val="12"/>
                <c:pt idx="0">
                  <c:v>2919503963.1699014</c:v>
                </c:pt>
                <c:pt idx="1">
                  <c:v>2666881268.2658529</c:v>
                </c:pt>
                <c:pt idx="2">
                  <c:v>3281217094.89884</c:v>
                </c:pt>
                <c:pt idx="3">
                  <c:v>3453758257.4913511</c:v>
                </c:pt>
                <c:pt idx="4">
                  <c:v>3629286516.5117502</c:v>
                </c:pt>
                <c:pt idx="5">
                  <c:v>3763689314.7223539</c:v>
                </c:pt>
                <c:pt idx="6">
                  <c:v>4137007303.3605452</c:v>
                </c:pt>
                <c:pt idx="7">
                  <c:v>4303481999.5861378</c:v>
                </c:pt>
                <c:pt idx="8">
                  <c:v>4477242546.941865</c:v>
                </c:pt>
                <c:pt idx="9">
                  <c:v>4879490324.6350622</c:v>
                </c:pt>
                <c:pt idx="10">
                  <c:v>5358421904.2416687</c:v>
                </c:pt>
                <c:pt idx="11">
                  <c:v>6298897883.3079033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5-4FF5-8AE0-80A714114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4574336"/>
        <c:axId val="324574880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'Monthly graphs'!$U$27:$U$38</c:f>
              <c:numCache>
                <c:formatCode>#,##0</c:formatCode>
                <c:ptCount val="12"/>
                <c:pt idx="0">
                  <c:v>2939787122</c:v>
                </c:pt>
                <c:pt idx="1">
                  <c:v>2928927546</c:v>
                </c:pt>
                <c:pt idx="2">
                  <c:v>3670828479</c:v>
                </c:pt>
                <c:pt idx="3">
                  <c:v>3927300012</c:v>
                </c:pt>
                <c:pt idx="4">
                  <c:v>3937798379</c:v>
                </c:pt>
                <c:pt idx="5">
                  <c:v>3771619049</c:v>
                </c:pt>
                <c:pt idx="6">
                  <c:v>3989865448</c:v>
                </c:pt>
                <c:pt idx="7">
                  <c:v>4039487207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35-4FF5-8AE0-80A714114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575968"/>
        <c:axId val="324575424"/>
      </c:barChart>
      <c:dateAx>
        <c:axId val="3245743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74880"/>
        <c:crosses val="autoZero"/>
        <c:auto val="1"/>
        <c:lblOffset val="100"/>
        <c:baseTimeUnit val="months"/>
      </c:dateAx>
      <c:valAx>
        <c:axId val="32457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74336"/>
        <c:crosses val="autoZero"/>
        <c:crossBetween val="between"/>
      </c:valAx>
      <c:valAx>
        <c:axId val="32457542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324575968"/>
        <c:crosses val="max"/>
        <c:crossBetween val="between"/>
      </c:valAx>
      <c:dateAx>
        <c:axId val="32457596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32457542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2400" b="1"/>
              <a:t>POPS Consolidated Views &amp;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graphs'!$T$80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graphs'!$S$81:$S$87</c:f>
              <c:numCache>
                <c:formatCode>mmm\-yy</c:formatCode>
                <c:ptCount val="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</c:numCache>
            </c:numRef>
          </c:cat>
          <c:val>
            <c:numRef>
              <c:f>'Monthly graphs'!$T$81:$T$87</c:f>
              <c:numCache>
                <c:formatCode>_("$"* #,##0_);_("$"* \(#,##0\);_("$"* "-"??_);_(@_)</c:formatCode>
                <c:ptCount val="7"/>
                <c:pt idx="0">
                  <c:v>840145.36048500007</c:v>
                </c:pt>
                <c:pt idx="1">
                  <c:v>766534.85658499983</c:v>
                </c:pt>
                <c:pt idx="2">
                  <c:v>1114346.59525</c:v>
                </c:pt>
                <c:pt idx="3">
                  <c:v>1181018.4072307693</c:v>
                </c:pt>
                <c:pt idx="4">
                  <c:v>1309181.4980950288</c:v>
                </c:pt>
                <c:pt idx="5">
                  <c:v>1381306.1229651242</c:v>
                </c:pt>
                <c:pt idx="6">
                  <c:v>1353511.9109562866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5-4139-A679-2AB232C08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19"/>
        <c:axId val="324578688"/>
        <c:axId val="324576512"/>
      </c:barChart>
      <c:lineChart>
        <c:grouping val="standard"/>
        <c:varyColors val="0"/>
        <c:ser>
          <c:idx val="1"/>
          <c:order val="1"/>
          <c:tx>
            <c:strRef>
              <c:f>'Monthly graphs'!$U$80</c:f>
              <c:strCache>
                <c:ptCount val="1"/>
                <c:pt idx="0">
                  <c:v>Views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ysClr val="windowText" lastClr="000000"/>
                </a:solidFill>
              </a:ln>
              <a:effectLst/>
            </c:spPr>
          </c:marker>
          <c:dLbls>
            <c:numFmt formatCode="#,##0.0,,,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mmm\-yy</c:formatCode>
              <c:ptCount val="7"/>
              <c:pt idx="0">
                <c:v>43101</c:v>
              </c:pt>
              <c:pt idx="1">
                <c:v>43132</c:v>
              </c:pt>
              <c:pt idx="2">
                <c:v>43160</c:v>
              </c:pt>
              <c:pt idx="3">
                <c:v>43191</c:v>
              </c:pt>
              <c:pt idx="4">
                <c:v>43221</c:v>
              </c:pt>
              <c:pt idx="5">
                <c:v>43252</c:v>
              </c:pt>
              <c:pt idx="6">
                <c:v>43282</c:v>
              </c:pt>
            </c:numLit>
          </c:cat>
          <c:val>
            <c:numRef>
              <c:f>'Monthly graphs'!$U$81:$U$87</c:f>
              <c:numCache>
                <c:formatCode>#,##0</c:formatCode>
                <c:ptCount val="7"/>
                <c:pt idx="0">
                  <c:v>2939787122</c:v>
                </c:pt>
                <c:pt idx="1">
                  <c:v>2928927546</c:v>
                </c:pt>
                <c:pt idx="2">
                  <c:v>3670828479</c:v>
                </c:pt>
                <c:pt idx="3">
                  <c:v>3927300012</c:v>
                </c:pt>
                <c:pt idx="4">
                  <c:v>3937798379</c:v>
                </c:pt>
                <c:pt idx="5">
                  <c:v>3771619049</c:v>
                </c:pt>
                <c:pt idx="6">
                  <c:v>3989865448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95-4139-A679-2AB232C08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555296"/>
        <c:axId val="324579232"/>
      </c:lineChart>
      <c:valAx>
        <c:axId val="3245765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ED7D3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324578688"/>
        <c:crosses val="max"/>
        <c:crossBetween val="between"/>
      </c:valAx>
      <c:dateAx>
        <c:axId val="3245786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324576512"/>
        <c:crosses val="autoZero"/>
        <c:auto val="1"/>
        <c:lblOffset val="100"/>
        <c:baseTimeUnit val="months"/>
      </c:dateAx>
      <c:valAx>
        <c:axId val="324579232"/>
        <c:scaling>
          <c:orientation val="minMax"/>
        </c:scaling>
        <c:delete val="0"/>
        <c:axPos val="l"/>
        <c:numFmt formatCode="#,##0.0,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324555296"/>
        <c:crosses val="autoZero"/>
        <c:crossBetween val="between"/>
        <c:majorUnit val="1000000000"/>
      </c:valAx>
      <c:dateAx>
        <c:axId val="32455529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324579232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2400" b="1"/>
              <a:t>POPS Consolidated Views &amp;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graphs'!$T$80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numRef>
              <c:f>'Monthly graphs'!$S$81:$S$87</c:f>
              <c:numCache>
                <c:formatCode>mmm\-yy</c:formatCode>
                <c:ptCount val="7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</c:numCache>
            </c:numRef>
          </c:cat>
          <c:val>
            <c:numRef>
              <c:f>'Monthly graphs'!$V$81:$V$87</c:f>
              <c:numCache>
                <c:formatCode>_("$"* #,##0_);_("$"* \(#,##0\);_("$"* "-"??_);_(@_)</c:formatCode>
                <c:ptCount val="7"/>
                <c:pt idx="0">
                  <c:v>840145.36048500007</c:v>
                </c:pt>
                <c:pt idx="1">
                  <c:v>1606680.2170699998</c:v>
                </c:pt>
                <c:pt idx="2">
                  <c:v>2721026.8123199996</c:v>
                </c:pt>
                <c:pt idx="3">
                  <c:v>3902045.2195507688</c:v>
                </c:pt>
                <c:pt idx="4">
                  <c:v>5211226.7176457979</c:v>
                </c:pt>
                <c:pt idx="5">
                  <c:v>6592532.8406109223</c:v>
                </c:pt>
                <c:pt idx="6">
                  <c:v>7946044.7515672091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5-4139-A679-2AB232C08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19"/>
        <c:axId val="324580320"/>
        <c:axId val="324579776"/>
      </c:barChart>
      <c:lineChart>
        <c:grouping val="standard"/>
        <c:varyColors val="0"/>
        <c:ser>
          <c:idx val="1"/>
          <c:order val="1"/>
          <c:tx>
            <c:strRef>
              <c:f>'Monthly graphs'!$U$80</c:f>
              <c:strCache>
                <c:ptCount val="1"/>
                <c:pt idx="0">
                  <c:v>Views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ysClr val="windowText" lastClr="000000"/>
                </a:solidFill>
              </a:ln>
              <a:effectLst/>
            </c:spPr>
          </c:marker>
          <c:dLbls>
            <c:numFmt formatCode="#,##0.0,,,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mmm\-yy</c:formatCode>
              <c:ptCount val="7"/>
              <c:pt idx="0">
                <c:v>43101</c:v>
              </c:pt>
              <c:pt idx="1">
                <c:v>43132</c:v>
              </c:pt>
              <c:pt idx="2">
                <c:v>43160</c:v>
              </c:pt>
              <c:pt idx="3">
                <c:v>43191</c:v>
              </c:pt>
              <c:pt idx="4">
                <c:v>43221</c:v>
              </c:pt>
              <c:pt idx="5">
                <c:v>43252</c:v>
              </c:pt>
              <c:pt idx="6">
                <c:v>43282</c:v>
              </c:pt>
            </c:numLit>
          </c:cat>
          <c:val>
            <c:numRef>
              <c:f>'Monthly graphs'!$W$81:$W$87</c:f>
              <c:numCache>
                <c:formatCode>#,##0</c:formatCode>
                <c:ptCount val="7"/>
                <c:pt idx="0">
                  <c:v>2939787122</c:v>
                </c:pt>
                <c:pt idx="1">
                  <c:v>5868714668</c:v>
                </c:pt>
                <c:pt idx="2">
                  <c:v>9539543147</c:v>
                </c:pt>
                <c:pt idx="3">
                  <c:v>13466843159</c:v>
                </c:pt>
                <c:pt idx="4">
                  <c:v>17404641538</c:v>
                </c:pt>
                <c:pt idx="5">
                  <c:v>21176260587</c:v>
                </c:pt>
                <c:pt idx="6">
                  <c:v>25166126035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95-4139-A679-2AB232C08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580864"/>
        <c:axId val="324555840"/>
      </c:lineChart>
      <c:valAx>
        <c:axId val="3245797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ED7D3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324580320"/>
        <c:crosses val="max"/>
        <c:crossBetween val="between"/>
      </c:valAx>
      <c:dateAx>
        <c:axId val="3245803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324579776"/>
        <c:crosses val="autoZero"/>
        <c:auto val="1"/>
        <c:lblOffset val="100"/>
        <c:baseTimeUnit val="months"/>
      </c:dateAx>
      <c:valAx>
        <c:axId val="324555840"/>
        <c:scaling>
          <c:orientation val="minMax"/>
        </c:scaling>
        <c:delete val="0"/>
        <c:axPos val="l"/>
        <c:numFmt formatCode="#,##0.0,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324580864"/>
        <c:crosses val="autoZero"/>
        <c:crossBetween val="between"/>
      </c:valAx>
      <c:dateAx>
        <c:axId val="32458086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324555840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56-4CB8-92CC-C376B6D7483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56-4CB8-92CC-C376B6D7483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56-4CB8-92CC-C376B6D7483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56-4CB8-92CC-C376B6D7483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956-4CB8-92CC-C376B6D748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VN_Graphs!$S$7:$W$7</c:f>
              <c:numCache>
                <c:formatCode>0.0%</c:formatCode>
                <c:ptCount val="5"/>
                <c:pt idx="0">
                  <c:v>0.66654397095744689</c:v>
                </c:pt>
                <c:pt idx="1">
                  <c:v>0.53631128385401461</c:v>
                </c:pt>
                <c:pt idx="2">
                  <c:v>0.76673134491428574</c:v>
                </c:pt>
                <c:pt idx="3">
                  <c:v>0.68136102500628926</c:v>
                </c:pt>
                <c:pt idx="4">
                  <c:v>1.5138290071999998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56-4CB8-92CC-C376B6D7483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00831552"/>
        <c:axId val="100857120"/>
      </c:barChart>
      <c:catAx>
        <c:axId val="1008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7120"/>
        <c:crosses val="autoZero"/>
        <c:auto val="1"/>
        <c:lblAlgn val="ctr"/>
        <c:lblOffset val="100"/>
        <c:noMultiLvlLbl val="0"/>
      </c:catAx>
      <c:valAx>
        <c:axId val="1008571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04-4D30-A810-B2086B42B6A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04-4D30-A810-B2086B42B6A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B04-4D30-A810-B2086B42B6A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B04-4D30-A810-B2086B42B6A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B04-4D30-A810-B2086B42B6A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B04-4D30-A810-B2086B42B6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VN_Graphs!$S$8:$W$8</c:f>
              <c:numCache>
                <c:formatCode>0.0%</c:formatCode>
                <c:ptCount val="5"/>
                <c:pt idx="0">
                  <c:v>0.77505191673480456</c:v>
                </c:pt>
                <c:pt idx="1">
                  <c:v>0.72009480436632356</c:v>
                </c:pt>
                <c:pt idx="2">
                  <c:v>0.89257560677290215</c:v>
                </c:pt>
                <c:pt idx="3">
                  <c:v>0.69782923797273189</c:v>
                </c:pt>
                <c:pt idx="4">
                  <c:v>2.6619298631593198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B04-4D30-A810-B2086B42B6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00835360"/>
        <c:axId val="100842432"/>
      </c:barChart>
      <c:catAx>
        <c:axId val="1008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2432"/>
        <c:crosses val="autoZero"/>
        <c:auto val="1"/>
        <c:lblAlgn val="ctr"/>
        <c:lblOffset val="100"/>
        <c:noMultiLvlLbl val="0"/>
      </c:catAx>
      <c:valAx>
        <c:axId val="100842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85-401F-AEF3-39F78E0C6D7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185-401F-AEF3-39F78E0C6D7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185-401F-AEF3-39F78E0C6D7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185-401F-AEF3-39F78E0C6D7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185-401F-AEF3-39F78E0C6D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VN_Graphs!$S$32:$W$32</c:f>
              <c:numCache>
                <c:formatCode>0.0%</c:formatCode>
                <c:ptCount val="5"/>
                <c:pt idx="0">
                  <c:v>0.56398718537460424</c:v>
                </c:pt>
                <c:pt idx="1">
                  <c:v>0.53680119155322481</c:v>
                </c:pt>
                <c:pt idx="2">
                  <c:v>0.64232188456294503</c:v>
                </c:pt>
                <c:pt idx="3">
                  <c:v>0.52124954143726154</c:v>
                </c:pt>
                <c:pt idx="4">
                  <c:v>1.068963451299435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85-401F-AEF3-39F78E0C6D7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00830464"/>
        <c:axId val="100853856"/>
      </c:barChart>
      <c:catAx>
        <c:axId val="10083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3856"/>
        <c:crosses val="autoZero"/>
        <c:auto val="1"/>
        <c:lblAlgn val="ctr"/>
        <c:lblOffset val="100"/>
        <c:noMultiLvlLbl val="0"/>
      </c:catAx>
      <c:valAx>
        <c:axId val="100853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DA-4B64-BC84-1E402F30F82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DA-4B64-BC84-1E402F30F82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FDA-4B64-BC84-1E402F30F82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FDA-4B64-BC84-1E402F30F82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FDA-4B64-BC84-1E402F30F8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VN_Graphs!$S$33:$W$33</c:f>
              <c:numCache>
                <c:formatCode>0.0%</c:formatCode>
                <c:ptCount val="5"/>
                <c:pt idx="0">
                  <c:v>0.76529688515984773</c:v>
                </c:pt>
                <c:pt idx="1">
                  <c:v>0.79377912690240449</c:v>
                </c:pt>
                <c:pt idx="2">
                  <c:v>0.68145622428263186</c:v>
                </c:pt>
                <c:pt idx="3">
                  <c:v>0.77201248097422326</c:v>
                </c:pt>
                <c:pt idx="4">
                  <c:v>1.5134408545204234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FDA-4B64-BC84-1E402F30F82E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00838624"/>
        <c:axId val="100831008"/>
      </c:barChart>
      <c:catAx>
        <c:axId val="10083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1008"/>
        <c:crosses val="autoZero"/>
        <c:auto val="1"/>
        <c:lblAlgn val="ctr"/>
        <c:lblOffset val="100"/>
        <c:noMultiLvlLbl val="0"/>
      </c:catAx>
      <c:valAx>
        <c:axId val="100831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E5-4288-8B04-68F35125679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E5-4288-8B04-68F35125679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E5-4288-8B04-68F35125679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E5-4288-8B04-68F35125679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E5-4288-8B04-68F3512567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VN_Graphs!$S$57:$W$57</c:f>
              <c:numCache>
                <c:formatCode>0.0%</c:formatCode>
                <c:ptCount val="5"/>
                <c:pt idx="0">
                  <c:v>1.8591658202082058</c:v>
                </c:pt>
                <c:pt idx="1">
                  <c:v>0.53076437156282108</c:v>
                </c:pt>
                <c:pt idx="2">
                  <c:v>2.8249439959899734</c:v>
                </c:pt>
                <c:pt idx="3">
                  <c:v>2.4049140540140597</c:v>
                </c:pt>
                <c:pt idx="4">
                  <c:v>4.9373595895652187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0E5-4288-8B04-68F3512567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00850048"/>
        <c:axId val="100853312"/>
      </c:barChart>
      <c:catAx>
        <c:axId val="10085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3312"/>
        <c:crosses val="autoZero"/>
        <c:auto val="1"/>
        <c:lblAlgn val="ctr"/>
        <c:lblOffset val="100"/>
        <c:noMultiLvlLbl val="0"/>
      </c:catAx>
      <c:valAx>
        <c:axId val="1008533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A40-4427-9BC9-BA4795ECB90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A40-4427-9BC9-BA4795ECB907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A40-4427-9BC9-BA4795ECB90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A40-4427-9BC9-BA4795ECB90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A40-4427-9BC9-BA4795ECB9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5"/>
                <c:pt idx="0">
                  <c:v>TOTAL</c:v>
                </c:pt>
                <c:pt idx="1">
                  <c:v>MUSIC</c:v>
                </c:pt>
                <c:pt idx="2">
                  <c:v>KIDS</c:v>
                </c:pt>
                <c:pt idx="3">
                  <c:v>ENT</c:v>
                </c:pt>
                <c:pt idx="4">
                  <c:v>AFF</c:v>
                </c:pt>
              </c:strCache>
            </c:strRef>
          </c:cat>
          <c:val>
            <c:numRef>
              <c:f>VN_Graphs!$S$58:$W$58</c:f>
              <c:numCache>
                <c:formatCode>0.0%</c:formatCode>
                <c:ptCount val="5"/>
                <c:pt idx="0">
                  <c:v>0.78527021071869441</c:v>
                </c:pt>
                <c:pt idx="1">
                  <c:v>0.64266195295508222</c:v>
                </c:pt>
                <c:pt idx="2">
                  <c:v>2.2236150627349613</c:v>
                </c:pt>
                <c:pt idx="3">
                  <c:v>0.64940505216719957</c:v>
                </c:pt>
                <c:pt idx="4">
                  <c:v>3.4850940281407481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A40-4427-9BC9-BA4795ECB9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00856576"/>
        <c:axId val="100835904"/>
      </c:barChart>
      <c:catAx>
        <c:axId val="10085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5904"/>
        <c:crosses val="autoZero"/>
        <c:auto val="1"/>
        <c:lblAlgn val="ctr"/>
        <c:lblOffset val="100"/>
        <c:noMultiLvlLbl val="0"/>
      </c:catAx>
      <c:valAx>
        <c:axId val="1008359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VN_Data!$C$385:$C$396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1229363763.3</c:v>
                </c:pt>
                <c:pt idx="6">
                  <c:v>1404987158.057143</c:v>
                </c:pt>
                <c:pt idx="7">
                  <c:v>1580610552.8142858</c:v>
                </c:pt>
                <c:pt idx="8">
                  <c:v>1580610552.8142858</c:v>
                </c:pt>
                <c:pt idx="9">
                  <c:v>1756233947.5714285</c:v>
                </c:pt>
                <c:pt idx="10">
                  <c:v>2107480737.0857141</c:v>
                </c:pt>
                <c:pt idx="11">
                  <c:v>2634350921.3571429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1-4934-B93D-47F315AE3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0836448"/>
        <c:axId val="10085222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VN_Data!$D$385:$D$396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948155811</c:v>
                </c:pt>
                <c:pt idx="6">
                  <c:v>1119435530</c:v>
                </c:pt>
                <c:pt idx="7">
                  <c:v>1169289491</c:v>
                </c:pt>
                <c:pt idx="8">
                  <c:v>1116087537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D1-4934-B93D-47F315AE3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47328"/>
        <c:axId val="100854944"/>
      </c:barChart>
      <c:catAx>
        <c:axId val="1008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2224"/>
        <c:crosses val="autoZero"/>
        <c:auto val="1"/>
        <c:lblAlgn val="ctr"/>
        <c:lblOffset val="100"/>
        <c:noMultiLvlLbl val="0"/>
      </c:catAx>
      <c:valAx>
        <c:axId val="10085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6448"/>
        <c:crosses val="autoZero"/>
        <c:crossBetween val="between"/>
      </c:valAx>
      <c:valAx>
        <c:axId val="10085494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00847328"/>
        <c:crosses val="max"/>
        <c:crossBetween val="between"/>
      </c:valAx>
      <c:catAx>
        <c:axId val="100847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54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VN_Data!$C$401:$C$412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226505.22019899506</c:v>
                </c:pt>
                <c:pt idx="6">
                  <c:v>258863.10879885152</c:v>
                </c:pt>
                <c:pt idx="7">
                  <c:v>291220.99739870796</c:v>
                </c:pt>
                <c:pt idx="8">
                  <c:v>291220.99739870796</c:v>
                </c:pt>
                <c:pt idx="9">
                  <c:v>323578.88599856436</c:v>
                </c:pt>
                <c:pt idx="10">
                  <c:v>388294.66319827724</c:v>
                </c:pt>
                <c:pt idx="11">
                  <c:v>485368.32899784652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3-44D0-A81E-D5B9E7CF1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0849504"/>
        <c:axId val="1008375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VN_Data!$D$401:$D$412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300283.6399999999</c:v>
                </c:pt>
                <c:pt idx="6">
                  <c:v>300910.12999999989</c:v>
                </c:pt>
                <c:pt idx="7">
                  <c:v>338941.66300017678</c:v>
                </c:pt>
                <c:pt idx="8">
                  <c:v>324756.67200029577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63-44D0-A81E-D5B9E7CF1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38080"/>
        <c:axId val="100848416"/>
      </c:barChart>
      <c:catAx>
        <c:axId val="1008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7536"/>
        <c:crosses val="autoZero"/>
        <c:auto val="1"/>
        <c:lblAlgn val="ctr"/>
        <c:lblOffset val="100"/>
        <c:noMultiLvlLbl val="0"/>
      </c:catAx>
      <c:valAx>
        <c:axId val="1008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9504"/>
        <c:crosses val="autoZero"/>
        <c:crossBetween val="between"/>
      </c:valAx>
      <c:valAx>
        <c:axId val="100848416"/>
        <c:scaling>
          <c:orientation val="minMax"/>
          <c:max val="5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00838080"/>
        <c:crosses val="max"/>
        <c:crossBetween val="between"/>
      </c:valAx>
      <c:catAx>
        <c:axId val="100838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48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  <c:numCache>
                <c:formatCode>#,##0</c:formatCode>
                <c:ptCount val="12"/>
                <c:pt idx="0">
                  <c:v>569674736.83402956</c:v>
                </c:pt>
                <c:pt idx="1">
                  <c:v>508439589.17777473</c:v>
                </c:pt>
                <c:pt idx="2">
                  <c:v>627519177.87771106</c:v>
                </c:pt>
                <c:pt idx="3">
                  <c:v>658895895.71846128</c:v>
                </c:pt>
                <c:pt idx="4">
                  <c:v>713830067.76421547</c:v>
                </c:pt>
                <c:pt idx="5">
                  <c:v>700547432.74220216</c:v>
                </c:pt>
                <c:pt idx="6">
                  <c:v>756363432.58724153</c:v>
                </c:pt>
                <c:pt idx="7">
                  <c:v>749302914.2797215</c:v>
                </c:pt>
                <c:pt idx="8">
                  <c:v>790556961.82225585</c:v>
                </c:pt>
                <c:pt idx="9">
                  <c:v>848257957.42272496</c:v>
                </c:pt>
                <c:pt idx="10">
                  <c:v>865704178.90948462</c:v>
                </c:pt>
                <c:pt idx="11">
                  <c:v>960907654.86417639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F-42C0-9F19-F07696FC9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0855488"/>
        <c:axId val="10085276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  <c:numCache>
                <c:formatCode>#,##0</c:formatCode>
                <c:ptCount val="12"/>
                <c:pt idx="0">
                  <c:v>712243496</c:v>
                </c:pt>
                <c:pt idx="1">
                  <c:v>640353919</c:v>
                </c:pt>
                <c:pt idx="2">
                  <c:v>663392460</c:v>
                </c:pt>
                <c:pt idx="3">
                  <c:v>693831478</c:v>
                </c:pt>
                <c:pt idx="4">
                  <c:v>796396532</c:v>
                </c:pt>
                <c:pt idx="5">
                  <c:v>913021074</c:v>
                </c:pt>
                <c:pt idx="6">
                  <c:v>907602165</c:v>
                </c:pt>
                <c:pt idx="7">
                  <c:v>810832920</c:v>
                </c:pt>
                <c:pt idx="8">
                  <c:v>571225224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F-42C0-9F19-F07696FC9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42976"/>
        <c:axId val="100839712"/>
      </c:barChart>
      <c:catAx>
        <c:axId val="1008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2768"/>
        <c:crosses val="autoZero"/>
        <c:auto val="1"/>
        <c:lblAlgn val="ctr"/>
        <c:lblOffset val="100"/>
        <c:noMultiLvlLbl val="0"/>
      </c:catAx>
      <c:valAx>
        <c:axId val="1008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5488"/>
        <c:crosses val="autoZero"/>
        <c:crossBetween val="between"/>
      </c:valAx>
      <c:valAx>
        <c:axId val="100839712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00842976"/>
        <c:crosses val="max"/>
        <c:crossBetween val="between"/>
      </c:valAx>
      <c:catAx>
        <c:axId val="100842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397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  <c:numCache>
                <c:formatCode>_("$"* #,##0_);_("$"* \(#,##0\);_("$"* "-"??_);_(@_)</c:formatCode>
                <c:ptCount val="12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137018.03438088796</c:v>
                </c:pt>
                <c:pt idx="4">
                  <c:v>148441.64822180182</c:v>
                </c:pt>
                <c:pt idx="5">
                  <c:v>145679.5115110692</c:v>
                </c:pt>
                <c:pt idx="6">
                  <c:v>157286.50228983568</c:v>
                </c:pt>
                <c:pt idx="7">
                  <c:v>155818.26072619413</c:v>
                </c:pt>
                <c:pt idx="8">
                  <c:v>164397.07953697184</c:v>
                </c:pt>
                <c:pt idx="9">
                  <c:v>176396.05699360892</c:v>
                </c:pt>
                <c:pt idx="10">
                  <c:v>180024.01550878966</c:v>
                </c:pt>
                <c:pt idx="11">
                  <c:v>199821.66977603344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F7-4F12-B24D-B6BD1C351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0839168"/>
        <c:axId val="1008560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  <c:numCache>
                <c:formatCode>_("$"* #,##0_);_("$"* \(#,##0\);_("$"* "-"??_);_(@_)</c:formatCode>
                <c:ptCount val="12"/>
                <c:pt idx="0">
                  <c:v>148369.26999999999</c:v>
                </c:pt>
                <c:pt idx="1">
                  <c:v>118213.66</c:v>
                </c:pt>
                <c:pt idx="2">
                  <c:v>168146.83</c:v>
                </c:pt>
                <c:pt idx="3">
                  <c:v>170290.55</c:v>
                </c:pt>
                <c:pt idx="4">
                  <c:v>206786.54000000004</c:v>
                </c:pt>
                <c:pt idx="5">
                  <c:v>232102.97999999998</c:v>
                </c:pt>
                <c:pt idx="6">
                  <c:v>204887.84000000003</c:v>
                </c:pt>
                <c:pt idx="7">
                  <c:v>233306.64100001781</c:v>
                </c:pt>
                <c:pt idx="8">
                  <c:v>142000.29300000914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F7-4F12-B24D-B6BD1C351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26112"/>
        <c:axId val="100845152"/>
      </c:barChart>
      <c:catAx>
        <c:axId val="10083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6032"/>
        <c:crosses val="autoZero"/>
        <c:auto val="1"/>
        <c:lblAlgn val="ctr"/>
        <c:lblOffset val="100"/>
        <c:noMultiLvlLbl val="0"/>
      </c:catAx>
      <c:valAx>
        <c:axId val="10085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9168"/>
        <c:crosses val="autoZero"/>
        <c:crossBetween val="between"/>
      </c:valAx>
      <c:valAx>
        <c:axId val="100845152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00826112"/>
        <c:crosses val="max"/>
        <c:crossBetween val="between"/>
      </c:valAx>
      <c:catAx>
        <c:axId val="100826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45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  <c:numCache>
                <c:formatCode>#,##0</c:formatCode>
                <c:ptCount val="12"/>
                <c:pt idx="0">
                  <c:v>1293975473.6658671</c:v>
                </c:pt>
                <c:pt idx="1">
                  <c:v>1154884209.7038028</c:v>
                </c:pt>
                <c:pt idx="2">
                  <c:v>1425364989.7508011</c:v>
                </c:pt>
                <c:pt idx="3">
                  <c:v>1496634963.1319337</c:v>
                </c:pt>
                <c:pt idx="4">
                  <c:v>1621414011.0644324</c:v>
                </c:pt>
                <c:pt idx="5">
                  <c:v>1591243454.3715734</c:v>
                </c:pt>
                <c:pt idx="6">
                  <c:v>1718025511.1624486</c:v>
                </c:pt>
                <c:pt idx="7">
                  <c:v>1701988048.1496534</c:v>
                </c:pt>
                <c:pt idx="8">
                  <c:v>1795693670.4248385</c:v>
                </c:pt>
                <c:pt idx="9">
                  <c:v>1926757360.4316182</c:v>
                </c:pt>
                <c:pt idx="10">
                  <c:v>1966385206.3801153</c:v>
                </c:pt>
                <c:pt idx="11">
                  <c:v>2182633101.7629151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C-4D39-9E85-58404CFE1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0840256"/>
        <c:axId val="10082502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  <c:numCache>
                <c:formatCode>#,##0</c:formatCode>
                <c:ptCount val="12"/>
                <c:pt idx="0">
                  <c:v>1147271340</c:v>
                </c:pt>
                <c:pt idx="1">
                  <c:v>1266919294</c:v>
                </c:pt>
                <c:pt idx="2">
                  <c:v>1702385218</c:v>
                </c:pt>
                <c:pt idx="3">
                  <c:v>1691880706</c:v>
                </c:pt>
                <c:pt idx="4">
                  <c:v>1566549832</c:v>
                </c:pt>
                <c:pt idx="5">
                  <c:v>1633168605</c:v>
                </c:pt>
                <c:pt idx="6">
                  <c:v>1579239144</c:v>
                </c:pt>
                <c:pt idx="7">
                  <c:v>1631049134</c:v>
                </c:pt>
                <c:pt idx="8">
                  <c:v>1323587099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C-4D39-9E85-58404CFE1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25568"/>
        <c:axId val="100843520"/>
      </c:barChart>
      <c:catAx>
        <c:axId val="1008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5024"/>
        <c:crosses val="autoZero"/>
        <c:auto val="1"/>
        <c:lblAlgn val="ctr"/>
        <c:lblOffset val="100"/>
        <c:noMultiLvlLbl val="0"/>
      </c:catAx>
      <c:valAx>
        <c:axId val="1008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0256"/>
        <c:crosses val="autoZero"/>
        <c:crossBetween val="between"/>
      </c:valAx>
      <c:valAx>
        <c:axId val="10084352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00825568"/>
        <c:crosses val="max"/>
        <c:crossBetween val="between"/>
      </c:valAx>
      <c:catAx>
        <c:axId val="100825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43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  <c:numCache>
                <c:formatCode>_("$"* #,##0_);_("$"* \(#,##0\);_("$"* "-"??_);_(@_)</c:formatCode>
                <c:ptCount val="12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402048.58660797658</c:v>
                </c:pt>
                <c:pt idx="4">
                  <c:v>435568.61059202644</c:v>
                </c:pt>
                <c:pt idx="5">
                  <c:v>427463.74202063092</c:v>
                </c:pt>
                <c:pt idx="6">
                  <c:v>461521.84436066699</c:v>
                </c:pt>
                <c:pt idx="7">
                  <c:v>457213.61991321796</c:v>
                </c:pt>
                <c:pt idx="8">
                  <c:v>482386.23308945977</c:v>
                </c:pt>
                <c:pt idx="9">
                  <c:v>517594.5321208961</c:v>
                </c:pt>
                <c:pt idx="10">
                  <c:v>528239.95992820268</c:v>
                </c:pt>
                <c:pt idx="11">
                  <c:v>586331.72100377223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F-4B63-BF74-EB76E0ED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0840800"/>
        <c:axId val="10084406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  <c:numCache>
                <c:formatCode>_("$"* #,##0_);_("$"* \(#,##0\);_("$"* "-"??_);_(@_)</c:formatCode>
                <c:ptCount val="12"/>
                <c:pt idx="0">
                  <c:v>274892.22499999998</c:v>
                </c:pt>
                <c:pt idx="1">
                  <c:v>267740.78999999998</c:v>
                </c:pt>
                <c:pt idx="2">
                  <c:v>516133.7</c:v>
                </c:pt>
                <c:pt idx="3">
                  <c:v>465833.50999999989</c:v>
                </c:pt>
                <c:pt idx="4">
                  <c:v>484218.78</c:v>
                </c:pt>
                <c:pt idx="5">
                  <c:v>474496.89000000007</c:v>
                </c:pt>
                <c:pt idx="6">
                  <c:v>370588.48</c:v>
                </c:pt>
                <c:pt idx="7">
                  <c:v>441063.94500021177</c:v>
                </c:pt>
                <c:pt idx="8">
                  <c:v>430826.6510003584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6F-4B63-BF74-EB76E0ED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45696"/>
        <c:axId val="100844608"/>
      </c:barChart>
      <c:catAx>
        <c:axId val="10084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4064"/>
        <c:crosses val="autoZero"/>
        <c:auto val="1"/>
        <c:lblAlgn val="ctr"/>
        <c:lblOffset val="100"/>
        <c:noMultiLvlLbl val="0"/>
      </c:catAx>
      <c:valAx>
        <c:axId val="1008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0800"/>
        <c:crosses val="autoZero"/>
        <c:crossBetween val="between"/>
      </c:valAx>
      <c:valAx>
        <c:axId val="100844608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00845696"/>
        <c:crosses val="max"/>
        <c:crossBetween val="between"/>
      </c:valAx>
      <c:catAx>
        <c:axId val="100845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44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8-4331-8B72-176196C69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0846240"/>
        <c:axId val="1008266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214738755</c:v>
                </c:pt>
                <c:pt idx="7">
                  <c:v>192008896</c:v>
                </c:pt>
                <c:pt idx="8">
                  <c:v>164611396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8-4331-8B72-176196C69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46784"/>
        <c:axId val="100827200"/>
      </c:barChart>
      <c:catAx>
        <c:axId val="1008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6656"/>
        <c:crosses val="autoZero"/>
        <c:auto val="1"/>
        <c:lblAlgn val="ctr"/>
        <c:lblOffset val="100"/>
        <c:noMultiLvlLbl val="0"/>
      </c:catAx>
      <c:valAx>
        <c:axId val="1008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6240"/>
        <c:crosses val="autoZero"/>
        <c:crossBetween val="between"/>
      </c:valAx>
      <c:valAx>
        <c:axId val="10082720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00846784"/>
        <c:crosses val="max"/>
        <c:crossBetween val="between"/>
      </c:valAx>
      <c:catAx>
        <c:axId val="100846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27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E-471A-BAC6-A219AEF2D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0847872"/>
        <c:axId val="1008489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40203.839999999997</c:v>
                </c:pt>
                <c:pt idx="7">
                  <c:v>42278.220999997204</c:v>
                </c:pt>
                <c:pt idx="8">
                  <c:v>53527.380999994697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2E-471A-BAC6-A219AEF2D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27744"/>
        <c:axId val="100850592"/>
      </c:barChart>
      <c:catAx>
        <c:axId val="1008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8960"/>
        <c:crosses val="autoZero"/>
        <c:auto val="1"/>
        <c:lblAlgn val="ctr"/>
        <c:lblOffset val="100"/>
        <c:noMultiLvlLbl val="0"/>
      </c:catAx>
      <c:valAx>
        <c:axId val="1008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7872"/>
        <c:crosses val="autoZero"/>
        <c:crossBetween val="between"/>
      </c:valAx>
      <c:valAx>
        <c:axId val="100850592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00827744"/>
        <c:crosses val="max"/>
        <c:crossBetween val="between"/>
      </c:valAx>
      <c:catAx>
        <c:axId val="100827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50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</a:t>
            </a:r>
            <a:r>
              <a:rPr lang="en-US" b="1" baseline="0"/>
              <a:t> VIEWS]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VN_Data!$L$385:$L$396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1124867843.4194999</c:v>
                </c:pt>
                <c:pt idx="6">
                  <c:v>1285563249.6222858</c:v>
                </c:pt>
                <c:pt idx="7">
                  <c:v>1446258655.8250713</c:v>
                </c:pt>
                <c:pt idx="8">
                  <c:v>1446258655.8250713</c:v>
                </c:pt>
                <c:pt idx="9">
                  <c:v>1606954062.0278571</c:v>
                </c:pt>
                <c:pt idx="10">
                  <c:v>1928344874.4334283</c:v>
                </c:pt>
                <c:pt idx="11">
                  <c:v>2410431093.0417857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A-4DAD-A012-5F2F2430C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00851136"/>
        <c:axId val="1008516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VN_Data!$M$385:$M$396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871337365</c:v>
                </c:pt>
                <c:pt idx="6">
                  <c:v>1020957380</c:v>
                </c:pt>
                <c:pt idx="7">
                  <c:v>1057393463</c:v>
                </c:pt>
                <c:pt idx="8">
                  <c:v>1010441081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3A-4DAD-A012-5F2F2430C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046128"/>
        <c:axId val="1998041232"/>
      </c:barChart>
      <c:catAx>
        <c:axId val="10085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1680"/>
        <c:crosses val="autoZero"/>
        <c:auto val="1"/>
        <c:lblAlgn val="ctr"/>
        <c:lblOffset val="100"/>
        <c:noMultiLvlLbl val="0"/>
      </c:catAx>
      <c:valAx>
        <c:axId val="10085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1136"/>
        <c:crosses val="autoZero"/>
        <c:crossBetween val="between"/>
      </c:valAx>
      <c:valAx>
        <c:axId val="199804123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998046128"/>
        <c:crosses val="max"/>
        <c:crossBetween val="between"/>
      </c:valAx>
      <c:catAx>
        <c:axId val="1998046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8041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VN_Data!$L$401:$L$412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112486.78434195</c:v>
                </c:pt>
                <c:pt idx="6">
                  <c:v>128556.32496222859</c:v>
                </c:pt>
                <c:pt idx="7">
                  <c:v>144625.86558250713</c:v>
                </c:pt>
                <c:pt idx="8">
                  <c:v>144625.86558250713</c:v>
                </c:pt>
                <c:pt idx="9">
                  <c:v>160695.4062027857</c:v>
                </c:pt>
                <c:pt idx="10">
                  <c:v>192834.48744334283</c:v>
                </c:pt>
                <c:pt idx="11">
                  <c:v>241043.10930417859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C-44C8-A54F-5F191770C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998054832"/>
        <c:axId val="19980423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VN_Data!$M$401:$M$412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163293.01999999999</c:v>
                </c:pt>
                <c:pt idx="6">
                  <c:v>182824.15</c:v>
                </c:pt>
                <c:pt idx="7">
                  <c:v>218040.19800009488</c:v>
                </c:pt>
                <c:pt idx="8">
                  <c:v>183136.0120001497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C-44C8-A54F-5F191770C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050480"/>
        <c:axId val="1998045584"/>
      </c:barChart>
      <c:catAx>
        <c:axId val="19980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42320"/>
        <c:crosses val="autoZero"/>
        <c:auto val="1"/>
        <c:lblAlgn val="ctr"/>
        <c:lblOffset val="100"/>
        <c:noMultiLvlLbl val="0"/>
      </c:catAx>
      <c:valAx>
        <c:axId val="199804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54832"/>
        <c:crosses val="autoZero"/>
        <c:crossBetween val="between"/>
      </c:valAx>
      <c:valAx>
        <c:axId val="1998045584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998050480"/>
        <c:crosses val="max"/>
        <c:crossBetween val="between"/>
      </c:valAx>
      <c:catAx>
        <c:axId val="1998050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8045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  <c:numCache>
                <c:formatCode>#,##0</c:formatCode>
                <c:ptCount val="12"/>
                <c:pt idx="0">
                  <c:v>537203276.83448982</c:v>
                </c:pt>
                <c:pt idx="1">
                  <c:v>479458532.59464157</c:v>
                </c:pt>
                <c:pt idx="2">
                  <c:v>591750584.73868155</c:v>
                </c:pt>
                <c:pt idx="3">
                  <c:v>621338829.66250896</c:v>
                </c:pt>
                <c:pt idx="4">
                  <c:v>673141753.9016552</c:v>
                </c:pt>
                <c:pt idx="5">
                  <c:v>660616229.07589662</c:v>
                </c:pt>
                <c:pt idx="6">
                  <c:v>713250716.92976868</c:v>
                </c:pt>
                <c:pt idx="7">
                  <c:v>706592648.16577733</c:v>
                </c:pt>
                <c:pt idx="8">
                  <c:v>745495214.99838722</c:v>
                </c:pt>
                <c:pt idx="9">
                  <c:v>799907253.84962964</c:v>
                </c:pt>
                <c:pt idx="10">
                  <c:v>816359040.71164393</c:v>
                </c:pt>
                <c:pt idx="11">
                  <c:v>906135918.53691828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D-4A4A-BB63-685821F71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998046672"/>
        <c:axId val="19980477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  <c:numCache>
                <c:formatCode>#,##0</c:formatCode>
                <c:ptCount val="12"/>
                <c:pt idx="0">
                  <c:v>600131253</c:v>
                </c:pt>
                <c:pt idx="1">
                  <c:v>559835027</c:v>
                </c:pt>
                <c:pt idx="2">
                  <c:v>551862891</c:v>
                </c:pt>
                <c:pt idx="3">
                  <c:v>547962867</c:v>
                </c:pt>
                <c:pt idx="4">
                  <c:v>579917316</c:v>
                </c:pt>
                <c:pt idx="5">
                  <c:v>684471205</c:v>
                </c:pt>
                <c:pt idx="6">
                  <c:v>680408129</c:v>
                </c:pt>
                <c:pt idx="7">
                  <c:v>618827481</c:v>
                </c:pt>
                <c:pt idx="8">
                  <c:v>476542281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7D-4A4A-BB63-685821F71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052112"/>
        <c:axId val="1998051568"/>
      </c:barChart>
      <c:catAx>
        <c:axId val="19980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47760"/>
        <c:crosses val="autoZero"/>
        <c:auto val="1"/>
        <c:lblAlgn val="ctr"/>
        <c:lblOffset val="100"/>
        <c:noMultiLvlLbl val="0"/>
      </c:catAx>
      <c:valAx>
        <c:axId val="19980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46672"/>
        <c:crosses val="autoZero"/>
        <c:crossBetween val="between"/>
      </c:valAx>
      <c:valAx>
        <c:axId val="1998051568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998052112"/>
        <c:crosses val="max"/>
        <c:crossBetween val="between"/>
      </c:valAx>
      <c:catAx>
        <c:axId val="199805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8051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  <c:numCache>
                <c:formatCode>_("$"* #,##0_);_("$"* \(#,##0\);_("$"* "-"??_);_(@_)</c:formatCode>
                <c:ptCount val="12"/>
                <c:pt idx="0">
                  <c:v>102246.79726097024</c:v>
                </c:pt>
                <c:pt idx="1">
                  <c:v>91256.14360753505</c:v>
                </c:pt>
                <c:pt idx="2">
                  <c:v>112628.87751423339</c:v>
                </c:pt>
                <c:pt idx="3">
                  <c:v>118260.45760782727</c:v>
                </c:pt>
                <c:pt idx="4">
                  <c:v>128120.19473269457</c:v>
                </c:pt>
                <c:pt idx="5">
                  <c:v>125736.19066445214</c:v>
                </c:pt>
                <c:pt idx="6">
                  <c:v>135754.20068152048</c:v>
                </c:pt>
                <c:pt idx="7">
                  <c:v>134486.9593290982</c:v>
                </c:pt>
                <c:pt idx="8">
                  <c:v>141891.34987433814</c:v>
                </c:pt>
                <c:pt idx="9">
                  <c:v>152247.68414274041</c:v>
                </c:pt>
                <c:pt idx="10">
                  <c:v>155378.98022450152</c:v>
                </c:pt>
                <c:pt idx="11">
                  <c:v>172466.36338384115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1-461B-BD67-74ACAE84C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998054288"/>
        <c:axId val="199490542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  <c:numCache>
                <c:formatCode>_("$"* #,##0_);_("$"* \(#,##0\);_("$"* "-"??_);_(@_)</c:formatCode>
                <c:ptCount val="12"/>
                <c:pt idx="0">
                  <c:v>115656.79299999999</c:v>
                </c:pt>
                <c:pt idx="1">
                  <c:v>94450.7</c:v>
                </c:pt>
                <c:pt idx="2">
                  <c:v>125455.74999999999</c:v>
                </c:pt>
                <c:pt idx="3">
                  <c:v>116613.42000000001</c:v>
                </c:pt>
                <c:pt idx="4">
                  <c:v>122478.54000000001</c:v>
                </c:pt>
                <c:pt idx="5">
                  <c:v>123175.16000000003</c:v>
                </c:pt>
                <c:pt idx="6">
                  <c:v>121549.84</c:v>
                </c:pt>
                <c:pt idx="7">
                  <c:v>151945.83000000729</c:v>
                </c:pt>
                <c:pt idx="8">
                  <c:v>98883.385000009774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91-461B-BD67-74ACAE84C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905968"/>
        <c:axId val="1994912496"/>
      </c:barChart>
      <c:catAx>
        <c:axId val="199805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05424"/>
        <c:crosses val="autoZero"/>
        <c:auto val="1"/>
        <c:lblAlgn val="ctr"/>
        <c:lblOffset val="100"/>
        <c:noMultiLvlLbl val="0"/>
      </c:catAx>
      <c:valAx>
        <c:axId val="199490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54288"/>
        <c:crosses val="autoZero"/>
        <c:crossBetween val="between"/>
      </c:valAx>
      <c:valAx>
        <c:axId val="1994912496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994905968"/>
        <c:crosses val="max"/>
        <c:crossBetween val="between"/>
      </c:valAx>
      <c:catAx>
        <c:axId val="1994905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4912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  <c:numCache>
                <c:formatCode>#,##0</c:formatCode>
                <c:ptCount val="12"/>
                <c:pt idx="0">
                  <c:v>1183987558.4042685</c:v>
                </c:pt>
                <c:pt idx="1">
                  <c:v>1056719051.8789797</c:v>
                </c:pt>
                <c:pt idx="2">
                  <c:v>1304208965.6219831</c:v>
                </c:pt>
                <c:pt idx="3">
                  <c:v>1369420991.2657194</c:v>
                </c:pt>
                <c:pt idx="4">
                  <c:v>1483593820.1239557</c:v>
                </c:pt>
                <c:pt idx="5">
                  <c:v>1455987760.7499897</c:v>
                </c:pt>
                <c:pt idx="6">
                  <c:v>1571993342.7136407</c:v>
                </c:pt>
                <c:pt idx="7">
                  <c:v>1557319064.0569329</c:v>
                </c:pt>
                <c:pt idx="8">
                  <c:v>1643059708.4387274</c:v>
                </c:pt>
                <c:pt idx="9">
                  <c:v>1762982984.7949307</c:v>
                </c:pt>
                <c:pt idx="10">
                  <c:v>1799242463.8378055</c:v>
                </c:pt>
                <c:pt idx="11">
                  <c:v>1997109288.1130674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8-4BBB-9DCC-6EC40B5D1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994901072"/>
        <c:axId val="199490324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  <c:numCache>
                <c:formatCode>#,##0</c:formatCode>
                <c:ptCount val="12"/>
                <c:pt idx="0">
                  <c:v>868466034</c:v>
                </c:pt>
                <c:pt idx="1">
                  <c:v>854430643</c:v>
                </c:pt>
                <c:pt idx="2">
                  <c:v>1004359740</c:v>
                </c:pt>
                <c:pt idx="3">
                  <c:v>981894209</c:v>
                </c:pt>
                <c:pt idx="4">
                  <c:v>1125171537</c:v>
                </c:pt>
                <c:pt idx="5">
                  <c:v>1192784173</c:v>
                </c:pt>
                <c:pt idx="6">
                  <c:v>1226568567</c:v>
                </c:pt>
                <c:pt idx="7">
                  <c:v>1214920738</c:v>
                </c:pt>
                <c:pt idx="8">
                  <c:v>1010653051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8-4BBB-9DCC-6EC40B5D1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1783888"/>
        <c:axId val="1994906512"/>
      </c:barChart>
      <c:catAx>
        <c:axId val="199490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03248"/>
        <c:crosses val="autoZero"/>
        <c:auto val="1"/>
        <c:lblAlgn val="ctr"/>
        <c:lblOffset val="100"/>
        <c:noMultiLvlLbl val="0"/>
      </c:catAx>
      <c:valAx>
        <c:axId val="19949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01072"/>
        <c:crosses val="autoZero"/>
        <c:crossBetween val="between"/>
      </c:valAx>
      <c:valAx>
        <c:axId val="199490651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861783888"/>
        <c:crosses val="max"/>
        <c:crossBetween val="between"/>
      </c:valAx>
      <c:catAx>
        <c:axId val="1861783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490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  <c:numCache>
                <c:formatCode>_("$"* #,##0_);_("$"* \(#,##0\);_("$"* "-"??_);_(@_)</c:formatCode>
                <c:ptCount val="12"/>
                <c:pt idx="0">
                  <c:v>137288.52532616543</c:v>
                </c:pt>
                <c:pt idx="1">
                  <c:v>122531.18648649966</c:v>
                </c:pt>
                <c:pt idx="2">
                  <c:v>151228.72224158005</c:v>
                </c:pt>
                <c:pt idx="3">
                  <c:v>158790.34125574178</c:v>
                </c:pt>
                <c:pt idx="4">
                  <c:v>172029.17910923203</c:v>
                </c:pt>
                <c:pt idx="5">
                  <c:v>168828.13602848686</c:v>
                </c:pt>
                <c:pt idx="6">
                  <c:v>182279.48960424404</c:v>
                </c:pt>
                <c:pt idx="7">
                  <c:v>180577.94294295998</c:v>
                </c:pt>
                <c:pt idx="8">
                  <c:v>190519.94490416007</c:v>
                </c:pt>
                <c:pt idx="9">
                  <c:v>204425.57224488567</c:v>
                </c:pt>
                <c:pt idx="10">
                  <c:v>208630.01710712767</c:v>
                </c:pt>
                <c:pt idx="11">
                  <c:v>231573.53904103543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C-4BF1-9B0C-B976E2E24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61785520"/>
        <c:axId val="186177137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  <c:numCache>
                <c:formatCode>_("$"* #,##0_);_("$"* \(#,##0\);_("$"* "-"??_);_(@_)</c:formatCode>
                <c:ptCount val="12"/>
                <c:pt idx="0">
                  <c:v>134480.26200000002</c:v>
                </c:pt>
                <c:pt idx="1">
                  <c:v>114441.33999999997</c:v>
                </c:pt>
                <c:pt idx="2">
                  <c:v>153972.35000000003</c:v>
                </c:pt>
                <c:pt idx="3">
                  <c:v>164250.47999999998</c:v>
                </c:pt>
                <c:pt idx="4">
                  <c:v>207233.73999999996</c:v>
                </c:pt>
                <c:pt idx="5">
                  <c:v>189982.19999999995</c:v>
                </c:pt>
                <c:pt idx="6">
                  <c:v>201595.1699999999</c:v>
                </c:pt>
                <c:pt idx="7">
                  <c:v>253866.68900010208</c:v>
                </c:pt>
                <c:pt idx="8">
                  <c:v>208122.49200016231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C-4BF1-9B0C-B976E2E24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1148672"/>
        <c:axId val="1556655184"/>
      </c:barChart>
      <c:catAx>
        <c:axId val="18617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771376"/>
        <c:crosses val="autoZero"/>
        <c:auto val="1"/>
        <c:lblAlgn val="ctr"/>
        <c:lblOffset val="100"/>
        <c:noMultiLvlLbl val="0"/>
      </c:catAx>
      <c:valAx>
        <c:axId val="18617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785520"/>
        <c:crosses val="autoZero"/>
        <c:crossBetween val="between"/>
      </c:valAx>
      <c:valAx>
        <c:axId val="1556655184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71148672"/>
        <c:crosses val="max"/>
        <c:crossBetween val="between"/>
      </c:valAx>
      <c:catAx>
        <c:axId val="1671148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56655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5-4016-9076-30937B8C1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485808"/>
        <c:axId val="904901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153441957</c:v>
                </c:pt>
                <c:pt idx="7">
                  <c:v>125940833</c:v>
                </c:pt>
                <c:pt idx="8">
                  <c:v>96677191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5-4016-9076-30937B8C1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10288"/>
        <c:axId val="90498864"/>
      </c:barChart>
      <c:catAx>
        <c:axId val="904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0160"/>
        <c:crosses val="autoZero"/>
        <c:auto val="1"/>
        <c:lblAlgn val="ctr"/>
        <c:lblOffset val="100"/>
        <c:noMultiLvlLbl val="0"/>
      </c:catAx>
      <c:valAx>
        <c:axId val="904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5808"/>
        <c:crosses val="autoZero"/>
        <c:crossBetween val="between"/>
      </c:valAx>
      <c:valAx>
        <c:axId val="9049886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90510288"/>
        <c:crosses val="max"/>
        <c:crossBetween val="between"/>
      </c:valAx>
      <c:catAx>
        <c:axId val="90510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498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8-408F-85F5-DC0464DAC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501584"/>
        <c:axId val="904792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14448.869999999999</c:v>
                </c:pt>
                <c:pt idx="7">
                  <c:v>13653.256999999603</c:v>
                </c:pt>
                <c:pt idx="8">
                  <c:v>7556.8399999997064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28-408F-85F5-DC0464DAC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91792"/>
        <c:axId val="90483088"/>
      </c:barChart>
      <c:catAx>
        <c:axId val="9050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79280"/>
        <c:crosses val="autoZero"/>
        <c:auto val="1"/>
        <c:lblAlgn val="ctr"/>
        <c:lblOffset val="100"/>
        <c:noMultiLvlLbl val="0"/>
      </c:catAx>
      <c:valAx>
        <c:axId val="904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1584"/>
        <c:crosses val="autoZero"/>
        <c:crossBetween val="between"/>
      </c:valAx>
      <c:valAx>
        <c:axId val="90483088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0491792"/>
        <c:crosses val="max"/>
        <c:crossBetween val="between"/>
      </c:valAx>
      <c:catAx>
        <c:axId val="9049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483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VIEWS]</a:t>
            </a:r>
            <a:r>
              <a:rPr lang="en-US" b="1" baseline="0"/>
              <a:t>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VN_Data!$U$385:$U$396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104495919.88050008</c:v>
                </c:pt>
                <c:pt idx="6">
                  <c:v>119423908.43485713</c:v>
                </c:pt>
                <c:pt idx="7">
                  <c:v>134351896.98921442</c:v>
                </c:pt>
                <c:pt idx="8">
                  <c:v>134351896.98921442</c:v>
                </c:pt>
                <c:pt idx="9">
                  <c:v>149279885.54357147</c:v>
                </c:pt>
                <c:pt idx="10">
                  <c:v>179135862.65228581</c:v>
                </c:pt>
                <c:pt idx="11">
                  <c:v>223919828.31535721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7-49E8-8EC3-216F37C31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486896"/>
        <c:axId val="904820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VN_Data!$V$385:$V$396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76818446</c:v>
                </c:pt>
                <c:pt idx="6">
                  <c:v>98478150</c:v>
                </c:pt>
                <c:pt idx="7">
                  <c:v>111896028</c:v>
                </c:pt>
                <c:pt idx="8">
                  <c:v>105646456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7-49E8-8EC3-216F37C31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80368"/>
        <c:axId val="90490704"/>
      </c:barChart>
      <c:catAx>
        <c:axId val="9048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2000"/>
        <c:crosses val="autoZero"/>
        <c:auto val="1"/>
        <c:lblAlgn val="ctr"/>
        <c:lblOffset val="100"/>
        <c:noMultiLvlLbl val="0"/>
      </c:catAx>
      <c:valAx>
        <c:axId val="904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6896"/>
        <c:crosses val="autoZero"/>
        <c:crossBetween val="between"/>
      </c:valAx>
      <c:valAx>
        <c:axId val="90490704"/>
        <c:scaling>
          <c:orientation val="minMax"/>
          <c:max val="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90480368"/>
        <c:crosses val="max"/>
        <c:crossBetween val="between"/>
      </c:valAx>
      <c:catAx>
        <c:axId val="9048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49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(oversea)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VN_Data!$U$401:$U$412</c:f>
              <c:numCache>
                <c:formatCode>_("$"* #,##0_);_("$"* \(#,##0\);_("$"* "-"??_);_(@_)</c:formatCode>
                <c:ptCount val="12"/>
                <c:pt idx="0">
                  <c:v>98938.029999999955</c:v>
                </c:pt>
                <c:pt idx="1">
                  <c:v>116156.73000000005</c:v>
                </c:pt>
                <c:pt idx="2">
                  <c:v>137630.58000000005</c:v>
                </c:pt>
                <c:pt idx="3">
                  <c:v>115726.34</c:v>
                </c:pt>
                <c:pt idx="4">
                  <c:v>133651.52000000011</c:v>
                </c:pt>
                <c:pt idx="5">
                  <c:v>114018.43585704506</c:v>
                </c:pt>
                <c:pt idx="6">
                  <c:v>130306.78383662293</c:v>
                </c:pt>
                <c:pt idx="7">
                  <c:v>146595.13181620082</c:v>
                </c:pt>
                <c:pt idx="8">
                  <c:v>146595.13181620082</c:v>
                </c:pt>
                <c:pt idx="9">
                  <c:v>162883.47979577866</c:v>
                </c:pt>
                <c:pt idx="10">
                  <c:v>195460.1757549344</c:v>
                </c:pt>
                <c:pt idx="11">
                  <c:v>244325.21969366792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4-470C-AFDF-FCA795E72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489616"/>
        <c:axId val="904825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VN_Data!$V$401:$V$412</c:f>
              <c:numCache>
                <c:formatCode>_("$"* #,##0_);_("$"* \(#,##0\);_("$"* "-"??_);_(@_)</c:formatCode>
                <c:ptCount val="12"/>
                <c:pt idx="0">
                  <c:v>98938.030000000013</c:v>
                </c:pt>
                <c:pt idx="1">
                  <c:v>116156.72999999998</c:v>
                </c:pt>
                <c:pt idx="2">
                  <c:v>137630.57999999999</c:v>
                </c:pt>
                <c:pt idx="3">
                  <c:v>115726.34</c:v>
                </c:pt>
                <c:pt idx="4">
                  <c:v>133651.52000000002</c:v>
                </c:pt>
                <c:pt idx="5">
                  <c:v>136990.62</c:v>
                </c:pt>
                <c:pt idx="6">
                  <c:v>118085.97999999998</c:v>
                </c:pt>
                <c:pt idx="7">
                  <c:v>120901.46500008198</c:v>
                </c:pt>
                <c:pt idx="8">
                  <c:v>141620.66000014605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4-470C-AFDF-FCA795E72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97232"/>
        <c:axId val="90507568"/>
      </c:barChart>
      <c:catAx>
        <c:axId val="9048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2544"/>
        <c:crosses val="autoZero"/>
        <c:auto val="1"/>
        <c:lblAlgn val="ctr"/>
        <c:lblOffset val="100"/>
        <c:noMultiLvlLbl val="0"/>
      </c:catAx>
      <c:valAx>
        <c:axId val="904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9616"/>
        <c:crosses val="autoZero"/>
        <c:crossBetween val="between"/>
      </c:valAx>
      <c:valAx>
        <c:axId val="90507568"/>
        <c:scaling>
          <c:orientation val="minMax"/>
          <c:max val="3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0497232"/>
        <c:crosses val="max"/>
        <c:crossBetween val="between"/>
      </c:valAx>
      <c:catAx>
        <c:axId val="90497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507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  <c:numCache>
                <c:formatCode>#,##0</c:formatCode>
                <c:ptCount val="12"/>
                <c:pt idx="0">
                  <c:v>32471459.999539733</c:v>
                </c:pt>
                <c:pt idx="1">
                  <c:v>28981056.583133161</c:v>
                </c:pt>
                <c:pt idx="2">
                  <c:v>35768593.139029503</c:v>
                </c:pt>
                <c:pt idx="3">
                  <c:v>37557066.055952311</c:v>
                </c:pt>
                <c:pt idx="4">
                  <c:v>40688313.862560272</c:v>
                </c:pt>
                <c:pt idx="5">
                  <c:v>39931203.666305542</c:v>
                </c:pt>
                <c:pt idx="6">
                  <c:v>43112715.657472849</c:v>
                </c:pt>
                <c:pt idx="7">
                  <c:v>42710266.113944173</c:v>
                </c:pt>
                <c:pt idx="8">
                  <c:v>45061746.823868632</c:v>
                </c:pt>
                <c:pt idx="9">
                  <c:v>48350703.573095322</c:v>
                </c:pt>
                <c:pt idx="10">
                  <c:v>49345138.197840691</c:v>
                </c:pt>
                <c:pt idx="11">
                  <c:v>54771736.32725811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6-4378-8DBD-A7C01BC0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510832"/>
        <c:axId val="904890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  <c:numCache>
                <c:formatCode>#,##0</c:formatCode>
                <c:ptCount val="12"/>
                <c:pt idx="0">
                  <c:v>112112243</c:v>
                </c:pt>
                <c:pt idx="1">
                  <c:v>80518892</c:v>
                </c:pt>
                <c:pt idx="2">
                  <c:v>111529569</c:v>
                </c:pt>
                <c:pt idx="3">
                  <c:v>145868611</c:v>
                </c:pt>
                <c:pt idx="4">
                  <c:v>216479216</c:v>
                </c:pt>
                <c:pt idx="5">
                  <c:v>228549869</c:v>
                </c:pt>
                <c:pt idx="6">
                  <c:v>227194036</c:v>
                </c:pt>
                <c:pt idx="7">
                  <c:v>192005439</c:v>
                </c:pt>
                <c:pt idx="8">
                  <c:v>94682943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96-4378-8DBD-A7C01BC0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07024"/>
        <c:axId val="90491248"/>
      </c:barChart>
      <c:catAx>
        <c:axId val="9051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9072"/>
        <c:crosses val="autoZero"/>
        <c:auto val="1"/>
        <c:lblAlgn val="ctr"/>
        <c:lblOffset val="100"/>
        <c:noMultiLvlLbl val="0"/>
      </c:catAx>
      <c:valAx>
        <c:axId val="904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0832"/>
        <c:crosses val="autoZero"/>
        <c:crossBetween val="between"/>
      </c:valAx>
      <c:valAx>
        <c:axId val="9049124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90507024"/>
        <c:crosses val="max"/>
        <c:crossBetween val="between"/>
      </c:valAx>
      <c:catAx>
        <c:axId val="90507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491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  <c:numCache>
                <c:formatCode>_("$"* #,##0_);_("$"* \(#,##0\);_("$"* "-"??_);_(@_)</c:formatCode>
                <c:ptCount val="12"/>
                <c:pt idx="0">
                  <c:v>16217.611433420345</c:v>
                </c:pt>
                <c:pt idx="1">
                  <c:v>14474.357315682268</c:v>
                </c:pt>
                <c:pt idx="2">
                  <c:v>17864.338254488961</c:v>
                </c:pt>
                <c:pt idx="3">
                  <c:v>18757.576773060689</c:v>
                </c:pt>
                <c:pt idx="4">
                  <c:v>20321.453489107254</c:v>
                </c:pt>
                <c:pt idx="5">
                  <c:v>19943.320846617062</c:v>
                </c:pt>
                <c:pt idx="6">
                  <c:v>21532.301608315203</c:v>
                </c:pt>
                <c:pt idx="7">
                  <c:v>21331.301397095929</c:v>
                </c:pt>
                <c:pt idx="8">
                  <c:v>22505.729662633705</c:v>
                </c:pt>
                <c:pt idx="9">
                  <c:v>24148.372850868502</c:v>
                </c:pt>
                <c:pt idx="10">
                  <c:v>24645.03528428814</c:v>
                </c:pt>
                <c:pt idx="11">
                  <c:v>27355.306392192288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2-4D6A-9A05-5855F1BD9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478736"/>
        <c:axId val="905097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  <c:numCache>
                <c:formatCode>_("$"* #,##0_);_("$"* \(#,##0\);_("$"* "-"??_);_(@_)</c:formatCode>
                <c:ptCount val="12"/>
                <c:pt idx="0">
                  <c:v>32712.477000000003</c:v>
                </c:pt>
                <c:pt idx="1">
                  <c:v>23762.960000000003</c:v>
                </c:pt>
                <c:pt idx="2">
                  <c:v>42691.080000000009</c:v>
                </c:pt>
                <c:pt idx="3">
                  <c:v>53677.130000000005</c:v>
                </c:pt>
                <c:pt idx="4">
                  <c:v>84308.000000000015</c:v>
                </c:pt>
                <c:pt idx="5">
                  <c:v>108927.82</c:v>
                </c:pt>
                <c:pt idx="6">
                  <c:v>83338</c:v>
                </c:pt>
                <c:pt idx="7">
                  <c:v>81360.811000010523</c:v>
                </c:pt>
                <c:pt idx="8">
                  <c:v>43116.907999999341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52-4D6A-9A05-5855F1BD9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79824"/>
        <c:axId val="90492336"/>
      </c:barChart>
      <c:catAx>
        <c:axId val="9047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9744"/>
        <c:crosses val="autoZero"/>
        <c:auto val="1"/>
        <c:lblAlgn val="ctr"/>
        <c:lblOffset val="100"/>
        <c:noMultiLvlLbl val="0"/>
      </c:catAx>
      <c:valAx>
        <c:axId val="905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78736"/>
        <c:crosses val="autoZero"/>
        <c:crossBetween val="between"/>
      </c:valAx>
      <c:valAx>
        <c:axId val="90492336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0479824"/>
        <c:crosses val="max"/>
        <c:crossBetween val="between"/>
      </c:valAx>
      <c:catAx>
        <c:axId val="9047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49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  <c:numCache>
                <c:formatCode>#,##0</c:formatCode>
                <c:ptCount val="12"/>
                <c:pt idx="0">
                  <c:v>109987915.26159859</c:v>
                </c:pt>
                <c:pt idx="1">
                  <c:v>98165157.824823141</c:v>
                </c:pt>
                <c:pt idx="2">
                  <c:v>121156024.12881804</c:v>
                </c:pt>
                <c:pt idx="3">
                  <c:v>127213971.86621428</c:v>
                </c:pt>
                <c:pt idx="4">
                  <c:v>137820190.94047666</c:v>
                </c:pt>
                <c:pt idx="5">
                  <c:v>135255693.6215837</c:v>
                </c:pt>
                <c:pt idx="6">
                  <c:v>146032168.44880795</c:v>
                </c:pt>
                <c:pt idx="7">
                  <c:v>144668984.09272051</c:v>
                </c:pt>
                <c:pt idx="8">
                  <c:v>152633961.98611116</c:v>
                </c:pt>
                <c:pt idx="9">
                  <c:v>163774375.63668752</c:v>
                </c:pt>
                <c:pt idx="10">
                  <c:v>167142742.54230976</c:v>
                </c:pt>
                <c:pt idx="11">
                  <c:v>185523813.64984775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1-4961-BD18-F878810A0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492880"/>
        <c:axId val="9049342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  <c:numCache>
                <c:formatCode>#,##0</c:formatCode>
                <c:ptCount val="12"/>
                <c:pt idx="0">
                  <c:v>278805306</c:v>
                </c:pt>
                <c:pt idx="1">
                  <c:v>412488651</c:v>
                </c:pt>
                <c:pt idx="2">
                  <c:v>698025478</c:v>
                </c:pt>
                <c:pt idx="3">
                  <c:v>709986497</c:v>
                </c:pt>
                <c:pt idx="4">
                  <c:v>441378295</c:v>
                </c:pt>
                <c:pt idx="5">
                  <c:v>440384432</c:v>
                </c:pt>
                <c:pt idx="6">
                  <c:v>352670577</c:v>
                </c:pt>
                <c:pt idx="7">
                  <c:v>416128396</c:v>
                </c:pt>
                <c:pt idx="8">
                  <c:v>312934048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A1-4961-BD18-F878810A0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97776"/>
        <c:axId val="90483632"/>
      </c:barChart>
      <c:catAx>
        <c:axId val="9049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3424"/>
        <c:crosses val="autoZero"/>
        <c:auto val="1"/>
        <c:lblAlgn val="ctr"/>
        <c:lblOffset val="100"/>
        <c:noMultiLvlLbl val="0"/>
      </c:catAx>
      <c:valAx>
        <c:axId val="904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2880"/>
        <c:crosses val="autoZero"/>
        <c:crossBetween val="between"/>
      </c:valAx>
      <c:valAx>
        <c:axId val="9048363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90497776"/>
        <c:crosses val="max"/>
        <c:crossBetween val="between"/>
      </c:valAx>
      <c:catAx>
        <c:axId val="90497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483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  <c:numCache>
                <c:formatCode>_("$"* #,##0_);_("$"* \(#,##0\);_("$"* "-"??_);_(@_)</c:formatCode>
                <c:ptCount val="12"/>
                <c:pt idx="0">
                  <c:v>210318.62211349228</c:v>
                </c:pt>
                <c:pt idx="1">
                  <c:v>187711.17430642562</c:v>
                </c:pt>
                <c:pt idx="2">
                  <c:v>231674.25252961993</c:v>
                </c:pt>
                <c:pt idx="3">
                  <c:v>243258.24535223481</c:v>
                </c:pt>
                <c:pt idx="4">
                  <c:v>263539.4314827944</c:v>
                </c:pt>
                <c:pt idx="5">
                  <c:v>258635.60599214406</c:v>
                </c:pt>
                <c:pt idx="6">
                  <c:v>279242.35475642292</c:v>
                </c:pt>
                <c:pt idx="7">
                  <c:v>276635.67697025801</c:v>
                </c:pt>
                <c:pt idx="8">
                  <c:v>291866.28818529972</c:v>
                </c:pt>
                <c:pt idx="9">
                  <c:v>313168.95987601043</c:v>
                </c:pt>
                <c:pt idx="10">
                  <c:v>319609.94282107498</c:v>
                </c:pt>
                <c:pt idx="11">
                  <c:v>354758.18196273677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7-416C-8E92-B425AC854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480912"/>
        <c:axId val="9049396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  <c:numCache>
                <c:formatCode>_("$"* #,##0_);_("$"* \(#,##0\);_("$"* "-"??_);_(@_)</c:formatCode>
                <c:ptCount val="12"/>
                <c:pt idx="0">
                  <c:v>140411.96299999999</c:v>
                </c:pt>
                <c:pt idx="1">
                  <c:v>153299.45000000001</c:v>
                </c:pt>
                <c:pt idx="2">
                  <c:v>362161.35</c:v>
                </c:pt>
                <c:pt idx="3">
                  <c:v>301583.03000000003</c:v>
                </c:pt>
                <c:pt idx="4">
                  <c:v>276985.04000000004</c:v>
                </c:pt>
                <c:pt idx="5">
                  <c:v>284514.69</c:v>
                </c:pt>
                <c:pt idx="6">
                  <c:v>168993.31000000006</c:v>
                </c:pt>
                <c:pt idx="7">
                  <c:v>187197.25600010963</c:v>
                </c:pt>
                <c:pt idx="8">
                  <c:v>222704.15900019614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27-416C-8E92-B425AC854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87440"/>
        <c:axId val="90481456"/>
      </c:barChart>
      <c:catAx>
        <c:axId val="9048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3968"/>
        <c:crosses val="autoZero"/>
        <c:auto val="1"/>
        <c:lblAlgn val="ctr"/>
        <c:lblOffset val="100"/>
        <c:noMultiLvlLbl val="0"/>
      </c:catAx>
      <c:valAx>
        <c:axId val="904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0912"/>
        <c:crosses val="autoZero"/>
        <c:crossBetween val="between"/>
      </c:valAx>
      <c:valAx>
        <c:axId val="90481456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0487440"/>
        <c:crosses val="max"/>
        <c:crossBetween val="between"/>
      </c:valAx>
      <c:catAx>
        <c:axId val="90487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481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5-402F-BD27-CFC3A3B5A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486352"/>
        <c:axId val="904961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61296798</c:v>
                </c:pt>
                <c:pt idx="7">
                  <c:v>66068063</c:v>
                </c:pt>
                <c:pt idx="8">
                  <c:v>67934205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85-402F-BD27-CFC3A3B5A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84720"/>
        <c:axId val="90484176"/>
      </c:barChart>
      <c:catAx>
        <c:axId val="9048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6144"/>
        <c:crosses val="autoZero"/>
        <c:auto val="1"/>
        <c:lblAlgn val="ctr"/>
        <c:lblOffset val="100"/>
        <c:noMultiLvlLbl val="0"/>
      </c:catAx>
      <c:valAx>
        <c:axId val="9049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6352"/>
        <c:crosses val="autoZero"/>
        <c:crossBetween val="between"/>
      </c:valAx>
      <c:valAx>
        <c:axId val="9048417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90484720"/>
        <c:crosses val="max"/>
        <c:crossBetween val="between"/>
      </c:valAx>
      <c:catAx>
        <c:axId val="9048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484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D-49F4-B643-4C0A5901F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485264"/>
        <c:axId val="904879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25754.969999999994</c:v>
                </c:pt>
                <c:pt idx="7">
                  <c:v>28624.963999997599</c:v>
                </c:pt>
                <c:pt idx="8">
                  <c:v>45970.540999994992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ED-49F4-B643-4C0A5901F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94512"/>
        <c:axId val="90488528"/>
      </c:barChart>
      <c:catAx>
        <c:axId val="9048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7984"/>
        <c:crosses val="autoZero"/>
        <c:auto val="1"/>
        <c:lblAlgn val="ctr"/>
        <c:lblOffset val="100"/>
        <c:noMultiLvlLbl val="0"/>
      </c:catAx>
      <c:valAx>
        <c:axId val="904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5264"/>
        <c:crosses val="autoZero"/>
        <c:crossBetween val="between"/>
      </c:valAx>
      <c:valAx>
        <c:axId val="90488528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0494512"/>
        <c:crosses val="max"/>
        <c:crossBetween val="between"/>
      </c:valAx>
      <c:catAx>
        <c:axId val="90494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488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BE-40AC-ACC2-7919F36E5B9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BE-40AC-ACC2-7919F36E5B9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BE-40AC-ACC2-7919F36E5B9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BE-40AC-ACC2-7919F36E5B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TH_Graphs!$S$6:$V$6</c:f>
              <c:strCache>
                <c:ptCount val="4"/>
                <c:pt idx="0">
                  <c:v>TOTAL</c:v>
                </c:pt>
                <c:pt idx="1">
                  <c:v>MUSIC</c:v>
                </c:pt>
                <c:pt idx="2">
                  <c:v>ENT</c:v>
                </c:pt>
                <c:pt idx="3">
                  <c:v>AFF</c:v>
                </c:pt>
              </c:strCache>
            </c:strRef>
          </c:cat>
          <c:val>
            <c:numRef>
              <c:f>TH_Graphs!$S$7:$V$7</c:f>
              <c:numCache>
                <c:formatCode>0.0%</c:formatCode>
                <c:ptCount val="4"/>
                <c:pt idx="0">
                  <c:v>0.60103629126637836</c:v>
                </c:pt>
                <c:pt idx="1">
                  <c:v>10.338144717694156</c:v>
                </c:pt>
                <c:pt idx="2">
                  <c:v>0.5272403522793373</c:v>
                </c:pt>
                <c:pt idx="3">
                  <c:v>1.3719044169510537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BE-40AC-ACC2-7919F36E5B9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90495056"/>
        <c:axId val="90495600"/>
      </c:barChart>
      <c:catAx>
        <c:axId val="9049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5600"/>
        <c:crosses val="autoZero"/>
        <c:auto val="1"/>
        <c:lblAlgn val="ctr"/>
        <c:lblOffset val="100"/>
        <c:noMultiLvlLbl val="0"/>
      </c:catAx>
      <c:valAx>
        <c:axId val="904956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6B9-4D5C-9AB6-B9B70DCF781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B9-4D5C-9AB6-B9B70DCF781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B9-4D5C-9AB6-B9B70DCF78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6B9-4D5C-9AB6-B9B70DCF781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6B9-4D5C-9AB6-B9B70DCF78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TH_Graphs!$S$6:$V$6</c:f>
              <c:strCache>
                <c:ptCount val="4"/>
                <c:pt idx="0">
                  <c:v>TOTAL</c:v>
                </c:pt>
                <c:pt idx="1">
                  <c:v>MUSIC</c:v>
                </c:pt>
                <c:pt idx="2">
                  <c:v>ENT</c:v>
                </c:pt>
                <c:pt idx="3">
                  <c:v>AFF</c:v>
                </c:pt>
              </c:strCache>
            </c:strRef>
          </c:cat>
          <c:val>
            <c:numRef>
              <c:f>TH_Graphs!$S$8:$V$8</c:f>
              <c:numCache>
                <c:formatCode>0.0%</c:formatCode>
                <c:ptCount val="4"/>
                <c:pt idx="0">
                  <c:v>1.0694578138787374</c:v>
                </c:pt>
                <c:pt idx="1">
                  <c:v>29.04914180511885</c:v>
                </c:pt>
                <c:pt idx="2">
                  <c:v>0.9005971013081554</c:v>
                </c:pt>
                <c:pt idx="3">
                  <c:v>2.8134049572690554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B9-4D5C-9AB6-B9B70DCF781F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90496688"/>
        <c:axId val="90498320"/>
      </c:barChart>
      <c:catAx>
        <c:axId val="9049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8320"/>
        <c:crosses val="autoZero"/>
        <c:auto val="1"/>
        <c:lblAlgn val="ctr"/>
        <c:lblOffset val="100"/>
        <c:noMultiLvlLbl val="0"/>
      </c:catAx>
      <c:valAx>
        <c:axId val="90498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TH_Data!$C$385:$C$396</c:f>
              <c:numCache>
                <c:formatCode>#,##0</c:formatCode>
                <c:ptCount val="12"/>
                <c:pt idx="0">
                  <c:v>32453.65958135141</c:v>
                </c:pt>
                <c:pt idx="1">
                  <c:v>28519.900412724968</c:v>
                </c:pt>
                <c:pt idx="2">
                  <c:v>34223.880495269965</c:v>
                </c:pt>
                <c:pt idx="3">
                  <c:v>42779.850619087454</c:v>
                </c:pt>
                <c:pt idx="4">
                  <c:v>41068.656594323948</c:v>
                </c:pt>
                <c:pt idx="5">
                  <c:v>41890.029726210429</c:v>
                </c:pt>
                <c:pt idx="6">
                  <c:v>43984.53121252096</c:v>
                </c:pt>
                <c:pt idx="7">
                  <c:v>48382.984333773056</c:v>
                </c:pt>
                <c:pt idx="8">
                  <c:v>58059.58120052766</c:v>
                </c:pt>
                <c:pt idx="9">
                  <c:v>66768.518380606809</c:v>
                </c:pt>
                <c:pt idx="10">
                  <c:v>86799.073894788846</c:v>
                </c:pt>
                <c:pt idx="11">
                  <c:v>112838.7960632255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E-48ED-A90E-9516AF49E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499408"/>
        <c:axId val="9049995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TH_Data!$D$385:$D$396</c:f>
              <c:numCache>
                <c:formatCode>#,##0</c:formatCode>
                <c:ptCount val="12"/>
                <c:pt idx="0">
                  <c:v>17985</c:v>
                </c:pt>
                <c:pt idx="1">
                  <c:v>23347</c:v>
                </c:pt>
                <c:pt idx="2">
                  <c:v>14334</c:v>
                </c:pt>
                <c:pt idx="3">
                  <c:v>9414</c:v>
                </c:pt>
                <c:pt idx="4">
                  <c:v>7291</c:v>
                </c:pt>
                <c:pt idx="5">
                  <c:v>6523</c:v>
                </c:pt>
                <c:pt idx="6">
                  <c:v>5231</c:v>
                </c:pt>
                <c:pt idx="7">
                  <c:v>557895</c:v>
                </c:pt>
                <c:pt idx="8">
                  <c:v>5951333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CE-48ED-A90E-9516AF49E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00496"/>
        <c:axId val="90504304"/>
      </c:barChart>
      <c:catAx>
        <c:axId val="9049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9952"/>
        <c:crosses val="autoZero"/>
        <c:auto val="1"/>
        <c:lblAlgn val="ctr"/>
        <c:lblOffset val="100"/>
        <c:noMultiLvlLbl val="0"/>
      </c:catAx>
      <c:valAx>
        <c:axId val="90499952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9408"/>
        <c:crosses val="autoZero"/>
        <c:crossBetween val="between"/>
      </c:valAx>
      <c:valAx>
        <c:axId val="9050430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90500496"/>
        <c:crosses val="max"/>
        <c:crossBetween val="between"/>
      </c:valAx>
      <c:catAx>
        <c:axId val="90500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504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  <c:pt idx="0">
                  <c:v>5.8416587246432545</c:v>
                </c:pt>
                <c:pt idx="1">
                  <c:v>5.1335820742904943</c:v>
                </c:pt>
                <c:pt idx="2">
                  <c:v>6.1602984891485937</c:v>
                </c:pt>
                <c:pt idx="3">
                  <c:v>7.7003731114357423</c:v>
                </c:pt>
                <c:pt idx="4">
                  <c:v>7.3923581869783108</c:v>
                </c:pt>
                <c:pt idx="5">
                  <c:v>7.5402053507178772</c:v>
                </c:pt>
                <c:pt idx="6">
                  <c:v>7.9172156182537732</c:v>
                </c:pt>
                <c:pt idx="7">
                  <c:v>8.7089371800791504</c:v>
                </c:pt>
                <c:pt idx="8">
                  <c:v>10.450724616094979</c:v>
                </c:pt>
                <c:pt idx="9">
                  <c:v>12.018333308509227</c:v>
                </c:pt>
                <c:pt idx="10">
                  <c:v>15.623833301061993</c:v>
                </c:pt>
                <c:pt idx="11">
                  <c:v>20.310983291380591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1-40AA-84F4-64710CEDB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501040"/>
        <c:axId val="9050212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  <c:pt idx="0">
                  <c:v>0.85000000000000031</c:v>
                </c:pt>
                <c:pt idx="1">
                  <c:v>1.3700000000000006</c:v>
                </c:pt>
                <c:pt idx="2">
                  <c:v>0.52000000000000024</c:v>
                </c:pt>
                <c:pt idx="3">
                  <c:v>0.22000000000000006</c:v>
                </c:pt>
                <c:pt idx="4">
                  <c:v>0.18</c:v>
                </c:pt>
                <c:pt idx="5">
                  <c:v>0.14000000000000001</c:v>
                </c:pt>
                <c:pt idx="6">
                  <c:v>0.19000000000000006</c:v>
                </c:pt>
                <c:pt idx="7">
                  <c:v>288.86400000000003</c:v>
                </c:pt>
                <c:pt idx="8">
                  <c:v>3042.4639999999999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21-40AA-84F4-64710CEDB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02672"/>
        <c:axId val="90504848"/>
      </c:barChart>
      <c:catAx>
        <c:axId val="9050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2128"/>
        <c:crosses val="autoZero"/>
        <c:auto val="1"/>
        <c:lblAlgn val="ctr"/>
        <c:lblOffset val="100"/>
        <c:noMultiLvlLbl val="0"/>
      </c:catAx>
      <c:valAx>
        <c:axId val="9050212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1040"/>
        <c:crosses val="autoZero"/>
        <c:crossBetween val="between"/>
      </c:valAx>
      <c:valAx>
        <c:axId val="90504848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0502672"/>
        <c:crosses val="max"/>
        <c:crossBetween val="between"/>
      </c:valAx>
      <c:catAx>
        <c:axId val="90502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504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TH_Data!$E$385:$E$396</c:f>
              <c:numCache>
                <c:formatCode>#,##0</c:formatCode>
                <c:ptCount val="12"/>
                <c:pt idx="0">
                  <c:v>101068097.32039945</c:v>
                </c:pt>
                <c:pt idx="1">
                  <c:v>88817474.135881677</c:v>
                </c:pt>
                <c:pt idx="2">
                  <c:v>106580968.96305802</c:v>
                </c:pt>
                <c:pt idx="3">
                  <c:v>133226211.20382252</c:v>
                </c:pt>
                <c:pt idx="4">
                  <c:v>127897162.75566959</c:v>
                </c:pt>
                <c:pt idx="5">
                  <c:v>130455106.010783</c:v>
                </c:pt>
                <c:pt idx="6">
                  <c:v>136977861.31132218</c:v>
                </c:pt>
                <c:pt idx="7">
                  <c:v>150675647.4424544</c:v>
                </c:pt>
                <c:pt idx="8">
                  <c:v>180810776.93094528</c:v>
                </c:pt>
                <c:pt idx="9">
                  <c:v>207932393.47058702</c:v>
                </c:pt>
                <c:pt idx="10">
                  <c:v>270312111.5117631</c:v>
                </c:pt>
                <c:pt idx="11">
                  <c:v>351405744.9652921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3-43BF-B83F-164C5A113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503216"/>
        <c:axId val="9050648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TH_Data!$F$385:$F$396</c:f>
              <c:numCache>
                <c:formatCode>#,##0</c:formatCode>
                <c:ptCount val="12"/>
                <c:pt idx="0">
                  <c:v>83731674</c:v>
                </c:pt>
                <c:pt idx="1">
                  <c:v>80755802</c:v>
                </c:pt>
                <c:pt idx="2">
                  <c:v>103932465</c:v>
                </c:pt>
                <c:pt idx="3">
                  <c:v>111270105</c:v>
                </c:pt>
                <c:pt idx="4">
                  <c:v>106062922</c:v>
                </c:pt>
                <c:pt idx="5">
                  <c:v>96421756</c:v>
                </c:pt>
                <c:pt idx="6">
                  <c:v>142012046</c:v>
                </c:pt>
                <c:pt idx="7">
                  <c:v>168781036</c:v>
                </c:pt>
                <c:pt idx="8">
                  <c:v>154215658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A3-43BF-B83F-164C5A113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05392"/>
        <c:axId val="90503760"/>
      </c:barChart>
      <c:catAx>
        <c:axId val="9050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6480"/>
        <c:crosses val="autoZero"/>
        <c:auto val="1"/>
        <c:lblAlgn val="ctr"/>
        <c:lblOffset val="100"/>
        <c:noMultiLvlLbl val="0"/>
      </c:catAx>
      <c:valAx>
        <c:axId val="905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3216"/>
        <c:crosses val="autoZero"/>
        <c:crossBetween val="between"/>
      </c:valAx>
      <c:valAx>
        <c:axId val="9050376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90505392"/>
        <c:crosses val="max"/>
        <c:crossBetween val="between"/>
      </c:valAx>
      <c:catAx>
        <c:axId val="90505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503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  <c:pt idx="0">
                  <c:v>18192.2575176719</c:v>
                </c:pt>
                <c:pt idx="1">
                  <c:v>15987.145344458702</c:v>
                </c:pt>
                <c:pt idx="2">
                  <c:v>19184.574413350445</c:v>
                </c:pt>
                <c:pt idx="3">
                  <c:v>23980.718016688057</c:v>
                </c:pt>
                <c:pt idx="4">
                  <c:v>23021.489296020529</c:v>
                </c:pt>
                <c:pt idx="5">
                  <c:v>23481.919081940941</c:v>
                </c:pt>
                <c:pt idx="6">
                  <c:v>24656.015036037996</c:v>
                </c:pt>
                <c:pt idx="7">
                  <c:v>27121.616539641793</c:v>
                </c:pt>
                <c:pt idx="8">
                  <c:v>32545.939847570153</c:v>
                </c:pt>
                <c:pt idx="9">
                  <c:v>37427.830824705663</c:v>
                </c:pt>
                <c:pt idx="10">
                  <c:v>48656.180072117357</c:v>
                </c:pt>
                <c:pt idx="11">
                  <c:v>63253.034093752583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8-491B-B86A-A5164994B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0505936"/>
        <c:axId val="9050811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  <c:pt idx="0">
                  <c:v>11744.779999999999</c:v>
                </c:pt>
                <c:pt idx="1">
                  <c:v>17885.199999999997</c:v>
                </c:pt>
                <c:pt idx="2">
                  <c:v>34740.61</c:v>
                </c:pt>
                <c:pt idx="3">
                  <c:v>33316.100000000006</c:v>
                </c:pt>
                <c:pt idx="4">
                  <c:v>31918.839999999997</c:v>
                </c:pt>
                <c:pt idx="5">
                  <c:v>30405.260000000002</c:v>
                </c:pt>
                <c:pt idx="6">
                  <c:v>45395.429999999993</c:v>
                </c:pt>
                <c:pt idx="7">
                  <c:v>54772.393999999687</c:v>
                </c:pt>
                <c:pt idx="8">
                  <c:v>61792.702999999892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C8-491B-B86A-A5164994B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09200"/>
        <c:axId val="90508656"/>
      </c:barChart>
      <c:catAx>
        <c:axId val="9050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8112"/>
        <c:crosses val="autoZero"/>
        <c:auto val="1"/>
        <c:lblAlgn val="ctr"/>
        <c:lblOffset val="100"/>
        <c:noMultiLvlLbl val="0"/>
      </c:catAx>
      <c:valAx>
        <c:axId val="90508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5936"/>
        <c:crosses val="autoZero"/>
        <c:crossBetween val="between"/>
      </c:valAx>
      <c:valAx>
        <c:axId val="90508656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0509200"/>
        <c:crosses val="max"/>
        <c:crossBetween val="between"/>
      </c:valAx>
      <c:catAx>
        <c:axId val="90509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508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TH_Data!$G$385:$G$396</c:f>
              <c:numCache>
                <c:formatCode>#,##0</c:formatCode>
                <c:ptCount val="12"/>
                <c:pt idx="0">
                  <c:v>9265411.4280192014</c:v>
                </c:pt>
                <c:pt idx="1">
                  <c:v>8142336.3225845424</c:v>
                </c:pt>
                <c:pt idx="2">
                  <c:v>9770803.5871014521</c:v>
                </c:pt>
                <c:pt idx="3">
                  <c:v>12213504.483876813</c:v>
                </c:pt>
                <c:pt idx="4">
                  <c:v>11724964.304521739</c:v>
                </c:pt>
                <c:pt idx="5">
                  <c:v>11959463.590612175</c:v>
                </c:pt>
                <c:pt idx="6">
                  <c:v>12557436.770142784</c:v>
                </c:pt>
                <c:pt idx="7">
                  <c:v>13813180.447157064</c:v>
                </c:pt>
                <c:pt idx="8">
                  <c:v>16575816.536588477</c:v>
                </c:pt>
                <c:pt idx="9">
                  <c:v>19062189.017076746</c:v>
                </c:pt>
                <c:pt idx="10">
                  <c:v>24780845.722199768</c:v>
                </c:pt>
                <c:pt idx="11">
                  <c:v>32215099.438859701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E-419B-8BED-3A2FE1979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1195248"/>
        <c:axId val="9117348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TH_Data!$H$385:$H$396</c:f>
              <c:numCache>
                <c:formatCode>#,##0</c:formatCode>
                <c:ptCount val="12"/>
                <c:pt idx="0">
                  <c:v>6427843</c:v>
                </c:pt>
                <c:pt idx="1">
                  <c:v>6236890</c:v>
                </c:pt>
                <c:pt idx="2">
                  <c:v>8986233</c:v>
                </c:pt>
                <c:pt idx="3">
                  <c:v>12987814</c:v>
                </c:pt>
                <c:pt idx="4">
                  <c:v>15179425</c:v>
                </c:pt>
                <c:pt idx="5">
                  <c:v>16329420</c:v>
                </c:pt>
                <c:pt idx="6">
                  <c:v>26832577</c:v>
                </c:pt>
                <c:pt idx="7">
                  <c:v>66967835</c:v>
                </c:pt>
                <c:pt idx="8">
                  <c:v>89849762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AE-419B-8BED-3A2FE1979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70768"/>
        <c:axId val="91180560"/>
      </c:barChart>
      <c:catAx>
        <c:axId val="9119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3488"/>
        <c:crosses val="autoZero"/>
        <c:auto val="1"/>
        <c:lblAlgn val="ctr"/>
        <c:lblOffset val="100"/>
        <c:noMultiLvlLbl val="0"/>
      </c:catAx>
      <c:valAx>
        <c:axId val="91173488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95248"/>
        <c:crosses val="autoZero"/>
        <c:crossBetween val="between"/>
      </c:valAx>
      <c:valAx>
        <c:axId val="9118056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91170768"/>
        <c:crosses val="max"/>
        <c:crossBetween val="between"/>
      </c:valAx>
      <c:catAx>
        <c:axId val="91170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80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  <c:pt idx="0">
                  <c:v>1667.7740570434564</c:v>
                </c:pt>
                <c:pt idx="1">
                  <c:v>1465.6205380652177</c:v>
                </c:pt>
                <c:pt idx="2">
                  <c:v>1758.7446456782616</c:v>
                </c:pt>
                <c:pt idx="3">
                  <c:v>2198.4308070978263</c:v>
                </c:pt>
                <c:pt idx="4">
                  <c:v>2110.4935748139133</c:v>
                </c:pt>
                <c:pt idx="5">
                  <c:v>2152.7034463101918</c:v>
                </c:pt>
                <c:pt idx="6">
                  <c:v>2260.3386186257012</c:v>
                </c:pt>
                <c:pt idx="7">
                  <c:v>2486.3724804882718</c:v>
                </c:pt>
                <c:pt idx="8">
                  <c:v>2983.646976585926</c:v>
                </c:pt>
                <c:pt idx="9">
                  <c:v>3431.1940230738146</c:v>
                </c:pt>
                <c:pt idx="10">
                  <c:v>4460.5522299959584</c:v>
                </c:pt>
                <c:pt idx="11">
                  <c:v>5798.717898994747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D-4E46-83AF-E7BA1FB5C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1176208"/>
        <c:axId val="9118436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  <c:pt idx="0">
                  <c:v>571.70000000000005</c:v>
                </c:pt>
                <c:pt idx="1">
                  <c:v>826.6099999999999</c:v>
                </c:pt>
                <c:pt idx="2">
                  <c:v>1861.6100000000001</c:v>
                </c:pt>
                <c:pt idx="3">
                  <c:v>2969.36</c:v>
                </c:pt>
                <c:pt idx="4">
                  <c:v>3022.3300000000004</c:v>
                </c:pt>
                <c:pt idx="5">
                  <c:v>3610.8499999999995</c:v>
                </c:pt>
                <c:pt idx="6">
                  <c:v>9670.14</c:v>
                </c:pt>
                <c:pt idx="7">
                  <c:v>23652.75799999966</c:v>
                </c:pt>
                <c:pt idx="8">
                  <c:v>46022.833999999631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FD-4E46-83AF-E7BA1FB5C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67504"/>
        <c:axId val="91179472"/>
      </c:barChart>
      <c:catAx>
        <c:axId val="9117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4368"/>
        <c:crosses val="autoZero"/>
        <c:auto val="1"/>
        <c:lblAlgn val="ctr"/>
        <c:lblOffset val="100"/>
        <c:noMultiLvlLbl val="0"/>
      </c:catAx>
      <c:valAx>
        <c:axId val="91184368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6208"/>
        <c:crosses val="autoZero"/>
        <c:crossBetween val="between"/>
      </c:valAx>
      <c:valAx>
        <c:axId val="91179472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1167504"/>
        <c:crosses val="max"/>
        <c:crossBetween val="between"/>
      </c:valAx>
      <c:catAx>
        <c:axId val="91167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79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[MUSIC] Q1</a:t>
            </a:r>
            <a:r>
              <a:rPr lang="en-US" baseline="0"/>
              <a:t>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694676.48700000008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4-49E0-86B2-E152C7B95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91181104"/>
        <c:axId val="9118654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209305.28000000003</c:v>
                </c:pt>
                <c:pt idx="1">
                  <c:v>215749.06065099995</c:v>
                </c:pt>
                <c:pt idx="2">
                  <c:v>267458.62524299999</c:v>
                </c:pt>
                <c:pt idx="3">
                  <c:v>692512.96589399991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34-49E0-86B2-E152C7B95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65872"/>
        <c:axId val="91191440"/>
      </c:barChart>
      <c:catAx>
        <c:axId val="9118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6544"/>
        <c:crosses val="autoZero"/>
        <c:auto val="1"/>
        <c:lblAlgn val="ctr"/>
        <c:lblOffset val="100"/>
        <c:noMultiLvlLbl val="0"/>
      </c:catAx>
      <c:valAx>
        <c:axId val="911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1104"/>
        <c:crosses val="autoZero"/>
        <c:crossBetween val="between"/>
      </c:valAx>
      <c:valAx>
        <c:axId val="91191440"/>
        <c:scaling>
          <c:orientation val="minMax"/>
          <c:max val="1200000"/>
        </c:scaling>
        <c:delete val="1"/>
        <c:axPos val="r"/>
        <c:numFmt formatCode="#,##0" sourceLinked="1"/>
        <c:majorTickMark val="out"/>
        <c:minorTickMark val="none"/>
        <c:tickLblPos val="nextTo"/>
        <c:crossAx val="91165872"/>
        <c:crosses val="max"/>
        <c:crossBetween val="between"/>
      </c:valAx>
      <c:catAx>
        <c:axId val="91165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91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[ENT]</a:t>
            </a:r>
            <a:r>
              <a:rPr lang="en-US" baseline="0"/>
              <a:t> Q1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1040752.483003783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2-4271-A546-D93A0A42D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91172944"/>
        <c:axId val="91172400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274067.39600499993</c:v>
                </c:pt>
                <c:pt idx="1">
                  <c:v>269645.51232699992</c:v>
                </c:pt>
                <c:pt idx="2">
                  <c:v>515836.44359899999</c:v>
                </c:pt>
                <c:pt idx="3">
                  <c:v>1059549.3519309997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2-4271-A546-D93A0A42D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69680"/>
        <c:axId val="91185456"/>
      </c:barChart>
      <c:catAx>
        <c:axId val="9117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2400"/>
        <c:crosses val="autoZero"/>
        <c:auto val="1"/>
        <c:lblAlgn val="ctr"/>
        <c:lblOffset val="100"/>
        <c:noMultiLvlLbl val="0"/>
      </c:catAx>
      <c:valAx>
        <c:axId val="91172400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2944"/>
        <c:crosses val="autoZero"/>
        <c:crossBetween val="between"/>
      </c:valAx>
      <c:valAx>
        <c:axId val="91185456"/>
        <c:scaling>
          <c:orientation val="minMax"/>
          <c:max val="1400000"/>
        </c:scaling>
        <c:delete val="1"/>
        <c:axPos val="r"/>
        <c:numFmt formatCode="#,##0" sourceLinked="1"/>
        <c:majorTickMark val="out"/>
        <c:minorTickMark val="none"/>
        <c:tickLblPos val="nextTo"/>
        <c:crossAx val="91169680"/>
        <c:crosses val="max"/>
        <c:crossBetween val="between"/>
      </c:valAx>
      <c:catAx>
        <c:axId val="9116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8545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[KIDS]</a:t>
            </a:r>
            <a:r>
              <a:rPr lang="en-US" baseline="0"/>
              <a:t> Q1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graphs'!$U$2:$X$2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graphs'!$U$3:$X$3</c:f>
              <c:numCache>
                <c:formatCode>#,##0</c:formatCode>
                <c:ptCount val="4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354688.12538633024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9-483F-896E-579BF5FA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91184912"/>
        <c:axId val="9116478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graphs'!$U$2:$X$2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graphs'!$U$4:$X$4</c:f>
              <c:numCache>
                <c:formatCode>#,##0</c:formatCode>
                <c:ptCount val="4"/>
                <c:pt idx="0">
                  <c:v>146115.793493</c:v>
                </c:pt>
                <c:pt idx="1">
                  <c:v>116245.57551000001</c:v>
                </c:pt>
                <c:pt idx="2">
                  <c:v>166621.43036999996</c:v>
                </c:pt>
                <c:pt idx="3">
                  <c:v>428982.79937299999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89-483F-896E-579BF5FA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74032"/>
        <c:axId val="91186000"/>
      </c:barChart>
      <c:catAx>
        <c:axId val="9118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64784"/>
        <c:crosses val="autoZero"/>
        <c:auto val="1"/>
        <c:lblAlgn val="ctr"/>
        <c:lblOffset val="100"/>
        <c:noMultiLvlLbl val="0"/>
      </c:catAx>
      <c:valAx>
        <c:axId val="9116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4912"/>
        <c:crosses val="autoZero"/>
        <c:crossBetween val="between"/>
      </c:valAx>
      <c:valAx>
        <c:axId val="91186000"/>
        <c:scaling>
          <c:orientation val="minMax"/>
          <c:max val="600000"/>
        </c:scaling>
        <c:delete val="1"/>
        <c:axPos val="r"/>
        <c:numFmt formatCode="#,##0" sourceLinked="1"/>
        <c:majorTickMark val="out"/>
        <c:minorTickMark val="none"/>
        <c:tickLblPos val="nextTo"/>
        <c:crossAx val="91174032"/>
        <c:crosses val="max"/>
        <c:crossBetween val="between"/>
      </c:valAx>
      <c:catAx>
        <c:axId val="91174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86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graphs'!$AD$2:$AG$2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graphs'!$AD$3:$AG$3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E-4706-AF7A-3493CC34E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91177296"/>
        <c:axId val="91177840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graphs'!$AD$2:$AG$2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graphs'!$AD$4:$AG$4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E-4706-AF7A-3493CC34E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80016"/>
        <c:axId val="91175664"/>
      </c:barChart>
      <c:catAx>
        <c:axId val="9117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7840"/>
        <c:crosses val="autoZero"/>
        <c:auto val="1"/>
        <c:lblAlgn val="ctr"/>
        <c:lblOffset val="100"/>
        <c:noMultiLvlLbl val="0"/>
      </c:catAx>
      <c:valAx>
        <c:axId val="91177840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7296"/>
        <c:crosses val="autoZero"/>
        <c:crossBetween val="between"/>
      </c:valAx>
      <c:valAx>
        <c:axId val="9117566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91180016"/>
        <c:crosses val="max"/>
        <c:crossBetween val="between"/>
      </c:valAx>
      <c:catAx>
        <c:axId val="91180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75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[MUSIC] Q2</a:t>
            </a:r>
            <a:r>
              <a:rPr lang="en-US" b="1" baseline="0"/>
              <a:t>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graphs'!$C$3:$F$3</c:f>
              <c:numCache>
                <c:formatCode>"$"#,##0</c:formatCode>
                <c:ptCount val="4"/>
                <c:pt idx="0">
                  <c:v>291254.53000000003</c:v>
                </c:pt>
                <c:pt idx="1">
                  <c:v>322226.97000000003</c:v>
                </c:pt>
                <c:pt idx="2">
                  <c:v>226505.22019899506</c:v>
                </c:pt>
                <c:pt idx="3">
                  <c:v>839986.72019899508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0-4E40-B27B-85DE16FC4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91174576"/>
        <c:axId val="9117022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graphs'!$C$4:$F$4</c:f>
              <c:numCache>
                <c:formatCode>"$"#,##0</c:formatCode>
                <c:ptCount val="4"/>
                <c:pt idx="0">
                  <c:v>290768.39</c:v>
                </c:pt>
                <c:pt idx="1">
                  <c:v>321801.61</c:v>
                </c:pt>
                <c:pt idx="2">
                  <c:v>299526.49</c:v>
                </c:pt>
                <c:pt idx="3">
                  <c:v>912096.49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A0-4E40-B27B-85DE16FC4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87088"/>
        <c:axId val="91189808"/>
      </c:barChart>
      <c:catAx>
        <c:axId val="9117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0224"/>
        <c:crosses val="autoZero"/>
        <c:auto val="1"/>
        <c:lblAlgn val="ctr"/>
        <c:lblOffset val="100"/>
        <c:noMultiLvlLbl val="0"/>
      </c:catAx>
      <c:valAx>
        <c:axId val="911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4576"/>
        <c:crosses val="autoZero"/>
        <c:crossBetween val="between"/>
      </c:valAx>
      <c:valAx>
        <c:axId val="91189808"/>
        <c:scaling>
          <c:orientation val="minMax"/>
          <c:max val="12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91187088"/>
        <c:crosses val="max"/>
        <c:crossBetween val="between"/>
      </c:valAx>
      <c:catAx>
        <c:axId val="91187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89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[ENT]</a:t>
            </a:r>
            <a:r>
              <a:rPr lang="en-US" b="1" baseline="0"/>
              <a:t> Q2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graphs'!$L$3:$O$3</c:f>
              <c:numCache>
                <c:formatCode>"$"#,##0</c:formatCode>
                <c:ptCount val="4"/>
                <c:pt idx="0">
                  <c:v>402048.58660797658</c:v>
                </c:pt>
                <c:pt idx="1">
                  <c:v>435568.61059202644</c:v>
                </c:pt>
                <c:pt idx="2">
                  <c:v>427463.74202063092</c:v>
                </c:pt>
                <c:pt idx="3">
                  <c:v>1265080.9392206341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C-4B92-9619-6823CF99C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91196336"/>
        <c:axId val="91196880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graphs'!$L$4:$O$4</c:f>
              <c:numCache>
                <c:formatCode>"$"#,##0</c:formatCode>
                <c:ptCount val="4"/>
                <c:pt idx="0">
                  <c:v>462823.83</c:v>
                </c:pt>
                <c:pt idx="1">
                  <c:v>482583.79</c:v>
                </c:pt>
                <c:pt idx="2">
                  <c:v>472634.07</c:v>
                </c:pt>
                <c:pt idx="3">
                  <c:v>1418041.69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EC-4B92-9619-6823CF99C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75120"/>
        <c:axId val="91178384"/>
      </c:barChart>
      <c:catAx>
        <c:axId val="9119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96880"/>
        <c:crosses val="autoZero"/>
        <c:auto val="1"/>
        <c:lblAlgn val="ctr"/>
        <c:lblOffset val="100"/>
        <c:noMultiLvlLbl val="0"/>
      </c:catAx>
      <c:valAx>
        <c:axId val="91196880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96336"/>
        <c:crosses val="autoZero"/>
        <c:crossBetween val="between"/>
      </c:valAx>
      <c:valAx>
        <c:axId val="91178384"/>
        <c:scaling>
          <c:orientation val="minMax"/>
          <c:max val="14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91175120"/>
        <c:crosses val="max"/>
        <c:crossBetween val="between"/>
      </c:valAx>
      <c:catAx>
        <c:axId val="91175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7838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[KIDS]</a:t>
            </a:r>
            <a:r>
              <a:rPr lang="en-US" b="1" baseline="0"/>
              <a:t> Q2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graphs'!$U$2:$X$2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graphs'!$U$3:$X$3</c:f>
              <c:numCache>
                <c:formatCode>"$"#,##0</c:formatCode>
                <c:ptCount val="4"/>
                <c:pt idx="0">
                  <c:v>137018.03438088796</c:v>
                </c:pt>
                <c:pt idx="1">
                  <c:v>148441.64822180182</c:v>
                </c:pt>
                <c:pt idx="2">
                  <c:v>145679.5115110692</c:v>
                </c:pt>
                <c:pt idx="3">
                  <c:v>431139.19411375897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B-48A0-8966-247AD05B8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91176752"/>
        <c:axId val="91171312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graphs'!$U$2:$X$2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graphs'!$U$4:$X$4</c:f>
              <c:numCache>
                <c:formatCode>"$"#,##0</c:formatCode>
                <c:ptCount val="4"/>
                <c:pt idx="0">
                  <c:v>167993.08000000002</c:v>
                </c:pt>
                <c:pt idx="1">
                  <c:v>205207.7</c:v>
                </c:pt>
                <c:pt idx="2">
                  <c:v>230738.49</c:v>
                </c:pt>
                <c:pt idx="3">
                  <c:v>603939.27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4B-48A0-8966-247AD05B8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78928"/>
        <c:axId val="91190896"/>
      </c:barChart>
      <c:catAx>
        <c:axId val="9117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1312"/>
        <c:crosses val="autoZero"/>
        <c:auto val="1"/>
        <c:lblAlgn val="ctr"/>
        <c:lblOffset val="100"/>
        <c:noMultiLvlLbl val="0"/>
      </c:catAx>
      <c:valAx>
        <c:axId val="911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6752"/>
        <c:crosses val="autoZero"/>
        <c:crossBetween val="between"/>
      </c:valAx>
      <c:valAx>
        <c:axId val="91190896"/>
        <c:scaling>
          <c:orientation val="minMax"/>
          <c:max val="6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91178928"/>
        <c:crosses val="max"/>
        <c:crossBetween val="between"/>
      </c:valAx>
      <c:catAx>
        <c:axId val="9117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90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[AFF]</a:t>
            </a:r>
            <a:r>
              <a:rPr lang="en-US" b="1" baseline="0"/>
              <a:t> Q2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graphs'!$AD$2:$AG$2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graphs'!$AD$3:$AG$3</c:f>
              <c:numCache>
                <c:formatCode>"$"#,##0</c:formatCode>
                <c:ptCount val="4"/>
                <c:pt idx="0">
                  <c:v>15757.131188428062</c:v>
                </c:pt>
                <c:pt idx="1">
                  <c:v>17070.851551959495</c:v>
                </c:pt>
                <c:pt idx="2">
                  <c:v>16753.20467643653</c:v>
                </c:pt>
                <c:pt idx="3">
                  <c:v>49581.187416824083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F-4330-9BEB-D60C5B038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91187632"/>
        <c:axId val="9119198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graphs'!$AD$2:$AG$2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graphs'!$AD$4:$AG$4</c:f>
              <c:numCache>
                <c:formatCode>"$"#,##0</c:formatCode>
                <c:ptCount val="4"/>
                <c:pt idx="0">
                  <c:v>120675.02</c:v>
                </c:pt>
                <c:pt idx="1">
                  <c:v>178209.89</c:v>
                </c:pt>
                <c:pt idx="2">
                  <c:v>51287.92</c:v>
                </c:pt>
                <c:pt idx="3">
                  <c:v>350172.83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F-4330-9BEB-D60C5B038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92528"/>
        <c:axId val="91188176"/>
      </c:barChart>
      <c:catAx>
        <c:axId val="911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91984"/>
        <c:crosses val="autoZero"/>
        <c:auto val="1"/>
        <c:lblAlgn val="ctr"/>
        <c:lblOffset val="100"/>
        <c:noMultiLvlLbl val="0"/>
      </c:catAx>
      <c:valAx>
        <c:axId val="911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7632"/>
        <c:crosses val="autoZero"/>
        <c:crossBetween val="between"/>
      </c:valAx>
      <c:valAx>
        <c:axId val="91188176"/>
        <c:scaling>
          <c:orientation val="minMax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91192528"/>
        <c:crosses val="max"/>
        <c:crossBetween val="between"/>
      </c:valAx>
      <c:catAx>
        <c:axId val="91192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18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8.xml"/><Relationship Id="rId18" Type="http://schemas.openxmlformats.org/officeDocument/2006/relationships/chart" Target="../charts/chart23.xml"/><Relationship Id="rId26" Type="http://schemas.openxmlformats.org/officeDocument/2006/relationships/chart" Target="../charts/chart31.xml"/><Relationship Id="rId3" Type="http://schemas.openxmlformats.org/officeDocument/2006/relationships/chart" Target="../charts/chart8.xml"/><Relationship Id="rId21" Type="http://schemas.openxmlformats.org/officeDocument/2006/relationships/chart" Target="../charts/chart26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17" Type="http://schemas.openxmlformats.org/officeDocument/2006/relationships/chart" Target="../charts/chart22.xml"/><Relationship Id="rId25" Type="http://schemas.openxmlformats.org/officeDocument/2006/relationships/chart" Target="../charts/chart30.xml"/><Relationship Id="rId2" Type="http://schemas.openxmlformats.org/officeDocument/2006/relationships/chart" Target="../charts/chart7.xml"/><Relationship Id="rId16" Type="http://schemas.openxmlformats.org/officeDocument/2006/relationships/chart" Target="../charts/chart21.xml"/><Relationship Id="rId20" Type="http://schemas.openxmlformats.org/officeDocument/2006/relationships/chart" Target="../charts/chart25.xml"/><Relationship Id="rId29" Type="http://schemas.openxmlformats.org/officeDocument/2006/relationships/chart" Target="../charts/chart34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24" Type="http://schemas.openxmlformats.org/officeDocument/2006/relationships/chart" Target="../charts/chart29.xml"/><Relationship Id="rId5" Type="http://schemas.openxmlformats.org/officeDocument/2006/relationships/chart" Target="../charts/chart10.xml"/><Relationship Id="rId15" Type="http://schemas.openxmlformats.org/officeDocument/2006/relationships/chart" Target="../charts/chart20.xml"/><Relationship Id="rId23" Type="http://schemas.openxmlformats.org/officeDocument/2006/relationships/chart" Target="../charts/chart28.xml"/><Relationship Id="rId28" Type="http://schemas.openxmlformats.org/officeDocument/2006/relationships/chart" Target="../charts/chart33.xml"/><Relationship Id="rId10" Type="http://schemas.openxmlformats.org/officeDocument/2006/relationships/chart" Target="../charts/chart15.xml"/><Relationship Id="rId19" Type="http://schemas.openxmlformats.org/officeDocument/2006/relationships/chart" Target="../charts/chart24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Relationship Id="rId14" Type="http://schemas.openxmlformats.org/officeDocument/2006/relationships/chart" Target="../charts/chart19.xml"/><Relationship Id="rId22" Type="http://schemas.openxmlformats.org/officeDocument/2006/relationships/chart" Target="../charts/chart27.xml"/><Relationship Id="rId27" Type="http://schemas.openxmlformats.org/officeDocument/2006/relationships/chart" Target="../charts/chart32.xml"/><Relationship Id="rId30" Type="http://schemas.openxmlformats.org/officeDocument/2006/relationships/chart" Target="../charts/chart3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4" Type="http://schemas.openxmlformats.org/officeDocument/2006/relationships/chart" Target="../charts/chart4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4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0</xdr:colOff>
      <xdr:row>23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17</xdr:col>
      <xdr:colOff>7620</xdr:colOff>
      <xdr:row>76</xdr:row>
      <xdr:rowOff>91440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17</xdr:col>
      <xdr:colOff>0</xdr:colOff>
      <xdr:row>47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78</xdr:row>
      <xdr:rowOff>0</xdr:rowOff>
    </xdr:from>
    <xdr:to>
      <xdr:col>14</xdr:col>
      <xdr:colOff>91440</xdr:colOff>
      <xdr:row>100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102</xdr:row>
      <xdr:rowOff>0</xdr:rowOff>
    </xdr:from>
    <xdr:to>
      <xdr:col>14</xdr:col>
      <xdr:colOff>91440</xdr:colOff>
      <xdr:row>124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34</xdr:col>
      <xdr:colOff>0</xdr:colOff>
      <xdr:row>25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5</xdr:row>
      <xdr:rowOff>0</xdr:rowOff>
    </xdr:from>
    <xdr:to>
      <xdr:col>43</xdr:col>
      <xdr:colOff>0</xdr:colOff>
      <xdr:row>25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46</xdr:col>
      <xdr:colOff>0</xdr:colOff>
      <xdr:row>5</xdr:row>
      <xdr:rowOff>0</xdr:rowOff>
    </xdr:from>
    <xdr:to>
      <xdr:col>54</xdr:col>
      <xdr:colOff>0</xdr:colOff>
      <xdr:row>25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55</xdr:col>
      <xdr:colOff>0</xdr:colOff>
      <xdr:row>5</xdr:row>
      <xdr:rowOff>0</xdr:rowOff>
    </xdr:from>
    <xdr:to>
      <xdr:col>63</xdr:col>
      <xdr:colOff>0</xdr:colOff>
      <xdr:row>25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66</xdr:col>
      <xdr:colOff>0</xdr:colOff>
      <xdr:row>5</xdr:row>
      <xdr:rowOff>0</xdr:rowOff>
    </xdr:from>
    <xdr:to>
      <xdr:col>74</xdr:col>
      <xdr:colOff>0</xdr:colOff>
      <xdr:row>25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75</xdr:col>
      <xdr:colOff>0</xdr:colOff>
      <xdr:row>5</xdr:row>
      <xdr:rowOff>0</xdr:rowOff>
    </xdr:from>
    <xdr:to>
      <xdr:col>83</xdr:col>
      <xdr:colOff>0</xdr:colOff>
      <xdr:row>25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86</xdr:col>
      <xdr:colOff>0</xdr:colOff>
      <xdr:row>5</xdr:row>
      <xdr:rowOff>0</xdr:rowOff>
    </xdr:from>
    <xdr:to>
      <xdr:col>94</xdr:col>
      <xdr:colOff>0</xdr:colOff>
      <xdr:row>25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95</xdr:col>
      <xdr:colOff>0</xdr:colOff>
      <xdr:row>5</xdr:row>
      <xdr:rowOff>0</xdr:rowOff>
    </xdr:from>
    <xdr:to>
      <xdr:col>103</xdr:col>
      <xdr:colOff>0</xdr:colOff>
      <xdr:row>25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0</xdr:colOff>
      <xdr:row>30</xdr:row>
      <xdr:rowOff>0</xdr:rowOff>
    </xdr:from>
    <xdr:to>
      <xdr:col>34</xdr:col>
      <xdr:colOff>0</xdr:colOff>
      <xdr:row>49</xdr:row>
      <xdr:rowOff>175260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0</xdr:colOff>
      <xdr:row>30</xdr:row>
      <xdr:rowOff>0</xdr:rowOff>
    </xdr:from>
    <xdr:to>
      <xdr:col>43</xdr:col>
      <xdr:colOff>0</xdr:colOff>
      <xdr:row>49</xdr:row>
      <xdr:rowOff>175260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46</xdr:col>
      <xdr:colOff>0</xdr:colOff>
      <xdr:row>30</xdr:row>
      <xdr:rowOff>0</xdr:rowOff>
    </xdr:from>
    <xdr:to>
      <xdr:col>54</xdr:col>
      <xdr:colOff>0</xdr:colOff>
      <xdr:row>50</xdr:row>
      <xdr:rowOff>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55</xdr:col>
      <xdr:colOff>0</xdr:colOff>
      <xdr:row>30</xdr:row>
      <xdr:rowOff>0</xdr:rowOff>
    </xdr:from>
    <xdr:to>
      <xdr:col>63</xdr:col>
      <xdr:colOff>0</xdr:colOff>
      <xdr:row>50</xdr:row>
      <xdr:rowOff>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66</xdr:col>
      <xdr:colOff>0</xdr:colOff>
      <xdr:row>30</xdr:row>
      <xdr:rowOff>0</xdr:rowOff>
    </xdr:from>
    <xdr:to>
      <xdr:col>74</xdr:col>
      <xdr:colOff>0</xdr:colOff>
      <xdr:row>49</xdr:row>
      <xdr:rowOff>175260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75</xdr:col>
      <xdr:colOff>0</xdr:colOff>
      <xdr:row>30</xdr:row>
      <xdr:rowOff>0</xdr:rowOff>
    </xdr:from>
    <xdr:to>
      <xdr:col>83</xdr:col>
      <xdr:colOff>0</xdr:colOff>
      <xdr:row>49</xdr:row>
      <xdr:rowOff>175260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86</xdr:col>
      <xdr:colOff>0</xdr:colOff>
      <xdr:row>30</xdr:row>
      <xdr:rowOff>0</xdr:rowOff>
    </xdr:from>
    <xdr:to>
      <xdr:col>94</xdr:col>
      <xdr:colOff>0</xdr:colOff>
      <xdr:row>50</xdr:row>
      <xdr:rowOff>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95</xdr:col>
      <xdr:colOff>0</xdr:colOff>
      <xdr:row>30</xdr:row>
      <xdr:rowOff>0</xdr:rowOff>
    </xdr:from>
    <xdr:to>
      <xdr:col>103</xdr:col>
      <xdr:colOff>0</xdr:colOff>
      <xdr:row>50</xdr:row>
      <xdr:rowOff>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26</xdr:col>
      <xdr:colOff>0</xdr:colOff>
      <xdr:row>55</xdr:row>
      <xdr:rowOff>0</xdr:rowOff>
    </xdr:from>
    <xdr:to>
      <xdr:col>34</xdr:col>
      <xdr:colOff>0</xdr:colOff>
      <xdr:row>74</xdr:row>
      <xdr:rowOff>175260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35</xdr:col>
      <xdr:colOff>0</xdr:colOff>
      <xdr:row>55</xdr:row>
      <xdr:rowOff>0</xdr:rowOff>
    </xdr:from>
    <xdr:to>
      <xdr:col>43</xdr:col>
      <xdr:colOff>0</xdr:colOff>
      <xdr:row>74</xdr:row>
      <xdr:rowOff>175260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46</xdr:col>
      <xdr:colOff>0</xdr:colOff>
      <xdr:row>55</xdr:row>
      <xdr:rowOff>0</xdr:rowOff>
    </xdr:from>
    <xdr:to>
      <xdr:col>54</xdr:col>
      <xdr:colOff>0</xdr:colOff>
      <xdr:row>75</xdr:row>
      <xdr:rowOff>7620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55</xdr:col>
      <xdr:colOff>0</xdr:colOff>
      <xdr:row>55</xdr:row>
      <xdr:rowOff>0</xdr:rowOff>
    </xdr:from>
    <xdr:to>
      <xdr:col>63</xdr:col>
      <xdr:colOff>0</xdr:colOff>
      <xdr:row>75</xdr:row>
      <xdr:rowOff>7620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66</xdr:col>
      <xdr:colOff>0</xdr:colOff>
      <xdr:row>55</xdr:row>
      <xdr:rowOff>0</xdr:rowOff>
    </xdr:from>
    <xdr:to>
      <xdr:col>74</xdr:col>
      <xdr:colOff>0</xdr:colOff>
      <xdr:row>75</xdr:row>
      <xdr:rowOff>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75</xdr:col>
      <xdr:colOff>0</xdr:colOff>
      <xdr:row>55</xdr:row>
      <xdr:rowOff>0</xdr:rowOff>
    </xdr:from>
    <xdr:to>
      <xdr:col>83</xdr:col>
      <xdr:colOff>0</xdr:colOff>
      <xdr:row>75</xdr:row>
      <xdr:rowOff>0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86</xdr:col>
      <xdr:colOff>0</xdr:colOff>
      <xdr:row>55</xdr:row>
      <xdr:rowOff>0</xdr:rowOff>
    </xdr:from>
    <xdr:to>
      <xdr:col>94</xdr:col>
      <xdr:colOff>0</xdr:colOff>
      <xdr:row>75</xdr:row>
      <xdr:rowOff>15240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95</xdr:col>
      <xdr:colOff>0</xdr:colOff>
      <xdr:row>55</xdr:row>
      <xdr:rowOff>0</xdr:rowOff>
    </xdr:from>
    <xdr:to>
      <xdr:col>103</xdr:col>
      <xdr:colOff>0</xdr:colOff>
      <xdr:row>75</xdr:row>
      <xdr:rowOff>15240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8</xdr:col>
      <xdr:colOff>457200</xdr:colOff>
      <xdr:row>23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6</xdr:row>
      <xdr:rowOff>0</xdr:rowOff>
    </xdr:from>
    <xdr:to>
      <xdr:col>27</xdr:col>
      <xdr:colOff>0</xdr:colOff>
      <xdr:row>23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6</xdr:row>
      <xdr:rowOff>0</xdr:rowOff>
    </xdr:from>
    <xdr:to>
      <xdr:col>36</xdr:col>
      <xdr:colOff>0</xdr:colOff>
      <xdr:row>23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8</xdr:col>
      <xdr:colOff>457200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6</xdr:row>
      <xdr:rowOff>0</xdr:rowOff>
    </xdr:from>
    <xdr:to>
      <xdr:col>27</xdr:col>
      <xdr:colOff>0</xdr:colOff>
      <xdr:row>23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6</xdr:row>
      <xdr:rowOff>0</xdr:rowOff>
    </xdr:from>
    <xdr:to>
      <xdr:col>36</xdr:col>
      <xdr:colOff>0</xdr:colOff>
      <xdr:row>23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F93"/>
  <sheetViews>
    <sheetView showGridLines="0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85546875" defaultRowHeight="15"/>
  <cols>
    <col min="1" max="1" width="2.140625" customWidth="1"/>
    <col min="2" max="2" width="7.7109375" bestFit="1" customWidth="1"/>
    <col min="3" max="3" width="5.85546875" customWidth="1"/>
    <col min="4" max="4" width="20.140625" bestFit="1" customWidth="1"/>
    <col min="5" max="5" width="14.28515625" bestFit="1" customWidth="1"/>
    <col min="6" max="7" width="12.42578125" customWidth="1"/>
    <col min="8" max="8" width="10.42578125" style="816" bestFit="1" customWidth="1"/>
    <col min="9" max="13" width="12.42578125" customWidth="1"/>
    <col min="14" max="14" width="2.140625" customWidth="1"/>
    <col min="15" max="16" width="12.42578125" customWidth="1"/>
    <col min="17" max="17" width="12.42578125" style="816" customWidth="1"/>
    <col min="18" max="22" width="12.42578125" customWidth="1"/>
    <col min="23" max="23" width="2.140625" customWidth="1"/>
    <col min="24" max="25" width="12.42578125" customWidth="1"/>
    <col min="26" max="26" width="12.42578125" style="816" customWidth="1"/>
    <col min="27" max="29" width="12.42578125" customWidth="1"/>
    <col min="30" max="30" width="17.42578125" customWidth="1"/>
    <col min="31" max="31" width="2.7109375" customWidth="1"/>
    <col min="32" max="32" width="0.42578125" customWidth="1"/>
  </cols>
  <sheetData>
    <row r="1" spans="2:32">
      <c r="B1" s="718" t="s">
        <v>170</v>
      </c>
      <c r="AF1" s="713"/>
    </row>
    <row r="2" spans="2:32">
      <c r="B2" s="749">
        <v>8</v>
      </c>
      <c r="C2" s="748">
        <v>2018</v>
      </c>
      <c r="F2" s="841" t="s">
        <v>170</v>
      </c>
      <c r="G2" s="842"/>
      <c r="H2" s="842"/>
      <c r="I2" s="842"/>
      <c r="J2" s="842"/>
      <c r="K2" s="842"/>
      <c r="L2" s="842"/>
      <c r="M2" s="843"/>
      <c r="O2" s="841" t="s">
        <v>174</v>
      </c>
      <c r="P2" s="842"/>
      <c r="Q2" s="842"/>
      <c r="R2" s="842"/>
      <c r="S2" s="842"/>
      <c r="T2" s="842"/>
      <c r="U2" s="842"/>
      <c r="V2" s="843"/>
      <c r="X2" s="844" t="s">
        <v>175</v>
      </c>
      <c r="Y2" s="844"/>
      <c r="Z2" s="844"/>
      <c r="AA2" s="844"/>
      <c r="AB2" s="844"/>
      <c r="AC2" s="844"/>
      <c r="AD2" s="845"/>
      <c r="AF2" s="713"/>
    </row>
    <row r="3" spans="2:32">
      <c r="F3" s="802" t="s">
        <v>29</v>
      </c>
      <c r="G3" s="803" t="s">
        <v>100</v>
      </c>
      <c r="H3" s="834" t="s">
        <v>212</v>
      </c>
      <c r="I3" s="804" t="s">
        <v>178</v>
      </c>
      <c r="J3" s="803" t="s">
        <v>28</v>
      </c>
      <c r="K3" s="804" t="s">
        <v>171</v>
      </c>
      <c r="L3" s="803" t="s">
        <v>172</v>
      </c>
      <c r="M3" s="804" t="s">
        <v>173</v>
      </c>
      <c r="O3" s="802" t="s">
        <v>29</v>
      </c>
      <c r="P3" s="803" t="s">
        <v>100</v>
      </c>
      <c r="Q3" s="834" t="s">
        <v>212</v>
      </c>
      <c r="R3" s="804" t="s">
        <v>178</v>
      </c>
      <c r="S3" s="803" t="s">
        <v>28</v>
      </c>
      <c r="T3" s="804" t="s">
        <v>171</v>
      </c>
      <c r="U3" s="803" t="s">
        <v>172</v>
      </c>
      <c r="V3" s="804" t="s">
        <v>173</v>
      </c>
      <c r="X3" s="802" t="s">
        <v>29</v>
      </c>
      <c r="Y3" s="803" t="s">
        <v>100</v>
      </c>
      <c r="Z3" s="834" t="s">
        <v>212</v>
      </c>
      <c r="AA3" s="804" t="s">
        <v>178</v>
      </c>
      <c r="AB3" s="803" t="s">
        <v>28</v>
      </c>
      <c r="AC3" s="804" t="s">
        <v>171</v>
      </c>
      <c r="AD3" s="802" t="s">
        <v>179</v>
      </c>
      <c r="AF3" s="713"/>
    </row>
    <row r="4" spans="2:32">
      <c r="C4" s="553" t="s">
        <v>153</v>
      </c>
      <c r="AF4" s="713"/>
    </row>
    <row r="5" spans="2:32">
      <c r="D5" s="750" t="s">
        <v>160</v>
      </c>
      <c r="E5" s="776"/>
      <c r="F5" s="767">
        <f>SUM(F6:F9)</f>
        <v>1058989.67</v>
      </c>
      <c r="G5" s="777">
        <f>SUM(G6:G9)</f>
        <v>922172.0431094137</v>
      </c>
      <c r="H5" s="830">
        <f>G5-F5</f>
        <v>-136817.62689058622</v>
      </c>
      <c r="I5" s="778">
        <f>IFERROR($F5/G5,0)</f>
        <v>1.1483645355689374</v>
      </c>
      <c r="J5" s="777">
        <f>SUM(J6:J9)</f>
        <v>1056296.9648537603</v>
      </c>
      <c r="K5" s="778">
        <f>IFERROR($F5/J5,0)</f>
        <v>1.0025491933005908</v>
      </c>
      <c r="L5" s="777">
        <f>SUM(L6:L9)</f>
        <v>478003.33</v>
      </c>
      <c r="M5" s="778">
        <f>IFERROR($F5/L5,0)</f>
        <v>2.2154441267176943</v>
      </c>
      <c r="O5" s="767">
        <f>SUM(O6:O9)</f>
        <v>7506510.9723199988</v>
      </c>
      <c r="P5" s="777">
        <f>SUM(P6:P9)</f>
        <v>6534625.930941849</v>
      </c>
      <c r="Q5" s="830">
        <f>P5-O5</f>
        <v>-971885.04137814976</v>
      </c>
      <c r="R5" s="778">
        <f>IFERROR($O5/P5,0)</f>
        <v>1.1487284890748246</v>
      </c>
      <c r="S5" s="777">
        <f>SUM(S6:S9)</f>
        <v>7449695.6770809349</v>
      </c>
      <c r="T5" s="778">
        <f>IFERROR($O5/S5,0)</f>
        <v>1.007626525659814</v>
      </c>
      <c r="U5" s="777">
        <f>SUM(U6:U9)</f>
        <v>3610146.0184999993</v>
      </c>
      <c r="V5" s="778">
        <f>IFERROR($O5/U5,0)</f>
        <v>2.0792818168166294</v>
      </c>
      <c r="X5" s="777">
        <f>SUM(X6:X9)</f>
        <v>7506510.9723199988</v>
      </c>
      <c r="Y5" s="777">
        <f>SUM(Y6:Y9)</f>
        <v>10941153.840024119</v>
      </c>
      <c r="Z5" s="830">
        <f>Y5-X5</f>
        <v>3434642.8677041205</v>
      </c>
      <c r="AA5" s="778">
        <f t="shared" ref="AA5:AA32" si="0">IFERROR(X5/Y5,0)</f>
        <v>0.68608037891398943</v>
      </c>
      <c r="AB5" s="777">
        <f>SUM(AB6:AB9)</f>
        <v>12104758.978371883</v>
      </c>
      <c r="AC5" s="778">
        <f t="shared" ref="AC5:AC32" si="1">IFERROR(X5/AB5,0)</f>
        <v>0.62012890845098356</v>
      </c>
      <c r="AD5" s="783">
        <f t="shared" ref="AD5:AD32" si="2">IFERROR(Y5/AB5,0)</f>
        <v>0.90387209357684617</v>
      </c>
      <c r="AF5" s="713"/>
    </row>
    <row r="6" spans="2:32">
      <c r="D6" s="752" t="s">
        <v>176</v>
      </c>
      <c r="E6" s="681" t="s">
        <v>87</v>
      </c>
      <c r="F6" s="770">
        <f>VLOOKUP($E6,RS_VN_Actual_YT,$B$2+1,0)</f>
        <v>346100.77</v>
      </c>
      <c r="G6" s="772">
        <f>VLOOKUP($E6,RS_VN_Target_YT,$B$2+1,0)</f>
        <v>291220.99739870796</v>
      </c>
      <c r="H6" s="564">
        <f t="shared" ref="H6:H9" si="3">G6-F6</f>
        <v>-54879.772601292061</v>
      </c>
      <c r="I6" s="773">
        <f>IFERROR($F6/G6,0)</f>
        <v>1.1884471693026883</v>
      </c>
      <c r="J6" s="772">
        <f>VLOOKUP($E6,RS_VN_Forecast_YT,$B$2+1,0)</f>
        <v>368526.83141722222</v>
      </c>
      <c r="K6" s="773">
        <f>IFERROR($F6/J6,0)</f>
        <v>0.93914673368291912</v>
      </c>
      <c r="L6" s="772">
        <f>VLOOKUP($E6,PAST_VN_Actual_YT_2017,$B$2+1,0)</f>
        <v>180724.69</v>
      </c>
      <c r="M6" s="773">
        <f>IFERROR($F6/L6,0)</f>
        <v>1.9150718698147995</v>
      </c>
      <c r="O6" s="770">
        <f>SUMPRODUCT('Revenue Summary'!AS4:BD4,'Revenue Summary'!$AS$8:$BD$8)</f>
        <v>2251834.265894</v>
      </c>
      <c r="P6" s="772">
        <f>SUMPRODUCT('Revenue Summary'!E4:P4,'Revenue Summary'!$E$8:$P$8)</f>
        <v>2084747.3133965547</v>
      </c>
      <c r="Q6" s="564">
        <f t="shared" ref="Q6:Q9" si="4">P6-O6</f>
        <v>-167086.95249744528</v>
      </c>
      <c r="R6" s="773">
        <f t="shared" ref="R6:R9" si="5">IFERROR($O6/P6,0)</f>
        <v>1.0801473403629049</v>
      </c>
      <c r="S6" s="772">
        <f>SUMPRODUCT('Revenue Summary'!Y4:AJ4,'Revenue Summary'!$Y$8:$AJ$8)</f>
        <v>2599091.7651432478</v>
      </c>
      <c r="T6" s="773">
        <f t="shared" ref="T6:T9" si="6">IFERROR($O6/S6,0)</f>
        <v>0.86639275153483897</v>
      </c>
      <c r="U6" s="772">
        <f>SUMPRODUCT('Past data'!E4:P4,'Past data'!$E$8:$P$8)</f>
        <v>1394030.1321729999</v>
      </c>
      <c r="V6" s="773">
        <f t="shared" ref="V6:V9" si="7">IFERROR($O6/U6,0)</f>
        <v>1.6153411708424579</v>
      </c>
      <c r="X6" s="772">
        <f t="shared" ref="X6:X9" si="8">O6</f>
        <v>2251834.265894</v>
      </c>
      <c r="Y6" s="772">
        <f>'Revenue Summary'!Q4</f>
        <v>3573210.1889899508</v>
      </c>
      <c r="Z6" s="564">
        <f t="shared" ref="Z6:Z9" si="9">Y6-X6</f>
        <v>1321375.9230959509</v>
      </c>
      <c r="AA6" s="773">
        <f t="shared" si="0"/>
        <v>0.63019921773214582</v>
      </c>
      <c r="AB6" s="772">
        <f>'Revenue Summary'!AK4</f>
        <v>4223176.4549149852</v>
      </c>
      <c r="AC6" s="773">
        <f t="shared" si="1"/>
        <v>0.5332086617582098</v>
      </c>
      <c r="AD6" s="781">
        <f t="shared" si="2"/>
        <v>0.84609540404862893</v>
      </c>
      <c r="AF6" s="713"/>
    </row>
    <row r="7" spans="2:32">
      <c r="D7" s="752" t="s">
        <v>176</v>
      </c>
      <c r="E7" s="681" t="s">
        <v>88</v>
      </c>
      <c r="F7" s="770">
        <f>VLOOKUP($E7,RS_VN_Actual_YT,$B$2+1,0)</f>
        <v>438830.75</v>
      </c>
      <c r="G7" s="772">
        <f>VLOOKUP($E7,RS_VN_Target_YT,$B$2+1,0)</f>
        <v>457213.61991321796</v>
      </c>
      <c r="H7" s="564">
        <f t="shared" si="3"/>
        <v>18382.869913217961</v>
      </c>
      <c r="I7" s="773">
        <f>IFERROR($F7/G7,0)</f>
        <v>0.95979369574181284</v>
      </c>
      <c r="J7" s="772">
        <f>VLOOKUP($E7,RS_VN_Forecast_YT,$B$2+1,0)</f>
        <v>465907.47231985087</v>
      </c>
      <c r="K7" s="773">
        <f t="shared" ref="K7:K9" si="10">IFERROR($F7/J7,0)</f>
        <v>0.9418839062936033</v>
      </c>
      <c r="L7" s="772">
        <f>VLOOKUP($E7,PAST_VN_Actual_YT_2017,$B$2+1,0)</f>
        <v>232086.25</v>
      </c>
      <c r="M7" s="773">
        <f t="shared" ref="M7" si="11">IFERROR($F7/L7,0)</f>
        <v>1.8908089126348502</v>
      </c>
      <c r="O7" s="770">
        <f>SUMPRODUCT('Revenue Summary'!AS5:BD5,'Revenue Summary'!$AS$8:$BD$8)</f>
        <v>3285576.8019309994</v>
      </c>
      <c r="P7" s="772">
        <f>SUMPRODUCT('Revenue Summary'!E5:P5,'Revenue Summary'!$E$8:$P$8)</f>
        <v>3224568.8864983018</v>
      </c>
      <c r="Q7" s="564">
        <f t="shared" si="4"/>
        <v>-61007.915432697628</v>
      </c>
      <c r="R7" s="773">
        <f t="shared" si="5"/>
        <v>1.018919712240649</v>
      </c>
      <c r="S7" s="772">
        <f>SUMPRODUCT('Revenue Summary'!Y5:AJ5,'Revenue Summary'!$Y$8:$AJ$8)</f>
        <v>3285883.6084428453</v>
      </c>
      <c r="T7" s="773">
        <f t="shared" si="6"/>
        <v>0.99990662891678284</v>
      </c>
      <c r="U7" s="772">
        <f>SUMPRODUCT('Past data'!E5:P5,'Past data'!$E$8:$P$8)</f>
        <v>1825146.9954099995</v>
      </c>
      <c r="V7" s="773">
        <f t="shared" si="7"/>
        <v>1.8001710603002308</v>
      </c>
      <c r="X7" s="772">
        <f t="shared" si="8"/>
        <v>3285576.8019309994</v>
      </c>
      <c r="Y7" s="772">
        <f>'Revenue Summary'!Q5</f>
        <v>5339121.332640633</v>
      </c>
      <c r="Z7" s="564">
        <f t="shared" si="9"/>
        <v>2053544.5307096336</v>
      </c>
      <c r="AA7" s="773">
        <f t="shared" si="0"/>
        <v>0.61537781167187156</v>
      </c>
      <c r="AB7" s="772">
        <f>'Revenue Summary'!AK5</f>
        <v>5339121.332640633</v>
      </c>
      <c r="AC7" s="773">
        <f t="shared" si="1"/>
        <v>0.61537781167187156</v>
      </c>
      <c r="AD7" s="781">
        <f t="shared" si="2"/>
        <v>1</v>
      </c>
      <c r="AF7" s="713"/>
    </row>
    <row r="8" spans="2:32">
      <c r="D8" s="752" t="s">
        <v>176</v>
      </c>
      <c r="E8" s="681" t="s">
        <v>89</v>
      </c>
      <c r="F8" s="770">
        <f>VLOOKUP($E8,RS_VN_Actual_YT,$B$2+1,0)</f>
        <v>231621.84</v>
      </c>
      <c r="G8" s="772">
        <f>VLOOKUP($E8,RS_VN_Target_YT,$B$2+1,0)</f>
        <v>155818.26072619413</v>
      </c>
      <c r="H8" s="564">
        <f t="shared" si="3"/>
        <v>-75803.579273805866</v>
      </c>
      <c r="I8" s="773">
        <f>IFERROR($F8/G8,0)</f>
        <v>1.4864871352081699</v>
      </c>
      <c r="J8" s="772">
        <f>VLOOKUP($E8,RS_VN_Forecast_YT,$B$2+1,0)</f>
        <v>203602.76565243295</v>
      </c>
      <c r="K8" s="773">
        <f t="shared" si="10"/>
        <v>1.1376163740103509</v>
      </c>
      <c r="L8" s="772">
        <f>VLOOKUP($E8,PAST_VN_Actual_YT_2017,$B$2+1,0)</f>
        <v>46660.800000000003</v>
      </c>
      <c r="M8" s="773">
        <f t="shared" ref="M8" si="12">IFERROR($F8/L8,0)</f>
        <v>4.9639491821829029</v>
      </c>
      <c r="O8" s="770">
        <f>SUMPRODUCT('Revenue Summary'!AS6:BD6,'Revenue Summary'!$AS$8:$BD$8)</f>
        <v>1467627.2893729999</v>
      </c>
      <c r="P8" s="772">
        <f>SUMPRODUCT('Revenue Summary'!E6:P6,'Revenue Summary'!$E$8:$P$8)</f>
        <v>1098932.0825161189</v>
      </c>
      <c r="Q8" s="564">
        <f t="shared" si="4"/>
        <v>-368695.20685688104</v>
      </c>
      <c r="R8" s="773">
        <f t="shared" si="5"/>
        <v>1.3355031786975544</v>
      </c>
      <c r="S8" s="772">
        <f>SUMPRODUCT('Revenue Summary'!Y6:AJ6,'Revenue Summary'!$Y$8:$AJ$8)</f>
        <v>1435939.6018265034</v>
      </c>
      <c r="T8" s="773">
        <f t="shared" si="6"/>
        <v>1.0220675629435876</v>
      </c>
      <c r="U8" s="772">
        <f>SUMPRODUCT('Past data'!E6:P6,'Past data'!$E$8:$P$8)</f>
        <v>309360.17874599999</v>
      </c>
      <c r="V8" s="773">
        <f t="shared" si="7"/>
        <v>4.7440730585367117</v>
      </c>
      <c r="X8" s="772">
        <f t="shared" si="8"/>
        <v>1467627.2893729999</v>
      </c>
      <c r="Y8" s="772">
        <f>'Revenue Summary'!Q6</f>
        <v>1819570.9043315225</v>
      </c>
      <c r="Z8" s="564">
        <f t="shared" si="9"/>
        <v>351943.61495852261</v>
      </c>
      <c r="AA8" s="773">
        <f t="shared" si="0"/>
        <v>0.80657878507470404</v>
      </c>
      <c r="AB8" s="772">
        <f>'Revenue Summary'!AK6</f>
        <v>2333209.7767542498</v>
      </c>
      <c r="AC8" s="773">
        <f t="shared" si="1"/>
        <v>0.62901643221066483</v>
      </c>
      <c r="AD8" s="781">
        <f t="shared" si="2"/>
        <v>0.77985739750445626</v>
      </c>
      <c r="AF8" s="713"/>
    </row>
    <row r="9" spans="2:32">
      <c r="D9" s="754" t="s">
        <v>176</v>
      </c>
      <c r="E9" s="779" t="s">
        <v>90</v>
      </c>
      <c r="F9" s="771">
        <f>VLOOKUP($E9,RS_VN_Actual_YT,$B$2+1,0)</f>
        <v>42436.31</v>
      </c>
      <c r="G9" s="774">
        <f>VLOOKUP($E9,RS_VN_Target_YT,$B$2+1,0)</f>
        <v>17919.165071293719</v>
      </c>
      <c r="H9" s="831">
        <f t="shared" si="3"/>
        <v>-24517.144928706279</v>
      </c>
      <c r="I9" s="775">
        <f>IFERROR($F9/G9,0)</f>
        <v>2.3682079958056996</v>
      </c>
      <c r="J9" s="774">
        <f>VLOOKUP($E9,RS_VN_Forecast_YT,$B$2+1,0)</f>
        <v>18259.895464254208</v>
      </c>
      <c r="K9" s="775">
        <f t="shared" si="10"/>
        <v>2.3240171381634593</v>
      </c>
      <c r="L9" s="774">
        <f>VLOOKUP($E9,PAST_VN_Actual_YT_2017,$B$2+1,0)</f>
        <v>18531.59</v>
      </c>
      <c r="M9" s="775">
        <f t="shared" ref="M9" si="13">IFERROR($F9/L9,0)</f>
        <v>2.2899443598741391</v>
      </c>
      <c r="O9" s="771">
        <f>SUMPRODUCT('Revenue Summary'!AS7:BD7,'Revenue Summary'!$AS$8:$BD$8)</f>
        <v>501472.61512199999</v>
      </c>
      <c r="P9" s="774">
        <f>SUMPRODUCT('Revenue Summary'!E7:P7,'Revenue Summary'!$E$8:$P$8)</f>
        <v>126377.64853087309</v>
      </c>
      <c r="Q9" s="831">
        <f t="shared" si="4"/>
        <v>-375094.96659112687</v>
      </c>
      <c r="R9" s="775">
        <f t="shared" si="5"/>
        <v>3.9680483135393523</v>
      </c>
      <c r="S9" s="774">
        <f>SUMPRODUCT('Revenue Summary'!Y7:AJ7,'Revenue Summary'!$Y$8:$AJ$8)</f>
        <v>128780.7016683393</v>
      </c>
      <c r="T9" s="775">
        <f t="shared" si="6"/>
        <v>3.8940043704179232</v>
      </c>
      <c r="U9" s="774">
        <f>SUMPRODUCT('Past data'!E7:P7,'Past data'!$E$8:$P$8)</f>
        <v>81608.712171000006</v>
      </c>
      <c r="V9" s="775">
        <f t="shared" si="7"/>
        <v>6.1448416692476657</v>
      </c>
      <c r="X9" s="774">
        <f t="shared" si="8"/>
        <v>501472.61512199999</v>
      </c>
      <c r="Y9" s="774">
        <f>'Revenue Summary'!Q7</f>
        <v>209251.41406201432</v>
      </c>
      <c r="Z9" s="831">
        <f t="shared" si="9"/>
        <v>-292221.20105998567</v>
      </c>
      <c r="AA9" s="775">
        <f t="shared" si="0"/>
        <v>2.3965076526239493</v>
      </c>
      <c r="AB9" s="774">
        <f>'Revenue Summary'!AK7</f>
        <v>209251.41406201434</v>
      </c>
      <c r="AC9" s="775">
        <f t="shared" si="1"/>
        <v>2.3965076526239488</v>
      </c>
      <c r="AD9" s="782">
        <f t="shared" si="2"/>
        <v>0.99999999999999989</v>
      </c>
      <c r="AF9" s="713"/>
    </row>
    <row r="10" spans="2:32">
      <c r="AF10" s="713"/>
    </row>
    <row r="11" spans="2:32">
      <c r="D11" s="750" t="s">
        <v>162</v>
      </c>
      <c r="E11" s="776"/>
      <c r="F11" s="767">
        <f>SUM(F12:F12)</f>
        <v>15941.859999999999</v>
      </c>
      <c r="G11" s="777">
        <f>SUM(G12:G12)</f>
        <v>14770</v>
      </c>
      <c r="H11" s="830">
        <f t="shared" ref="H11:H12" si="14">G11-F11</f>
        <v>-1171.8599999999988</v>
      </c>
      <c r="I11" s="778">
        <f>IFERROR($F11/G11,0)</f>
        <v>1.0793405551794177</v>
      </c>
      <c r="J11" s="777">
        <f>SUM(J12:J12)</f>
        <v>14770</v>
      </c>
      <c r="K11" s="778">
        <f>IFERROR($F11/J11,0)</f>
        <v>1.0793405551794177</v>
      </c>
      <c r="L11" s="777">
        <f>SUM(L12:L12)</f>
        <v>16804.21</v>
      </c>
      <c r="M11" s="778">
        <f>IFERROR($F11/L11,0)</f>
        <v>0.94868250277757771</v>
      </c>
      <c r="O11" s="767">
        <f>SUM(O12:O12)</f>
        <v>144969.21962492229</v>
      </c>
      <c r="P11" s="777">
        <f>SUM(P12:P12)</f>
        <v>118160</v>
      </c>
      <c r="Q11" s="830">
        <f t="shared" ref="Q11:Q12" si="15">P11-O11</f>
        <v>-26809.219624922291</v>
      </c>
      <c r="R11" s="778">
        <f>IFERROR($O11/P11,0)</f>
        <v>1.2268891302041494</v>
      </c>
      <c r="S11" s="777">
        <f>SUM(S12:S12)</f>
        <v>118160</v>
      </c>
      <c r="T11" s="778">
        <f>IFERROR($O11/S11,0)</f>
        <v>1.2268891302041494</v>
      </c>
      <c r="U11" s="777">
        <f>SUM(U12:U12)</f>
        <v>120233.21871999977</v>
      </c>
      <c r="V11" s="778">
        <f>IFERROR($O11/U11,0)</f>
        <v>1.205733500011573</v>
      </c>
      <c r="X11" s="777">
        <f>SUM(X12:X12)</f>
        <v>144969.21962492229</v>
      </c>
      <c r="Y11" s="777">
        <f>SUM(Y12:Y12)</f>
        <v>177240</v>
      </c>
      <c r="Z11" s="830">
        <f t="shared" ref="Z11:Z12" si="16">Y11-X11</f>
        <v>32270.780375077709</v>
      </c>
      <c r="AA11" s="778">
        <f t="shared" si="0"/>
        <v>0.81792608680276624</v>
      </c>
      <c r="AB11" s="777">
        <f>SUM(AB12:AB12)</f>
        <v>177240</v>
      </c>
      <c r="AC11" s="778">
        <f t="shared" si="1"/>
        <v>0.81792608680276624</v>
      </c>
      <c r="AD11" s="778">
        <f t="shared" si="2"/>
        <v>1</v>
      </c>
      <c r="AF11" s="713"/>
    </row>
    <row r="12" spans="2:32">
      <c r="C12" s="677"/>
      <c r="D12" s="754" t="s">
        <v>177</v>
      </c>
      <c r="E12" s="779" t="s">
        <v>87</v>
      </c>
      <c r="F12" s="771">
        <f>VLOOKUP($E12,RS_VN_Actual_RBT,$B$2+1,0)</f>
        <v>15941.859999999999</v>
      </c>
      <c r="G12" s="774">
        <f>VLOOKUP($E12,RS_VN_Target_RBT,$B$2+1,0)</f>
        <v>14770</v>
      </c>
      <c r="H12" s="831">
        <f t="shared" si="14"/>
        <v>-1171.8599999999988</v>
      </c>
      <c r="I12" s="775">
        <f>IFERROR($F12/G12,0)</f>
        <v>1.0793405551794177</v>
      </c>
      <c r="J12" s="774">
        <f>VLOOKUP($E12,RS_VN_Forecast_RBT,$B$2+1,0)</f>
        <v>14770</v>
      </c>
      <c r="K12" s="775">
        <f>IFERROR($F12/J12,0)</f>
        <v>1.0793405551794177</v>
      </c>
      <c r="L12" s="774">
        <f>VLOOKUP($E12,PAST_VN_Actual_RBT_2017,$B$2+1,0)</f>
        <v>16804.21</v>
      </c>
      <c r="M12" s="775">
        <f>IFERROR($F12/L12,0)</f>
        <v>0.94868250277757771</v>
      </c>
      <c r="O12" s="771">
        <f>SUMPRODUCT('Revenue Summary'!AS10:BD10,'Revenue Summary'!$AS$8:$BD$8)</f>
        <v>144969.21962492229</v>
      </c>
      <c r="P12" s="774">
        <f>SUMPRODUCT('Revenue Summary'!E10:P10,'Revenue Summary'!$E$8:$P$8)</f>
        <v>118160</v>
      </c>
      <c r="Q12" s="831">
        <f t="shared" si="15"/>
        <v>-26809.219624922291</v>
      </c>
      <c r="R12" s="775">
        <f>IFERROR($O12/P12,0)</f>
        <v>1.2268891302041494</v>
      </c>
      <c r="S12" s="774">
        <f>SUMPRODUCT('Revenue Summary'!Y10:AJ10,'Revenue Summary'!$Y$8:$AJ$8)</f>
        <v>118160</v>
      </c>
      <c r="T12" s="775">
        <f>IFERROR($O12/S12,0)</f>
        <v>1.2268891302041494</v>
      </c>
      <c r="U12" s="774">
        <f>SUMPRODUCT('Past data'!E10:P10,'Past data'!$E$8:$P$8)</f>
        <v>120233.21871999977</v>
      </c>
      <c r="V12" s="775">
        <f>IFERROR($O12/U12,0)</f>
        <v>1.205733500011573</v>
      </c>
      <c r="X12" s="774">
        <f t="shared" ref="X12" si="17">O12</f>
        <v>144969.21962492229</v>
      </c>
      <c r="Y12" s="774">
        <f>'Revenue Summary'!Q10</f>
        <v>177240</v>
      </c>
      <c r="Z12" s="831">
        <f t="shared" si="16"/>
        <v>32270.780375077709</v>
      </c>
      <c r="AA12" s="775">
        <f t="shared" si="0"/>
        <v>0.81792608680276624</v>
      </c>
      <c r="AB12" s="774">
        <f>'Revenue Summary'!AK10</f>
        <v>177240</v>
      </c>
      <c r="AC12" s="775">
        <f t="shared" si="1"/>
        <v>0.81792608680276624</v>
      </c>
      <c r="AD12" s="775">
        <f t="shared" si="2"/>
        <v>1</v>
      </c>
      <c r="AF12" s="713"/>
    </row>
    <row r="13" spans="2:32">
      <c r="AF13" s="713"/>
    </row>
    <row r="14" spans="2:32">
      <c r="D14" s="750" t="s">
        <v>163</v>
      </c>
      <c r="E14" s="776"/>
      <c r="F14" s="767">
        <f>SUM(F15:F18)</f>
        <v>157793.58000000002</v>
      </c>
      <c r="G14" s="777">
        <f>SUM(G15:G18)</f>
        <v>233333.33333333331</v>
      </c>
      <c r="H14" s="830">
        <f t="shared" ref="H14:H32" si="18">G14-F14</f>
        <v>75539.753333333298</v>
      </c>
      <c r="I14" s="778">
        <f>IFERROR($F14/G14,0)</f>
        <v>0.67625820000000014</v>
      </c>
      <c r="J14" s="777">
        <f>SUM(J15:J18)</f>
        <v>233333.33333333331</v>
      </c>
      <c r="K14" s="778">
        <f>IFERROR($F14/J14,0)</f>
        <v>0.67625820000000014</v>
      </c>
      <c r="L14" s="777">
        <f>SUM(L15:L18)</f>
        <v>84340.74000000002</v>
      </c>
      <c r="M14" s="778">
        <f>IFERROR($F14/L14,0)</f>
        <v>1.8709058042412241</v>
      </c>
      <c r="O14" s="767">
        <f>SUM(O15:O18)</f>
        <v>1053741.57</v>
      </c>
      <c r="P14" s="777">
        <f>SUM(P15:P18)</f>
        <v>1866666.6666666665</v>
      </c>
      <c r="Q14" s="830">
        <f t="shared" ref="Q14:Q32" si="19">P14-O14</f>
        <v>812925.09666666645</v>
      </c>
      <c r="R14" s="778">
        <f>IFERROR($O14/P14,0)</f>
        <v>0.56450441250000005</v>
      </c>
      <c r="S14" s="777">
        <f>SUM(S15:S18)</f>
        <v>1866666.6666666665</v>
      </c>
      <c r="T14" s="778">
        <f>IFERROR($O14/S14,0)</f>
        <v>0.56450441250000005</v>
      </c>
      <c r="U14" s="777">
        <f>SUM(U15:U18)</f>
        <v>270187.62</v>
      </c>
      <c r="V14" s="778">
        <f>IFERROR($O14/U14,0)</f>
        <v>3.9000364635507729</v>
      </c>
      <c r="X14" s="777">
        <f>SUM(X15:X18)</f>
        <v>1053741.57</v>
      </c>
      <c r="Y14" s="777">
        <f>SUM(Y15:Y18)</f>
        <v>2799999.9999999995</v>
      </c>
      <c r="Z14" s="830">
        <f t="shared" ref="Z14:Z32" si="20">Y14-X14</f>
        <v>1746258.4299999995</v>
      </c>
      <c r="AA14" s="778">
        <f t="shared" si="0"/>
        <v>0.37633627500000011</v>
      </c>
      <c r="AB14" s="777">
        <f>SUM(AB15:AB18)</f>
        <v>2799999.9999999995</v>
      </c>
      <c r="AC14" s="778">
        <f t="shared" si="1"/>
        <v>0.37633627500000011</v>
      </c>
      <c r="AD14" s="783">
        <f t="shared" si="2"/>
        <v>1</v>
      </c>
      <c r="AF14" s="713"/>
    </row>
    <row r="15" spans="2:32">
      <c r="D15" s="752" t="s">
        <v>177</v>
      </c>
      <c r="E15" s="681" t="s">
        <v>87</v>
      </c>
      <c r="F15" s="770">
        <f>VLOOKUP($E15,RS_VN_Actual_BD,$B$2+1,0)</f>
        <v>38083.230000000003</v>
      </c>
      <c r="G15" s="772">
        <f>VLOOKUP($E15,RS_VN_Target_BD,$B$2+1,0)</f>
        <v>78541.666666666657</v>
      </c>
      <c r="H15" s="564">
        <f t="shared" si="18"/>
        <v>40458.436666666654</v>
      </c>
      <c r="I15" s="773">
        <f>IFERROR($F15/G15,0)</f>
        <v>0.48487932095490727</v>
      </c>
      <c r="J15" s="772">
        <f>VLOOKUP($E15,RS_VN_Forecast_BD,$B$2+1,0)</f>
        <v>78541.666666666657</v>
      </c>
      <c r="K15" s="773">
        <f>IFERROR($F15/J15,0)</f>
        <v>0.48487932095490727</v>
      </c>
      <c r="L15" s="772">
        <f>VLOOKUP($E15,PAST_VN_Actual_BD_2017,$B$2+1,0)</f>
        <v>0</v>
      </c>
      <c r="M15" s="773">
        <f>IFERROR($F15/L15,0)</f>
        <v>0</v>
      </c>
      <c r="O15" s="770">
        <f>SUMPRODUCT('Revenue Summary'!AS13:BD13,'Revenue Summary'!$AS$8:$BD$8)</f>
        <v>361269.48</v>
      </c>
      <c r="P15" s="772">
        <f>SUMPRODUCT('Revenue Summary'!E13:P13,'Revenue Summary'!$E$8:$P$8)</f>
        <v>628333.33333333314</v>
      </c>
      <c r="Q15" s="564">
        <f t="shared" si="19"/>
        <v>267063.85333333316</v>
      </c>
      <c r="R15" s="773">
        <f t="shared" ref="R15:R18" si="21">IFERROR($O15/P15,0)</f>
        <v>0.57496468965517256</v>
      </c>
      <c r="S15" s="772">
        <f>SUMPRODUCT('Revenue Summary'!Y13:AJ13,'Revenue Summary'!$Y$8:$AJ$8)</f>
        <v>628333.33333333314</v>
      </c>
      <c r="T15" s="773">
        <f t="shared" ref="T15:T18" si="22">IFERROR($O15/S15,0)</f>
        <v>0.57496468965517256</v>
      </c>
      <c r="U15" s="772">
        <f>SUMPRODUCT('Past data'!E13:P13,'Past data'!$E$8:$P$8)</f>
        <v>0</v>
      </c>
      <c r="V15" s="773">
        <f t="shared" ref="V15:V18" si="23">IFERROR($O15/U15,0)</f>
        <v>0</v>
      </c>
      <c r="X15" s="772">
        <f t="shared" ref="X15:X18" si="24">O15</f>
        <v>361269.48</v>
      </c>
      <c r="Y15" s="772">
        <f>'Revenue Summary'!Q13</f>
        <v>942499.99999999965</v>
      </c>
      <c r="Z15" s="564">
        <f t="shared" si="20"/>
        <v>581230.51999999967</v>
      </c>
      <c r="AA15" s="773">
        <f t="shared" si="0"/>
        <v>0.38330979310344837</v>
      </c>
      <c r="AB15" s="772">
        <f>'Revenue Summary'!AK13</f>
        <v>942499.99999999965</v>
      </c>
      <c r="AC15" s="773">
        <f t="shared" si="1"/>
        <v>0.38330979310344837</v>
      </c>
      <c r="AD15" s="781">
        <f t="shared" si="2"/>
        <v>1</v>
      </c>
      <c r="AF15" s="713"/>
    </row>
    <row r="16" spans="2:32">
      <c r="D16" s="752" t="s">
        <v>177</v>
      </c>
      <c r="E16" s="681" t="s">
        <v>88</v>
      </c>
      <c r="F16" s="770">
        <f>VLOOKUP($E16,RS_VN_Actual_BD,$B$2+1,0)</f>
        <v>97524.97</v>
      </c>
      <c r="G16" s="772">
        <f>VLOOKUP($E16,RS_VN_Target_BD,$B$2+1,0)</f>
        <v>86874.999999999985</v>
      </c>
      <c r="H16" s="564">
        <f t="shared" si="18"/>
        <v>-10649.970000000016</v>
      </c>
      <c r="I16" s="773">
        <f t="shared" ref="I16" si="25">IFERROR($F16/G16,0)</f>
        <v>1.122589582733813</v>
      </c>
      <c r="J16" s="772">
        <f>VLOOKUP($E16,RS_VN_Forecast_BD,$B$2+1,0)</f>
        <v>86874.999999999985</v>
      </c>
      <c r="K16" s="773">
        <f t="shared" ref="K16" si="26">IFERROR($F16/J16,0)</f>
        <v>1.122589582733813</v>
      </c>
      <c r="L16" s="772">
        <f>VLOOKUP($E16,PAST_VN_Actual_BD_2017,$B$2+1,0)</f>
        <v>0</v>
      </c>
      <c r="M16" s="773">
        <f t="shared" ref="M16" si="27">IFERROR($F16/L16,0)</f>
        <v>0</v>
      </c>
      <c r="O16" s="770">
        <f>SUMPRODUCT('Revenue Summary'!AS14:BD14,'Revenue Summary'!$AS$8:$BD$8)</f>
        <v>541381.38000000012</v>
      </c>
      <c r="P16" s="772">
        <f>SUMPRODUCT('Revenue Summary'!E14:P14,'Revenue Summary'!$E$8:$P$8)</f>
        <v>694999.99999999988</v>
      </c>
      <c r="Q16" s="564">
        <f t="shared" si="19"/>
        <v>153618.61999999976</v>
      </c>
      <c r="R16" s="773">
        <f t="shared" si="21"/>
        <v>0.77896601438848956</v>
      </c>
      <c r="S16" s="772">
        <f>SUMPRODUCT('Revenue Summary'!Y14:AJ14,'Revenue Summary'!$Y$8:$AJ$8)</f>
        <v>694999.99999999988</v>
      </c>
      <c r="T16" s="773">
        <f t="shared" si="22"/>
        <v>0.77896601438848956</v>
      </c>
      <c r="U16" s="772">
        <f>SUMPRODUCT('Past data'!E14:P14,'Past data'!$E$8:$P$8)</f>
        <v>0</v>
      </c>
      <c r="V16" s="773">
        <f t="shared" si="23"/>
        <v>0</v>
      </c>
      <c r="X16" s="772">
        <f t="shared" si="24"/>
        <v>541381.38000000012</v>
      </c>
      <c r="Y16" s="772">
        <f>'Revenue Summary'!Q14</f>
        <v>1042499.9999999999</v>
      </c>
      <c r="Z16" s="564">
        <f t="shared" si="20"/>
        <v>501118.61999999976</v>
      </c>
      <c r="AA16" s="773">
        <f t="shared" si="0"/>
        <v>0.51931067625899296</v>
      </c>
      <c r="AB16" s="772">
        <f>'Revenue Summary'!AK14</f>
        <v>1042499.9999999999</v>
      </c>
      <c r="AC16" s="773">
        <f t="shared" si="1"/>
        <v>0.51931067625899296</v>
      </c>
      <c r="AD16" s="781">
        <f t="shared" si="2"/>
        <v>1</v>
      </c>
      <c r="AF16" s="713"/>
    </row>
    <row r="17" spans="3:32">
      <c r="D17" s="752" t="s">
        <v>177</v>
      </c>
      <c r="E17" s="681" t="s">
        <v>89</v>
      </c>
      <c r="F17" s="770">
        <f>VLOOKUP($E17,RS_VN_Actual_BD,$B$2+1,0)</f>
        <v>22185.38</v>
      </c>
      <c r="G17" s="772">
        <f>VLOOKUP($E17,RS_VN_Target_BD,$B$2+1,0)</f>
        <v>67916.666666666672</v>
      </c>
      <c r="H17" s="564">
        <f t="shared" si="18"/>
        <v>45731.286666666667</v>
      </c>
      <c r="I17" s="773">
        <f t="shared" ref="I17" si="28">IFERROR($F17/G17,0)</f>
        <v>0.32665590184049081</v>
      </c>
      <c r="J17" s="772">
        <f>VLOOKUP($E17,RS_VN_Forecast_BD,$B$2+1,0)</f>
        <v>67916.666666666672</v>
      </c>
      <c r="K17" s="773">
        <f t="shared" ref="K17" si="29">IFERROR($F17/J17,0)</f>
        <v>0.32665590184049081</v>
      </c>
      <c r="L17" s="772">
        <f>VLOOKUP($E17,PAST_VN_Actual_BD_2017,$B$2+1,0)</f>
        <v>0</v>
      </c>
      <c r="M17" s="773">
        <f t="shared" ref="M17" si="30">IFERROR($F17/L17,0)</f>
        <v>0</v>
      </c>
      <c r="O17" s="770">
        <f>SUMPRODUCT('Revenue Summary'!AS15:BD15,'Revenue Summary'!$AS$8:$BD$8)</f>
        <v>159069.21000000002</v>
      </c>
      <c r="P17" s="772">
        <f>SUMPRODUCT('Revenue Summary'!E15:P15,'Revenue Summary'!$E$8:$P$8)</f>
        <v>543333.33333333337</v>
      </c>
      <c r="Q17" s="564">
        <f t="shared" si="19"/>
        <v>384264.12333333335</v>
      </c>
      <c r="R17" s="773">
        <f t="shared" si="21"/>
        <v>0.29276541717791416</v>
      </c>
      <c r="S17" s="772">
        <f>SUMPRODUCT('Revenue Summary'!Y15:AJ15,'Revenue Summary'!$Y$8:$AJ$8)</f>
        <v>543333.33333333337</v>
      </c>
      <c r="T17" s="773">
        <f t="shared" si="22"/>
        <v>0.29276541717791416</v>
      </c>
      <c r="U17" s="772">
        <f>SUMPRODUCT('Past data'!E15:P15,'Past data'!$E$8:$P$8)</f>
        <v>0</v>
      </c>
      <c r="V17" s="773">
        <f t="shared" si="23"/>
        <v>0</v>
      </c>
      <c r="X17" s="772">
        <f t="shared" si="24"/>
        <v>159069.21000000002</v>
      </c>
      <c r="Y17" s="772">
        <f>'Revenue Summary'!Q15</f>
        <v>814999.99999999988</v>
      </c>
      <c r="Z17" s="564">
        <f t="shared" si="20"/>
        <v>655930.7899999998</v>
      </c>
      <c r="AA17" s="773">
        <f t="shared" si="0"/>
        <v>0.19517694478527614</v>
      </c>
      <c r="AB17" s="772">
        <f>'Revenue Summary'!AK15</f>
        <v>814999.99999999988</v>
      </c>
      <c r="AC17" s="773">
        <f t="shared" si="1"/>
        <v>0.19517694478527614</v>
      </c>
      <c r="AD17" s="781">
        <f t="shared" si="2"/>
        <v>1</v>
      </c>
      <c r="AF17" s="713"/>
    </row>
    <row r="18" spans="3:32">
      <c r="D18" s="754" t="s">
        <v>161</v>
      </c>
      <c r="E18" s="779" t="s">
        <v>147</v>
      </c>
      <c r="F18" s="771">
        <f>VLOOKUP($E18,RS_VN_Actual_BD,$B$2+1,0)</f>
        <v>0</v>
      </c>
      <c r="G18" s="774">
        <f>VLOOKUP($E18,RS_VN_Target_BD,$B$2+1,0)</f>
        <v>0</v>
      </c>
      <c r="H18" s="831">
        <f t="shared" si="18"/>
        <v>0</v>
      </c>
      <c r="I18" s="775">
        <f t="shared" ref="I18" si="31">IFERROR($F18/G18,0)</f>
        <v>0</v>
      </c>
      <c r="J18" s="774">
        <f>VLOOKUP($E18,RS_VN_Forecast_BD,$B$2+1,0)</f>
        <v>0</v>
      </c>
      <c r="K18" s="775">
        <f t="shared" ref="K18" si="32">IFERROR($F18/J18,0)</f>
        <v>0</v>
      </c>
      <c r="L18" s="774">
        <f>VLOOKUP($E18,PAST_VN_Actual_BD_2017,$B$2+1,0)</f>
        <v>84340.74000000002</v>
      </c>
      <c r="M18" s="775">
        <f t="shared" ref="M18" si="33">IFERROR($F18/L18,0)</f>
        <v>0</v>
      </c>
      <c r="O18" s="771">
        <f>SUMPRODUCT('Revenue Summary'!AS16:BD16,'Revenue Summary'!$AS$8:$BD$8)</f>
        <v>-7978.5</v>
      </c>
      <c r="P18" s="774">
        <f>SUMPRODUCT('Revenue Summary'!E16:P16,'Revenue Summary'!$E$8:$P$8)</f>
        <v>0</v>
      </c>
      <c r="Q18" s="831">
        <f t="shared" si="19"/>
        <v>7978.5</v>
      </c>
      <c r="R18" s="775">
        <f t="shared" si="21"/>
        <v>0</v>
      </c>
      <c r="S18" s="774">
        <f>SUMPRODUCT('Revenue Summary'!Y16:AJ16,'Revenue Summary'!$Y$8:$AJ$8)</f>
        <v>0</v>
      </c>
      <c r="T18" s="775">
        <f t="shared" si="22"/>
        <v>0</v>
      </c>
      <c r="U18" s="774">
        <f>SUMPRODUCT('Past data'!E16:P16,'Past data'!$E$8:$P$8)</f>
        <v>270187.62</v>
      </c>
      <c r="V18" s="775">
        <f t="shared" si="23"/>
        <v>-2.9529480292250252E-2</v>
      </c>
      <c r="X18" s="774">
        <f t="shared" si="24"/>
        <v>-7978.5</v>
      </c>
      <c r="Y18" s="774">
        <f>'Revenue Summary'!Q16</f>
        <v>0</v>
      </c>
      <c r="Z18" s="831">
        <f t="shared" si="20"/>
        <v>7978.5</v>
      </c>
      <c r="AA18" s="775">
        <f t="shared" si="0"/>
        <v>0</v>
      </c>
      <c r="AB18" s="774">
        <f>'Revenue Summary'!AK16</f>
        <v>0</v>
      </c>
      <c r="AC18" s="775">
        <f t="shared" si="1"/>
        <v>0</v>
      </c>
      <c r="AD18" s="782">
        <f t="shared" si="2"/>
        <v>0</v>
      </c>
      <c r="AF18" s="713"/>
    </row>
    <row r="19" spans="3:32">
      <c r="AF19" s="713"/>
    </row>
    <row r="20" spans="3:32">
      <c r="D20" s="750" t="s">
        <v>164</v>
      </c>
      <c r="E20" s="776"/>
      <c r="F20" s="767">
        <f>SUM(F21:F21)</f>
        <v>0</v>
      </c>
      <c r="G20" s="777">
        <f>SUM(G21:G21)</f>
        <v>22087.710762247058</v>
      </c>
      <c r="H20" s="830">
        <f t="shared" si="18"/>
        <v>22087.710762247058</v>
      </c>
      <c r="I20" s="778">
        <f>IFERROR($F20/G20,0)</f>
        <v>0</v>
      </c>
      <c r="J20" s="777">
        <f>SUM(J21:J21)</f>
        <v>22087.710762247058</v>
      </c>
      <c r="K20" s="778">
        <f>IFERROR($F20/J20,0)</f>
        <v>0</v>
      </c>
      <c r="L20" s="777">
        <f>SUM(L21:L21)</f>
        <v>0</v>
      </c>
      <c r="M20" s="778">
        <f>IFERROR($F20/L20,0)</f>
        <v>0</v>
      </c>
      <c r="O20" s="767">
        <f>SUM(O21:O21)</f>
        <v>316</v>
      </c>
      <c r="P20" s="777">
        <f>SUM(P21:P21)</f>
        <v>79579.81446903196</v>
      </c>
      <c r="Q20" s="830">
        <f t="shared" si="19"/>
        <v>79263.81446903196</v>
      </c>
      <c r="R20" s="778">
        <f>IFERROR($O20/P20,0)</f>
        <v>3.9708562040311072E-3</v>
      </c>
      <c r="S20" s="777">
        <f>SUM(S21:S21)</f>
        <v>79579.81446903196</v>
      </c>
      <c r="T20" s="778">
        <f>IFERROR($O20/S20,0)</f>
        <v>3.9708562040311072E-3</v>
      </c>
      <c r="U20" s="777">
        <f>SUM(U21:U21)</f>
        <v>0</v>
      </c>
      <c r="V20" s="778">
        <f>IFERROR($O20/U20,0)</f>
        <v>0</v>
      </c>
      <c r="X20" s="777">
        <f>SUM(X21:X21)</f>
        <v>316</v>
      </c>
      <c r="Y20" s="777">
        <f>SUM(Y21:Y21)</f>
        <v>207936.65351650899</v>
      </c>
      <c r="Z20" s="830">
        <f t="shared" si="20"/>
        <v>207620.65351650899</v>
      </c>
      <c r="AA20" s="778">
        <f t="shared" si="0"/>
        <v>1.5196935925243763E-3</v>
      </c>
      <c r="AB20" s="777">
        <f>SUM(AB21:AB21)</f>
        <v>207936.65351650899</v>
      </c>
      <c r="AC20" s="778">
        <f t="shared" si="1"/>
        <v>1.5196935925243763E-3</v>
      </c>
      <c r="AD20" s="778">
        <f t="shared" si="2"/>
        <v>1</v>
      </c>
      <c r="AF20" s="713"/>
    </row>
    <row r="21" spans="3:32">
      <c r="C21" s="677"/>
      <c r="D21" s="754" t="s">
        <v>177</v>
      </c>
      <c r="E21" s="779" t="s">
        <v>89</v>
      </c>
      <c r="F21" s="771">
        <f>VLOOKUP($E21,RS_VN_Actual_APP,$B$2+1,0)</f>
        <v>0</v>
      </c>
      <c r="G21" s="774">
        <f>VLOOKUP($E21,RS_VN_Target_APP,$B$2+1,0)</f>
        <v>22087.710762247058</v>
      </c>
      <c r="H21" s="831">
        <f t="shared" si="18"/>
        <v>22087.710762247058</v>
      </c>
      <c r="I21" s="775">
        <f>IFERROR($F21/G21,0)</f>
        <v>0</v>
      </c>
      <c r="J21" s="774">
        <f>VLOOKUP($E21,RS_VN_Forecast_APP,$B$2+1,0)</f>
        <v>22087.710762247058</v>
      </c>
      <c r="K21" s="775">
        <f>IFERROR($F21/J21,0)</f>
        <v>0</v>
      </c>
      <c r="L21" s="774">
        <f>VLOOKUP($E21,PAST_VN_Actual_APP_2017,$B$2+1,0)</f>
        <v>0</v>
      </c>
      <c r="M21" s="775">
        <f>IFERROR($F21/L21,0)</f>
        <v>0</v>
      </c>
      <c r="O21" s="771">
        <f>SUMPRODUCT('Revenue Summary'!AS19:BD19,'Revenue Summary'!$AS$8:$BD$8)</f>
        <v>316</v>
      </c>
      <c r="P21" s="774">
        <f>SUMPRODUCT('Revenue Summary'!E19:P19,'Revenue Summary'!$E$8:$P$8)</f>
        <v>79579.81446903196</v>
      </c>
      <c r="Q21" s="831">
        <f t="shared" si="19"/>
        <v>79263.81446903196</v>
      </c>
      <c r="R21" s="775">
        <f>IFERROR($O21/P21,0)</f>
        <v>3.9708562040311072E-3</v>
      </c>
      <c r="S21" s="774">
        <f>SUMPRODUCT('Revenue Summary'!Y19:AJ19,'Revenue Summary'!$Y$8:$AJ$8)</f>
        <v>79579.81446903196</v>
      </c>
      <c r="T21" s="775">
        <f>IFERROR($O21/S21,0)</f>
        <v>3.9708562040311072E-3</v>
      </c>
      <c r="U21" s="774">
        <f>SUMPRODUCT('Past data'!E19:P19,'Past data'!$E$8:$P$8)</f>
        <v>0</v>
      </c>
      <c r="V21" s="775">
        <f>IFERROR($O21/U21,0)</f>
        <v>0</v>
      </c>
      <c r="X21" s="774">
        <f t="shared" ref="X21" si="34">O21</f>
        <v>316</v>
      </c>
      <c r="Y21" s="774">
        <f>'Revenue Summary'!Q19</f>
        <v>207936.65351650899</v>
      </c>
      <c r="Z21" s="831">
        <f t="shared" si="20"/>
        <v>207620.65351650899</v>
      </c>
      <c r="AA21" s="775">
        <f t="shared" si="0"/>
        <v>1.5196935925243763E-3</v>
      </c>
      <c r="AB21" s="774">
        <f>'Revenue Summary'!AK19</f>
        <v>207936.65351650899</v>
      </c>
      <c r="AC21" s="775">
        <f t="shared" si="1"/>
        <v>1.5196935925243763E-3</v>
      </c>
      <c r="AD21" s="775">
        <f t="shared" si="2"/>
        <v>1</v>
      </c>
      <c r="AF21" s="713"/>
    </row>
    <row r="22" spans="3:32">
      <c r="AF22" s="713"/>
    </row>
    <row r="23" spans="3:32" s="816" customFormat="1">
      <c r="D23" s="750" t="s">
        <v>206</v>
      </c>
      <c r="E23" s="776"/>
      <c r="F23" s="767">
        <f>SUM(F24:F24)</f>
        <v>0</v>
      </c>
      <c r="G23" s="777">
        <f>SUM(G24:G24)</f>
        <v>70429.108336755075</v>
      </c>
      <c r="H23" s="830">
        <f t="shared" si="18"/>
        <v>70429.108336755075</v>
      </c>
      <c r="I23" s="778">
        <f>IFERROR($F23/G23,0)</f>
        <v>0</v>
      </c>
      <c r="J23" s="777">
        <f>SUM(J24:J24)</f>
        <v>0</v>
      </c>
      <c r="K23" s="778">
        <f>IFERROR($F23/J23,0)</f>
        <v>0</v>
      </c>
      <c r="L23" s="777">
        <f>SUM(L24:L24)</f>
        <v>0</v>
      </c>
      <c r="M23" s="778">
        <f>IFERROR($F23/L23,0)</f>
        <v>0</v>
      </c>
      <c r="O23" s="767">
        <f>SUM(O24:O24)</f>
        <v>0</v>
      </c>
      <c r="P23" s="777">
        <f>SUM(P24:P24)</f>
        <v>465845.29356633709</v>
      </c>
      <c r="Q23" s="830">
        <f t="shared" si="19"/>
        <v>465845.29356633709</v>
      </c>
      <c r="R23" s="778">
        <f>IFERROR($O23/P23,0)</f>
        <v>0</v>
      </c>
      <c r="S23" s="777">
        <f>SUM(S24:S24)</f>
        <v>0</v>
      </c>
      <c r="T23" s="778">
        <f>IFERROR($O23/S23,0)</f>
        <v>0</v>
      </c>
      <c r="U23" s="777">
        <f>SUM(U24:U24)</f>
        <v>0</v>
      </c>
      <c r="V23" s="778">
        <f>IFERROR($O23/U23,0)</f>
        <v>0</v>
      </c>
      <c r="X23" s="777">
        <f>SUM(X24:X24)</f>
        <v>0</v>
      </c>
      <c r="Y23" s="777">
        <f>SUM(Y24:Y24)</f>
        <v>649966.26592503453</v>
      </c>
      <c r="Z23" s="830">
        <f t="shared" si="20"/>
        <v>649966.26592503453</v>
      </c>
      <c r="AA23" s="778">
        <f t="shared" ref="AA23" si="35">IFERROR(X23/Y23,0)</f>
        <v>0</v>
      </c>
      <c r="AB23" s="777">
        <f>SUM(AB24:AB24)</f>
        <v>0</v>
      </c>
      <c r="AC23" s="778">
        <f t="shared" ref="AC23" si="36">IFERROR(X23/AB23,0)</f>
        <v>0</v>
      </c>
      <c r="AD23" s="778">
        <f t="shared" si="2"/>
        <v>0</v>
      </c>
      <c r="AF23" s="713"/>
    </row>
    <row r="24" spans="3:32" s="816" customFormat="1">
      <c r="C24" s="677"/>
      <c r="D24" s="754" t="s">
        <v>161</v>
      </c>
      <c r="E24" s="779" t="s">
        <v>186</v>
      </c>
      <c r="F24" s="771">
        <v>0</v>
      </c>
      <c r="G24" s="774">
        <f>VLOOKUP($E24,'Revenue Summary'!$D$22:$P$22,$B$2+1,0)</f>
        <v>70429.108336755075</v>
      </c>
      <c r="H24" s="831">
        <f t="shared" si="18"/>
        <v>70429.108336755075</v>
      </c>
      <c r="I24" s="775">
        <v>0</v>
      </c>
      <c r="J24" s="774">
        <v>0</v>
      </c>
      <c r="K24" s="775">
        <v>0</v>
      </c>
      <c r="L24" s="774">
        <v>0</v>
      </c>
      <c r="M24" s="775">
        <v>0</v>
      </c>
      <c r="O24" s="771">
        <v>0</v>
      </c>
      <c r="P24" s="774">
        <f>SUMPRODUCT('Revenue Summary'!$E$22:$P$22,'Revenue Summary'!$E$8:$P$8)</f>
        <v>465845.29356633709</v>
      </c>
      <c r="Q24" s="831">
        <f t="shared" si="19"/>
        <v>465845.29356633709</v>
      </c>
      <c r="R24" s="775">
        <v>0</v>
      </c>
      <c r="S24" s="774">
        <v>0</v>
      </c>
      <c r="T24" s="775">
        <v>0</v>
      </c>
      <c r="U24" s="774">
        <v>0</v>
      </c>
      <c r="V24" s="775">
        <v>0</v>
      </c>
      <c r="X24" s="774">
        <v>0</v>
      </c>
      <c r="Y24" s="774">
        <f>'Revenue Summary'!Q22</f>
        <v>649966.26592503453</v>
      </c>
      <c r="Z24" s="831">
        <f t="shared" si="20"/>
        <v>649966.26592503453</v>
      </c>
      <c r="AA24" s="775">
        <f t="shared" si="0"/>
        <v>0</v>
      </c>
      <c r="AB24" s="774">
        <v>0</v>
      </c>
      <c r="AC24" s="775">
        <f t="shared" si="1"/>
        <v>0</v>
      </c>
      <c r="AD24" s="775">
        <f t="shared" si="2"/>
        <v>0</v>
      </c>
      <c r="AF24" s="713"/>
    </row>
    <row r="25" spans="3:32" s="816" customFormat="1">
      <c r="AF25" s="713"/>
    </row>
    <row r="26" spans="3:32">
      <c r="D26" s="678" t="s">
        <v>166</v>
      </c>
      <c r="E26" s="679"/>
      <c r="F26" s="725">
        <f>SUM(F27:F32)</f>
        <v>1232725.1100000001</v>
      </c>
      <c r="G26" s="725">
        <f>SUM(G27:G32)</f>
        <v>1262792.1955417492</v>
      </c>
      <c r="H26" s="725">
        <f t="shared" si="18"/>
        <v>30067.08554174914</v>
      </c>
      <c r="I26" s="730">
        <f>IFERROR($F26/G26,0)</f>
        <v>0.97618999733455747</v>
      </c>
      <c r="J26" s="725">
        <f>SUM(J27:J32)</f>
        <v>1326488.0089493406</v>
      </c>
      <c r="K26" s="730">
        <f>IFERROR($F26/J26,0)</f>
        <v>0.92931492910847613</v>
      </c>
      <c r="L26" s="725">
        <f>SUM(L27:L32)</f>
        <v>579148.28</v>
      </c>
      <c r="M26" s="730">
        <f>IFERROR($F26/L26,0)</f>
        <v>2.1285138065160103</v>
      </c>
      <c r="O26" s="725">
        <f>SUM(O27:O32)</f>
        <v>8705537.7619449217</v>
      </c>
      <c r="P26" s="725">
        <f>SUM(P27:P32)</f>
        <v>9064877.705643883</v>
      </c>
      <c r="Q26" s="725">
        <f t="shared" si="19"/>
        <v>359339.94369896129</v>
      </c>
      <c r="R26" s="730">
        <f>IFERROR($O26/P26,0)</f>
        <v>0.96035909635325445</v>
      </c>
      <c r="S26" s="725">
        <f>SUM(S27:S32)</f>
        <v>9514102.1582166348</v>
      </c>
      <c r="T26" s="730">
        <f>IFERROR($O26/S26,0)</f>
        <v>0.91501411454012871</v>
      </c>
      <c r="U26" s="725">
        <f>SUM(U27:U32)</f>
        <v>4000566.8572199992</v>
      </c>
      <c r="V26" s="730">
        <f>IFERROR($O26/U26,0)</f>
        <v>2.1760760593798487</v>
      </c>
      <c r="X26" s="725">
        <f>SUM(X27:X32)</f>
        <v>8705537.7619449217</v>
      </c>
      <c r="Y26" s="725">
        <f>SUM(Y27:Y32)</f>
        <v>14776296.759465663</v>
      </c>
      <c r="Z26" s="725">
        <f t="shared" si="20"/>
        <v>6070758.9975207411</v>
      </c>
      <c r="AA26" s="730">
        <f t="shared" si="0"/>
        <v>0.58915558503304788</v>
      </c>
      <c r="AB26" s="725">
        <f>SUM(AB27:AB32)</f>
        <v>15289935.631888391</v>
      </c>
      <c r="AC26" s="730">
        <f t="shared" si="1"/>
        <v>0.56936392484143761</v>
      </c>
      <c r="AD26" s="730">
        <f t="shared" si="2"/>
        <v>0.96640673415580025</v>
      </c>
      <c r="AF26" s="713"/>
    </row>
    <row r="27" spans="3:32">
      <c r="D27" s="680" t="s">
        <v>177</v>
      </c>
      <c r="E27" s="681" t="s">
        <v>87</v>
      </c>
      <c r="F27" s="723">
        <f>SUMIF($E$6:$E$21,$E27,F$6:F$21)</f>
        <v>400125.86</v>
      </c>
      <c r="G27" s="726">
        <f>SUMIF($E$6:$E$21,$E27,G$6:G$21)</f>
        <v>384532.66406537464</v>
      </c>
      <c r="H27" s="564">
        <f t="shared" si="18"/>
        <v>-15593.195934625342</v>
      </c>
      <c r="I27" s="727">
        <f t="shared" ref="I27:I32" si="37">IFERROR($F27/G27,0)</f>
        <v>1.0405510308793282</v>
      </c>
      <c r="J27" s="726">
        <f>SUMIF($E$6:$E$21,$E27,J$6:J$21)</f>
        <v>461838.4980838889</v>
      </c>
      <c r="K27" s="727">
        <f>IFERROR($F27/J27,0)</f>
        <v>0.8663761502344931</v>
      </c>
      <c r="L27" s="726">
        <f>SUMIF($E$6:$E$21,$E27,L$6:L$21)</f>
        <v>197528.9</v>
      </c>
      <c r="M27" s="727">
        <f t="shared" ref="M27:M32" si="38">IFERROR($F27/L27,0)</f>
        <v>2.0256573088798651</v>
      </c>
      <c r="O27" s="723">
        <f>SUMIF($E$6:$E$21,$E27,O$6:O$21)</f>
        <v>2758072.9655189221</v>
      </c>
      <c r="P27" s="726">
        <f>SUMIF($E$6:$E$21,$E27,P$6:P$21)</f>
        <v>2831240.6467298875</v>
      </c>
      <c r="Q27" s="564">
        <f t="shared" si="19"/>
        <v>73167.681210965384</v>
      </c>
      <c r="R27" s="727">
        <f t="shared" ref="R27:R32" si="39">IFERROR($O27/P27,0)</f>
        <v>0.97415702501464341</v>
      </c>
      <c r="S27" s="726">
        <f>SUMIF($E$6:$E$21,$E27,S$6:S$21)</f>
        <v>3345585.0984765808</v>
      </c>
      <c r="T27" s="727">
        <f t="shared" ref="T27:T32" si="40">IFERROR($O27/S27,0)</f>
        <v>0.82439181319130583</v>
      </c>
      <c r="U27" s="726">
        <f>SUMIF($E$6:$E$21,$E27,U$6:U$21)</f>
        <v>1514263.3508929997</v>
      </c>
      <c r="V27" s="727">
        <f t="shared" ref="V27:V32" si="41">IFERROR($O27/U27,0)</f>
        <v>1.8213958383740954</v>
      </c>
      <c r="X27" s="726">
        <f>SUMIF($E$6:$E$21,$E27,X$6:X$21)</f>
        <v>2758072.9655189221</v>
      </c>
      <c r="Y27" s="726">
        <f>SUMIF($E$6:$E$21,$E27,Y$6:Y$21)</f>
        <v>4692950.1889899503</v>
      </c>
      <c r="Z27" s="564">
        <f t="shared" si="20"/>
        <v>1934877.2234710283</v>
      </c>
      <c r="AA27" s="727">
        <f t="shared" si="0"/>
        <v>0.58770556993969159</v>
      </c>
      <c r="AB27" s="726">
        <f>SUMIF($E$6:$E$21,$E27,AB$6:AB$21)</f>
        <v>5342916.4549149852</v>
      </c>
      <c r="AC27" s="727">
        <f t="shared" si="1"/>
        <v>0.51621113464758595</v>
      </c>
      <c r="AD27" s="727">
        <f t="shared" si="2"/>
        <v>0.87834991031403331</v>
      </c>
      <c r="AF27" s="713"/>
    </row>
    <row r="28" spans="3:32">
      <c r="D28" s="680" t="s">
        <v>177</v>
      </c>
      <c r="E28" s="681" t="s">
        <v>88</v>
      </c>
      <c r="F28" s="723">
        <f t="shared" ref="F28:L31" si="42">SUMIF($E$6:$E$21,$E28,F$6:F$21)</f>
        <v>536355.72</v>
      </c>
      <c r="G28" s="726">
        <f t="shared" si="42"/>
        <v>544088.61991321796</v>
      </c>
      <c r="H28" s="564">
        <f t="shared" si="18"/>
        <v>7732.8999132179888</v>
      </c>
      <c r="I28" s="727">
        <f t="shared" si="37"/>
        <v>0.98578742574242517</v>
      </c>
      <c r="J28" s="726">
        <f t="shared" si="42"/>
        <v>552782.47231985081</v>
      </c>
      <c r="K28" s="727">
        <f t="shared" ref="K28:K32" si="43">IFERROR($F28/J28,0)</f>
        <v>0.97028351450632466</v>
      </c>
      <c r="L28" s="726">
        <f t="shared" si="42"/>
        <v>232086.25</v>
      </c>
      <c r="M28" s="727">
        <f t="shared" si="38"/>
        <v>2.3110189423113172</v>
      </c>
      <c r="O28" s="723">
        <f t="shared" ref="O28:U31" si="44">SUMIF($E$6:$E$21,$E28,O$6:O$21)</f>
        <v>3826958.1819309993</v>
      </c>
      <c r="P28" s="726">
        <f t="shared" si="44"/>
        <v>3919568.8864983018</v>
      </c>
      <c r="Q28" s="564">
        <f t="shared" si="19"/>
        <v>92610.704567302484</v>
      </c>
      <c r="R28" s="727">
        <f t="shared" si="39"/>
        <v>0.97637222172920146</v>
      </c>
      <c r="S28" s="726">
        <f t="shared" si="44"/>
        <v>3980883.6084428453</v>
      </c>
      <c r="T28" s="727">
        <f t="shared" si="40"/>
        <v>0.96133385407566463</v>
      </c>
      <c r="U28" s="726">
        <f t="shared" si="44"/>
        <v>1825146.9954099995</v>
      </c>
      <c r="V28" s="727">
        <f t="shared" si="41"/>
        <v>2.0967945001445294</v>
      </c>
      <c r="X28" s="726">
        <f t="shared" ref="X28:AB31" si="45">SUMIF($E$6:$E$21,$E28,X$6:X$21)</f>
        <v>3826958.1819309993</v>
      </c>
      <c r="Y28" s="726">
        <f t="shared" si="45"/>
        <v>6381621.332640633</v>
      </c>
      <c r="Z28" s="564">
        <f t="shared" si="20"/>
        <v>2554663.1507096337</v>
      </c>
      <c r="AA28" s="727">
        <f t="shared" si="0"/>
        <v>0.59968430943354845</v>
      </c>
      <c r="AB28" s="726">
        <f t="shared" si="45"/>
        <v>6381621.332640633</v>
      </c>
      <c r="AC28" s="727">
        <f t="shared" si="1"/>
        <v>0.59968430943354845</v>
      </c>
      <c r="AD28" s="727">
        <f t="shared" si="2"/>
        <v>1</v>
      </c>
      <c r="AF28" s="713"/>
    </row>
    <row r="29" spans="3:32">
      <c r="D29" s="680" t="s">
        <v>177</v>
      </c>
      <c r="E29" s="681" t="s">
        <v>89</v>
      </c>
      <c r="F29" s="723">
        <f t="shared" si="42"/>
        <v>253807.22</v>
      </c>
      <c r="G29" s="726">
        <f t="shared" si="42"/>
        <v>245822.63815510788</v>
      </c>
      <c r="H29" s="564">
        <f t="shared" si="18"/>
        <v>-7984.58184489212</v>
      </c>
      <c r="I29" s="727">
        <f t="shared" si="37"/>
        <v>1.0324810680774406</v>
      </c>
      <c r="J29" s="726">
        <f t="shared" si="42"/>
        <v>293607.14308134664</v>
      </c>
      <c r="K29" s="727">
        <f t="shared" si="43"/>
        <v>0.86444497683654886</v>
      </c>
      <c r="L29" s="726">
        <f t="shared" si="42"/>
        <v>46660.800000000003</v>
      </c>
      <c r="M29" s="727">
        <f t="shared" si="38"/>
        <v>5.4394099543942662</v>
      </c>
      <c r="O29" s="723">
        <f t="shared" si="44"/>
        <v>1627012.4993729999</v>
      </c>
      <c r="P29" s="726">
        <f>SUMIF($E$6:$E$21,$E29,P$6:P$21)</f>
        <v>1721845.2303184844</v>
      </c>
      <c r="Q29" s="564">
        <f t="shared" si="19"/>
        <v>94832.73094548448</v>
      </c>
      <c r="R29" s="727">
        <f t="shared" si="39"/>
        <v>0.94492377754071222</v>
      </c>
      <c r="S29" s="726">
        <f>SUMIF($E$6:$E$21,$E29,S$6:S$21)</f>
        <v>2058852.7496288689</v>
      </c>
      <c r="T29" s="727">
        <f t="shared" si="40"/>
        <v>0.79025199818990799</v>
      </c>
      <c r="U29" s="726">
        <f>SUMIF($E$6:$E$21,$E29,U$6:U$21)</f>
        <v>309360.17874599999</v>
      </c>
      <c r="V29" s="727">
        <f t="shared" si="41"/>
        <v>5.259282257878632</v>
      </c>
      <c r="X29" s="726">
        <f t="shared" si="45"/>
        <v>1627012.4993729999</v>
      </c>
      <c r="Y29" s="726">
        <f t="shared" si="45"/>
        <v>2842507.5578480316</v>
      </c>
      <c r="Z29" s="564">
        <f t="shared" si="20"/>
        <v>1215495.0584750318</v>
      </c>
      <c r="AA29" s="727">
        <f t="shared" si="0"/>
        <v>0.57238634067335858</v>
      </c>
      <c r="AB29" s="726">
        <f t="shared" si="45"/>
        <v>3356146.4302707589</v>
      </c>
      <c r="AC29" s="727">
        <f t="shared" si="1"/>
        <v>0.48478590942819494</v>
      </c>
      <c r="AD29" s="727">
        <f t="shared" si="2"/>
        <v>0.84695576218309132</v>
      </c>
      <c r="AF29" s="713"/>
    </row>
    <row r="30" spans="3:32">
      <c r="D30" s="680" t="s">
        <v>176</v>
      </c>
      <c r="E30" s="681" t="s">
        <v>90</v>
      </c>
      <c r="F30" s="723">
        <f t="shared" si="42"/>
        <v>42436.31</v>
      </c>
      <c r="G30" s="726">
        <f t="shared" si="42"/>
        <v>17919.165071293719</v>
      </c>
      <c r="H30" s="564">
        <f t="shared" si="18"/>
        <v>-24517.144928706279</v>
      </c>
      <c r="I30" s="727">
        <f t="shared" si="37"/>
        <v>2.3682079958056996</v>
      </c>
      <c r="J30" s="726">
        <f t="shared" si="42"/>
        <v>18259.895464254208</v>
      </c>
      <c r="K30" s="727">
        <f t="shared" si="43"/>
        <v>2.3240171381634593</v>
      </c>
      <c r="L30" s="726">
        <f t="shared" si="42"/>
        <v>18531.59</v>
      </c>
      <c r="M30" s="727">
        <f t="shared" si="38"/>
        <v>2.2899443598741391</v>
      </c>
      <c r="O30" s="723">
        <f t="shared" si="44"/>
        <v>501472.61512199999</v>
      </c>
      <c r="P30" s="726">
        <f t="shared" si="44"/>
        <v>126377.64853087309</v>
      </c>
      <c r="Q30" s="564">
        <f t="shared" si="19"/>
        <v>-375094.96659112687</v>
      </c>
      <c r="R30" s="727">
        <f t="shared" si="39"/>
        <v>3.9680483135393523</v>
      </c>
      <c r="S30" s="726">
        <f t="shared" si="44"/>
        <v>128780.7016683393</v>
      </c>
      <c r="T30" s="727">
        <f t="shared" si="40"/>
        <v>3.8940043704179232</v>
      </c>
      <c r="U30" s="726">
        <f t="shared" si="44"/>
        <v>81608.712171000006</v>
      </c>
      <c r="V30" s="727">
        <f t="shared" si="41"/>
        <v>6.1448416692476657</v>
      </c>
      <c r="X30" s="726">
        <f t="shared" si="45"/>
        <v>501472.61512199999</v>
      </c>
      <c r="Y30" s="726">
        <f t="shared" si="45"/>
        <v>209251.41406201432</v>
      </c>
      <c r="Z30" s="564">
        <f t="shared" si="20"/>
        <v>-292221.20105998567</v>
      </c>
      <c r="AA30" s="727">
        <f t="shared" si="0"/>
        <v>2.3965076526239493</v>
      </c>
      <c r="AB30" s="726">
        <f t="shared" si="45"/>
        <v>209251.41406201434</v>
      </c>
      <c r="AC30" s="727">
        <f t="shared" si="1"/>
        <v>2.3965076526239488</v>
      </c>
      <c r="AD30" s="727">
        <f t="shared" si="2"/>
        <v>0.99999999999999989</v>
      </c>
      <c r="AF30" s="713"/>
    </row>
    <row r="31" spans="3:32" s="816" customFormat="1">
      <c r="D31" s="680" t="s">
        <v>161</v>
      </c>
      <c r="E31" s="681" t="s">
        <v>147</v>
      </c>
      <c r="F31" s="723">
        <f t="shared" si="42"/>
        <v>0</v>
      </c>
      <c r="G31" s="726">
        <f t="shared" si="42"/>
        <v>0</v>
      </c>
      <c r="H31" s="564">
        <f t="shared" si="18"/>
        <v>0</v>
      </c>
      <c r="I31" s="727">
        <f t="shared" si="37"/>
        <v>0</v>
      </c>
      <c r="J31" s="726">
        <f t="shared" si="42"/>
        <v>0</v>
      </c>
      <c r="K31" s="727">
        <f t="shared" si="43"/>
        <v>0</v>
      </c>
      <c r="L31" s="726">
        <f t="shared" si="42"/>
        <v>84340.74000000002</v>
      </c>
      <c r="M31" s="727">
        <f t="shared" si="38"/>
        <v>0</v>
      </c>
      <c r="O31" s="723">
        <f t="shared" si="44"/>
        <v>-7978.5</v>
      </c>
      <c r="P31" s="726">
        <f t="shared" si="44"/>
        <v>0</v>
      </c>
      <c r="Q31" s="564">
        <f t="shared" si="19"/>
        <v>7978.5</v>
      </c>
      <c r="R31" s="727">
        <f t="shared" si="39"/>
        <v>0</v>
      </c>
      <c r="S31" s="726">
        <f t="shared" si="44"/>
        <v>0</v>
      </c>
      <c r="T31" s="727">
        <f t="shared" si="40"/>
        <v>0</v>
      </c>
      <c r="U31" s="726">
        <f t="shared" si="44"/>
        <v>270187.62</v>
      </c>
      <c r="V31" s="727">
        <f t="shared" si="41"/>
        <v>-2.9529480292250252E-2</v>
      </c>
      <c r="X31" s="726">
        <f t="shared" si="45"/>
        <v>-7978.5</v>
      </c>
      <c r="Y31" s="726">
        <f t="shared" si="45"/>
        <v>0</v>
      </c>
      <c r="Z31" s="564">
        <f t="shared" si="20"/>
        <v>7978.5</v>
      </c>
      <c r="AA31" s="727">
        <f t="shared" si="0"/>
        <v>0</v>
      </c>
      <c r="AB31" s="726">
        <f t="shared" si="45"/>
        <v>0</v>
      </c>
      <c r="AC31" s="727">
        <f t="shared" si="1"/>
        <v>0</v>
      </c>
      <c r="AD31" s="727">
        <f t="shared" si="2"/>
        <v>0</v>
      </c>
      <c r="AF31" s="713"/>
    </row>
    <row r="32" spans="3:32" s="816" customFormat="1">
      <c r="D32" s="682" t="s">
        <v>161</v>
      </c>
      <c r="E32" s="683" t="s">
        <v>186</v>
      </c>
      <c r="F32" s="724">
        <f>F24</f>
        <v>0</v>
      </c>
      <c r="G32" s="728">
        <f>G24</f>
        <v>70429.108336755075</v>
      </c>
      <c r="H32" s="832">
        <f t="shared" si="18"/>
        <v>70429.108336755075</v>
      </c>
      <c r="I32" s="729">
        <f t="shared" si="37"/>
        <v>0</v>
      </c>
      <c r="J32" s="728">
        <f>J24</f>
        <v>0</v>
      </c>
      <c r="K32" s="729">
        <f t="shared" si="43"/>
        <v>0</v>
      </c>
      <c r="L32" s="728">
        <f>L24</f>
        <v>0</v>
      </c>
      <c r="M32" s="729">
        <f t="shared" si="38"/>
        <v>0</v>
      </c>
      <c r="O32" s="724">
        <f>O24</f>
        <v>0</v>
      </c>
      <c r="P32" s="728">
        <f>P24</f>
        <v>465845.29356633709</v>
      </c>
      <c r="Q32" s="832">
        <f t="shared" si="19"/>
        <v>465845.29356633709</v>
      </c>
      <c r="R32" s="729">
        <f t="shared" si="39"/>
        <v>0</v>
      </c>
      <c r="S32" s="728">
        <f>S24</f>
        <v>0</v>
      </c>
      <c r="T32" s="729">
        <f t="shared" si="40"/>
        <v>0</v>
      </c>
      <c r="U32" s="728">
        <f>U24</f>
        <v>0</v>
      </c>
      <c r="V32" s="729">
        <f t="shared" si="41"/>
        <v>0</v>
      </c>
      <c r="X32" s="728">
        <f>X24</f>
        <v>0</v>
      </c>
      <c r="Y32" s="728">
        <f>Y24</f>
        <v>649966.26592503453</v>
      </c>
      <c r="Z32" s="832">
        <f t="shared" si="20"/>
        <v>649966.26592503453</v>
      </c>
      <c r="AA32" s="729">
        <f t="shared" si="0"/>
        <v>0</v>
      </c>
      <c r="AB32" s="728">
        <f>AB24</f>
        <v>0</v>
      </c>
      <c r="AC32" s="729">
        <f t="shared" si="1"/>
        <v>0</v>
      </c>
      <c r="AD32" s="729">
        <f t="shared" si="2"/>
        <v>0</v>
      </c>
      <c r="AF32" s="713"/>
    </row>
    <row r="33" spans="1:32">
      <c r="D33" s="707"/>
      <c r="E33" s="708"/>
      <c r="AF33" s="713"/>
    </row>
    <row r="34" spans="1:32" ht="2.4500000000000002" customHeight="1">
      <c r="A34" s="710"/>
      <c r="B34" s="710"/>
      <c r="C34" s="710"/>
      <c r="D34" s="711"/>
      <c r="E34" s="712"/>
      <c r="F34" s="713"/>
      <c r="G34" s="713"/>
      <c r="H34" s="713"/>
      <c r="I34" s="713"/>
      <c r="J34" s="713"/>
      <c r="K34" s="713"/>
      <c r="L34" s="713"/>
      <c r="M34" s="713"/>
      <c r="N34" s="710"/>
      <c r="O34" s="713"/>
      <c r="P34" s="713"/>
      <c r="Q34" s="713"/>
      <c r="R34" s="713"/>
      <c r="S34" s="713"/>
      <c r="T34" s="713"/>
      <c r="U34" s="713"/>
      <c r="V34" s="713"/>
      <c r="W34" s="710"/>
      <c r="X34" s="713"/>
      <c r="Y34" s="713"/>
      <c r="Z34" s="713"/>
      <c r="AA34" s="713"/>
      <c r="AB34" s="713"/>
      <c r="AC34" s="713"/>
      <c r="AD34" s="713"/>
      <c r="AE34" s="713"/>
      <c r="AF34" s="713"/>
    </row>
    <row r="35" spans="1:32">
      <c r="C35" s="553" t="s">
        <v>151</v>
      </c>
      <c r="AF35" s="713"/>
    </row>
    <row r="36" spans="1:32">
      <c r="D36" s="750" t="s">
        <v>160</v>
      </c>
      <c r="E36" s="776"/>
      <c r="F36" s="767">
        <f>SUM(F37:F40)</f>
        <v>78493.91</v>
      </c>
      <c r="G36" s="777">
        <f>SUM(G37:G40)</f>
        <v>29616.697957310145</v>
      </c>
      <c r="H36" s="830">
        <f t="shared" ref="H36:H40" si="46">G36-F36</f>
        <v>-48877.212042689862</v>
      </c>
      <c r="I36" s="778">
        <f>IFERROR($F36/G36,0)</f>
        <v>2.6503261813029271</v>
      </c>
      <c r="J36" s="777">
        <f>SUM(J37:J40)</f>
        <v>29616.697957310145</v>
      </c>
      <c r="K36" s="778">
        <f>IFERROR($F36/J36,0)</f>
        <v>2.6503261813029271</v>
      </c>
      <c r="L36" s="777">
        <f>SUM(L37:L40)</f>
        <v>8091.4200000000019</v>
      </c>
      <c r="M36" s="778">
        <f>IFERROR($F36/L36,0)</f>
        <v>9.7008819218381923</v>
      </c>
      <c r="O36" s="767">
        <f>SUM(O37:O40)</f>
        <v>306163.21999999997</v>
      </c>
      <c r="P36" s="777">
        <f>SUM(P37:P40)</f>
        <v>191782.60804266875</v>
      </c>
      <c r="Q36" s="830">
        <f t="shared" ref="Q36:Q40" si="47">P36-O36</f>
        <v>-114380.61195733122</v>
      </c>
      <c r="R36" s="778">
        <f>IFERROR($O36/P36,0)</f>
        <v>1.5964076363581585</v>
      </c>
      <c r="S36" s="777">
        <f>SUM(S37:S40)</f>
        <v>191782.60804266875</v>
      </c>
      <c r="T36" s="778">
        <f>IFERROR($O36/S36,0)</f>
        <v>1.5964076363581585</v>
      </c>
      <c r="U36" s="777">
        <f>SUM(U37:U40)</f>
        <v>34162.35899700001</v>
      </c>
      <c r="V36" s="778">
        <f>IFERROR($O36/U36,0)</f>
        <v>8.9620046445529677</v>
      </c>
      <c r="X36" s="777">
        <f>SUM(X37:X40)</f>
        <v>306163.21999999997</v>
      </c>
      <c r="Y36" s="777">
        <f>SUM(Y37:Y40)</f>
        <v>390398.10788398201</v>
      </c>
      <c r="Z36" s="830">
        <f t="shared" ref="Z36:Z40" si="48">Y36-X36</f>
        <v>84234.887883982039</v>
      </c>
      <c r="AA36" s="778">
        <f t="shared" ref="AA36:AA40" si="49">IFERROR(X36/Y36,0)</f>
        <v>0.78423336029841917</v>
      </c>
      <c r="AB36" s="777">
        <f>SUM(AB37:AB40)</f>
        <v>390398.10788398201</v>
      </c>
      <c r="AC36" s="778">
        <f t="shared" ref="AC36:AC40" si="50">IFERROR(X36/AB36,0)</f>
        <v>0.78423336029841917</v>
      </c>
      <c r="AD36" s="783">
        <f t="shared" ref="AD36:AD40" si="51">IFERROR(Y36/AB36,0)</f>
        <v>1</v>
      </c>
      <c r="AF36" s="713"/>
    </row>
    <row r="37" spans="1:32">
      <c r="D37" s="752" t="s">
        <v>176</v>
      </c>
      <c r="E37" s="681" t="s">
        <v>87</v>
      </c>
      <c r="F37" s="770">
        <f>VLOOKUP($E37,RS_TH_Actual_YT,$B$2+1,0)</f>
        <v>287.5</v>
      </c>
      <c r="G37" s="772">
        <f>VLOOKUP($E37,RS_TH_Target_YT,$B$2+1,0)</f>
        <v>8.7089371800791504</v>
      </c>
      <c r="H37" s="564">
        <f t="shared" si="46"/>
        <v>-278.79106281992085</v>
      </c>
      <c r="I37" s="773">
        <f>IFERROR($F37/G37,0)</f>
        <v>33.012064969033005</v>
      </c>
      <c r="J37" s="772">
        <f>VLOOKUP($E37,RS_TH_Forecast_YT,$B$2+1,0)</f>
        <v>8.7089371800791504</v>
      </c>
      <c r="K37" s="773">
        <f>IFERROR($F37/J37,0)</f>
        <v>33.012064969033005</v>
      </c>
      <c r="L37" s="772">
        <f>VLOOKUP($E37,PAST_TH_Actual_YT_2017,$B$2+1,0)</f>
        <v>0.55000000000000004</v>
      </c>
      <c r="M37" s="773">
        <f>IFERROR($F37/L37,0)</f>
        <v>522.72727272727263</v>
      </c>
      <c r="O37" s="770">
        <f>SUMPRODUCT('Revenue Summary'!AS35:BD35,'Revenue Summary'!$AS$8:$BD$8)</f>
        <v>294.26</v>
      </c>
      <c r="P37" s="772">
        <f>SUMPRODUCT('Revenue Summary'!E35:P35,'Revenue Summary'!$E$8:$P$8)</f>
        <v>56.394628735547187</v>
      </c>
      <c r="Q37" s="564">
        <f t="shared" si="47"/>
        <v>-237.86537126445279</v>
      </c>
      <c r="R37" s="773">
        <f t="shared" ref="R37:R40" si="52">IFERROR($O37/P37,0)</f>
        <v>5.2178728116090829</v>
      </c>
      <c r="S37" s="772">
        <f>SUMPRODUCT('Revenue Summary'!Y35:AJ35,'Revenue Summary'!$Y$8:$AJ$8)</f>
        <v>56.394628735547187</v>
      </c>
      <c r="T37" s="773">
        <f t="shared" ref="T37:T40" si="53">IFERROR($O37/S37,0)</f>
        <v>5.2178728116090829</v>
      </c>
      <c r="U37" s="772">
        <f>SUMPRODUCT('Past data'!E31:P31,'Past data'!$E$8:$P$8)</f>
        <v>9.1769990000000004</v>
      </c>
      <c r="V37" s="773">
        <f t="shared" ref="V37:V40" si="54">IFERROR($O37/U37,0)</f>
        <v>32.064948465179086</v>
      </c>
      <c r="X37" s="772">
        <f t="shared" ref="X37:X40" si="55">O37</f>
        <v>294.26</v>
      </c>
      <c r="Y37" s="772">
        <v>114.79850325259397</v>
      </c>
      <c r="Z37" s="564">
        <f t="shared" si="48"/>
        <v>-179.46149674740602</v>
      </c>
      <c r="AA37" s="773">
        <f t="shared" si="49"/>
        <v>2.5632738377479756</v>
      </c>
      <c r="AB37" s="772">
        <v>114.79850325259397</v>
      </c>
      <c r="AC37" s="773">
        <f t="shared" si="50"/>
        <v>2.5632738377479756</v>
      </c>
      <c r="AD37" s="781">
        <f t="shared" si="51"/>
        <v>1</v>
      </c>
      <c r="AF37" s="713"/>
    </row>
    <row r="38" spans="1:32">
      <c r="D38" s="752" t="s">
        <v>176</v>
      </c>
      <c r="E38" s="681" t="s">
        <v>88</v>
      </c>
      <c r="F38" s="770">
        <f>VLOOKUP($E38,RS_TH_Actual_YT,$B$2+1,0)</f>
        <v>54638.97</v>
      </c>
      <c r="G38" s="772">
        <f>VLOOKUP($E38,RS_TH_Target_YT,$B$2+1,0)</f>
        <v>27121.616539641793</v>
      </c>
      <c r="H38" s="564">
        <f t="shared" si="46"/>
        <v>-27517.353460358208</v>
      </c>
      <c r="I38" s="773">
        <f t="shared" ref="I38" si="56">IFERROR($F38/G38,0)</f>
        <v>2.0145911996114978</v>
      </c>
      <c r="J38" s="772">
        <f>VLOOKUP($E38,RS_TH_Forecast_YT,$B$2+1,0)</f>
        <v>27121.616539641793</v>
      </c>
      <c r="K38" s="773">
        <f t="shared" ref="K38" si="57">IFERROR($F38/J38,0)</f>
        <v>2.0145911996114978</v>
      </c>
      <c r="L38" s="772">
        <f>VLOOKUP($E38,PAST_TH_Actual_YT_2017,$B$2+1,0)</f>
        <v>7824.3900000000012</v>
      </c>
      <c r="M38" s="773">
        <f t="shared" ref="M38:M40" si="58">IFERROR($F38/L38,0)</f>
        <v>6.9831603486022544</v>
      </c>
      <c r="O38" s="770">
        <f>SUMPRODUCT('Revenue Summary'!AS36:BD36,'Revenue Summary'!$AS$8:$BD$8)</f>
        <v>259856.29999999996</v>
      </c>
      <c r="P38" s="772">
        <f>SUMPRODUCT('Revenue Summary'!E36:P36,'Revenue Summary'!$E$8:$P$8)</f>
        <v>175625.73524581036</v>
      </c>
      <c r="Q38" s="564">
        <f t="shared" si="47"/>
        <v>-84230.564754189603</v>
      </c>
      <c r="R38" s="773">
        <f t="shared" si="52"/>
        <v>1.4796026313358821</v>
      </c>
      <c r="S38" s="772">
        <f>SUMPRODUCT('Revenue Summary'!Y36:AJ36,'Revenue Summary'!$Y$8:$AJ$8)</f>
        <v>175625.73524581036</v>
      </c>
      <c r="T38" s="773">
        <f t="shared" si="53"/>
        <v>1.4796026313358821</v>
      </c>
      <c r="U38" s="772">
        <f>SUMPRODUCT('Past data'!E32:P32,'Past data'!$E$8:$P$8)</f>
        <v>33715.552527000007</v>
      </c>
      <c r="V38" s="773">
        <f t="shared" si="54"/>
        <v>7.7073125167354881</v>
      </c>
      <c r="X38" s="772">
        <f t="shared" si="55"/>
        <v>259856.29999999996</v>
      </c>
      <c r="Y38" s="772">
        <v>357508.72008395608</v>
      </c>
      <c r="Z38" s="564">
        <f t="shared" si="48"/>
        <v>97652.420083956124</v>
      </c>
      <c r="AA38" s="773">
        <f t="shared" si="49"/>
        <v>0.72685303994536477</v>
      </c>
      <c r="AB38" s="772">
        <v>357508.72008395608</v>
      </c>
      <c r="AC38" s="773">
        <f t="shared" si="50"/>
        <v>0.72685303994536477</v>
      </c>
      <c r="AD38" s="781">
        <f t="shared" si="51"/>
        <v>1</v>
      </c>
      <c r="AF38" s="713"/>
    </row>
    <row r="39" spans="1:32">
      <c r="D39" s="752" t="s">
        <v>176</v>
      </c>
      <c r="E39" s="681" t="s">
        <v>89</v>
      </c>
      <c r="F39" s="770">
        <f>VLOOKUP($E39,RS_TH_Actual_YT,$B$2+1,0)</f>
        <v>0</v>
      </c>
      <c r="G39" s="772">
        <f>VLOOKUP($E39,RS_TH_Target_YT,$B$2+1,0)</f>
        <v>0</v>
      </c>
      <c r="H39" s="564">
        <f t="shared" si="46"/>
        <v>0</v>
      </c>
      <c r="I39" s="773">
        <f t="shared" ref="I39" si="59">IFERROR($F39/G39,0)</f>
        <v>0</v>
      </c>
      <c r="J39" s="772">
        <f>VLOOKUP($E39,RS_TH_Forecast_YT,$B$2+1,0)</f>
        <v>0</v>
      </c>
      <c r="K39" s="773">
        <f t="shared" ref="K39" si="60">IFERROR($F39/J39,0)</f>
        <v>0</v>
      </c>
      <c r="L39" s="772">
        <f>VLOOKUP($E39,PAST_TH_Actual_YT_2017,$B$2+1,0)</f>
        <v>0</v>
      </c>
      <c r="M39" s="773">
        <f t="shared" si="58"/>
        <v>0</v>
      </c>
      <c r="O39" s="770">
        <f>SUMPRODUCT('Revenue Summary'!AS37:BD37,'Revenue Summary'!$AS$8:$BD$8)</f>
        <v>0</v>
      </c>
      <c r="P39" s="772">
        <f>SUMPRODUCT('Revenue Summary'!E37:P37,'Revenue Summary'!$E$8:$P$8)</f>
        <v>0</v>
      </c>
      <c r="Q39" s="564">
        <f t="shared" si="47"/>
        <v>0</v>
      </c>
      <c r="R39" s="773">
        <f t="shared" si="52"/>
        <v>0</v>
      </c>
      <c r="S39" s="772">
        <f>SUMPRODUCT('Revenue Summary'!Y37:AJ37,'Revenue Summary'!$Y$8:$AJ$8)</f>
        <v>0</v>
      </c>
      <c r="T39" s="773">
        <f t="shared" si="53"/>
        <v>0</v>
      </c>
      <c r="U39" s="772">
        <f>SUMPRODUCT('Past data'!E33:P33,'Past data'!$E$8:$P$8)</f>
        <v>0</v>
      </c>
      <c r="V39" s="773">
        <f t="shared" si="54"/>
        <v>0</v>
      </c>
      <c r="X39" s="772">
        <f t="shared" si="55"/>
        <v>0</v>
      </c>
      <c r="Y39" s="772">
        <v>0</v>
      </c>
      <c r="Z39" s="564">
        <f t="shared" si="48"/>
        <v>0</v>
      </c>
      <c r="AA39" s="773">
        <f t="shared" si="49"/>
        <v>0</v>
      </c>
      <c r="AB39" s="772">
        <v>0</v>
      </c>
      <c r="AC39" s="773">
        <f t="shared" si="50"/>
        <v>0</v>
      </c>
      <c r="AD39" s="781">
        <f t="shared" si="51"/>
        <v>0</v>
      </c>
      <c r="AF39" s="713"/>
    </row>
    <row r="40" spans="1:32">
      <c r="D40" s="754" t="s">
        <v>176</v>
      </c>
      <c r="E40" s="779" t="s">
        <v>90</v>
      </c>
      <c r="F40" s="771">
        <f>VLOOKUP($E40,RS_TH_Actual_YT,$B$2+1,0)</f>
        <v>23567.439999999999</v>
      </c>
      <c r="G40" s="774">
        <f>VLOOKUP($E40,RS_TH_Target_YT,$B$2+1,0)</f>
        <v>2486.3724804882718</v>
      </c>
      <c r="H40" s="831">
        <f t="shared" si="46"/>
        <v>-21081.067519511726</v>
      </c>
      <c r="I40" s="775">
        <f t="shared" ref="I40" si="61">IFERROR($F40/G40,0)</f>
        <v>9.4786441633121061</v>
      </c>
      <c r="J40" s="774">
        <f>VLOOKUP($E40,RS_TH_Forecast_YT,$B$2+1,0)</f>
        <v>2486.3724804882718</v>
      </c>
      <c r="K40" s="775">
        <f t="shared" ref="K40" si="62">IFERROR($F40/J40,0)</f>
        <v>9.4786441633121061</v>
      </c>
      <c r="L40" s="774">
        <f>VLOOKUP($E40,PAST_TH_Actual_YT_2017,$B$2+1,0)</f>
        <v>266.48</v>
      </c>
      <c r="M40" s="775">
        <f t="shared" si="58"/>
        <v>88.439807865505841</v>
      </c>
      <c r="O40" s="771">
        <f>SUMPRODUCT('Revenue Summary'!AS38:BD38,'Revenue Summary'!$AS$8:$BD$8)</f>
        <v>46012.66</v>
      </c>
      <c r="P40" s="774">
        <f>SUMPRODUCT('Revenue Summary'!E38:P38,'Revenue Summary'!$E$8:$P$8)</f>
        <v>16100.47816812284</v>
      </c>
      <c r="Q40" s="831">
        <f t="shared" si="47"/>
        <v>-29912.181831877162</v>
      </c>
      <c r="R40" s="775">
        <f t="shared" si="52"/>
        <v>2.8578443149036383</v>
      </c>
      <c r="S40" s="774">
        <f>SUMPRODUCT('Revenue Summary'!Y38:AJ38,'Revenue Summary'!$Y$8:$AJ$8)</f>
        <v>16100.47816812284</v>
      </c>
      <c r="T40" s="775">
        <f t="shared" si="53"/>
        <v>2.8578443149036383</v>
      </c>
      <c r="U40" s="774">
        <f>SUMPRODUCT('Past data'!E34:P34,'Past data'!$E$8:$P$8)</f>
        <v>437.62947100000002</v>
      </c>
      <c r="V40" s="775">
        <f t="shared" si="54"/>
        <v>105.14067961387363</v>
      </c>
      <c r="X40" s="774">
        <f t="shared" si="55"/>
        <v>46012.66</v>
      </c>
      <c r="Y40" s="774">
        <v>32774.589296773287</v>
      </c>
      <c r="Z40" s="831">
        <f t="shared" si="48"/>
        <v>-13238.070703226716</v>
      </c>
      <c r="AA40" s="775">
        <f t="shared" si="49"/>
        <v>1.4039126343691521</v>
      </c>
      <c r="AB40" s="774">
        <v>32774.589296773287</v>
      </c>
      <c r="AC40" s="775">
        <f t="shared" si="50"/>
        <v>1.4039126343691521</v>
      </c>
      <c r="AD40" s="782">
        <f t="shared" si="51"/>
        <v>1</v>
      </c>
      <c r="AF40" s="713"/>
    </row>
    <row r="41" spans="1:32">
      <c r="AF41" s="713"/>
    </row>
    <row r="42" spans="1:32" hidden="1">
      <c r="D42" s="750" t="s">
        <v>162</v>
      </c>
      <c r="E42" s="776"/>
      <c r="F42" s="767">
        <f>SUM(F43:F43)</f>
        <v>0</v>
      </c>
      <c r="G42" s="777">
        <f>SUM(G43:G43)</f>
        <v>0</v>
      </c>
      <c r="H42" s="830"/>
      <c r="I42" s="778">
        <f>IFERROR($F42/G42,0)</f>
        <v>0</v>
      </c>
      <c r="J42" s="777">
        <f>SUM(J43:J43)</f>
        <v>0</v>
      </c>
      <c r="K42" s="778">
        <f>IFERROR($F42/J42,0)</f>
        <v>0</v>
      </c>
      <c r="L42" s="777">
        <f>SUM(L43:L43)</f>
        <v>0</v>
      </c>
      <c r="M42" s="778">
        <f>IFERROR($F42/L42,0)</f>
        <v>0</v>
      </c>
      <c r="O42" s="767"/>
      <c r="P42" s="777"/>
      <c r="Q42" s="830"/>
      <c r="R42" s="778"/>
      <c r="S42" s="777"/>
      <c r="T42" s="778"/>
      <c r="U42" s="777"/>
      <c r="V42" s="778"/>
      <c r="X42" s="777"/>
      <c r="Y42" s="777"/>
      <c r="Z42" s="830"/>
      <c r="AA42" s="778"/>
      <c r="AB42" s="777"/>
      <c r="AC42" s="778"/>
      <c r="AD42" s="778"/>
      <c r="AF42" s="713"/>
    </row>
    <row r="43" spans="1:32" hidden="1">
      <c r="C43" s="677"/>
      <c r="D43" s="754" t="s">
        <v>177</v>
      </c>
      <c r="E43" s="779" t="s">
        <v>87</v>
      </c>
      <c r="F43" s="771"/>
      <c r="G43" s="774"/>
      <c r="H43" s="831"/>
      <c r="I43" s="775"/>
      <c r="J43" s="774"/>
      <c r="K43" s="775"/>
      <c r="L43" s="774"/>
      <c r="M43" s="775"/>
      <c r="O43" s="771"/>
      <c r="P43" s="774"/>
      <c r="Q43" s="831"/>
      <c r="R43" s="775"/>
      <c r="S43" s="774"/>
      <c r="T43" s="775"/>
      <c r="U43" s="774"/>
      <c r="V43" s="775"/>
      <c r="X43" s="774"/>
      <c r="Y43" s="774"/>
      <c r="Z43" s="831"/>
      <c r="AA43" s="775"/>
      <c r="AB43" s="774"/>
      <c r="AC43" s="775"/>
      <c r="AD43" s="775"/>
      <c r="AF43" s="713"/>
    </row>
    <row r="44" spans="1:32" hidden="1">
      <c r="AF44" s="713"/>
    </row>
    <row r="45" spans="1:32">
      <c r="D45" s="750" t="s">
        <v>163</v>
      </c>
      <c r="E45" s="776"/>
      <c r="F45" s="767">
        <f>SUM(F46:F49)</f>
        <v>71849.39</v>
      </c>
      <c r="G45" s="777">
        <f>SUM(G46:G49)</f>
        <v>55935.9</v>
      </c>
      <c r="H45" s="830">
        <f t="shared" ref="H45:H49" si="63">G45-F45</f>
        <v>-15913.489999999998</v>
      </c>
      <c r="I45" s="778">
        <f>IFERROR($F45/G45,0)</f>
        <v>1.2844951095807879</v>
      </c>
      <c r="J45" s="777">
        <f>SUM(J46:J49)</f>
        <v>55935.9</v>
      </c>
      <c r="K45" s="778">
        <f>IFERROR($F45/J45,0)</f>
        <v>1.2844951095807879</v>
      </c>
      <c r="L45" s="777">
        <f>SUM(L46:L49)</f>
        <v>19976.71</v>
      </c>
      <c r="M45" s="778">
        <f>IFERROR($F45/L45,0)</f>
        <v>3.5966578080174365</v>
      </c>
      <c r="O45" s="767">
        <f>SUM(O46:O49)</f>
        <v>332294.90095628676</v>
      </c>
      <c r="P45" s="777">
        <f>SUM(P46:P49)</f>
        <v>237065.85</v>
      </c>
      <c r="Q45" s="830">
        <f t="shared" ref="Q45:Q49" si="64">P45-O45</f>
        <v>-95229.050956286752</v>
      </c>
      <c r="R45" s="778">
        <f>IFERROR($O45/P45,0)</f>
        <v>1.4016987303581969</v>
      </c>
      <c r="S45" s="777">
        <f>SUM(S46:S49)</f>
        <v>237065.85</v>
      </c>
      <c r="T45" s="778">
        <f>IFERROR($O45/S45,0)</f>
        <v>1.4016987303581969</v>
      </c>
      <c r="U45" s="777">
        <f>SUM(U46:U49)</f>
        <v>99517.210000000021</v>
      </c>
      <c r="V45" s="778">
        <f>IFERROR($O45/U45,0)</f>
        <v>3.3390697041877146</v>
      </c>
      <c r="X45" s="777">
        <f>SUM(X46:X49)</f>
        <v>332294.90095628676</v>
      </c>
      <c r="Y45" s="777">
        <f>SUM(Y46:Y49)</f>
        <v>460809.45000000007</v>
      </c>
      <c r="Z45" s="830">
        <f t="shared" ref="Z45:Z49" si="65">Y45-X45</f>
        <v>128514.54904371331</v>
      </c>
      <c r="AA45" s="778">
        <f t="shared" ref="AA45:AA49" si="66">IFERROR(X45/Y45,0)</f>
        <v>0.72111129872941349</v>
      </c>
      <c r="AB45" s="777">
        <f>SUM(AB46:AB49)</f>
        <v>460809.45000000007</v>
      </c>
      <c r="AC45" s="778">
        <f t="shared" ref="AC45:AC49" si="67">IFERROR(X45/AB45,0)</f>
        <v>0.72111129872941349</v>
      </c>
      <c r="AD45" s="783">
        <f t="shared" ref="AD45:AD49" si="68">IFERROR(Y45/AB45,0)</f>
        <v>1</v>
      </c>
      <c r="AF45" s="713"/>
    </row>
    <row r="46" spans="1:32">
      <c r="D46" s="752" t="s">
        <v>177</v>
      </c>
      <c r="E46" s="681" t="s">
        <v>87</v>
      </c>
      <c r="F46" s="770">
        <f>VLOOKUP($E46,RS_TH_Actual_BD,$B$2+1,0)</f>
        <v>0</v>
      </c>
      <c r="G46" s="772">
        <f>VLOOKUP($E46,RS_TH_Target_BD,$B$2+1,0)</f>
        <v>0</v>
      </c>
      <c r="H46" s="564">
        <f t="shared" si="63"/>
        <v>0</v>
      </c>
      <c r="I46" s="773">
        <f>IFERROR($F46/G46,0)</f>
        <v>0</v>
      </c>
      <c r="J46" s="772">
        <f>VLOOKUP($E46,RS_TH_Forecast_BD,$B$2+1,0)</f>
        <v>0</v>
      </c>
      <c r="K46" s="773">
        <f>IFERROR($F46/J46,0)</f>
        <v>0</v>
      </c>
      <c r="L46" s="772">
        <f>VLOOKUP($E46,PAST_TH_Actual_BD_2017,$B$2+1,0)</f>
        <v>0</v>
      </c>
      <c r="M46" s="773">
        <f>IFERROR($F46/L46,0)</f>
        <v>0</v>
      </c>
      <c r="O46" s="770">
        <f>SUMPRODUCT('Revenue Summary'!AS44:BD44,'Revenue Summary'!$AS$8:$BD$8)</f>
        <v>0</v>
      </c>
      <c r="P46" s="772">
        <f>SUMPRODUCT('Revenue Summary'!E44:P44,'Revenue Summary'!$E$8:$P$8)</f>
        <v>0</v>
      </c>
      <c r="Q46" s="564">
        <f t="shared" si="64"/>
        <v>0</v>
      </c>
      <c r="R46" s="773">
        <f t="shared" ref="R46:R49" si="69">IFERROR($O46/P46,0)</f>
        <v>0</v>
      </c>
      <c r="S46" s="772">
        <f>SUMPRODUCT('Revenue Summary'!Y44:AJ44,'Revenue Summary'!$Y$8:$AJ$8)</f>
        <v>0</v>
      </c>
      <c r="T46" s="773">
        <f t="shared" ref="T46:T49" si="70">IFERROR($O46/S46,0)</f>
        <v>0</v>
      </c>
      <c r="U46" s="772">
        <f>SUMPRODUCT('Past data'!E40:P40,'Past data'!$E$8:$P$8)</f>
        <v>0</v>
      </c>
      <c r="V46" s="773">
        <f t="shared" ref="V46:V49" si="71">IFERROR($O46/U46,0)</f>
        <v>0</v>
      </c>
      <c r="X46" s="772">
        <f t="shared" ref="X46:X49" si="72">O46</f>
        <v>0</v>
      </c>
      <c r="Y46" s="772">
        <v>0</v>
      </c>
      <c r="Z46" s="564">
        <f t="shared" si="65"/>
        <v>0</v>
      </c>
      <c r="AA46" s="773">
        <f t="shared" si="66"/>
        <v>0</v>
      </c>
      <c r="AB46" s="772">
        <v>0</v>
      </c>
      <c r="AC46" s="773">
        <f t="shared" si="67"/>
        <v>0</v>
      </c>
      <c r="AD46" s="781">
        <f t="shared" si="68"/>
        <v>0</v>
      </c>
      <c r="AF46" s="713"/>
    </row>
    <row r="47" spans="1:32">
      <c r="D47" s="752" t="s">
        <v>177</v>
      </c>
      <c r="E47" s="681" t="s">
        <v>88</v>
      </c>
      <c r="F47" s="770">
        <f>VLOOKUP($E47,RS_TH_Actual_BD,$B$2+1,0)</f>
        <v>0</v>
      </c>
      <c r="G47" s="772">
        <f>VLOOKUP($E47,RS_TH_Target_BD,$B$2+1,0)</f>
        <v>0</v>
      </c>
      <c r="H47" s="564">
        <f t="shared" si="63"/>
        <v>0</v>
      </c>
      <c r="I47" s="773">
        <f t="shared" ref="I47:I49" si="73">IFERROR($F47/G47,0)</f>
        <v>0</v>
      </c>
      <c r="J47" s="772">
        <f>VLOOKUP($E47,RS_TH_Forecast_BD,$B$2+1,0)</f>
        <v>0</v>
      </c>
      <c r="K47" s="773">
        <f t="shared" ref="K47:K49" si="74">IFERROR($F47/J47,0)</f>
        <v>0</v>
      </c>
      <c r="L47" s="772">
        <f>VLOOKUP($E47,PAST_TH_Actual_BD_2017,$B$2+1,0)</f>
        <v>0</v>
      </c>
      <c r="M47" s="773">
        <f t="shared" ref="M47:M49" si="75">IFERROR($F47/L47,0)</f>
        <v>0</v>
      </c>
      <c r="O47" s="770">
        <f>SUMPRODUCT('Revenue Summary'!AS45:BD45,'Revenue Summary'!$AS$8:$BD$8)</f>
        <v>0</v>
      </c>
      <c r="P47" s="772">
        <f>SUMPRODUCT('Revenue Summary'!E45:P45,'Revenue Summary'!$E$8:$P$8)</f>
        <v>0</v>
      </c>
      <c r="Q47" s="564">
        <f t="shared" si="64"/>
        <v>0</v>
      </c>
      <c r="R47" s="773">
        <f t="shared" si="69"/>
        <v>0</v>
      </c>
      <c r="S47" s="772">
        <f>SUMPRODUCT('Revenue Summary'!Y45:AJ45,'Revenue Summary'!$Y$8:$AJ$8)</f>
        <v>0</v>
      </c>
      <c r="T47" s="773">
        <f t="shared" si="70"/>
        <v>0</v>
      </c>
      <c r="U47" s="772">
        <f>SUMPRODUCT('Past data'!E41:P41,'Past data'!$E$8:$P$8)</f>
        <v>0</v>
      </c>
      <c r="V47" s="773">
        <f t="shared" si="71"/>
        <v>0</v>
      </c>
      <c r="X47" s="772">
        <f t="shared" si="72"/>
        <v>0</v>
      </c>
      <c r="Y47" s="772">
        <v>0</v>
      </c>
      <c r="Z47" s="564">
        <f t="shared" si="65"/>
        <v>0</v>
      </c>
      <c r="AA47" s="773">
        <f t="shared" si="66"/>
        <v>0</v>
      </c>
      <c r="AB47" s="772">
        <v>0</v>
      </c>
      <c r="AC47" s="773">
        <f t="shared" si="67"/>
        <v>0</v>
      </c>
      <c r="AD47" s="781">
        <f t="shared" si="68"/>
        <v>0</v>
      </c>
      <c r="AF47" s="713"/>
    </row>
    <row r="48" spans="1:32">
      <c r="D48" s="752" t="s">
        <v>177</v>
      </c>
      <c r="E48" s="681" t="s">
        <v>89</v>
      </c>
      <c r="F48" s="770">
        <f>VLOOKUP($E48,RS_TH_Actual_BD,$B$2+1,0)</f>
        <v>0</v>
      </c>
      <c r="G48" s="772">
        <f>VLOOKUP($E48,RS_TH_Target_BD,$B$2+1,0)</f>
        <v>0</v>
      </c>
      <c r="H48" s="564">
        <f t="shared" si="63"/>
        <v>0</v>
      </c>
      <c r="I48" s="773">
        <f t="shared" si="73"/>
        <v>0</v>
      </c>
      <c r="J48" s="772">
        <f>VLOOKUP($E48,RS_TH_Forecast_BD,$B$2+1,0)</f>
        <v>0</v>
      </c>
      <c r="K48" s="773">
        <f t="shared" si="74"/>
        <v>0</v>
      </c>
      <c r="L48" s="772">
        <f>VLOOKUP($E48,PAST_TH_Actual_BD_2017,$B$2+1,0)</f>
        <v>0</v>
      </c>
      <c r="M48" s="773">
        <f t="shared" si="75"/>
        <v>0</v>
      </c>
      <c r="O48" s="770">
        <f>SUMPRODUCT('Revenue Summary'!AS46:BD46,'Revenue Summary'!$AS$8:$BD$8)</f>
        <v>0</v>
      </c>
      <c r="P48" s="772">
        <f>SUMPRODUCT('Revenue Summary'!E46:P46,'Revenue Summary'!$E$8:$P$8)</f>
        <v>0</v>
      </c>
      <c r="Q48" s="564">
        <f t="shared" si="64"/>
        <v>0</v>
      </c>
      <c r="R48" s="773">
        <f t="shared" si="69"/>
        <v>0</v>
      </c>
      <c r="S48" s="772">
        <f>SUMPRODUCT('Revenue Summary'!Y46:AJ46,'Revenue Summary'!$Y$8:$AJ$8)</f>
        <v>0</v>
      </c>
      <c r="T48" s="773">
        <f t="shared" si="70"/>
        <v>0</v>
      </c>
      <c r="U48" s="772">
        <f>SUMPRODUCT('Past data'!E42:P42,'Past data'!$E$8:$P$8)</f>
        <v>0</v>
      </c>
      <c r="V48" s="773">
        <f t="shared" si="71"/>
        <v>0</v>
      </c>
      <c r="X48" s="772">
        <f t="shared" si="72"/>
        <v>0</v>
      </c>
      <c r="Y48" s="772">
        <v>0</v>
      </c>
      <c r="Z48" s="564">
        <f t="shared" si="65"/>
        <v>0</v>
      </c>
      <c r="AA48" s="773">
        <f t="shared" si="66"/>
        <v>0</v>
      </c>
      <c r="AB48" s="772">
        <v>0</v>
      </c>
      <c r="AC48" s="773">
        <f t="shared" si="67"/>
        <v>0</v>
      </c>
      <c r="AD48" s="781">
        <f t="shared" si="68"/>
        <v>0</v>
      </c>
      <c r="AF48" s="713"/>
    </row>
    <row r="49" spans="1:32">
      <c r="D49" s="754" t="s">
        <v>161</v>
      </c>
      <c r="E49" s="779" t="s">
        <v>147</v>
      </c>
      <c r="F49" s="771">
        <f>VLOOKUP($E49,RS_TH_Actual_BD,$B$2+1,0)</f>
        <v>71849.39</v>
      </c>
      <c r="G49" s="774">
        <f>VLOOKUP($E49,RS_TH_Target_BD,$B$2+1,0)</f>
        <v>55935.9</v>
      </c>
      <c r="H49" s="831">
        <f t="shared" si="63"/>
        <v>-15913.489999999998</v>
      </c>
      <c r="I49" s="775">
        <f t="shared" si="73"/>
        <v>1.2844951095807879</v>
      </c>
      <c r="J49" s="774">
        <f>VLOOKUP($E49,RS_TH_Forecast_BD,$B$2+1,0)</f>
        <v>55935.9</v>
      </c>
      <c r="K49" s="775">
        <f t="shared" si="74"/>
        <v>1.2844951095807879</v>
      </c>
      <c r="L49" s="774">
        <f>VLOOKUP($E49,PAST_TH_Actual_BD_2017,$B$2+1,0)</f>
        <v>19976.71</v>
      </c>
      <c r="M49" s="775">
        <f t="shared" si="75"/>
        <v>3.5966578080174365</v>
      </c>
      <c r="O49" s="771">
        <f>SUMPRODUCT('Revenue Summary'!AS47:BD47,'Revenue Summary'!$AS$8:$BD$8)</f>
        <v>332294.90095628676</v>
      </c>
      <c r="P49" s="774">
        <f>SUMPRODUCT('Revenue Summary'!E47:P47,'Revenue Summary'!$E$8:$P$8)</f>
        <v>237065.85</v>
      </c>
      <c r="Q49" s="831">
        <f t="shared" si="64"/>
        <v>-95229.050956286752</v>
      </c>
      <c r="R49" s="775">
        <f t="shared" si="69"/>
        <v>1.4016987303581969</v>
      </c>
      <c r="S49" s="774">
        <f>SUMPRODUCT('Revenue Summary'!Y47:AJ47,'Revenue Summary'!$Y$8:$AJ$8)</f>
        <v>237065.85</v>
      </c>
      <c r="T49" s="775">
        <f t="shared" si="70"/>
        <v>1.4016987303581969</v>
      </c>
      <c r="U49" s="774">
        <f>SUMPRODUCT('Past data'!E43:P43,'Past data'!$E$8:$P$8)</f>
        <v>99517.210000000021</v>
      </c>
      <c r="V49" s="775">
        <f t="shared" si="71"/>
        <v>3.3390697041877146</v>
      </c>
      <c r="X49" s="774">
        <f t="shared" si="72"/>
        <v>332294.90095628676</v>
      </c>
      <c r="Y49" s="774">
        <v>460809.45000000007</v>
      </c>
      <c r="Z49" s="831">
        <f t="shared" si="65"/>
        <v>128514.54904371331</v>
      </c>
      <c r="AA49" s="775">
        <f t="shared" si="66"/>
        <v>0.72111129872941349</v>
      </c>
      <c r="AB49" s="774">
        <v>460809.45000000007</v>
      </c>
      <c r="AC49" s="775">
        <f t="shared" si="67"/>
        <v>0.72111129872941349</v>
      </c>
      <c r="AD49" s="782">
        <f t="shared" si="68"/>
        <v>1</v>
      </c>
      <c r="AF49" s="713"/>
    </row>
    <row r="50" spans="1:32">
      <c r="AF50" s="713"/>
    </row>
    <row r="51" spans="1:32" hidden="1">
      <c r="D51" s="750" t="s">
        <v>164</v>
      </c>
      <c r="E51" s="776"/>
      <c r="F51" s="767">
        <f>SUM(F52:F52)</f>
        <v>0</v>
      </c>
      <c r="G51" s="777">
        <f>SUM(G52:G52)</f>
        <v>0</v>
      </c>
      <c r="H51" s="830"/>
      <c r="I51" s="778">
        <f>IFERROR($F51/G51,0)</f>
        <v>0</v>
      </c>
      <c r="J51" s="777">
        <f>SUM(J52:J52)</f>
        <v>0</v>
      </c>
      <c r="K51" s="778">
        <f>IFERROR($F51/J51,0)</f>
        <v>0</v>
      </c>
      <c r="L51" s="777">
        <f>SUM(L52:L52)</f>
        <v>0</v>
      </c>
      <c r="M51" s="778">
        <f>IFERROR($F51/L51,0)</f>
        <v>0</v>
      </c>
      <c r="O51" s="767"/>
      <c r="P51" s="777"/>
      <c r="Q51" s="830"/>
      <c r="R51" s="778"/>
      <c r="S51" s="777"/>
      <c r="T51" s="778"/>
      <c r="U51" s="777"/>
      <c r="V51" s="778"/>
      <c r="X51" s="777"/>
      <c r="Y51" s="777"/>
      <c r="Z51" s="830"/>
      <c r="AA51" s="778"/>
      <c r="AB51" s="777"/>
      <c r="AC51" s="778"/>
      <c r="AD51" s="778"/>
      <c r="AF51" s="713"/>
    </row>
    <row r="52" spans="1:32" hidden="1">
      <c r="C52" s="677"/>
      <c r="D52" s="754" t="s">
        <v>177</v>
      </c>
      <c r="E52" s="779" t="s">
        <v>89</v>
      </c>
      <c r="F52" s="771"/>
      <c r="G52" s="774"/>
      <c r="H52" s="831"/>
      <c r="I52" s="775"/>
      <c r="J52" s="774"/>
      <c r="K52" s="775"/>
      <c r="L52" s="774"/>
      <c r="M52" s="775"/>
      <c r="O52" s="771"/>
      <c r="P52" s="774"/>
      <c r="Q52" s="831"/>
      <c r="R52" s="775"/>
      <c r="S52" s="774"/>
      <c r="T52" s="775"/>
      <c r="U52" s="774"/>
      <c r="V52" s="775"/>
      <c r="X52" s="774"/>
      <c r="Y52" s="774"/>
      <c r="Z52" s="831"/>
      <c r="AA52" s="775"/>
      <c r="AB52" s="774"/>
      <c r="AC52" s="775"/>
      <c r="AD52" s="775"/>
      <c r="AF52" s="713"/>
    </row>
    <row r="53" spans="1:32" hidden="1">
      <c r="AF53" s="713"/>
    </row>
    <row r="54" spans="1:32">
      <c r="D54" s="678" t="s">
        <v>167</v>
      </c>
      <c r="E54" s="679"/>
      <c r="F54" s="725">
        <f>SUM(F55:F59)</f>
        <v>150343.29999999999</v>
      </c>
      <c r="G54" s="725">
        <f>SUM(G55:G59)</f>
        <v>85552.59795731015</v>
      </c>
      <c r="H54" s="725">
        <f t="shared" ref="H54:H59" si="76">G54-F54</f>
        <v>-64790.702042689838</v>
      </c>
      <c r="I54" s="730">
        <f>IFERROR($F54/G54,0)</f>
        <v>1.7573201000280521</v>
      </c>
      <c r="J54" s="725">
        <f>SUM(J55:J59)</f>
        <v>85552.59795731015</v>
      </c>
      <c r="K54" s="730">
        <f>IFERROR($F54/J54,0)</f>
        <v>1.7573201000280521</v>
      </c>
      <c r="L54" s="725">
        <f>SUM(L55:L59)</f>
        <v>28068.13</v>
      </c>
      <c r="M54" s="730">
        <f>IFERROR($F54/L54,0)</f>
        <v>5.3563703745137277</v>
      </c>
      <c r="O54" s="725">
        <f>SUM(O55:O59)</f>
        <v>638458.12095628679</v>
      </c>
      <c r="P54" s="725">
        <f>SUM(P55:P59)</f>
        <v>428848.45804266876</v>
      </c>
      <c r="Q54" s="725">
        <f t="shared" ref="Q54:Q59" si="77">P54-O54</f>
        <v>-209609.66291361803</v>
      </c>
      <c r="R54" s="730">
        <f>IFERROR($O54/P54,0)</f>
        <v>1.488773269397561</v>
      </c>
      <c r="S54" s="725">
        <f>SUM(S55:S59)</f>
        <v>428848.45804266876</v>
      </c>
      <c r="T54" s="730">
        <f>IFERROR($O54/S54,0)</f>
        <v>1.488773269397561</v>
      </c>
      <c r="U54" s="725">
        <f>SUM(U55:U59)</f>
        <v>133679.56899700002</v>
      </c>
      <c r="V54" s="730">
        <f>IFERROR($O54/U54,0)</f>
        <v>4.7760336582968392</v>
      </c>
      <c r="X54" s="725">
        <f>SUM(X55:X59)</f>
        <v>638458.12095628679</v>
      </c>
      <c r="Y54" s="725">
        <f>SUM(Y55:Y59)</f>
        <v>851207.55788398208</v>
      </c>
      <c r="Z54" s="725">
        <f t="shared" ref="Z54:Z59" si="78">Y54-X54</f>
        <v>212749.43692769529</v>
      </c>
      <c r="AA54" s="730">
        <f t="shared" ref="AA54:AA59" si="79">IFERROR(X54/Y54,0)</f>
        <v>0.7500616213317356</v>
      </c>
      <c r="AB54" s="725">
        <f>SUM(AB55:AB59)</f>
        <v>851207.55788398208</v>
      </c>
      <c r="AC54" s="730">
        <f t="shared" ref="AC54:AC59" si="80">IFERROR(X54/AB54,0)</f>
        <v>0.7500616213317356</v>
      </c>
      <c r="AD54" s="730">
        <f t="shared" ref="AD54:AD59" si="81">IFERROR(Y54/AB54,0)</f>
        <v>1</v>
      </c>
      <c r="AF54" s="713"/>
    </row>
    <row r="55" spans="1:32">
      <c r="D55" s="680" t="s">
        <v>177</v>
      </c>
      <c r="E55" s="681" t="s">
        <v>87</v>
      </c>
      <c r="F55" s="723">
        <f>SUMIF($E$37:$E$52,$E55,F$37:F$52)</f>
        <v>287.5</v>
      </c>
      <c r="G55" s="726">
        <f>SUMIF($E$37:$E$52,$E55,G$37:G$52)</f>
        <v>8.7089371800791504</v>
      </c>
      <c r="H55" s="564">
        <f t="shared" si="76"/>
        <v>-278.79106281992085</v>
      </c>
      <c r="I55" s="727">
        <f>IFERROR($F55/G55,0)</f>
        <v>33.012064969033005</v>
      </c>
      <c r="J55" s="726">
        <f>SUMIF($E$37:$E$52,$E55,J$37:J$52)</f>
        <v>8.7089371800791504</v>
      </c>
      <c r="K55" s="727">
        <f>IFERROR($F55/J55,0)</f>
        <v>33.012064969033005</v>
      </c>
      <c r="L55" s="726">
        <f>SUMIF($E$37:$E$52,$E55,L$37:L$52)</f>
        <v>0.55000000000000004</v>
      </c>
      <c r="M55" s="727">
        <f t="shared" ref="M55:M59" si="82">IFERROR($F55/L55,0)</f>
        <v>522.72727272727263</v>
      </c>
      <c r="O55" s="723">
        <f>SUMIF($E$37:$E$52,$E55,O$37:O$52)</f>
        <v>294.26</v>
      </c>
      <c r="P55" s="726">
        <f>SUMIF($E$37:$E$52,$E55,P$37:P$52)</f>
        <v>56.394628735547187</v>
      </c>
      <c r="Q55" s="564">
        <f t="shared" si="77"/>
        <v>-237.86537126445279</v>
      </c>
      <c r="R55" s="727">
        <f t="shared" ref="R55:R59" si="83">IFERROR($O55/P55,0)</f>
        <v>5.2178728116090829</v>
      </c>
      <c r="S55" s="726">
        <f>SUMIF($E$37:$E$52,$E55,S$37:S$52)</f>
        <v>56.394628735547187</v>
      </c>
      <c r="T55" s="727">
        <f t="shared" ref="T55:T59" si="84">IFERROR($O55/S55,0)</f>
        <v>5.2178728116090829</v>
      </c>
      <c r="U55" s="726">
        <f>SUMIF($E$37:$E$52,$E55,U$37:U$52)</f>
        <v>9.1769990000000004</v>
      </c>
      <c r="V55" s="727">
        <f t="shared" ref="V55:V59" si="85">IFERROR($O55/U55,0)</f>
        <v>32.064948465179086</v>
      </c>
      <c r="X55" s="726">
        <f>SUMIF($E$37:$E$52,$E55,X$37:X$52)</f>
        <v>294.26</v>
      </c>
      <c r="Y55" s="726">
        <f>SUMIF($E$37:$E$52,$E55,Y$37:Y$52)</f>
        <v>114.79850325259397</v>
      </c>
      <c r="Z55" s="564">
        <f t="shared" si="78"/>
        <v>-179.46149674740602</v>
      </c>
      <c r="AA55" s="727">
        <f t="shared" si="79"/>
        <v>2.5632738377479756</v>
      </c>
      <c r="AB55" s="726">
        <f>SUMIF($E$37:$E$52,$E55,AB$37:AB$52)</f>
        <v>114.79850325259397</v>
      </c>
      <c r="AC55" s="727">
        <f t="shared" si="80"/>
        <v>2.5632738377479756</v>
      </c>
      <c r="AD55" s="727">
        <f t="shared" si="81"/>
        <v>1</v>
      </c>
      <c r="AF55" s="713"/>
    </row>
    <row r="56" spans="1:32">
      <c r="D56" s="680" t="s">
        <v>177</v>
      </c>
      <c r="E56" s="681" t="s">
        <v>88</v>
      </c>
      <c r="F56" s="723">
        <f t="shared" ref="F56:L59" si="86">SUMIF($E$37:$E$52,$E56,F$37:F$52)</f>
        <v>54638.97</v>
      </c>
      <c r="G56" s="726">
        <f t="shared" si="86"/>
        <v>27121.616539641793</v>
      </c>
      <c r="H56" s="564">
        <f t="shared" si="76"/>
        <v>-27517.353460358208</v>
      </c>
      <c r="I56" s="727">
        <f>IFERROR($F56/G56,0)</f>
        <v>2.0145911996114978</v>
      </c>
      <c r="J56" s="726">
        <f t="shared" si="86"/>
        <v>27121.616539641793</v>
      </c>
      <c r="K56" s="727">
        <f t="shared" ref="K56:K59" si="87">IFERROR($F56/J56,0)</f>
        <v>2.0145911996114978</v>
      </c>
      <c r="L56" s="726">
        <f t="shared" si="86"/>
        <v>7824.3900000000012</v>
      </c>
      <c r="M56" s="727">
        <f t="shared" si="82"/>
        <v>6.9831603486022544</v>
      </c>
      <c r="O56" s="723">
        <f t="shared" ref="O56:U59" si="88">SUMIF($E$37:$E$52,$E56,O$37:O$52)</f>
        <v>259856.29999999996</v>
      </c>
      <c r="P56" s="726">
        <f t="shared" si="88"/>
        <v>175625.73524581036</v>
      </c>
      <c r="Q56" s="564">
        <f t="shared" si="77"/>
        <v>-84230.564754189603</v>
      </c>
      <c r="R56" s="727">
        <f t="shared" si="83"/>
        <v>1.4796026313358821</v>
      </c>
      <c r="S56" s="726">
        <f t="shared" si="88"/>
        <v>175625.73524581036</v>
      </c>
      <c r="T56" s="727">
        <f t="shared" si="84"/>
        <v>1.4796026313358821</v>
      </c>
      <c r="U56" s="726">
        <f t="shared" si="88"/>
        <v>33715.552527000007</v>
      </c>
      <c r="V56" s="727">
        <f t="shared" si="85"/>
        <v>7.7073125167354881</v>
      </c>
      <c r="X56" s="726">
        <f t="shared" ref="X56:AB59" si="89">SUMIF($E$37:$E$52,$E56,X$37:X$52)</f>
        <v>259856.29999999996</v>
      </c>
      <c r="Y56" s="726">
        <f t="shared" si="89"/>
        <v>357508.72008395608</v>
      </c>
      <c r="Z56" s="564">
        <f t="shared" si="78"/>
        <v>97652.420083956124</v>
      </c>
      <c r="AA56" s="727">
        <f t="shared" si="79"/>
        <v>0.72685303994536477</v>
      </c>
      <c r="AB56" s="726">
        <f t="shared" si="89"/>
        <v>357508.72008395608</v>
      </c>
      <c r="AC56" s="727">
        <f t="shared" si="80"/>
        <v>0.72685303994536477</v>
      </c>
      <c r="AD56" s="727">
        <f t="shared" si="81"/>
        <v>1</v>
      </c>
      <c r="AF56" s="713"/>
    </row>
    <row r="57" spans="1:32">
      <c r="D57" s="680" t="s">
        <v>177</v>
      </c>
      <c r="E57" s="681" t="s">
        <v>89</v>
      </c>
      <c r="F57" s="723">
        <f t="shared" si="86"/>
        <v>0</v>
      </c>
      <c r="G57" s="726">
        <f t="shared" si="86"/>
        <v>0</v>
      </c>
      <c r="H57" s="564">
        <f t="shared" si="76"/>
        <v>0</v>
      </c>
      <c r="I57" s="727">
        <f>IFERROR($F57/G57,0)</f>
        <v>0</v>
      </c>
      <c r="J57" s="726">
        <f t="shared" si="86"/>
        <v>0</v>
      </c>
      <c r="K57" s="727">
        <f t="shared" si="87"/>
        <v>0</v>
      </c>
      <c r="L57" s="726">
        <f t="shared" si="86"/>
        <v>0</v>
      </c>
      <c r="M57" s="727">
        <f t="shared" si="82"/>
        <v>0</v>
      </c>
      <c r="O57" s="723">
        <f t="shared" si="88"/>
        <v>0</v>
      </c>
      <c r="P57" s="726">
        <f t="shared" si="88"/>
        <v>0</v>
      </c>
      <c r="Q57" s="564">
        <f t="shared" si="77"/>
        <v>0</v>
      </c>
      <c r="R57" s="727">
        <f t="shared" si="83"/>
        <v>0</v>
      </c>
      <c r="S57" s="726">
        <f t="shared" si="88"/>
        <v>0</v>
      </c>
      <c r="T57" s="727">
        <f t="shared" si="84"/>
        <v>0</v>
      </c>
      <c r="U57" s="726">
        <f t="shared" si="88"/>
        <v>0</v>
      </c>
      <c r="V57" s="727">
        <f t="shared" si="85"/>
        <v>0</v>
      </c>
      <c r="X57" s="726">
        <f t="shared" si="89"/>
        <v>0</v>
      </c>
      <c r="Y57" s="726">
        <f t="shared" si="89"/>
        <v>0</v>
      </c>
      <c r="Z57" s="564">
        <f t="shared" si="78"/>
        <v>0</v>
      </c>
      <c r="AA57" s="727">
        <f t="shared" si="79"/>
        <v>0</v>
      </c>
      <c r="AB57" s="726">
        <f t="shared" si="89"/>
        <v>0</v>
      </c>
      <c r="AC57" s="727">
        <f t="shared" si="80"/>
        <v>0</v>
      </c>
      <c r="AD57" s="727">
        <f t="shared" si="81"/>
        <v>0</v>
      </c>
      <c r="AF57" s="713"/>
    </row>
    <row r="58" spans="1:32">
      <c r="D58" s="680" t="s">
        <v>176</v>
      </c>
      <c r="E58" s="681" t="s">
        <v>90</v>
      </c>
      <c r="F58" s="723">
        <f t="shared" si="86"/>
        <v>23567.439999999999</v>
      </c>
      <c r="G58" s="726">
        <f t="shared" si="86"/>
        <v>2486.3724804882718</v>
      </c>
      <c r="H58" s="564">
        <f t="shared" si="76"/>
        <v>-21081.067519511726</v>
      </c>
      <c r="I58" s="727">
        <f>IFERROR($F58/G58,0)</f>
        <v>9.4786441633121061</v>
      </c>
      <c r="J58" s="726">
        <f t="shared" si="86"/>
        <v>2486.3724804882718</v>
      </c>
      <c r="K58" s="727">
        <f t="shared" si="87"/>
        <v>9.4786441633121061</v>
      </c>
      <c r="L58" s="726">
        <f t="shared" si="86"/>
        <v>266.48</v>
      </c>
      <c r="M58" s="727">
        <f t="shared" si="82"/>
        <v>88.439807865505841</v>
      </c>
      <c r="O58" s="723">
        <f t="shared" si="88"/>
        <v>46012.66</v>
      </c>
      <c r="P58" s="726">
        <f t="shared" si="88"/>
        <v>16100.47816812284</v>
      </c>
      <c r="Q58" s="564">
        <f t="shared" si="77"/>
        <v>-29912.181831877162</v>
      </c>
      <c r="R58" s="727">
        <f t="shared" si="83"/>
        <v>2.8578443149036383</v>
      </c>
      <c r="S58" s="726">
        <f t="shared" si="88"/>
        <v>16100.47816812284</v>
      </c>
      <c r="T58" s="727">
        <f t="shared" si="84"/>
        <v>2.8578443149036383</v>
      </c>
      <c r="U58" s="726">
        <f t="shared" si="88"/>
        <v>437.62947100000002</v>
      </c>
      <c r="V58" s="727">
        <f t="shared" si="85"/>
        <v>105.14067961387363</v>
      </c>
      <c r="X58" s="726">
        <f t="shared" si="89"/>
        <v>46012.66</v>
      </c>
      <c r="Y58" s="726">
        <f t="shared" si="89"/>
        <v>32774.589296773287</v>
      </c>
      <c r="Z58" s="564">
        <f t="shared" si="78"/>
        <v>-13238.070703226716</v>
      </c>
      <c r="AA58" s="727">
        <f t="shared" si="79"/>
        <v>1.4039126343691521</v>
      </c>
      <c r="AB58" s="726">
        <f t="shared" si="89"/>
        <v>32774.589296773287</v>
      </c>
      <c r="AC58" s="727">
        <f t="shared" si="80"/>
        <v>1.4039126343691521</v>
      </c>
      <c r="AD58" s="727">
        <f t="shared" si="81"/>
        <v>1</v>
      </c>
      <c r="AF58" s="713"/>
    </row>
    <row r="59" spans="1:32">
      <c r="D59" s="682" t="s">
        <v>161</v>
      </c>
      <c r="E59" s="683" t="s">
        <v>147</v>
      </c>
      <c r="F59" s="724">
        <f t="shared" si="86"/>
        <v>71849.39</v>
      </c>
      <c r="G59" s="728">
        <f t="shared" si="86"/>
        <v>55935.9</v>
      </c>
      <c r="H59" s="832">
        <f t="shared" si="76"/>
        <v>-15913.489999999998</v>
      </c>
      <c r="I59" s="729">
        <f t="shared" ref="I59" si="90">IFERROR($F59/G59,0)</f>
        <v>1.2844951095807879</v>
      </c>
      <c r="J59" s="728">
        <f t="shared" si="86"/>
        <v>55935.9</v>
      </c>
      <c r="K59" s="729">
        <f t="shared" si="87"/>
        <v>1.2844951095807879</v>
      </c>
      <c r="L59" s="728">
        <f t="shared" si="86"/>
        <v>19976.71</v>
      </c>
      <c r="M59" s="729">
        <f t="shared" si="82"/>
        <v>3.5966578080174365</v>
      </c>
      <c r="O59" s="724">
        <f t="shared" si="88"/>
        <v>332294.90095628676</v>
      </c>
      <c r="P59" s="728">
        <f t="shared" si="88"/>
        <v>237065.85</v>
      </c>
      <c r="Q59" s="832">
        <f t="shared" si="77"/>
        <v>-95229.050956286752</v>
      </c>
      <c r="R59" s="729">
        <f t="shared" si="83"/>
        <v>1.4016987303581969</v>
      </c>
      <c r="S59" s="728">
        <f t="shared" si="88"/>
        <v>237065.85</v>
      </c>
      <c r="T59" s="729">
        <f t="shared" si="84"/>
        <v>1.4016987303581969</v>
      </c>
      <c r="U59" s="728">
        <f t="shared" si="88"/>
        <v>99517.210000000021</v>
      </c>
      <c r="V59" s="729">
        <f t="shared" si="85"/>
        <v>3.3390697041877146</v>
      </c>
      <c r="X59" s="728">
        <f t="shared" si="89"/>
        <v>332294.90095628676</v>
      </c>
      <c r="Y59" s="728">
        <f t="shared" si="89"/>
        <v>460809.45000000007</v>
      </c>
      <c r="Z59" s="832">
        <f t="shared" si="78"/>
        <v>128514.54904371331</v>
      </c>
      <c r="AA59" s="729">
        <f t="shared" si="79"/>
        <v>0.72111129872941349</v>
      </c>
      <c r="AB59" s="728">
        <f t="shared" si="89"/>
        <v>460809.45000000007</v>
      </c>
      <c r="AC59" s="729">
        <f t="shared" si="80"/>
        <v>0.72111129872941349</v>
      </c>
      <c r="AD59" s="729">
        <f t="shared" si="81"/>
        <v>1</v>
      </c>
      <c r="AF59" s="713"/>
    </row>
    <row r="60" spans="1:32">
      <c r="AF60" s="713"/>
    </row>
    <row r="61" spans="1:32" ht="2.4500000000000002" customHeight="1">
      <c r="A61" s="710"/>
      <c r="B61" s="710"/>
      <c r="C61" s="710"/>
      <c r="D61" s="711"/>
      <c r="E61" s="712"/>
      <c r="F61" s="713"/>
      <c r="G61" s="713"/>
      <c r="H61" s="713"/>
      <c r="I61" s="713"/>
      <c r="J61" s="713"/>
      <c r="K61" s="713"/>
      <c r="L61" s="713"/>
      <c r="M61" s="713"/>
      <c r="N61" s="710"/>
      <c r="O61" s="713"/>
      <c r="P61" s="713"/>
      <c r="Q61" s="713"/>
      <c r="R61" s="713"/>
      <c r="S61" s="713"/>
      <c r="T61" s="713"/>
      <c r="U61" s="713"/>
      <c r="V61" s="713"/>
      <c r="W61" s="710"/>
      <c r="X61" s="713"/>
      <c r="Y61" s="713"/>
      <c r="Z61" s="713"/>
      <c r="AA61" s="713"/>
      <c r="AB61" s="713"/>
      <c r="AC61" s="713"/>
      <c r="AD61" s="713"/>
      <c r="AE61" s="713"/>
      <c r="AF61" s="713"/>
    </row>
    <row r="62" spans="1:32">
      <c r="C62" s="100" t="s">
        <v>168</v>
      </c>
      <c r="AF62" s="713"/>
    </row>
    <row r="63" spans="1:32">
      <c r="C63" s="100"/>
      <c r="D63" s="686" t="s">
        <v>169</v>
      </c>
      <c r="E63" s="687"/>
      <c r="F63" s="731">
        <f>SUM(F64:F69)</f>
        <v>1383068.41</v>
      </c>
      <c r="G63" s="731">
        <f>SUM(G64:G69)</f>
        <v>1348344.7934990593</v>
      </c>
      <c r="H63" s="731">
        <f t="shared" ref="H63:H69" si="91">G63-F63</f>
        <v>-34723.61650094064</v>
      </c>
      <c r="I63" s="689">
        <f>IFERROR($F63/G63,0)</f>
        <v>1.0257527723386168</v>
      </c>
      <c r="J63" s="731">
        <f>SUM(J64:J69)</f>
        <v>1412040.6069066506</v>
      </c>
      <c r="K63" s="689">
        <f>IFERROR($F63/J63,0)</f>
        <v>0.97948203701441705</v>
      </c>
      <c r="L63" s="731">
        <f>SUM(L64:L69)</f>
        <v>607216.40999999992</v>
      </c>
      <c r="M63" s="689">
        <f>IFERROR($F63/L63,0)</f>
        <v>2.2777190919461483</v>
      </c>
      <c r="O63" s="731">
        <f>SUM(O64:O69)</f>
        <v>9343995.8829012066</v>
      </c>
      <c r="P63" s="731">
        <f>SUM(P64:P69)</f>
        <v>9493726.1636865512</v>
      </c>
      <c r="Q63" s="731">
        <f t="shared" ref="Q63:Q69" si="92">P63-O63</f>
        <v>149730.28078534454</v>
      </c>
      <c r="R63" s="747">
        <f>IFERROR($O63/P63,0)</f>
        <v>0.98422850225467196</v>
      </c>
      <c r="S63" s="731">
        <f>SUM(S64:S69)</f>
        <v>9942950.6162593029</v>
      </c>
      <c r="T63" s="747">
        <f>IFERROR($O63/S63,0)</f>
        <v>0.93976086611768439</v>
      </c>
      <c r="U63" s="731">
        <f>SUM(U64:U69)</f>
        <v>4134246.4262169991</v>
      </c>
      <c r="V63" s="747">
        <f>IFERROR($O63/U63,0)</f>
        <v>2.2601448775880875</v>
      </c>
      <c r="X63" s="731">
        <f>SUM(X64:X69)</f>
        <v>9343995.8829012066</v>
      </c>
      <c r="Y63" s="731">
        <f>SUM(Y64:Y69)</f>
        <v>15627504.317349644</v>
      </c>
      <c r="Z63" s="731">
        <f t="shared" ref="Z63:Z69" si="93">Y63-X63</f>
        <v>6283508.4344484378</v>
      </c>
      <c r="AA63" s="747">
        <f t="shared" ref="AA63:AA68" si="94">IFERROR(X63/Y63,0)</f>
        <v>0.59791990410954543</v>
      </c>
      <c r="AB63" s="731">
        <f>SUM(AB64:AB69)</f>
        <v>16141143.189772371</v>
      </c>
      <c r="AC63" s="747">
        <f t="shared" ref="AC63:AC68" si="95">IFERROR(X63/AB63,0)</f>
        <v>0.57889306680718311</v>
      </c>
      <c r="AD63" s="747">
        <f t="shared" ref="AD63:AD68" si="96">IFERROR(Y63/AB63,0)</f>
        <v>0.9681782841287111</v>
      </c>
      <c r="AF63" s="713"/>
    </row>
    <row r="64" spans="1:32">
      <c r="D64" s="736" t="s">
        <v>177</v>
      </c>
      <c r="E64" s="716" t="s">
        <v>87</v>
      </c>
      <c r="F64" s="692">
        <f t="shared" ref="F64:G68" si="97">F27+F55</f>
        <v>400413.36</v>
      </c>
      <c r="G64" s="732">
        <f t="shared" si="97"/>
        <v>384541.3730025547</v>
      </c>
      <c r="H64" s="564">
        <f t="shared" si="91"/>
        <v>-15871.986997445289</v>
      </c>
      <c r="I64" s="733">
        <f t="shared" ref="I64:I68" si="98">IFERROR($F64/G64,0)</f>
        <v>1.0412751087705194</v>
      </c>
      <c r="J64" s="732">
        <f>J27+J55</f>
        <v>461847.20702106896</v>
      </c>
      <c r="K64" s="733">
        <f t="shared" ref="K64:K68" si="99">IFERROR($F64/J64,0)</f>
        <v>0.86698231344231902</v>
      </c>
      <c r="L64" s="732">
        <f>L27+L55</f>
        <v>197529.44999999998</v>
      </c>
      <c r="M64" s="733">
        <f t="shared" ref="M64:M68" si="100">IFERROR($F64/L64,0)</f>
        <v>2.0271071478202365</v>
      </c>
      <c r="O64" s="692">
        <f>O27+O55</f>
        <v>2758367.2255189219</v>
      </c>
      <c r="P64" s="732">
        <f>P27+P55</f>
        <v>2831297.0413586232</v>
      </c>
      <c r="Q64" s="564">
        <f t="shared" si="92"/>
        <v>72929.815839701332</v>
      </c>
      <c r="R64" s="733">
        <f t="shared" ref="R64:R68" si="101">IFERROR($O64/P64,0)</f>
        <v>0.97424155262610479</v>
      </c>
      <c r="S64" s="732">
        <f>S27+S55</f>
        <v>3345641.4931053165</v>
      </c>
      <c r="T64" s="733">
        <f t="shared" ref="T64:T68" si="102">IFERROR($O64/S64,0)</f>
        <v>0.82446587035800256</v>
      </c>
      <c r="U64" s="732">
        <f>U27+U55</f>
        <v>1514272.5278919996</v>
      </c>
      <c r="V64" s="733">
        <f t="shared" ref="V64:V68" si="103">IFERROR($O64/U64,0)</f>
        <v>1.8215791244385919</v>
      </c>
      <c r="X64" s="732">
        <f>X27+X55</f>
        <v>2758367.2255189219</v>
      </c>
      <c r="Y64" s="732">
        <f>Y27+Y55</f>
        <v>4693064.987493203</v>
      </c>
      <c r="Z64" s="564">
        <f t="shared" si="93"/>
        <v>1934697.7619742812</v>
      </c>
      <c r="AA64" s="733">
        <f t="shared" si="94"/>
        <v>0.5877538949215152</v>
      </c>
      <c r="AB64" s="732">
        <f>AB27+AB55</f>
        <v>5343031.2534182379</v>
      </c>
      <c r="AC64" s="733">
        <f t="shared" si="95"/>
        <v>0.5162551171218096</v>
      </c>
      <c r="AD64" s="733">
        <f t="shared" si="96"/>
        <v>0.87835252404536945</v>
      </c>
      <c r="AF64" s="713"/>
    </row>
    <row r="65" spans="1:32">
      <c r="D65" s="736" t="s">
        <v>177</v>
      </c>
      <c r="E65" s="716" t="s">
        <v>88</v>
      </c>
      <c r="F65" s="692">
        <f t="shared" si="97"/>
        <v>590994.68999999994</v>
      </c>
      <c r="G65" s="732">
        <f t="shared" si="97"/>
        <v>571210.23645285971</v>
      </c>
      <c r="H65" s="564">
        <f t="shared" si="91"/>
        <v>-19784.453547140234</v>
      </c>
      <c r="I65" s="733">
        <f t="shared" si="98"/>
        <v>1.0346360276559452</v>
      </c>
      <c r="J65" s="732">
        <f t="shared" ref="J65" si="104">J28+J56</f>
        <v>579904.08885949256</v>
      </c>
      <c r="K65" s="733">
        <f t="shared" si="99"/>
        <v>1.0191248886730899</v>
      </c>
      <c r="L65" s="732">
        <f t="shared" ref="L65" si="105">L28+L56</f>
        <v>239910.64</v>
      </c>
      <c r="M65" s="733">
        <f t="shared" si="100"/>
        <v>2.4633950791011183</v>
      </c>
      <c r="O65" s="692">
        <f t="shared" ref="O65:P65" si="106">O28+O56</f>
        <v>4086814.4819309991</v>
      </c>
      <c r="P65" s="732">
        <f t="shared" si="106"/>
        <v>4095194.6217441121</v>
      </c>
      <c r="Q65" s="564">
        <f t="shared" si="92"/>
        <v>8380.1398131130263</v>
      </c>
      <c r="R65" s="733">
        <f t="shared" si="101"/>
        <v>0.99795366506670591</v>
      </c>
      <c r="S65" s="732">
        <f>S28+S56</f>
        <v>4156509.3436886556</v>
      </c>
      <c r="T65" s="733">
        <f t="shared" si="102"/>
        <v>0.98323235773221995</v>
      </c>
      <c r="U65" s="732">
        <f>U28+U56</f>
        <v>1858862.5479369995</v>
      </c>
      <c r="V65" s="733">
        <f t="shared" si="103"/>
        <v>2.1985565777666682</v>
      </c>
      <c r="X65" s="732">
        <f t="shared" ref="X65" si="107">X28+X56</f>
        <v>4086814.4819309991</v>
      </c>
      <c r="Y65" s="732">
        <f t="shared" ref="Y65:AB65" si="108">Y28+Y56</f>
        <v>6739130.0527245887</v>
      </c>
      <c r="Z65" s="564">
        <f t="shared" si="93"/>
        <v>2652315.5707935896</v>
      </c>
      <c r="AA65" s="733">
        <f t="shared" si="94"/>
        <v>0.60643057040852411</v>
      </c>
      <c r="AB65" s="732">
        <f t="shared" si="108"/>
        <v>6739130.0527245887</v>
      </c>
      <c r="AC65" s="733">
        <f t="shared" si="95"/>
        <v>0.60643057040852411</v>
      </c>
      <c r="AD65" s="733">
        <f t="shared" si="96"/>
        <v>1</v>
      </c>
      <c r="AF65" s="713"/>
    </row>
    <row r="66" spans="1:32">
      <c r="D66" s="736" t="s">
        <v>177</v>
      </c>
      <c r="E66" s="716" t="s">
        <v>89</v>
      </c>
      <c r="F66" s="692">
        <f t="shared" si="97"/>
        <v>253807.22</v>
      </c>
      <c r="G66" s="732">
        <f t="shared" si="97"/>
        <v>245822.63815510788</v>
      </c>
      <c r="H66" s="564">
        <f t="shared" si="91"/>
        <v>-7984.58184489212</v>
      </c>
      <c r="I66" s="733">
        <f t="shared" si="98"/>
        <v>1.0324810680774406</v>
      </c>
      <c r="J66" s="732">
        <f t="shared" ref="J66" si="109">J29+J57</f>
        <v>293607.14308134664</v>
      </c>
      <c r="K66" s="733">
        <f t="shared" si="99"/>
        <v>0.86444497683654886</v>
      </c>
      <c r="L66" s="732">
        <f t="shared" ref="L66" si="110">L29+L57</f>
        <v>46660.800000000003</v>
      </c>
      <c r="M66" s="733">
        <f t="shared" si="100"/>
        <v>5.4394099543942662</v>
      </c>
      <c r="O66" s="692">
        <f t="shared" ref="O66:P66" si="111">O29+O57</f>
        <v>1627012.4993729999</v>
      </c>
      <c r="P66" s="732">
        <f t="shared" si="111"/>
        <v>1721845.2303184844</v>
      </c>
      <c r="Q66" s="564">
        <f t="shared" si="92"/>
        <v>94832.73094548448</v>
      </c>
      <c r="R66" s="733">
        <f t="shared" si="101"/>
        <v>0.94492377754071222</v>
      </c>
      <c r="S66" s="732">
        <f>S29+S57</f>
        <v>2058852.7496288689</v>
      </c>
      <c r="T66" s="733">
        <f t="shared" si="102"/>
        <v>0.79025199818990799</v>
      </c>
      <c r="U66" s="732">
        <f>U29+U57</f>
        <v>309360.17874599999</v>
      </c>
      <c r="V66" s="733">
        <f t="shared" si="103"/>
        <v>5.259282257878632</v>
      </c>
      <c r="X66" s="732">
        <f t="shared" ref="X66" si="112">X29+X57</f>
        <v>1627012.4993729999</v>
      </c>
      <c r="Y66" s="732">
        <f t="shared" ref="Y66:AB66" si="113">Y29+Y57</f>
        <v>2842507.5578480316</v>
      </c>
      <c r="Z66" s="564">
        <f t="shared" si="93"/>
        <v>1215495.0584750318</v>
      </c>
      <c r="AA66" s="733">
        <f t="shared" si="94"/>
        <v>0.57238634067335858</v>
      </c>
      <c r="AB66" s="732">
        <f t="shared" si="113"/>
        <v>3356146.4302707589</v>
      </c>
      <c r="AC66" s="733">
        <f t="shared" si="95"/>
        <v>0.48478590942819494</v>
      </c>
      <c r="AD66" s="733">
        <f t="shared" si="96"/>
        <v>0.84695576218309132</v>
      </c>
      <c r="AF66" s="713"/>
    </row>
    <row r="67" spans="1:32">
      <c r="D67" s="736" t="s">
        <v>176</v>
      </c>
      <c r="E67" s="716" t="s">
        <v>90</v>
      </c>
      <c r="F67" s="692">
        <f t="shared" si="97"/>
        <v>66003.75</v>
      </c>
      <c r="G67" s="732">
        <f t="shared" si="97"/>
        <v>20405.537551781992</v>
      </c>
      <c r="H67" s="564">
        <f t="shared" si="91"/>
        <v>-45598.212448218008</v>
      </c>
      <c r="I67" s="733">
        <f t="shared" si="98"/>
        <v>3.2345999135041641</v>
      </c>
      <c r="J67" s="732">
        <f t="shared" ref="J67" si="114">J30+J58</f>
        <v>20746.267944742482</v>
      </c>
      <c r="K67" s="733">
        <f t="shared" si="99"/>
        <v>3.1814758286068829</v>
      </c>
      <c r="L67" s="732">
        <f t="shared" ref="L67" si="115">L30+L58</f>
        <v>18798.07</v>
      </c>
      <c r="M67" s="733">
        <f t="shared" si="100"/>
        <v>3.5111982240730031</v>
      </c>
      <c r="O67" s="692">
        <f t="shared" ref="O67:P67" si="116">O30+O58</f>
        <v>547485.27512200002</v>
      </c>
      <c r="P67" s="732">
        <f t="shared" si="116"/>
        <v>142478.12669899594</v>
      </c>
      <c r="Q67" s="564">
        <f t="shared" si="92"/>
        <v>-405007.14842300408</v>
      </c>
      <c r="R67" s="733">
        <f t="shared" si="101"/>
        <v>3.8425917564078853</v>
      </c>
      <c r="S67" s="732">
        <f>S30+S58</f>
        <v>144881.17983646214</v>
      </c>
      <c r="T67" s="733">
        <f t="shared" si="102"/>
        <v>3.7788571002802867</v>
      </c>
      <c r="U67" s="732">
        <f>U30+U58</f>
        <v>82046.341641999999</v>
      </c>
      <c r="V67" s="733">
        <f t="shared" si="103"/>
        <v>6.6728785728301032</v>
      </c>
      <c r="X67" s="732">
        <f t="shared" ref="X67" si="117">X30+X58</f>
        <v>547485.27512200002</v>
      </c>
      <c r="Y67" s="732">
        <f t="shared" ref="Y67:AB67" si="118">Y30+Y58</f>
        <v>242026.0033587876</v>
      </c>
      <c r="Z67" s="564">
        <f t="shared" si="93"/>
        <v>-305459.2717632124</v>
      </c>
      <c r="AA67" s="733">
        <f t="shared" si="94"/>
        <v>2.2620927814536902</v>
      </c>
      <c r="AB67" s="732">
        <f t="shared" si="118"/>
        <v>242026.00335878762</v>
      </c>
      <c r="AC67" s="733">
        <f t="shared" si="95"/>
        <v>2.2620927814536902</v>
      </c>
      <c r="AD67" s="733">
        <f t="shared" si="96"/>
        <v>0.99999999999999989</v>
      </c>
      <c r="AF67" s="713"/>
    </row>
    <row r="68" spans="1:32" s="816" customFormat="1">
      <c r="D68" s="736" t="s">
        <v>161</v>
      </c>
      <c r="E68" s="716" t="s">
        <v>147</v>
      </c>
      <c r="F68" s="692">
        <f t="shared" si="97"/>
        <v>71849.39</v>
      </c>
      <c r="G68" s="732">
        <f t="shared" si="97"/>
        <v>55935.9</v>
      </c>
      <c r="H68" s="564">
        <f t="shared" si="91"/>
        <v>-15913.489999999998</v>
      </c>
      <c r="I68" s="733">
        <f t="shared" si="98"/>
        <v>1.2844951095807879</v>
      </c>
      <c r="J68" s="732">
        <f t="shared" ref="J68" si="119">J31+J59</f>
        <v>55935.9</v>
      </c>
      <c r="K68" s="733">
        <f t="shared" si="99"/>
        <v>1.2844951095807879</v>
      </c>
      <c r="L68" s="732">
        <f t="shared" ref="L68" si="120">L31+L59</f>
        <v>104317.45000000001</v>
      </c>
      <c r="M68" s="733">
        <f t="shared" si="100"/>
        <v>0.68875715424408857</v>
      </c>
      <c r="O68" s="692">
        <f t="shared" ref="O68:P68" si="121">O31+O59</f>
        <v>324316.40095628676</v>
      </c>
      <c r="P68" s="732">
        <f t="shared" si="121"/>
        <v>237065.85</v>
      </c>
      <c r="Q68" s="564">
        <f t="shared" si="92"/>
        <v>-87250.550956286752</v>
      </c>
      <c r="R68" s="733">
        <f t="shared" si="101"/>
        <v>1.3680435244312361</v>
      </c>
      <c r="S68" s="732">
        <f>S31+S59</f>
        <v>237065.85</v>
      </c>
      <c r="T68" s="733">
        <f t="shared" si="102"/>
        <v>1.3680435244312361</v>
      </c>
      <c r="U68" s="732">
        <f>U31+U59</f>
        <v>369704.83</v>
      </c>
      <c r="V68" s="733">
        <f t="shared" si="103"/>
        <v>0.87723063005773216</v>
      </c>
      <c r="X68" s="732">
        <f t="shared" ref="X68" si="122">X31+X59</f>
        <v>324316.40095628676</v>
      </c>
      <c r="Y68" s="732">
        <f t="shared" ref="Y68:AB68" si="123">Y31+Y59</f>
        <v>460809.45000000007</v>
      </c>
      <c r="Z68" s="564">
        <f t="shared" si="93"/>
        <v>136493.04904371331</v>
      </c>
      <c r="AA68" s="733">
        <f t="shared" si="94"/>
        <v>0.70379720067868989</v>
      </c>
      <c r="AB68" s="732">
        <f t="shared" si="123"/>
        <v>460809.45000000007</v>
      </c>
      <c r="AC68" s="733">
        <f t="shared" si="95"/>
        <v>0.70379720067868989</v>
      </c>
      <c r="AD68" s="733">
        <f t="shared" si="96"/>
        <v>1</v>
      </c>
      <c r="AF68" s="713"/>
    </row>
    <row r="69" spans="1:32" s="816" customFormat="1">
      <c r="D69" s="737" t="s">
        <v>161</v>
      </c>
      <c r="E69" s="717" t="s">
        <v>186</v>
      </c>
      <c r="F69" s="696">
        <f>F32</f>
        <v>0</v>
      </c>
      <c r="G69" s="734">
        <f t="shared" ref="G69:AD69" si="124">G32</f>
        <v>70429.108336755075</v>
      </c>
      <c r="H69" s="833">
        <f t="shared" si="91"/>
        <v>70429.108336755075</v>
      </c>
      <c r="I69" s="735">
        <f t="shared" si="124"/>
        <v>0</v>
      </c>
      <c r="J69" s="734">
        <f t="shared" si="124"/>
        <v>0</v>
      </c>
      <c r="K69" s="735">
        <f t="shared" si="124"/>
        <v>0</v>
      </c>
      <c r="L69" s="734">
        <f t="shared" si="124"/>
        <v>0</v>
      </c>
      <c r="M69" s="735">
        <f t="shared" si="124"/>
        <v>0</v>
      </c>
      <c r="O69" s="696">
        <f t="shared" si="124"/>
        <v>0</v>
      </c>
      <c r="P69" s="734">
        <f t="shared" si="124"/>
        <v>465845.29356633709</v>
      </c>
      <c r="Q69" s="833">
        <f t="shared" si="92"/>
        <v>465845.29356633709</v>
      </c>
      <c r="R69" s="735">
        <f t="shared" si="124"/>
        <v>0</v>
      </c>
      <c r="S69" s="734">
        <f t="shared" si="124"/>
        <v>0</v>
      </c>
      <c r="T69" s="735">
        <f t="shared" si="124"/>
        <v>0</v>
      </c>
      <c r="U69" s="734">
        <f t="shared" si="124"/>
        <v>0</v>
      </c>
      <c r="V69" s="735">
        <f t="shared" si="124"/>
        <v>0</v>
      </c>
      <c r="X69" s="734">
        <f t="shared" si="124"/>
        <v>0</v>
      </c>
      <c r="Y69" s="734">
        <f>Y32</f>
        <v>649966.26592503453</v>
      </c>
      <c r="Z69" s="833">
        <f t="shared" si="93"/>
        <v>649966.26592503453</v>
      </c>
      <c r="AA69" s="735">
        <f t="shared" si="124"/>
        <v>0</v>
      </c>
      <c r="AB69" s="734">
        <f t="shared" si="124"/>
        <v>0</v>
      </c>
      <c r="AC69" s="735">
        <f t="shared" si="124"/>
        <v>0</v>
      </c>
      <c r="AD69" s="735">
        <f t="shared" si="124"/>
        <v>0</v>
      </c>
      <c r="AF69" s="713"/>
    </row>
    <row r="70" spans="1:32">
      <c r="AF70" s="713"/>
    </row>
    <row r="71" spans="1:32" ht="2.4500000000000002" customHeight="1">
      <c r="A71" s="710"/>
      <c r="B71" s="710"/>
      <c r="C71" s="710"/>
      <c r="D71" s="711"/>
      <c r="E71" s="712"/>
      <c r="F71" s="713"/>
      <c r="G71" s="713"/>
      <c r="H71" s="713"/>
      <c r="I71" s="713"/>
      <c r="J71" s="713"/>
      <c r="K71" s="713"/>
      <c r="L71" s="713"/>
      <c r="M71" s="713"/>
      <c r="N71" s="710"/>
      <c r="O71" s="713"/>
      <c r="P71" s="713"/>
      <c r="Q71" s="713"/>
      <c r="R71" s="713"/>
      <c r="S71" s="713"/>
      <c r="T71" s="713"/>
      <c r="U71" s="713"/>
      <c r="V71" s="713"/>
      <c r="W71" s="710"/>
      <c r="X71" s="713"/>
      <c r="Y71" s="713"/>
      <c r="Z71" s="713"/>
      <c r="AA71" s="713"/>
      <c r="AB71" s="713"/>
      <c r="AC71" s="713"/>
      <c r="AD71" s="713"/>
      <c r="AE71" s="713"/>
      <c r="AF71" s="713"/>
    </row>
    <row r="73" spans="1:32">
      <c r="F73" s="846" t="s">
        <v>192</v>
      </c>
      <c r="G73" s="846"/>
      <c r="O73" s="846" t="s">
        <v>191</v>
      </c>
      <c r="P73" s="846"/>
      <c r="X73" s="846" t="s">
        <v>100</v>
      </c>
      <c r="Y73" s="846"/>
    </row>
    <row r="74" spans="1:32">
      <c r="F74" s="802" t="s">
        <v>190</v>
      </c>
      <c r="G74" s="802" t="s">
        <v>82</v>
      </c>
      <c r="O74" s="802" t="s">
        <v>190</v>
      </c>
      <c r="P74" s="802" t="s">
        <v>82</v>
      </c>
      <c r="R74" s="816"/>
      <c r="X74" s="802" t="s">
        <v>190</v>
      </c>
      <c r="Y74" s="802" t="s">
        <v>82</v>
      </c>
    </row>
    <row r="75" spans="1:32">
      <c r="D75" s="806" t="s">
        <v>153</v>
      </c>
      <c r="E75" s="679"/>
      <c r="F75" s="679"/>
      <c r="G75" s="679"/>
      <c r="H75" s="679"/>
      <c r="I75" s="679"/>
      <c r="J75" s="679"/>
      <c r="K75" s="679"/>
      <c r="L75" s="679"/>
      <c r="M75" s="679"/>
      <c r="N75" s="679"/>
      <c r="O75" s="679"/>
      <c r="P75" s="679"/>
      <c r="Q75" s="679"/>
      <c r="R75" s="679"/>
      <c r="S75" s="679"/>
      <c r="T75" s="679"/>
      <c r="U75" s="679"/>
      <c r="V75" s="679"/>
      <c r="W75" s="679"/>
      <c r="X75" s="679"/>
      <c r="Y75" s="679"/>
    </row>
    <row r="76" spans="1:32">
      <c r="E76" t="s">
        <v>185</v>
      </c>
      <c r="F76" s="801">
        <f>F5</f>
        <v>1058989.67</v>
      </c>
      <c r="G76" s="633">
        <f>F76/$F$78</f>
        <v>0.85906392382970109</v>
      </c>
      <c r="H76" s="633"/>
      <c r="O76" s="801">
        <f>O5</f>
        <v>7506510.9723199988</v>
      </c>
      <c r="P76" s="633">
        <f>O76/$O$78</f>
        <v>0.86226849823496188</v>
      </c>
      <c r="Q76" s="633"/>
      <c r="X76" s="801">
        <f>Y5</f>
        <v>10941153.840024119</v>
      </c>
      <c r="Y76" s="633">
        <f>X76/$X$78</f>
        <v>0.7404530389534334</v>
      </c>
    </row>
    <row r="77" spans="1:32">
      <c r="E77" t="s">
        <v>186</v>
      </c>
      <c r="F77" s="801">
        <f>F26-F76</f>
        <v>173735.44000000018</v>
      </c>
      <c r="G77" s="633">
        <f>F77/$F$78</f>
        <v>0.14093607617029896</v>
      </c>
      <c r="H77" s="633"/>
      <c r="O77" s="801">
        <f>O26-O76</f>
        <v>1199026.7896249229</v>
      </c>
      <c r="P77" s="633">
        <f t="shared" ref="P77:P78" si="125">O77/$O$78</f>
        <v>0.13773150176503812</v>
      </c>
      <c r="Q77" s="633"/>
      <c r="X77" s="801">
        <f>Y26-X76</f>
        <v>3835142.9194415435</v>
      </c>
      <c r="Y77" s="633">
        <f t="shared" ref="Y77:Y78" si="126">X77/$X$78</f>
        <v>0.25954696104656666</v>
      </c>
    </row>
    <row r="78" spans="1:32">
      <c r="E78" s="100" t="s">
        <v>187</v>
      </c>
      <c r="F78" s="805">
        <f>SUM(F76:F77)</f>
        <v>1232725.1100000001</v>
      </c>
      <c r="G78" s="633">
        <f>SUM(G76:G77)</f>
        <v>1</v>
      </c>
      <c r="H78" s="633"/>
      <c r="O78" s="805">
        <f>SUM(O76:O77)</f>
        <v>8705537.7619449217</v>
      </c>
      <c r="P78" s="633">
        <f t="shared" si="125"/>
        <v>1</v>
      </c>
      <c r="Q78" s="633"/>
      <c r="X78" s="805">
        <f>SUM(X76:X77)</f>
        <v>14776296.759465663</v>
      </c>
      <c r="Y78" s="633">
        <f t="shared" si="126"/>
        <v>1</v>
      </c>
    </row>
    <row r="80" spans="1:32">
      <c r="D80" s="806" t="s">
        <v>151</v>
      </c>
      <c r="E80" s="679"/>
      <c r="F80" s="679"/>
      <c r="G80" s="679"/>
      <c r="H80" s="679"/>
      <c r="I80" s="679"/>
      <c r="J80" s="679"/>
      <c r="K80" s="679"/>
      <c r="L80" s="679"/>
      <c r="M80" s="679"/>
      <c r="N80" s="679"/>
      <c r="O80" s="679"/>
      <c r="P80" s="679"/>
      <c r="Q80" s="679"/>
      <c r="R80" s="679"/>
      <c r="S80" s="679"/>
      <c r="T80" s="679"/>
      <c r="U80" s="679"/>
      <c r="V80" s="679"/>
      <c r="W80" s="679"/>
      <c r="X80" s="679"/>
      <c r="Y80" s="679"/>
    </row>
    <row r="81" spans="1:25">
      <c r="E81" t="s">
        <v>185</v>
      </c>
      <c r="F81" s="801">
        <f>F36</f>
        <v>78493.91</v>
      </c>
      <c r="G81" s="633">
        <f>F81/$F$83</f>
        <v>0.5220978254435017</v>
      </c>
      <c r="H81" s="633"/>
      <c r="O81" s="801">
        <f>O36</f>
        <v>306163.21999999997</v>
      </c>
      <c r="P81" s="633">
        <f>O81/$O$83</f>
        <v>0.47953532103472452</v>
      </c>
      <c r="Q81" s="633"/>
      <c r="X81" s="801">
        <f>Y36</f>
        <v>390398.10788398201</v>
      </c>
      <c r="Y81" s="633">
        <f>X81/$X$83</f>
        <v>0.45864032135061528</v>
      </c>
    </row>
    <row r="82" spans="1:25">
      <c r="E82" t="s">
        <v>186</v>
      </c>
      <c r="F82" s="801">
        <f>F54-F81</f>
        <v>71849.389999999985</v>
      </c>
      <c r="G82" s="633">
        <f t="shared" ref="G82:G83" si="127">F82/$F$83</f>
        <v>0.4779021745564983</v>
      </c>
      <c r="H82" s="633"/>
      <c r="O82" s="801">
        <f>O54-O81</f>
        <v>332294.90095628682</v>
      </c>
      <c r="P82" s="633">
        <f t="shared" ref="P82:P83" si="128">O82/$O$83</f>
        <v>0.52046467896527548</v>
      </c>
      <c r="Q82" s="633"/>
      <c r="X82" s="801">
        <f>Y54-X81</f>
        <v>460809.45000000007</v>
      </c>
      <c r="Y82" s="633">
        <f t="shared" ref="Y82:Y83" si="129">X82/$X$83</f>
        <v>0.54135967864938472</v>
      </c>
    </row>
    <row r="83" spans="1:25">
      <c r="E83" s="100" t="s">
        <v>188</v>
      </c>
      <c r="F83" s="805">
        <f>SUM(F81:F82)</f>
        <v>150343.29999999999</v>
      </c>
      <c r="G83" s="633">
        <f t="shared" si="127"/>
        <v>1</v>
      </c>
      <c r="H83" s="633"/>
      <c r="O83" s="805">
        <f>SUM(O81:O82)</f>
        <v>638458.12095628679</v>
      </c>
      <c r="P83" s="633">
        <f t="shared" si="128"/>
        <v>1</v>
      </c>
      <c r="Q83" s="633"/>
      <c r="X83" s="805">
        <f>SUM(X81:X82)</f>
        <v>851207.55788398208</v>
      </c>
      <c r="Y83" s="633">
        <f t="shared" si="129"/>
        <v>1</v>
      </c>
    </row>
    <row r="85" spans="1:25">
      <c r="D85" s="807" t="s">
        <v>168</v>
      </c>
      <c r="E85" s="808"/>
      <c r="F85" s="808"/>
      <c r="G85" s="808"/>
      <c r="H85" s="808"/>
      <c r="I85" s="808"/>
      <c r="J85" s="808"/>
      <c r="K85" s="808"/>
      <c r="L85" s="808"/>
      <c r="M85" s="808"/>
      <c r="N85" s="808"/>
      <c r="O85" s="808"/>
      <c r="P85" s="808"/>
      <c r="Q85" s="808"/>
      <c r="R85" s="808"/>
      <c r="S85" s="808"/>
      <c r="T85" s="808"/>
      <c r="U85" s="808"/>
      <c r="V85" s="808"/>
      <c r="W85" s="808"/>
      <c r="X85" s="808"/>
      <c r="Y85" s="808"/>
    </row>
    <row r="86" spans="1:25">
      <c r="E86" t="s">
        <v>185</v>
      </c>
      <c r="F86" s="801">
        <f>F76+F81</f>
        <v>1137483.5799999998</v>
      </c>
      <c r="G86" s="633">
        <f>F86/$F$88</f>
        <v>0.8224347919276096</v>
      </c>
      <c r="H86" s="633"/>
      <c r="O86" s="801">
        <f>O76+O81</f>
        <v>7812674.1923199985</v>
      </c>
      <c r="P86" s="633">
        <f>O86/$O$88</f>
        <v>0.83611704138446696</v>
      </c>
      <c r="Q86" s="633"/>
      <c r="X86" s="801">
        <f>X76+X81</f>
        <v>11331551.947908102</v>
      </c>
      <c r="Y86" s="633">
        <f>X86/$X$88</f>
        <v>0.7251031078153547</v>
      </c>
    </row>
    <row r="87" spans="1:25">
      <c r="E87" t="s">
        <v>186</v>
      </c>
      <c r="F87" s="801">
        <f>F77+F82</f>
        <v>245584.83000000016</v>
      </c>
      <c r="G87" s="633">
        <f t="shared" ref="G87:G88" si="130">F87/$F$88</f>
        <v>0.17756520807239043</v>
      </c>
      <c r="H87" s="633"/>
      <c r="O87" s="801">
        <f>O77+O82</f>
        <v>1531321.6905812097</v>
      </c>
      <c r="P87" s="633">
        <f t="shared" ref="P87:P88" si="131">O87/$O$88</f>
        <v>0.16388295861553304</v>
      </c>
      <c r="Q87" s="633"/>
      <c r="X87" s="801">
        <f>X77+X82</f>
        <v>4295952.3694415437</v>
      </c>
      <c r="Y87" s="633">
        <f t="shared" ref="Y87:Y88" si="132">X87/$X$88</f>
        <v>0.27489689218464525</v>
      </c>
    </row>
    <row r="88" spans="1:25">
      <c r="E88" s="100" t="s">
        <v>189</v>
      </c>
      <c r="F88" s="805">
        <f>SUM(F86:F87)</f>
        <v>1383068.41</v>
      </c>
      <c r="G88" s="633">
        <f t="shared" si="130"/>
        <v>1</v>
      </c>
      <c r="H88" s="633"/>
      <c r="O88" s="805">
        <f>SUM(O86:O87)</f>
        <v>9343995.8829012085</v>
      </c>
      <c r="P88" s="633">
        <f t="shared" si="131"/>
        <v>1</v>
      </c>
      <c r="Q88" s="633"/>
      <c r="X88" s="805">
        <f>SUM(X86:X87)</f>
        <v>15627504.317349646</v>
      </c>
      <c r="Y88" s="633">
        <f t="shared" si="132"/>
        <v>1</v>
      </c>
    </row>
    <row r="91" spans="1:25">
      <c r="A91" s="100" t="s">
        <v>184</v>
      </c>
    </row>
    <row r="92" spans="1:25">
      <c r="A92" t="s">
        <v>181</v>
      </c>
    </row>
    <row r="93" spans="1:25">
      <c r="A93" t="s">
        <v>180</v>
      </c>
    </row>
  </sheetData>
  <mergeCells count="6">
    <mergeCell ref="F2:M2"/>
    <mergeCell ref="O2:V2"/>
    <mergeCell ref="X2:AD2"/>
    <mergeCell ref="F73:G73"/>
    <mergeCell ref="O73:P73"/>
    <mergeCell ref="X73:Y73"/>
  </mergeCells>
  <pageMargins left="0.7" right="0.7" top="0.75" bottom="0.75" header="0.3" footer="0.3"/>
  <pageSetup orientation="portrait" r:id="rId1"/>
  <ignoredErrors>
    <ignoredError sqref="J6:J9 J15:J18 J21 I5:L5 I14:K14 I11:L13 I20:L20 I54:L59 I64:M68 I36:L42 I53:K53 I44:L51 L6:L9 R5:V5 S6 R7:T18 AB11 R36:T36 S37:S40 R45 S45:T49 R54:T59 AB64:AB68 U6:U19 U33:U59 AA5 AA11:AA22 AA54:AA68 AA36:AA45 L14:L18 L21 R20:U22 AA23:AC23 AE23:AF23 AA26:AA32 I26:L32 R26:U31 I63:P63 R63:U68 I23:P23 O7:P18 R32:Y32 R23:Y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S81"/>
  <sheetViews>
    <sheetView showGridLines="0" zoomScale="115" zoomScaleNormal="115" zoomScalePageLayoutView="115" workbookViewId="0">
      <pane xSplit="4" ySplit="2" topLeftCell="AW52" activePane="bottomRight" state="frozen"/>
      <selection pane="topRight" activeCell="D1" sqref="D1"/>
      <selection pane="bottomLeft" activeCell="A5" sqref="A5"/>
      <selection pane="bottomRight" activeCell="BA74" sqref="BA74"/>
    </sheetView>
  </sheetViews>
  <sheetFormatPr defaultColWidth="10.42578125" defaultRowHeight="15" outlineLevelCol="1"/>
  <cols>
    <col min="1" max="1" width="2.85546875" customWidth="1"/>
    <col min="2" max="2" width="17" customWidth="1"/>
    <col min="3" max="3" width="20.140625" customWidth="1"/>
    <col min="4" max="4" width="12.7109375" bestFit="1" customWidth="1"/>
    <col min="5" max="17" width="13" customWidth="1" outlineLevel="1"/>
    <col min="18" max="18" width="1.42578125" customWidth="1" outlineLevel="1"/>
    <col min="19" max="22" width="11.85546875" customWidth="1" outlineLevel="1"/>
    <col min="23" max="23" width="9.7109375" style="677" bestFit="1" customWidth="1"/>
    <col min="24" max="24" width="10.140625" style="677" customWidth="1"/>
    <col min="25" max="37" width="13.140625" hidden="1" customWidth="1" outlineLevel="1"/>
    <col min="38" max="38" width="1.42578125" hidden="1" customWidth="1" outlineLevel="1"/>
    <col min="39" max="42" width="12.140625" hidden="1" customWidth="1" outlineLevel="1"/>
    <col min="43" max="43" width="12.140625" style="677" customWidth="1" collapsed="1"/>
    <col min="44" max="44" width="6.140625" style="677" customWidth="1"/>
    <col min="45" max="57" width="12.140625" customWidth="1" outlineLevel="1"/>
    <col min="58" max="58" width="1.42578125" customWidth="1" outlineLevel="1"/>
    <col min="59" max="62" width="12.140625" customWidth="1" outlineLevel="1"/>
    <col min="63" max="63" width="10.140625" style="677" customWidth="1"/>
    <col min="64" max="64" width="10.42578125" style="677"/>
    <col min="65" max="77" width="12.42578125" hidden="1" customWidth="1" outlineLevel="1"/>
    <col min="78" max="78" width="1.42578125" hidden="1" customWidth="1" outlineLevel="1"/>
    <col min="79" max="82" width="10.85546875" hidden="1" customWidth="1" outlineLevel="1"/>
    <col min="83" max="83" width="9.85546875" style="677" bestFit="1" customWidth="1" collapsed="1"/>
    <col min="84" max="84" width="10.42578125" style="677"/>
    <col min="85" max="85" width="13.85546875" hidden="1" customWidth="1" outlineLevel="1"/>
    <col min="86" max="102" width="11.42578125" hidden="1" customWidth="1" outlineLevel="1"/>
    <col min="103" max="103" width="13.85546875" style="677" bestFit="1" customWidth="1" collapsed="1"/>
    <col min="105" max="105" width="13.85546875" hidden="1" customWidth="1" outlineLevel="1"/>
    <col min="106" max="122" width="11.42578125" hidden="1" customWidth="1" outlineLevel="1"/>
    <col min="123" max="123" width="13.85546875" style="677" bestFit="1" customWidth="1" collapsed="1"/>
  </cols>
  <sheetData>
    <row r="1" spans="2:123">
      <c r="E1" s="742" t="s">
        <v>182</v>
      </c>
      <c r="G1" s="801"/>
      <c r="W1" s="742" t="s">
        <v>182</v>
      </c>
      <c r="X1" s="637"/>
      <c r="Y1" s="742" t="s">
        <v>154</v>
      </c>
      <c r="AQ1" s="742" t="s">
        <v>154</v>
      </c>
      <c r="AR1" s="637"/>
      <c r="AS1" s="742" t="s">
        <v>11</v>
      </c>
      <c r="BK1" s="742" t="s">
        <v>11</v>
      </c>
      <c r="BM1" s="742" t="s">
        <v>155</v>
      </c>
      <c r="CE1" s="742" t="s">
        <v>155</v>
      </c>
      <c r="CG1" s="742" t="s">
        <v>183</v>
      </c>
      <c r="CY1" s="742" t="s">
        <v>183</v>
      </c>
      <c r="DA1" s="742" t="s">
        <v>165</v>
      </c>
      <c r="DS1" s="742" t="s">
        <v>165</v>
      </c>
    </row>
    <row r="2" spans="2:123">
      <c r="E2" s="757">
        <v>43101</v>
      </c>
      <c r="F2" s="757">
        <v>43132</v>
      </c>
      <c r="G2" s="757">
        <v>43160</v>
      </c>
      <c r="H2" s="757">
        <v>43191</v>
      </c>
      <c r="I2" s="757">
        <v>43221</v>
      </c>
      <c r="J2" s="757">
        <v>43252</v>
      </c>
      <c r="K2" s="757">
        <v>43282</v>
      </c>
      <c r="L2" s="757">
        <v>43313</v>
      </c>
      <c r="M2" s="757">
        <v>43344</v>
      </c>
      <c r="N2" s="757">
        <v>43374</v>
      </c>
      <c r="O2" s="757">
        <v>43405</v>
      </c>
      <c r="P2" s="757">
        <v>43435</v>
      </c>
      <c r="Q2" s="757" t="s">
        <v>0</v>
      </c>
      <c r="S2" s="757" t="s">
        <v>156</v>
      </c>
      <c r="T2" s="757" t="s">
        <v>157</v>
      </c>
      <c r="U2" s="757" t="s">
        <v>158</v>
      </c>
      <c r="V2" s="757" t="s">
        <v>159</v>
      </c>
      <c r="Y2" s="757">
        <v>43101</v>
      </c>
      <c r="Z2" s="757">
        <v>43132</v>
      </c>
      <c r="AA2" s="757">
        <v>43160</v>
      </c>
      <c r="AB2" s="757">
        <v>43191</v>
      </c>
      <c r="AC2" s="757">
        <v>43221</v>
      </c>
      <c r="AD2" s="757">
        <v>43252</v>
      </c>
      <c r="AE2" s="757">
        <v>43282</v>
      </c>
      <c r="AF2" s="757">
        <v>43313</v>
      </c>
      <c r="AG2" s="757">
        <v>43344</v>
      </c>
      <c r="AH2" s="757">
        <v>43374</v>
      </c>
      <c r="AI2" s="757">
        <v>43405</v>
      </c>
      <c r="AJ2" s="757">
        <v>43435</v>
      </c>
      <c r="AK2" s="757" t="s">
        <v>0</v>
      </c>
      <c r="AM2" s="757" t="s">
        <v>156</v>
      </c>
      <c r="AN2" s="757" t="s">
        <v>157</v>
      </c>
      <c r="AO2" s="757" t="s">
        <v>158</v>
      </c>
      <c r="AP2" s="757" t="s">
        <v>159</v>
      </c>
      <c r="AS2" s="757">
        <v>43101</v>
      </c>
      <c r="AT2" s="757">
        <v>43132</v>
      </c>
      <c r="AU2" s="757">
        <v>43160</v>
      </c>
      <c r="AV2" s="757">
        <v>43191</v>
      </c>
      <c r="AW2" s="757">
        <v>43221</v>
      </c>
      <c r="AX2" s="757">
        <v>43252</v>
      </c>
      <c r="AY2" s="757">
        <v>43282</v>
      </c>
      <c r="AZ2" s="757">
        <v>43313</v>
      </c>
      <c r="BA2" s="757">
        <v>43344</v>
      </c>
      <c r="BB2" s="757">
        <v>43374</v>
      </c>
      <c r="BC2" s="757">
        <v>43405</v>
      </c>
      <c r="BD2" s="757">
        <v>43435</v>
      </c>
      <c r="BE2" s="757" t="s">
        <v>0</v>
      </c>
      <c r="BG2" s="757" t="s">
        <v>156</v>
      </c>
      <c r="BH2" s="757" t="s">
        <v>157</v>
      </c>
      <c r="BI2" s="757" t="s">
        <v>158</v>
      </c>
      <c r="BJ2" s="757" t="s">
        <v>159</v>
      </c>
      <c r="BM2" s="757">
        <v>43101</v>
      </c>
      <c r="BN2" s="757">
        <v>43132</v>
      </c>
      <c r="BO2" s="757">
        <v>43160</v>
      </c>
      <c r="BP2" s="757">
        <v>43191</v>
      </c>
      <c r="BQ2" s="757">
        <v>43221</v>
      </c>
      <c r="BR2" s="757">
        <v>43252</v>
      </c>
      <c r="BS2" s="757">
        <v>43282</v>
      </c>
      <c r="BT2" s="757">
        <v>43313</v>
      </c>
      <c r="BU2" s="757">
        <v>43344</v>
      </c>
      <c r="BV2" s="757">
        <v>43374</v>
      </c>
      <c r="BW2" s="757">
        <v>43405</v>
      </c>
      <c r="BX2" s="757">
        <v>43435</v>
      </c>
      <c r="BY2" s="757" t="s">
        <v>0</v>
      </c>
      <c r="CA2" s="757" t="s">
        <v>156</v>
      </c>
      <c r="CB2" s="757" t="s">
        <v>157</v>
      </c>
      <c r="CC2" s="757" t="s">
        <v>158</v>
      </c>
      <c r="CD2" s="757" t="s">
        <v>159</v>
      </c>
      <c r="CG2" s="757">
        <v>43101</v>
      </c>
      <c r="CH2" s="757">
        <v>43132</v>
      </c>
      <c r="CI2" s="757">
        <v>43160</v>
      </c>
      <c r="CJ2" s="757">
        <v>43191</v>
      </c>
      <c r="CK2" s="757">
        <v>43221</v>
      </c>
      <c r="CL2" s="757">
        <v>43252</v>
      </c>
      <c r="CM2" s="757">
        <v>43282</v>
      </c>
      <c r="CN2" s="757">
        <v>43313</v>
      </c>
      <c r="CO2" s="757">
        <v>43344</v>
      </c>
      <c r="CP2" s="757">
        <v>43374</v>
      </c>
      <c r="CQ2" s="757">
        <v>43405</v>
      </c>
      <c r="CR2" s="757">
        <v>43435</v>
      </c>
      <c r="CS2" s="757" t="s">
        <v>0</v>
      </c>
      <c r="CU2" s="757" t="s">
        <v>156</v>
      </c>
      <c r="CV2" s="757" t="s">
        <v>157</v>
      </c>
      <c r="CW2" s="757" t="s">
        <v>158</v>
      </c>
      <c r="CX2" s="757" t="s">
        <v>159</v>
      </c>
      <c r="DA2" s="757">
        <v>43101</v>
      </c>
      <c r="DB2" s="757">
        <v>43132</v>
      </c>
      <c r="DC2" s="757">
        <v>43160</v>
      </c>
      <c r="DD2" s="757">
        <v>43191</v>
      </c>
      <c r="DE2" s="757">
        <v>43221</v>
      </c>
      <c r="DF2" s="757">
        <v>43252</v>
      </c>
      <c r="DG2" s="757">
        <v>43282</v>
      </c>
      <c r="DH2" s="757">
        <v>43313</v>
      </c>
      <c r="DI2" s="757">
        <v>43344</v>
      </c>
      <c r="DJ2" s="757">
        <v>43374</v>
      </c>
      <c r="DK2" s="757">
        <v>43405</v>
      </c>
      <c r="DL2" s="757">
        <v>43435</v>
      </c>
      <c r="DM2" s="757" t="s">
        <v>0</v>
      </c>
      <c r="DO2" s="757" t="s">
        <v>156</v>
      </c>
      <c r="DP2" s="757" t="s">
        <v>157</v>
      </c>
      <c r="DQ2" s="757" t="s">
        <v>158</v>
      </c>
      <c r="DR2" s="757" t="s">
        <v>159</v>
      </c>
    </row>
    <row r="3" spans="2:123">
      <c r="B3" s="551" t="s">
        <v>153</v>
      </c>
      <c r="C3" s="750" t="s">
        <v>160</v>
      </c>
      <c r="D3" s="751"/>
      <c r="E3" s="767">
        <f>SUBTOTAL(9,E4:E7)</f>
        <v>690679.0396183827</v>
      </c>
      <c r="F3" s="767">
        <f t="shared" ref="F3:G3" si="0">SUBTOTAL(9,F4:F7)</f>
        <v>644177.14348763507</v>
      </c>
      <c r="G3" s="767">
        <f t="shared" si="0"/>
        <v>796050.19486243022</v>
      </c>
      <c r="H3" s="767">
        <f>SUBTOTAL(9,H4:H7)</f>
        <v>846078.28217729263</v>
      </c>
      <c r="I3" s="767">
        <f t="shared" ref="I3:J3" si="1">SUBTOTAL(9,I4:I7)</f>
        <v>923308.08036578784</v>
      </c>
      <c r="J3" s="767">
        <f t="shared" si="1"/>
        <v>816401.67840713169</v>
      </c>
      <c r="K3" s="767">
        <f>SUBTOTAL(9,K4:K7)</f>
        <v>895759.4689137747</v>
      </c>
      <c r="L3" s="767">
        <f t="shared" ref="L3:M3" si="2">SUBTOTAL(9,L4:L7)</f>
        <v>922172.0431094137</v>
      </c>
      <c r="M3" s="767">
        <f t="shared" si="2"/>
        <v>956910.04284318269</v>
      </c>
      <c r="N3" s="767">
        <f>SUBTOTAL(9,N4:N7)</f>
        <v>1037855.0953507907</v>
      </c>
      <c r="O3" s="767">
        <f t="shared" ref="O3:Q3" si="3">SUBTOTAL(9,O4:O7)</f>
        <v>1117261.475617693</v>
      </c>
      <c r="P3" s="767">
        <f t="shared" si="3"/>
        <v>1294501.2952706055</v>
      </c>
      <c r="Q3" s="767">
        <f t="shared" si="3"/>
        <v>10941153.840024119</v>
      </c>
      <c r="S3" s="759">
        <f t="shared" ref="S3:V3" si="4">SUBTOTAL(9,S4:S7)</f>
        <v>2130906.3779684482</v>
      </c>
      <c r="T3" s="759">
        <f t="shared" si="4"/>
        <v>2585788.0409502122</v>
      </c>
      <c r="U3" s="759">
        <f t="shared" si="4"/>
        <v>2774841.5548663712</v>
      </c>
      <c r="V3" s="759">
        <f t="shared" si="4"/>
        <v>3449617.8662390891</v>
      </c>
      <c r="Y3" s="767">
        <f>SUBTOTAL(9,Y4:Y7)</f>
        <v>803074.00919438177</v>
      </c>
      <c r="Z3" s="767">
        <f t="shared" ref="Z3:AA3" si="5">SUBTOTAL(9,Z4:Z7)</f>
        <v>716750.44181062107</v>
      </c>
      <c r="AA3" s="767">
        <f t="shared" si="5"/>
        <v>884617.67643987364</v>
      </c>
      <c r="AB3" s="767">
        <f>SUBTOTAL(9,AB4:AB7)</f>
        <v>928849.6301539687</v>
      </c>
      <c r="AC3" s="767">
        <f t="shared" ref="AC3:AD3" si="6">SUBTOTAL(9,AC4:AC7)</f>
        <v>1006290.673145859</v>
      </c>
      <c r="AD3" s="767">
        <f t="shared" si="6"/>
        <v>987566.06018675969</v>
      </c>
      <c r="AE3" s="767">
        <f>SUBTOTAL(9,AE4:AE7)</f>
        <v>1066250.2212957121</v>
      </c>
      <c r="AF3" s="767">
        <f t="shared" ref="AF3:AG3" si="7">SUBTOTAL(9,AF4:AF7)</f>
        <v>1056296.9648537603</v>
      </c>
      <c r="AG3" s="767">
        <f t="shared" si="7"/>
        <v>1114453.0514999737</v>
      </c>
      <c r="AH3" s="767">
        <f>SUBTOTAL(9,AH4:AH7)</f>
        <v>1195794.5028146321</v>
      </c>
      <c r="AI3" s="767">
        <f t="shared" ref="AI3:AK3" si="8">SUBTOTAL(9,AI4:AI7)</f>
        <v>1141320.0027654136</v>
      </c>
      <c r="AJ3" s="767">
        <f t="shared" si="8"/>
        <v>1203495.7442109273</v>
      </c>
      <c r="AK3" s="767">
        <f t="shared" si="8"/>
        <v>12104758.978371883</v>
      </c>
      <c r="AM3" s="759">
        <f t="shared" ref="AM3:AP3" si="9">SUBTOTAL(9,AM4:AM7)</f>
        <v>2404442.1274448764</v>
      </c>
      <c r="AN3" s="759">
        <f t="shared" si="9"/>
        <v>2922706.3634865871</v>
      </c>
      <c r="AO3" s="759">
        <f t="shared" si="9"/>
        <v>3237000.2376494459</v>
      </c>
      <c r="AP3" s="759">
        <f t="shared" si="9"/>
        <v>3540610.2497909726</v>
      </c>
      <c r="AS3" s="767">
        <f>SUBTOTAL(9,AS4:AS7)-17531.19</f>
        <v>627546.26048500009</v>
      </c>
      <c r="AT3" s="767">
        <f t="shared" ref="AT3:AU3" si="10">SUBTOTAL(9,AT4:AT7)</f>
        <v>617735.9365849999</v>
      </c>
      <c r="AU3" s="767">
        <f t="shared" si="10"/>
        <v>986778.55524999998</v>
      </c>
      <c r="AV3" s="767">
        <f>SUBTOTAL(9,AV4:AV7)</f>
        <v>1042260.3200000001</v>
      </c>
      <c r="AW3" s="767">
        <f t="shared" ref="AW3:AX3" si="11">SUBTOTAL(9,AW4:AW7)</f>
        <v>1187802.9899999998</v>
      </c>
      <c r="AX3" s="767">
        <f t="shared" si="11"/>
        <v>1054186.97</v>
      </c>
      <c r="AY3" s="767">
        <f>SUBTOTAL(9,AY4:AY7)</f>
        <v>913679.08000000007</v>
      </c>
      <c r="AZ3" s="767">
        <f t="shared" ref="AZ3:BA3" si="12">SUBTOTAL(9,AZ4:AZ7)</f>
        <v>1058989.67</v>
      </c>
      <c r="BA3" s="767">
        <f t="shared" si="12"/>
        <v>951110.99700065795</v>
      </c>
      <c r="BB3" s="767">
        <f>SUBTOTAL(9,BB4:BB7)</f>
        <v>0</v>
      </c>
      <c r="BC3" s="767">
        <f t="shared" ref="BC3:BE3" si="13">SUBTOTAL(9,BC4:BC7)</f>
        <v>0</v>
      </c>
      <c r="BD3" s="767">
        <f t="shared" si="13"/>
        <v>0</v>
      </c>
      <c r="BE3" s="767">
        <f t="shared" si="13"/>
        <v>8457621.9693206567</v>
      </c>
      <c r="BG3" s="759">
        <f t="shared" ref="BG3:BJ3" si="14">SUBTOTAL(9,BG4:BG7)</f>
        <v>2249591.9423199999</v>
      </c>
      <c r="BH3" s="759">
        <f t="shared" si="14"/>
        <v>3284250.28</v>
      </c>
      <c r="BI3" s="759">
        <f t="shared" si="14"/>
        <v>2923779.747000658</v>
      </c>
      <c r="BJ3" s="759">
        <f t="shared" si="14"/>
        <v>0</v>
      </c>
      <c r="BM3" s="767">
        <f>SUBTOTAL(9,BM4:BM7)</f>
        <v>-45601.589133382775</v>
      </c>
      <c r="BN3" s="767">
        <f t="shared" ref="BN3:BO3" si="15">SUBTOTAL(9,BN4:BN7)</f>
        <v>-26441.206902635262</v>
      </c>
      <c r="BO3" s="767">
        <f t="shared" si="15"/>
        <v>190728.3603875697</v>
      </c>
      <c r="BP3" s="767">
        <f>SUBTOTAL(9,BP4:BP7)</f>
        <v>196182.03782270744</v>
      </c>
      <c r="BQ3" s="767">
        <f t="shared" ref="BQ3:BR3" si="16">SUBTOTAL(9,BQ4:BQ7)</f>
        <v>264494.90963421221</v>
      </c>
      <c r="BR3" s="767">
        <f t="shared" si="16"/>
        <v>0</v>
      </c>
      <c r="BS3" s="767">
        <f>SUBTOTAL(9,BS4:BS7)</f>
        <v>0</v>
      </c>
      <c r="BT3" s="767">
        <f t="shared" ref="BT3:BU3" si="17">SUBTOTAL(9,BT4:BT7)</f>
        <v>0</v>
      </c>
      <c r="BU3" s="767">
        <f t="shared" si="17"/>
        <v>0</v>
      </c>
      <c r="BV3" s="767">
        <f>SUBTOTAL(9,BV4:BV7)</f>
        <v>0</v>
      </c>
      <c r="BW3" s="767">
        <f t="shared" ref="BW3:BY3" si="18">SUBTOTAL(9,BW4:BW7)</f>
        <v>0</v>
      </c>
      <c r="BX3" s="767">
        <f t="shared" si="18"/>
        <v>0</v>
      </c>
      <c r="BY3" s="767">
        <f t="shared" si="18"/>
        <v>579362.51180847129</v>
      </c>
      <c r="CA3" s="759">
        <f t="shared" ref="CA3:CD3" si="19">SUBTOTAL(9,CA4:CA7)</f>
        <v>118685.56435155167</v>
      </c>
      <c r="CB3" s="759">
        <f t="shared" si="19"/>
        <v>460676.94745691965</v>
      </c>
      <c r="CC3" s="759">
        <f t="shared" si="19"/>
        <v>0</v>
      </c>
      <c r="CD3" s="759">
        <f t="shared" si="19"/>
        <v>0</v>
      </c>
      <c r="CG3" s="783">
        <f t="shared" ref="CG3:CS7" si="20">IFERROR(AS3/E3,0)</f>
        <v>0.90859317351187463</v>
      </c>
      <c r="CH3" s="783">
        <f t="shared" si="20"/>
        <v>0.9589535158613669</v>
      </c>
      <c r="CI3" s="783">
        <f t="shared" si="20"/>
        <v>1.2395933844605498</v>
      </c>
      <c r="CJ3" s="783">
        <f t="shared" si="20"/>
        <v>1.2318722061011349</v>
      </c>
      <c r="CK3" s="783">
        <f t="shared" si="20"/>
        <v>1.286464415571265</v>
      </c>
      <c r="CL3" s="783">
        <f t="shared" si="20"/>
        <v>1.2912601699408646</v>
      </c>
      <c r="CM3" s="783">
        <f t="shared" si="20"/>
        <v>1.0200049362670487</v>
      </c>
      <c r="CN3" s="783">
        <f t="shared" si="20"/>
        <v>1.1483645355689374</v>
      </c>
      <c r="CO3" s="783">
        <f t="shared" si="20"/>
        <v>0.99393982131769198</v>
      </c>
      <c r="CP3" s="783">
        <f t="shared" si="20"/>
        <v>0</v>
      </c>
      <c r="CQ3" s="783">
        <f t="shared" si="20"/>
        <v>0</v>
      </c>
      <c r="CR3" s="783">
        <f t="shared" si="20"/>
        <v>0</v>
      </c>
      <c r="CS3" s="783">
        <f t="shared" si="20"/>
        <v>0.77301005844389192</v>
      </c>
      <c r="CT3" s="633"/>
      <c r="CU3" s="780">
        <f t="shared" ref="CU3:CX7" si="21">IFERROR(BG3/S3,0)</f>
        <v>1.0556972214165052</v>
      </c>
      <c r="CV3" s="780">
        <f t="shared" si="21"/>
        <v>1.2701158130475072</v>
      </c>
      <c r="CW3" s="780">
        <f t="shared" si="21"/>
        <v>1.053674485259559</v>
      </c>
      <c r="CX3" s="780">
        <f t="shared" si="21"/>
        <v>0</v>
      </c>
      <c r="DA3" s="783">
        <f t="shared" ref="DA3" si="22">IFERROR(AS3/Y3,0)</f>
        <v>0.78143017119248381</v>
      </c>
      <c r="DB3" s="783">
        <f t="shared" ref="DB3:DB7" si="23">IFERROR(AT3/Z3,0)</f>
        <v>0.8618563736417163</v>
      </c>
      <c r="DC3" s="783">
        <f t="shared" ref="DC3:DC7" si="24">IFERROR(AU3/AA3,0)</f>
        <v>1.1154859116327753</v>
      </c>
      <c r="DD3" s="783">
        <f t="shared" ref="DD3:DD7" si="25">IFERROR(AV3/AB3,0)</f>
        <v>1.1220980082935836</v>
      </c>
      <c r="DE3" s="783">
        <f t="shared" ref="DE3:DE7" si="26">IFERROR(AW3/AC3,0)</f>
        <v>1.1803776202026182</v>
      </c>
      <c r="DF3" s="783">
        <f t="shared" ref="DF3:DF7" si="27">IFERROR(AX3/AD3,0)</f>
        <v>1.0674596996586148</v>
      </c>
      <c r="DG3" s="783">
        <f t="shared" ref="DG3:DG7" si="28">IFERROR(AY3/AE3,0)</f>
        <v>0.85690868967857581</v>
      </c>
      <c r="DH3" s="783">
        <f t="shared" ref="DH3:DH7" si="29">IFERROR(AZ3/AF3,0)</f>
        <v>1.0025491933005908</v>
      </c>
      <c r="DI3" s="783">
        <f t="shared" ref="DI3:DI7" si="30">IFERROR(BA3/AG3,0)</f>
        <v>0.85343298734794693</v>
      </c>
      <c r="DJ3" s="783">
        <f t="shared" ref="DJ3:DJ7" si="31">IFERROR(BB3/AH3,0)</f>
        <v>0</v>
      </c>
      <c r="DK3" s="783">
        <f t="shared" ref="DK3:DK7" si="32">IFERROR(BC3/AI3,0)</f>
        <v>0</v>
      </c>
      <c r="DL3" s="783">
        <f t="shared" ref="DL3:DL7" si="33">IFERROR(BD3/AJ3,0)</f>
        <v>0</v>
      </c>
      <c r="DM3" s="783">
        <f t="shared" ref="DM3:DM7" si="34">IFERROR(BE3/AK3,0)</f>
        <v>0.69870221988164083</v>
      </c>
      <c r="DN3" s="633"/>
      <c r="DO3" s="780">
        <f t="shared" ref="DO3:DR7" si="35">IFERROR(CA3/AM3,0)</f>
        <v>4.9360956954150118E-2</v>
      </c>
      <c r="DP3" s="780">
        <f t="shared" si="35"/>
        <v>0.15761998988751091</v>
      </c>
      <c r="DQ3" s="780">
        <f t="shared" si="35"/>
        <v>0</v>
      </c>
      <c r="DR3" s="780">
        <f t="shared" si="35"/>
        <v>0</v>
      </c>
    </row>
    <row r="4" spans="2:123">
      <c r="C4" s="752" t="s">
        <v>176</v>
      </c>
      <c r="D4" s="753" t="s">
        <v>87</v>
      </c>
      <c r="E4" s="795">
        <f t="array" ref="E4:P4">TRANSPOSE('VN_YouTube Performance'!F66:F77)</f>
        <v>210984.02699999997</v>
      </c>
      <c r="F4" s="795">
        <v>216045.23000000007</v>
      </c>
      <c r="G4" s="795">
        <v>267647.23000000004</v>
      </c>
      <c r="H4" s="761">
        <v>291254.53000000003</v>
      </c>
      <c r="I4" s="761">
        <v>322226.97000000003</v>
      </c>
      <c r="J4" s="761">
        <v>226505.22019899506</v>
      </c>
      <c r="K4" s="761">
        <v>258863.10879885152</v>
      </c>
      <c r="L4" s="761">
        <v>291220.99739870796</v>
      </c>
      <c r="M4" s="761">
        <v>291220.99739870796</v>
      </c>
      <c r="N4" s="761">
        <v>323578.88599856436</v>
      </c>
      <c r="O4" s="761">
        <v>388294.66319827724</v>
      </c>
      <c r="P4" s="761">
        <v>485368.32899784652</v>
      </c>
      <c r="Q4" s="762">
        <f>SUM(E4:P4)</f>
        <v>3573210.1889899508</v>
      </c>
      <c r="R4" s="677"/>
      <c r="S4" s="761">
        <f>SUM(E4:G4)</f>
        <v>694676.48700000008</v>
      </c>
      <c r="T4" s="761">
        <f>SUM(H4:J4)</f>
        <v>839986.72019899508</v>
      </c>
      <c r="U4" s="761">
        <f>SUM(K4:M4)</f>
        <v>841305.10359626752</v>
      </c>
      <c r="V4" s="761">
        <f>SUM(N4:P4)</f>
        <v>1197241.8781946881</v>
      </c>
      <c r="X4" s="721" t="s">
        <v>87</v>
      </c>
      <c r="Y4" s="795">
        <v>280180.98115325387</v>
      </c>
      <c r="Z4" s="795">
        <v>250063.92901444295</v>
      </c>
      <c r="AA4" s="795">
        <v>308630.39482385159</v>
      </c>
      <c r="AB4" s="761">
        <v>324062.28783502337</v>
      </c>
      <c r="AC4" s="761">
        <v>351080.35486070806</v>
      </c>
      <c r="AD4" s="761">
        <v>344547.6064831852</v>
      </c>
      <c r="AE4" s="761">
        <v>371999.37955556071</v>
      </c>
      <c r="AF4" s="761">
        <v>368526.83141722222</v>
      </c>
      <c r="AG4" s="761">
        <v>388816.65431027737</v>
      </c>
      <c r="AH4" s="761">
        <v>417195.51774857135</v>
      </c>
      <c r="AI4" s="761">
        <v>398190.14751260256</v>
      </c>
      <c r="AJ4" s="761">
        <v>419882.37020028575</v>
      </c>
      <c r="AK4" s="762">
        <f>SUM(Y4:AJ4)</f>
        <v>4223176.4549149852</v>
      </c>
      <c r="AL4" s="677"/>
      <c r="AM4" s="761">
        <f>SUM(Y4:AA4)</f>
        <v>838875.30499154842</v>
      </c>
      <c r="AN4" s="761">
        <f>SUM(AB4:AD4)</f>
        <v>1019690.2491789167</v>
      </c>
      <c r="AO4" s="761">
        <f>SUM(AE4:AG4)</f>
        <v>1129342.8652830604</v>
      </c>
      <c r="AP4" s="761">
        <f>SUM(AH4:AJ4)</f>
        <v>1235268.0354614595</v>
      </c>
      <c r="AR4" s="721" t="s">
        <v>87</v>
      </c>
      <c r="AS4" s="784">
        <v>209305.28000000003</v>
      </c>
      <c r="AT4" s="784">
        <v>215749.06065099995</v>
      </c>
      <c r="AU4" s="784">
        <v>267458.62524299999</v>
      </c>
      <c r="AV4" s="784">
        <v>290768.39</v>
      </c>
      <c r="AW4" s="784">
        <f>9624.41+312177.2</f>
        <v>321801.61</v>
      </c>
      <c r="AX4" s="784">
        <f>289852.91+9673.58</f>
        <v>299526.49</v>
      </c>
      <c r="AY4" s="784">
        <f>289921.57+11202.47</f>
        <v>301124.03999999998</v>
      </c>
      <c r="AZ4" s="784">
        <f>333512.63+12588.14</f>
        <v>346100.77</v>
      </c>
      <c r="BA4" s="761">
        <f t="array" ref="BA4:BD4">TRANSPOSE('VN_YouTube Performance'!F14:F17)</f>
        <v>324756.67200029577</v>
      </c>
      <c r="BB4" s="761">
        <v>0</v>
      </c>
      <c r="BC4" s="761">
        <v>0</v>
      </c>
      <c r="BD4" s="761">
        <v>0</v>
      </c>
      <c r="BE4" s="762">
        <f>SUM(AS4:BD4)</f>
        <v>2576590.9378942959</v>
      </c>
      <c r="BF4" s="677"/>
      <c r="BG4" s="761">
        <f>SUM(AS4:AU4)</f>
        <v>692512.96589399991</v>
      </c>
      <c r="BH4" s="761">
        <f>SUM(AV4:AX4)</f>
        <v>912096.49</v>
      </c>
      <c r="BI4" s="761">
        <f>SUM(AY4:BA4)</f>
        <v>971981.48200029577</v>
      </c>
      <c r="BJ4" s="761">
        <f>SUM(BB4:BD4)</f>
        <v>0</v>
      </c>
      <c r="BM4" s="795">
        <f t="shared" ref="BM4:BQ7" si="36">AS4-E4</f>
        <v>-1678.7469999999448</v>
      </c>
      <c r="BN4" s="795">
        <f t="shared" si="36"/>
        <v>-296.16934900011984</v>
      </c>
      <c r="BO4" s="795">
        <f t="shared" si="36"/>
        <v>-188.6047570000519</v>
      </c>
      <c r="BP4" s="761">
        <f t="shared" si="36"/>
        <v>-486.14000000001397</v>
      </c>
      <c r="BQ4" s="761">
        <f t="shared" si="36"/>
        <v>-425.36000000004424</v>
      </c>
      <c r="BR4" s="761"/>
      <c r="BS4" s="761"/>
      <c r="BT4" s="761"/>
      <c r="BU4" s="761"/>
      <c r="BV4" s="761"/>
      <c r="BW4" s="761"/>
      <c r="BX4" s="761"/>
      <c r="BY4" s="762">
        <f>SUM(BM4:BX4)</f>
        <v>-3075.0211060001748</v>
      </c>
      <c r="BZ4" s="677"/>
      <c r="CA4" s="761">
        <f>SUM(BM4:BO4)</f>
        <v>-2163.5211060001166</v>
      </c>
      <c r="CB4" s="761">
        <f>SUM(BP4:BR4)</f>
        <v>-911.50000000005821</v>
      </c>
      <c r="CC4" s="761">
        <f>SUM(BS4:BU4)</f>
        <v>0</v>
      </c>
      <c r="CD4" s="761">
        <f>SUM(BV4:BX4)</f>
        <v>0</v>
      </c>
      <c r="CG4" s="798">
        <f t="shared" si="20"/>
        <v>0.99204325074333732</v>
      </c>
      <c r="CH4" s="798">
        <f t="shared" si="20"/>
        <v>0.99862913266356257</v>
      </c>
      <c r="CI4" s="798">
        <f t="shared" si="20"/>
        <v>0.99929532333661719</v>
      </c>
      <c r="CJ4" s="785">
        <f t="shared" si="20"/>
        <v>0.99833087574637891</v>
      </c>
      <c r="CK4" s="785">
        <f t="shared" si="20"/>
        <v>0.9986799366918292</v>
      </c>
      <c r="CL4" s="785">
        <f t="shared" si="20"/>
        <v>1.3223822821251203</v>
      </c>
      <c r="CM4" s="785">
        <f t="shared" si="20"/>
        <v>1.163255905398197</v>
      </c>
      <c r="CN4" s="785">
        <f t="shared" si="20"/>
        <v>1.1884471693026883</v>
      </c>
      <c r="CO4" s="785">
        <f t="shared" si="20"/>
        <v>1.115155414276926</v>
      </c>
      <c r="CP4" s="785">
        <f t="shared" si="20"/>
        <v>0</v>
      </c>
      <c r="CQ4" s="785">
        <f t="shared" si="20"/>
        <v>0</v>
      </c>
      <c r="CR4" s="785">
        <f t="shared" si="20"/>
        <v>0</v>
      </c>
      <c r="CS4" s="786">
        <f t="shared" si="20"/>
        <v>0.72108574688202931</v>
      </c>
      <c r="CT4" s="787"/>
      <c r="CU4" s="785">
        <f t="shared" si="21"/>
        <v>0.99688557026689728</v>
      </c>
      <c r="CV4" s="785">
        <f t="shared" si="21"/>
        <v>1.0858463212179377</v>
      </c>
      <c r="CW4" s="785">
        <f t="shared" si="21"/>
        <v>1.1553257882846961</v>
      </c>
      <c r="CX4" s="785">
        <f t="shared" si="21"/>
        <v>0</v>
      </c>
      <c r="DA4" s="798">
        <f t="shared" ref="DA4" si="37">IFERROR(AS4/Y4,0)</f>
        <v>0.74703600201012166</v>
      </c>
      <c r="DB4" s="798">
        <f t="shared" si="23"/>
        <v>0.8627756170244727</v>
      </c>
      <c r="DC4" s="798">
        <f t="shared" si="24"/>
        <v>0.8665984612294908</v>
      </c>
      <c r="DD4" s="785">
        <f t="shared" si="25"/>
        <v>0.89726080730512858</v>
      </c>
      <c r="DE4" s="785">
        <f t="shared" si="26"/>
        <v>0.91660386445625963</v>
      </c>
      <c r="DF4" s="785">
        <f t="shared" si="27"/>
        <v>0.86933266800858666</v>
      </c>
      <c r="DG4" s="785">
        <f t="shared" si="28"/>
        <v>0.80947457589784766</v>
      </c>
      <c r="DH4" s="785">
        <f t="shared" si="29"/>
        <v>0.93914673368291912</v>
      </c>
      <c r="DI4" s="785">
        <f t="shared" si="30"/>
        <v>0.83524372837470728</v>
      </c>
      <c r="DJ4" s="785">
        <f t="shared" si="31"/>
        <v>0</v>
      </c>
      <c r="DK4" s="785">
        <f t="shared" si="32"/>
        <v>0</v>
      </c>
      <c r="DL4" s="785">
        <f t="shared" si="33"/>
        <v>0</v>
      </c>
      <c r="DM4" s="786">
        <f t="shared" si="34"/>
        <v>0.61010733636185799</v>
      </c>
      <c r="DN4" s="787"/>
      <c r="DO4" s="785">
        <f t="shared" si="35"/>
        <v>-2.5790735442163407E-3</v>
      </c>
      <c r="DP4" s="785">
        <f t="shared" si="35"/>
        <v>-8.9389890776539612E-4</v>
      </c>
      <c r="DQ4" s="785">
        <f t="shared" si="35"/>
        <v>0</v>
      </c>
      <c r="DR4" s="785">
        <f t="shared" si="35"/>
        <v>0</v>
      </c>
    </row>
    <row r="5" spans="2:123">
      <c r="C5" s="752" t="s">
        <v>176</v>
      </c>
      <c r="D5" s="753" t="s">
        <v>88</v>
      </c>
      <c r="E5" s="795">
        <f t="array" ref="E5:P5">TRANSPOSE('VN_YouTube Performance'!J66:J77)</f>
        <v>347607.14743965771</v>
      </c>
      <c r="F5" s="795">
        <v>310242.36079292529</v>
      </c>
      <c r="G5" s="795">
        <v>382902.97477119998</v>
      </c>
      <c r="H5" s="761">
        <v>402048.58660797658</v>
      </c>
      <c r="I5" s="761">
        <v>435568.61059202644</v>
      </c>
      <c r="J5" s="761">
        <v>427463.74202063092</v>
      </c>
      <c r="K5" s="761">
        <v>461521.84436066699</v>
      </c>
      <c r="L5" s="761">
        <v>457213.61991321796</v>
      </c>
      <c r="M5" s="761">
        <v>482386.23308945977</v>
      </c>
      <c r="N5" s="761">
        <v>517594.5321208961</v>
      </c>
      <c r="O5" s="761">
        <v>528239.95992820268</v>
      </c>
      <c r="P5" s="761">
        <v>586331.72100377223</v>
      </c>
      <c r="Q5" s="762">
        <f t="shared" ref="Q5:Q7" si="38">SUM(E5:P5)</f>
        <v>5339121.332640633</v>
      </c>
      <c r="R5" s="677"/>
      <c r="S5" s="761">
        <f>SUM(E5:G5)</f>
        <v>1040752.483003783</v>
      </c>
      <c r="T5" s="761">
        <f>SUM(H5:J5)</f>
        <v>1265080.9392206341</v>
      </c>
      <c r="U5" s="761">
        <f>SUM(K5:M5)</f>
        <v>1401121.6973633447</v>
      </c>
      <c r="V5" s="761">
        <f>SUM(N5:P5)</f>
        <v>1632166.2130528709</v>
      </c>
      <c r="X5" s="721" t="s">
        <v>88</v>
      </c>
      <c r="Y5" s="795">
        <v>354216.84825282404</v>
      </c>
      <c r="Z5" s="795">
        <v>316141.5754653383</v>
      </c>
      <c r="AA5" s="795">
        <v>390183.82075595728</v>
      </c>
      <c r="AB5" s="761">
        <v>409693.48369771882</v>
      </c>
      <c r="AC5" s="761">
        <v>443850.8862035186</v>
      </c>
      <c r="AD5" s="761">
        <v>435591.90470095479</v>
      </c>
      <c r="AE5" s="761">
        <v>470297.61704668257</v>
      </c>
      <c r="AF5" s="761">
        <v>465907.47231985087</v>
      </c>
      <c r="AG5" s="761">
        <v>491558.73918030498</v>
      </c>
      <c r="AH5" s="761">
        <v>527436.51904506818</v>
      </c>
      <c r="AI5" s="761">
        <v>503409.11248394771</v>
      </c>
      <c r="AJ5" s="761">
        <v>530833.35348846705</v>
      </c>
      <c r="AK5" s="762">
        <f t="shared" ref="AK5:AK7" si="39">SUM(Y5:AJ5)</f>
        <v>5339121.332640633</v>
      </c>
      <c r="AL5" s="677"/>
      <c r="AM5" s="761">
        <f t="shared" ref="AM5:AM7" si="40">SUM(Y5:AA5)</f>
        <v>1060542.2444741195</v>
      </c>
      <c r="AN5" s="761">
        <f t="shared" ref="AN5:AN7" si="41">SUM(AB5:AD5)</f>
        <v>1289136.2746021922</v>
      </c>
      <c r="AO5" s="761">
        <f>SUM(AE5:AG5)</f>
        <v>1427763.8285468384</v>
      </c>
      <c r="AP5" s="761">
        <f t="shared" ref="AP5:AP7" si="42">SUM(AH5:AJ5)</f>
        <v>1561678.9850174831</v>
      </c>
      <c r="AR5" s="721" t="s">
        <v>88</v>
      </c>
      <c r="AS5" s="784">
        <v>274067.39600499993</v>
      </c>
      <c r="AT5" s="784">
        <v>269645.51232699992</v>
      </c>
      <c r="AU5" s="784">
        <v>515836.44359899999</v>
      </c>
      <c r="AV5" s="784">
        <v>462823.83</v>
      </c>
      <c r="AW5" s="784">
        <f>479304.55+3279.24</f>
        <v>482583.79</v>
      </c>
      <c r="AX5" s="784">
        <f>3127.69+469506.38</f>
        <v>472634.07</v>
      </c>
      <c r="AY5" s="784">
        <f>366203.59+2951.42</f>
        <v>369155.01</v>
      </c>
      <c r="AZ5" s="784">
        <f>435696.38+3134.37</f>
        <v>438830.75</v>
      </c>
      <c r="BA5" s="761">
        <f t="array" ref="BA5:BD5">TRANSPOSE('VN_YouTube Performance'!J14:J17)</f>
        <v>430826.6510003584</v>
      </c>
      <c r="BB5" s="761">
        <v>0</v>
      </c>
      <c r="BC5" s="761">
        <v>0</v>
      </c>
      <c r="BD5" s="761">
        <v>0</v>
      </c>
      <c r="BE5" s="762">
        <f t="shared" ref="BE5:BE7" si="43">SUM(AS5:BD5)</f>
        <v>3716403.4529313575</v>
      </c>
      <c r="BF5" s="677"/>
      <c r="BG5" s="761">
        <f t="shared" ref="BG5:BG7" si="44">SUM(AS5:AU5)</f>
        <v>1059549.3519309997</v>
      </c>
      <c r="BH5" s="761">
        <f t="shared" ref="BH5:BH7" si="45">SUM(AV5:AX5)</f>
        <v>1418041.69</v>
      </c>
      <c r="BI5" s="761">
        <f>SUM(AY5:BA5)</f>
        <v>1238812.4110003584</v>
      </c>
      <c r="BJ5" s="761">
        <f t="shared" ref="BJ5:BJ7" si="46">SUM(BB5:BD5)</f>
        <v>0</v>
      </c>
      <c r="BM5" s="795">
        <f t="shared" si="36"/>
        <v>-73539.751434657781</v>
      </c>
      <c r="BN5" s="795">
        <f t="shared" si="36"/>
        <v>-40596.848465925374</v>
      </c>
      <c r="BO5" s="795">
        <f t="shared" si="36"/>
        <v>132933.46882780001</v>
      </c>
      <c r="BP5" s="761">
        <f t="shared" si="36"/>
        <v>60775.243392023433</v>
      </c>
      <c r="BQ5" s="761">
        <f t="shared" si="36"/>
        <v>47015.179407973541</v>
      </c>
      <c r="BR5" s="761"/>
      <c r="BS5" s="761"/>
      <c r="BT5" s="761"/>
      <c r="BU5" s="761"/>
      <c r="BV5" s="761"/>
      <c r="BW5" s="761"/>
      <c r="BX5" s="761"/>
      <c r="BY5" s="762">
        <f t="shared" ref="BY5:BY7" si="47">SUM(BM5:BX5)</f>
        <v>126587.29172721383</v>
      </c>
      <c r="BZ5" s="677"/>
      <c r="CA5" s="761">
        <f t="shared" ref="CA5:CA7" si="48">SUM(BM5:BO5)</f>
        <v>18796.868927216856</v>
      </c>
      <c r="CB5" s="761">
        <f t="shared" ref="CB5:CB7" si="49">SUM(BP5:BR5)</f>
        <v>107790.42279999697</v>
      </c>
      <c r="CC5" s="761">
        <f>SUM(BS5:BU5)</f>
        <v>0</v>
      </c>
      <c r="CD5" s="761">
        <f t="shared" ref="CD5:CD7" si="50">SUM(BV5:BX5)</f>
        <v>0</v>
      </c>
      <c r="CG5" s="798">
        <f t="shared" si="20"/>
        <v>0.78844004797851919</v>
      </c>
      <c r="CH5" s="798">
        <f t="shared" si="20"/>
        <v>0.86914472813394372</v>
      </c>
      <c r="CI5" s="798">
        <f t="shared" si="20"/>
        <v>1.3471727241273932</v>
      </c>
      <c r="CJ5" s="785">
        <f t="shared" si="20"/>
        <v>1.1511639274864141</v>
      </c>
      <c r="CK5" s="785">
        <f t="shared" si="20"/>
        <v>1.1079397786357248</v>
      </c>
      <c r="CL5" s="785">
        <f t="shared" si="20"/>
        <v>1.105670548257141</v>
      </c>
      <c r="CM5" s="785">
        <f t="shared" si="20"/>
        <v>0.79986465323516787</v>
      </c>
      <c r="CN5" s="785">
        <f t="shared" si="20"/>
        <v>0.95979369574181284</v>
      </c>
      <c r="CO5" s="785">
        <f t="shared" si="20"/>
        <v>0.89311556061853958</v>
      </c>
      <c r="CP5" s="785">
        <f t="shared" si="20"/>
        <v>0</v>
      </c>
      <c r="CQ5" s="785">
        <f t="shared" si="20"/>
        <v>0</v>
      </c>
      <c r="CR5" s="785">
        <f t="shared" si="20"/>
        <v>0</v>
      </c>
      <c r="CS5" s="786">
        <f t="shared" si="20"/>
        <v>0.69607023729001705</v>
      </c>
      <c r="CT5" s="787"/>
      <c r="CU5" s="785">
        <f t="shared" si="21"/>
        <v>1.0180608446620909</v>
      </c>
      <c r="CV5" s="785">
        <f t="shared" si="21"/>
        <v>1.1209098533044051</v>
      </c>
      <c r="CW5" s="785">
        <f t="shared" si="21"/>
        <v>0.88415760981474856</v>
      </c>
      <c r="CX5" s="785">
        <f t="shared" si="21"/>
        <v>0</v>
      </c>
      <c r="DA5" s="798">
        <f t="shared" ref="DA5:DA7" si="51">IFERROR(AS5/Y5,0)</f>
        <v>0.77372772457560501</v>
      </c>
      <c r="DB5" s="798">
        <f t="shared" si="23"/>
        <v>0.85292645211279339</v>
      </c>
      <c r="DC5" s="798">
        <f t="shared" si="24"/>
        <v>1.3220344262342771</v>
      </c>
      <c r="DD5" s="785">
        <f t="shared" si="25"/>
        <v>1.1296831617206828</v>
      </c>
      <c r="DE5" s="785">
        <f t="shared" si="26"/>
        <v>1.0872655772477633</v>
      </c>
      <c r="DF5" s="785">
        <f t="shared" si="27"/>
        <v>1.0850386908004537</v>
      </c>
      <c r="DG5" s="785">
        <f t="shared" si="28"/>
        <v>0.78493914623292049</v>
      </c>
      <c r="DH5" s="785">
        <f t="shared" si="29"/>
        <v>0.9418839062936033</v>
      </c>
      <c r="DI5" s="785">
        <f t="shared" si="30"/>
        <v>0.8764499878870633</v>
      </c>
      <c r="DJ5" s="785">
        <f t="shared" si="31"/>
        <v>0</v>
      </c>
      <c r="DK5" s="785">
        <f t="shared" si="32"/>
        <v>0</v>
      </c>
      <c r="DL5" s="785">
        <f t="shared" si="33"/>
        <v>0</v>
      </c>
      <c r="DM5" s="786">
        <f t="shared" si="34"/>
        <v>0.69607023729001705</v>
      </c>
      <c r="DN5" s="787"/>
      <c r="DO5" s="785">
        <f t="shared" si="35"/>
        <v>1.7723828565204842E-2</v>
      </c>
      <c r="DP5" s="785">
        <f t="shared" si="35"/>
        <v>8.36144517252526E-2</v>
      </c>
      <c r="DQ5" s="785">
        <f t="shared" si="35"/>
        <v>0</v>
      </c>
      <c r="DR5" s="785">
        <f t="shared" si="35"/>
        <v>0</v>
      </c>
    </row>
    <row r="6" spans="2:123">
      <c r="C6" s="752" t="s">
        <v>176</v>
      </c>
      <c r="D6" s="753" t="s">
        <v>89</v>
      </c>
      <c r="E6" s="795">
        <f t="array" ref="E6:P6">TRANSPOSE('VN_YouTube Performance'!H66:H77)</f>
        <v>118464.40869439059</v>
      </c>
      <c r="F6" s="795">
        <v>105730.50092321732</v>
      </c>
      <c r="G6" s="795">
        <v>130493.21576872235</v>
      </c>
      <c r="H6" s="761">
        <v>137018.03438088796</v>
      </c>
      <c r="I6" s="761">
        <v>148441.64822180182</v>
      </c>
      <c r="J6" s="761">
        <v>145679.5115110692</v>
      </c>
      <c r="K6" s="761">
        <v>157286.50228983568</v>
      </c>
      <c r="L6" s="761">
        <v>155818.26072619413</v>
      </c>
      <c r="M6" s="761">
        <v>164397.07953697184</v>
      </c>
      <c r="N6" s="761">
        <v>176396.05699360892</v>
      </c>
      <c r="O6" s="761">
        <v>180024.01550878966</v>
      </c>
      <c r="P6" s="761">
        <v>199821.66977603344</v>
      </c>
      <c r="Q6" s="762">
        <f t="shared" si="38"/>
        <v>1819570.9043315225</v>
      </c>
      <c r="R6" s="677"/>
      <c r="S6" s="761">
        <f>SUM(E6:G6)</f>
        <v>354688.12538633024</v>
      </c>
      <c r="T6" s="761">
        <f>SUM(H6:J6)</f>
        <v>431139.19411375897</v>
      </c>
      <c r="U6" s="761">
        <f>SUM(K6:M6)</f>
        <v>477501.84255300171</v>
      </c>
      <c r="V6" s="761">
        <f>SUM(N6:P6)</f>
        <v>556241.74227843201</v>
      </c>
      <c r="X6" s="721" t="s">
        <v>89</v>
      </c>
      <c r="Y6" s="795">
        <v>154793.67520307176</v>
      </c>
      <c r="Z6" s="795">
        <v>138154.68290723464</v>
      </c>
      <c r="AA6" s="795">
        <v>170511.33484334385</v>
      </c>
      <c r="AB6" s="761">
        <v>179037.10780875894</v>
      </c>
      <c r="AC6" s="761">
        <v>193963.98069846816</v>
      </c>
      <c r="AD6" s="761">
        <v>190354.78450545273</v>
      </c>
      <c r="AE6" s="761">
        <v>205521.27020774028</v>
      </c>
      <c r="AF6" s="761">
        <v>203602.76565243295</v>
      </c>
      <c r="AG6" s="761">
        <v>214812.43535202442</v>
      </c>
      <c r="AH6" s="761">
        <v>230491.11757955499</v>
      </c>
      <c r="AI6" s="761">
        <v>219991.07901408401</v>
      </c>
      <c r="AJ6" s="761">
        <v>231975.54298208351</v>
      </c>
      <c r="AK6" s="762">
        <f t="shared" si="39"/>
        <v>2333209.7767542498</v>
      </c>
      <c r="AL6" s="677"/>
      <c r="AM6" s="761">
        <f t="shared" si="40"/>
        <v>463459.69295365026</v>
      </c>
      <c r="AN6" s="761">
        <f t="shared" si="41"/>
        <v>563355.87301267986</v>
      </c>
      <c r="AO6" s="761">
        <f>SUM(AE6:AG6)</f>
        <v>623936.47121219768</v>
      </c>
      <c r="AP6" s="761">
        <f t="shared" si="42"/>
        <v>682457.73957572249</v>
      </c>
      <c r="AR6" s="721" t="s">
        <v>89</v>
      </c>
      <c r="AS6" s="784">
        <v>146115.793493</v>
      </c>
      <c r="AT6" s="784">
        <v>116245.57551000001</v>
      </c>
      <c r="AU6" s="784">
        <v>166621.43036999996</v>
      </c>
      <c r="AV6" s="784">
        <v>167993.08000000002</v>
      </c>
      <c r="AW6" s="784">
        <f>204736.01+471.69</f>
        <v>205207.7</v>
      </c>
      <c r="AX6" s="784">
        <f>230170.81+567.68</f>
        <v>230738.49</v>
      </c>
      <c r="AY6" s="784">
        <f>443.39+202639.99</f>
        <v>203083.38</v>
      </c>
      <c r="AZ6" s="784">
        <f>230955.68+666.16</f>
        <v>231621.84</v>
      </c>
      <c r="BA6" s="761">
        <f t="array" ref="BA6:BD6">TRANSPOSE('VN_YouTube Performance'!H14:H17)</f>
        <v>142000.29300000914</v>
      </c>
      <c r="BB6" s="761">
        <v>0</v>
      </c>
      <c r="BC6" s="761">
        <v>0</v>
      </c>
      <c r="BD6" s="761">
        <v>0</v>
      </c>
      <c r="BE6" s="762">
        <f t="shared" si="43"/>
        <v>1609627.5823730091</v>
      </c>
      <c r="BF6" s="677"/>
      <c r="BG6" s="761">
        <f t="shared" si="44"/>
        <v>428982.79937299999</v>
      </c>
      <c r="BH6" s="761">
        <f t="shared" si="45"/>
        <v>603939.27</v>
      </c>
      <c r="BI6" s="761">
        <f t="shared" ref="BI6:BI7" si="52">SUM(AY6:BA6)</f>
        <v>576705.51300000912</v>
      </c>
      <c r="BJ6" s="761">
        <f t="shared" si="46"/>
        <v>0</v>
      </c>
      <c r="BM6" s="795">
        <f t="shared" si="36"/>
        <v>27651.384798609419</v>
      </c>
      <c r="BN6" s="795">
        <f t="shared" si="36"/>
        <v>10515.074586782692</v>
      </c>
      <c r="BO6" s="795">
        <f t="shared" si="36"/>
        <v>36128.214601277607</v>
      </c>
      <c r="BP6" s="761">
        <f t="shared" si="36"/>
        <v>30975.045619112061</v>
      </c>
      <c r="BQ6" s="761">
        <f t="shared" si="36"/>
        <v>56766.051778198191</v>
      </c>
      <c r="BR6" s="761"/>
      <c r="BS6" s="761"/>
      <c r="BT6" s="761"/>
      <c r="BU6" s="761"/>
      <c r="BV6" s="761"/>
      <c r="BW6" s="761"/>
      <c r="BX6" s="761"/>
      <c r="BY6" s="762">
        <f t="shared" si="47"/>
        <v>162035.77138397997</v>
      </c>
      <c r="BZ6" s="677"/>
      <c r="CA6" s="761">
        <f t="shared" si="48"/>
        <v>74294.673986669717</v>
      </c>
      <c r="CB6" s="761">
        <f t="shared" si="49"/>
        <v>87741.097397310252</v>
      </c>
      <c r="CC6" s="761">
        <f t="shared" ref="CC6:CC7" si="53">SUM(BS6:BU6)</f>
        <v>0</v>
      </c>
      <c r="CD6" s="761">
        <f t="shared" si="50"/>
        <v>0</v>
      </c>
      <c r="CG6" s="798">
        <f t="shared" si="20"/>
        <v>1.233415125296774</v>
      </c>
      <c r="CH6" s="798">
        <f t="shared" si="20"/>
        <v>1.0994516671629018</v>
      </c>
      <c r="CI6" s="798">
        <f t="shared" si="20"/>
        <v>1.2768589492446021</v>
      </c>
      <c r="CJ6" s="785">
        <f t="shared" si="20"/>
        <v>1.2260654647329596</v>
      </c>
      <c r="CK6" s="785">
        <f t="shared" si="20"/>
        <v>1.3824132408808762</v>
      </c>
      <c r="CL6" s="785">
        <f t="shared" si="20"/>
        <v>1.5838774279694625</v>
      </c>
      <c r="CM6" s="785">
        <f t="shared" si="20"/>
        <v>1.291168517599643</v>
      </c>
      <c r="CN6" s="785">
        <f t="shared" si="20"/>
        <v>1.4864871352081699</v>
      </c>
      <c r="CO6" s="785">
        <f t="shared" si="20"/>
        <v>0.86376408510392177</v>
      </c>
      <c r="CP6" s="785">
        <f t="shared" si="20"/>
        <v>0</v>
      </c>
      <c r="CQ6" s="785">
        <f t="shared" si="20"/>
        <v>0</v>
      </c>
      <c r="CR6" s="785">
        <f t="shared" si="20"/>
        <v>0</v>
      </c>
      <c r="CS6" s="786">
        <f t="shared" si="20"/>
        <v>0.88461932345766825</v>
      </c>
      <c r="CT6" s="787"/>
      <c r="CU6" s="785">
        <f t="shared" si="21"/>
        <v>1.2094647908095235</v>
      </c>
      <c r="CV6" s="785">
        <f t="shared" si="21"/>
        <v>1.4007988098633561</v>
      </c>
      <c r="CW6" s="785">
        <f t="shared" si="21"/>
        <v>1.2077555762227159</v>
      </c>
      <c r="CX6" s="785">
        <f t="shared" si="21"/>
        <v>0</v>
      </c>
      <c r="DA6" s="798">
        <f t="shared" si="51"/>
        <v>0.94393904209143331</v>
      </c>
      <c r="DB6" s="798">
        <f t="shared" si="23"/>
        <v>0.84141610739358197</v>
      </c>
      <c r="DC6" s="798">
        <f t="shared" si="24"/>
        <v>0.97718682762692743</v>
      </c>
      <c r="DD6" s="785">
        <f t="shared" si="25"/>
        <v>0.93831430844740993</v>
      </c>
      <c r="DE6" s="785">
        <f t="shared" si="26"/>
        <v>1.0579680787177237</v>
      </c>
      <c r="DF6" s="785">
        <f t="shared" si="27"/>
        <v>1.2121496740912781</v>
      </c>
      <c r="DG6" s="785">
        <f t="shared" si="28"/>
        <v>0.98813801508098864</v>
      </c>
      <c r="DH6" s="785">
        <f t="shared" si="29"/>
        <v>1.1376163740103509</v>
      </c>
      <c r="DI6" s="785">
        <f t="shared" si="30"/>
        <v>0.66104316897346194</v>
      </c>
      <c r="DJ6" s="785">
        <f t="shared" si="31"/>
        <v>0</v>
      </c>
      <c r="DK6" s="785">
        <f t="shared" si="32"/>
        <v>0</v>
      </c>
      <c r="DL6" s="785">
        <f t="shared" si="33"/>
        <v>0</v>
      </c>
      <c r="DM6" s="786">
        <f t="shared" si="34"/>
        <v>0.68987692337384987</v>
      </c>
      <c r="DN6" s="787"/>
      <c r="DO6" s="785">
        <f t="shared" si="35"/>
        <v>0.1603044992180146</v>
      </c>
      <c r="DP6" s="785">
        <f t="shared" si="35"/>
        <v>0.15574719569016618</v>
      </c>
      <c r="DQ6" s="785">
        <f t="shared" si="35"/>
        <v>0</v>
      </c>
      <c r="DR6" s="785">
        <f t="shared" si="35"/>
        <v>0</v>
      </c>
    </row>
    <row r="7" spans="2:123">
      <c r="C7" s="754" t="s">
        <v>176</v>
      </c>
      <c r="D7" s="755" t="s">
        <v>90</v>
      </c>
      <c r="E7" s="764">
        <f t="array" ref="E7:P7">TRANSPOSE('VN_YouTube Performance'!L66:L77)</f>
        <v>13623.456484334463</v>
      </c>
      <c r="F7" s="764">
        <v>12159.051771492457</v>
      </c>
      <c r="G7" s="764">
        <v>15006.774322507856</v>
      </c>
      <c r="H7" s="765">
        <v>15757.131188428062</v>
      </c>
      <c r="I7" s="765">
        <v>17070.851551959495</v>
      </c>
      <c r="J7" s="765">
        <v>16753.20467643653</v>
      </c>
      <c r="K7" s="765">
        <v>18088.013464420492</v>
      </c>
      <c r="L7" s="765">
        <v>17919.165071293719</v>
      </c>
      <c r="M7" s="765">
        <v>18905.732818043078</v>
      </c>
      <c r="N7" s="765">
        <v>20285.620237721268</v>
      </c>
      <c r="O7" s="765">
        <v>20702.836982423396</v>
      </c>
      <c r="P7" s="765">
        <v>22979.575492953481</v>
      </c>
      <c r="Q7" s="766">
        <f t="shared" si="38"/>
        <v>209251.41406201432</v>
      </c>
      <c r="R7" s="677"/>
      <c r="S7" s="765">
        <f>SUM(E7:G7)</f>
        <v>40789.28257833478</v>
      </c>
      <c r="T7" s="765">
        <f>SUM(H7:J7)</f>
        <v>49581.187416824083</v>
      </c>
      <c r="U7" s="765">
        <f>SUM(K7:M7)</f>
        <v>54912.911353757285</v>
      </c>
      <c r="V7" s="765">
        <f>SUM(N7:P7)</f>
        <v>63968.032713098146</v>
      </c>
      <c r="X7" s="721" t="s">
        <v>90</v>
      </c>
      <c r="Y7" s="764">
        <v>13882.504585231964</v>
      </c>
      <c r="Z7" s="764">
        <v>12390.254423605116</v>
      </c>
      <c r="AA7" s="764">
        <v>15292.126016720935</v>
      </c>
      <c r="AB7" s="765">
        <v>16056.750812467582</v>
      </c>
      <c r="AC7" s="765">
        <v>17395.451383164098</v>
      </c>
      <c r="AD7" s="765">
        <v>17071.764497166932</v>
      </c>
      <c r="AE7" s="765">
        <v>18431.954485728456</v>
      </c>
      <c r="AF7" s="765">
        <v>18259.895464254208</v>
      </c>
      <c r="AG7" s="765">
        <v>19265.222657366983</v>
      </c>
      <c r="AH7" s="765">
        <v>20671.348441437578</v>
      </c>
      <c r="AI7" s="765">
        <v>19729.663754779453</v>
      </c>
      <c r="AJ7" s="765">
        <v>20804.477540091008</v>
      </c>
      <c r="AK7" s="766">
        <f t="shared" si="39"/>
        <v>209251.41406201434</v>
      </c>
      <c r="AL7" s="677"/>
      <c r="AM7" s="765">
        <f t="shared" si="40"/>
        <v>41564.885025558011</v>
      </c>
      <c r="AN7" s="765">
        <f t="shared" si="41"/>
        <v>50523.966692798611</v>
      </c>
      <c r="AO7" s="765">
        <f>SUM(AE7:AG7)</f>
        <v>55957.072607349648</v>
      </c>
      <c r="AP7" s="765">
        <f t="shared" si="42"/>
        <v>61205.489736308038</v>
      </c>
      <c r="AR7" s="721" t="s">
        <v>90</v>
      </c>
      <c r="AS7" s="768">
        <v>15588.980986999999</v>
      </c>
      <c r="AT7" s="768">
        <v>16095.788096999999</v>
      </c>
      <c r="AU7" s="768">
        <v>36862.056037999988</v>
      </c>
      <c r="AV7" s="768">
        <v>120675.02</v>
      </c>
      <c r="AW7" s="768">
        <f>1641.88+176568.01</f>
        <v>178209.89</v>
      </c>
      <c r="AX7" s="768">
        <f>661.72+50626.2</f>
        <v>51287.92</v>
      </c>
      <c r="AY7" s="768">
        <f>462.43+39854.22</f>
        <v>40316.65</v>
      </c>
      <c r="AZ7" s="768">
        <f>41793.11+643.2</f>
        <v>42436.31</v>
      </c>
      <c r="BA7" s="765">
        <f t="array" ref="BA7:BD7">TRANSPOSE('VN_YouTube Performance'!L14:L17)</f>
        <v>53527.380999994697</v>
      </c>
      <c r="BB7" s="765">
        <v>0</v>
      </c>
      <c r="BC7" s="765">
        <v>0</v>
      </c>
      <c r="BD7" s="765">
        <v>0</v>
      </c>
      <c r="BE7" s="766">
        <f t="shared" si="43"/>
        <v>554999.99612199469</v>
      </c>
      <c r="BF7" s="677"/>
      <c r="BG7" s="765">
        <f t="shared" si="44"/>
        <v>68546.82512199998</v>
      </c>
      <c r="BH7" s="765">
        <f t="shared" si="45"/>
        <v>350172.83</v>
      </c>
      <c r="BI7" s="765">
        <f t="shared" si="52"/>
        <v>136280.34099999469</v>
      </c>
      <c r="BJ7" s="765">
        <f t="shared" si="46"/>
        <v>0</v>
      </c>
      <c r="BM7" s="764">
        <f t="shared" si="36"/>
        <v>1965.5245026655357</v>
      </c>
      <c r="BN7" s="764">
        <f t="shared" si="36"/>
        <v>3936.7363255075416</v>
      </c>
      <c r="BO7" s="764">
        <f t="shared" si="36"/>
        <v>21855.281715492132</v>
      </c>
      <c r="BP7" s="765">
        <f t="shared" si="36"/>
        <v>104917.88881157195</v>
      </c>
      <c r="BQ7" s="765">
        <f t="shared" si="36"/>
        <v>161139.03844804052</v>
      </c>
      <c r="BR7" s="765"/>
      <c r="BS7" s="765"/>
      <c r="BT7" s="765"/>
      <c r="BU7" s="765"/>
      <c r="BV7" s="765"/>
      <c r="BW7" s="765"/>
      <c r="BX7" s="765"/>
      <c r="BY7" s="766">
        <f t="shared" si="47"/>
        <v>293814.46980327764</v>
      </c>
      <c r="BZ7" s="677"/>
      <c r="CA7" s="765">
        <f t="shared" si="48"/>
        <v>27757.542543665208</v>
      </c>
      <c r="CB7" s="765">
        <f t="shared" si="49"/>
        <v>266056.92725961248</v>
      </c>
      <c r="CC7" s="765">
        <f t="shared" si="53"/>
        <v>0</v>
      </c>
      <c r="CD7" s="765">
        <f t="shared" si="50"/>
        <v>0</v>
      </c>
      <c r="CG7" s="799">
        <f t="shared" si="20"/>
        <v>1.1442750233705874</v>
      </c>
      <c r="CH7" s="799">
        <f t="shared" si="20"/>
        <v>1.32377001097548</v>
      </c>
      <c r="CI7" s="799">
        <f t="shared" si="20"/>
        <v>2.4563610570669119</v>
      </c>
      <c r="CJ7" s="789">
        <f t="shared" si="20"/>
        <v>7.6584384909242225</v>
      </c>
      <c r="CK7" s="789">
        <f t="shared" si="20"/>
        <v>10.439425910158771</v>
      </c>
      <c r="CL7" s="789">
        <f t="shared" si="20"/>
        <v>3.0613796578356576</v>
      </c>
      <c r="CM7" s="789">
        <f t="shared" si="20"/>
        <v>2.2289153023522297</v>
      </c>
      <c r="CN7" s="789">
        <f t="shared" si="20"/>
        <v>2.3682079958056996</v>
      </c>
      <c r="CO7" s="789">
        <f t="shared" si="20"/>
        <v>2.8312777671812719</v>
      </c>
      <c r="CP7" s="789">
        <f t="shared" si="20"/>
        <v>0</v>
      </c>
      <c r="CQ7" s="789">
        <f t="shared" si="20"/>
        <v>0</v>
      </c>
      <c r="CR7" s="789">
        <f t="shared" si="20"/>
        <v>0</v>
      </c>
      <c r="CS7" s="790">
        <f t="shared" si="20"/>
        <v>2.6523118068751179</v>
      </c>
      <c r="CT7" s="787"/>
      <c r="CU7" s="789">
        <f t="shared" si="21"/>
        <v>1.6805106829314183</v>
      </c>
      <c r="CV7" s="789">
        <f t="shared" si="21"/>
        <v>7.0626148392964465</v>
      </c>
      <c r="CW7" s="789">
        <f t="shared" si="21"/>
        <v>2.4817540654884622</v>
      </c>
      <c r="CX7" s="789">
        <f t="shared" si="21"/>
        <v>0</v>
      </c>
      <c r="DA7" s="799">
        <f t="shared" si="51"/>
        <v>1.1229228048361939</v>
      </c>
      <c r="DB7" s="799">
        <f t="shared" si="23"/>
        <v>1.2990684086628066</v>
      </c>
      <c r="DC7" s="799">
        <f t="shared" si="24"/>
        <v>2.4105252597116813</v>
      </c>
      <c r="DD7" s="789">
        <f t="shared" si="25"/>
        <v>7.5155317168090754</v>
      </c>
      <c r="DE7" s="789">
        <f t="shared" si="26"/>
        <v>10.24462579755059</v>
      </c>
      <c r="DF7" s="789">
        <f t="shared" si="27"/>
        <v>3.0042541887519159</v>
      </c>
      <c r="DG7" s="789">
        <f t="shared" si="28"/>
        <v>2.1873236520422448</v>
      </c>
      <c r="DH7" s="789">
        <f t="shared" si="29"/>
        <v>2.3240171381634593</v>
      </c>
      <c r="DI7" s="789">
        <f t="shared" si="30"/>
        <v>2.7784460087475775</v>
      </c>
      <c r="DJ7" s="789">
        <f t="shared" si="31"/>
        <v>0</v>
      </c>
      <c r="DK7" s="789">
        <f t="shared" si="32"/>
        <v>0</v>
      </c>
      <c r="DL7" s="789">
        <f t="shared" si="33"/>
        <v>0</v>
      </c>
      <c r="DM7" s="790">
        <f t="shared" si="34"/>
        <v>2.6523118068751179</v>
      </c>
      <c r="DN7" s="787"/>
      <c r="DO7" s="789">
        <f t="shared" si="35"/>
        <v>0.66781232587548967</v>
      </c>
      <c r="DP7" s="789">
        <f t="shared" si="35"/>
        <v>5.2659548462875279</v>
      </c>
      <c r="DQ7" s="789">
        <f t="shared" si="35"/>
        <v>0</v>
      </c>
      <c r="DR7" s="789">
        <f t="shared" si="35"/>
        <v>0</v>
      </c>
    </row>
    <row r="8" spans="2:123">
      <c r="E8" s="796">
        <f>IF(MONTH(E2)&lt;='Current month'!$B$2,1,0)</f>
        <v>1</v>
      </c>
      <c r="F8" s="796">
        <f>IF(MONTH(F2)&lt;='Current month'!$B$2,1,0)</f>
        <v>1</v>
      </c>
      <c r="G8" s="796">
        <f>IF(MONTH(G2)&lt;='Current month'!$B$2,1,0)</f>
        <v>1</v>
      </c>
      <c r="H8" s="796">
        <f>IF(MONTH(H2)&lt;='Current month'!$B$2,1,0)</f>
        <v>1</v>
      </c>
      <c r="I8" s="796">
        <f>IF(MONTH(I2)&lt;='Current month'!$B$2,1,0)</f>
        <v>1</v>
      </c>
      <c r="J8" s="796">
        <f>IF(MONTH(J2)&lt;='Current month'!$B$2,1,0)</f>
        <v>1</v>
      </c>
      <c r="K8" s="796">
        <f>IF(MONTH(K2)&lt;='Current month'!$B$2,1,0)</f>
        <v>1</v>
      </c>
      <c r="L8" s="796">
        <f>IF(MONTH(L2)&lt;='Current month'!$B$2,1,0)</f>
        <v>1</v>
      </c>
      <c r="M8" s="796">
        <f>IF(MONTH(M2)&lt;='Current month'!$B$2,1,0)</f>
        <v>0</v>
      </c>
      <c r="N8" s="796">
        <f>IF(MONTH(N2)&lt;='Current month'!$B$2,1,0)</f>
        <v>0</v>
      </c>
      <c r="O8" s="796">
        <f>IF(MONTH(O2)&lt;='Current month'!$B$2,1,0)</f>
        <v>0</v>
      </c>
      <c r="P8" s="796">
        <f>IF(MONTH(P2)&lt;='Current month'!$B$2,1,0)</f>
        <v>0</v>
      </c>
      <c r="X8" s="721"/>
      <c r="Y8" s="796">
        <f>IF(MONTH(Y2)&lt;='Current month'!$B$2,1,0)</f>
        <v>1</v>
      </c>
      <c r="Z8" s="796">
        <f>IF(MONTH(Z2)&lt;='Current month'!$B$2,1,0)</f>
        <v>1</v>
      </c>
      <c r="AA8" s="796">
        <f>IF(MONTH(AA2)&lt;='Current month'!$B$2,1,0)</f>
        <v>1</v>
      </c>
      <c r="AB8" s="796">
        <f>IF(MONTH(AB2)&lt;='Current month'!$B$2,1,0)</f>
        <v>1</v>
      </c>
      <c r="AC8" s="796">
        <f>IF(MONTH(AC2)&lt;='Current month'!$B$2,1,0)</f>
        <v>1</v>
      </c>
      <c r="AD8" s="796">
        <f>IF(MONTH(AD2)&lt;='Current month'!$B$2,1,0)</f>
        <v>1</v>
      </c>
      <c r="AE8" s="796">
        <f>IF(MONTH(AE2)&lt;='Current month'!$B$2,1,0)</f>
        <v>1</v>
      </c>
      <c r="AF8" s="796">
        <f>IF(MONTH(AF2)&lt;='Current month'!$B$2,1,0)</f>
        <v>1</v>
      </c>
      <c r="AG8" s="796">
        <f>IF(MONTH(AG2)&lt;='Current month'!$B$2,1,0)</f>
        <v>0</v>
      </c>
      <c r="AH8" s="796">
        <f>IF(MONTH(AH2)&lt;='Current month'!$B$2,1,0)</f>
        <v>0</v>
      </c>
      <c r="AI8" s="796">
        <f>IF(MONTH(AI2)&lt;='Current month'!$B$2,1,0)</f>
        <v>0</v>
      </c>
      <c r="AJ8" s="796">
        <f>IF(MONTH(AJ2)&lt;='Current month'!$B$2,1,0)</f>
        <v>0</v>
      </c>
      <c r="AK8" s="796"/>
      <c r="AL8" s="796"/>
      <c r="AM8" s="796"/>
      <c r="AN8" s="796"/>
      <c r="AO8" s="796"/>
      <c r="AP8" s="796"/>
      <c r="AQ8" s="797"/>
      <c r="AR8" s="797"/>
      <c r="AS8" s="809">
        <f>IF(MONTH(AS2)&lt;='Current month'!$B$2,1,0)</f>
        <v>1</v>
      </c>
      <c r="AT8" s="809">
        <f>IF(MONTH(AT2)&lt;='Current month'!$B$2,1,0)</f>
        <v>1</v>
      </c>
      <c r="AU8" s="809">
        <f>IF(MONTH(AU2)&lt;='Current month'!$B$2,1,0)</f>
        <v>1</v>
      </c>
      <c r="AV8" s="809">
        <f>IF(MONTH(AV2)&lt;='Current month'!$B$2,1,0)</f>
        <v>1</v>
      </c>
      <c r="AW8" s="809">
        <f>IF(MONTH(AW2)&lt;='Current month'!$B$2,1,0)</f>
        <v>1</v>
      </c>
      <c r="AX8" s="809">
        <f>IF(MONTH(AX2)&lt;='Current month'!$B$2,1,0)</f>
        <v>1</v>
      </c>
      <c r="AY8" s="809">
        <f>IF(MONTH(AY2)&lt;='Current month'!$B$2,1,0)</f>
        <v>1</v>
      </c>
      <c r="AZ8" s="809">
        <f>IF(MONTH(AZ2)&lt;='Current month'!$B$2,1,0)</f>
        <v>1</v>
      </c>
      <c r="BA8" s="809">
        <f>IF(MONTH(BA2)&lt;='Current month'!$B$2,1,0)</f>
        <v>0</v>
      </c>
      <c r="BB8" s="809">
        <f>IF(MONTH(BB2)&lt;='Current month'!$B$2,1,0)</f>
        <v>0</v>
      </c>
      <c r="BC8" s="809">
        <f>IF(MONTH(BC2)&lt;='Current month'!$B$2,1,0)</f>
        <v>0</v>
      </c>
      <c r="BD8" s="809">
        <f>IF(MONTH(BD2)&lt;='Current month'!$B$2,1,0)</f>
        <v>0</v>
      </c>
      <c r="CG8" s="633"/>
      <c r="CH8" s="633"/>
      <c r="CI8" s="633"/>
      <c r="CJ8" s="633"/>
      <c r="CK8" s="633"/>
      <c r="CL8" s="633"/>
      <c r="CM8" s="633"/>
      <c r="CN8" s="633"/>
      <c r="CO8" s="633"/>
      <c r="CP8" s="633"/>
      <c r="CQ8" s="633"/>
      <c r="CR8" s="633"/>
      <c r="CS8" s="633"/>
      <c r="CT8" s="633"/>
      <c r="CU8" s="633"/>
      <c r="CV8" s="633"/>
      <c r="CW8" s="633"/>
      <c r="CX8" s="633"/>
      <c r="DA8" s="633"/>
      <c r="DB8" s="633"/>
      <c r="DC8" s="633"/>
      <c r="DD8" s="633"/>
      <c r="DE8" s="633"/>
      <c r="DF8" s="633"/>
      <c r="DG8" s="633"/>
      <c r="DH8" s="633"/>
      <c r="DI8" s="633"/>
      <c r="DJ8" s="633"/>
      <c r="DK8" s="633"/>
      <c r="DL8" s="633"/>
      <c r="DM8" s="633"/>
      <c r="DN8" s="633"/>
      <c r="DO8" s="633"/>
      <c r="DP8" s="633"/>
      <c r="DQ8" s="633"/>
      <c r="DR8" s="633"/>
    </row>
    <row r="9" spans="2:123">
      <c r="C9" s="750" t="s">
        <v>162</v>
      </c>
      <c r="D9" s="751"/>
      <c r="E9" s="767">
        <f>SUBTOTAL(9,E10:E10)</f>
        <v>14770</v>
      </c>
      <c r="F9" s="767">
        <f t="shared" ref="F9:G9" si="54">SUBTOTAL(9,F10:F10)</f>
        <v>14770</v>
      </c>
      <c r="G9" s="767">
        <f t="shared" si="54"/>
        <v>14770</v>
      </c>
      <c r="H9" s="767">
        <f>SUBTOTAL(9,H10:H10)</f>
        <v>14770</v>
      </c>
      <c r="I9" s="767">
        <f t="shared" ref="I9:J9" si="55">SUBTOTAL(9,I10:I10)</f>
        <v>14770</v>
      </c>
      <c r="J9" s="767">
        <f t="shared" si="55"/>
        <v>14770</v>
      </c>
      <c r="K9" s="767">
        <f>SUBTOTAL(9,K10:K10)</f>
        <v>14770</v>
      </c>
      <c r="L9" s="767">
        <f t="shared" ref="L9:M9" si="56">SUBTOTAL(9,L10:L10)</f>
        <v>14770</v>
      </c>
      <c r="M9" s="767">
        <f t="shared" si="56"/>
        <v>14770</v>
      </c>
      <c r="N9" s="767">
        <f>SUBTOTAL(9,N10:N10)</f>
        <v>14770</v>
      </c>
      <c r="O9" s="767">
        <f t="shared" ref="O9:Q9" si="57">SUBTOTAL(9,O10:O10)</f>
        <v>14770</v>
      </c>
      <c r="P9" s="767">
        <f t="shared" si="57"/>
        <v>14770</v>
      </c>
      <c r="Q9" s="767">
        <f t="shared" si="57"/>
        <v>177240</v>
      </c>
      <c r="S9" s="759">
        <f t="shared" ref="S9:V9" si="58">SUBTOTAL(9,S10:S10)</f>
        <v>44310</v>
      </c>
      <c r="T9" s="759">
        <f t="shared" si="58"/>
        <v>44310</v>
      </c>
      <c r="U9" s="759">
        <f t="shared" si="58"/>
        <v>44310</v>
      </c>
      <c r="V9" s="759">
        <f t="shared" si="58"/>
        <v>44310</v>
      </c>
      <c r="X9" s="721"/>
      <c r="Y9" s="767">
        <f>SUBTOTAL(9,Y10:Y10)</f>
        <v>14770</v>
      </c>
      <c r="Z9" s="767">
        <f t="shared" ref="Z9:AA9" si="59">SUBTOTAL(9,Z10:Z10)</f>
        <v>14770</v>
      </c>
      <c r="AA9" s="767">
        <f t="shared" si="59"/>
        <v>14770</v>
      </c>
      <c r="AB9" s="767">
        <f>SUBTOTAL(9,AB10:AB10)</f>
        <v>14770</v>
      </c>
      <c r="AC9" s="767">
        <f t="shared" ref="AC9:AD9" si="60">SUBTOTAL(9,AC10:AC10)</f>
        <v>14770</v>
      </c>
      <c r="AD9" s="767">
        <f t="shared" si="60"/>
        <v>14770</v>
      </c>
      <c r="AE9" s="767">
        <f>SUBTOTAL(9,AE10:AE10)</f>
        <v>14770</v>
      </c>
      <c r="AF9" s="767">
        <f t="shared" ref="AF9:AG9" si="61">SUBTOTAL(9,AF10:AF10)</f>
        <v>14770</v>
      </c>
      <c r="AG9" s="767">
        <f t="shared" si="61"/>
        <v>14770</v>
      </c>
      <c r="AH9" s="767">
        <f>SUBTOTAL(9,AH10:AH10)</f>
        <v>14770</v>
      </c>
      <c r="AI9" s="767">
        <f t="shared" ref="AI9:AK9" si="62">SUBTOTAL(9,AI10:AI10)</f>
        <v>14770</v>
      </c>
      <c r="AJ9" s="767">
        <f t="shared" si="62"/>
        <v>14770</v>
      </c>
      <c r="AK9" s="767">
        <f t="shared" si="62"/>
        <v>177240</v>
      </c>
      <c r="AM9" s="759">
        <f t="shared" ref="AM9:AP9" si="63">SUBTOTAL(9,AM10:AM10)</f>
        <v>44310</v>
      </c>
      <c r="AN9" s="759">
        <f t="shared" si="63"/>
        <v>44310</v>
      </c>
      <c r="AO9" s="759">
        <f t="shared" si="63"/>
        <v>44310</v>
      </c>
      <c r="AP9" s="759">
        <f t="shared" si="63"/>
        <v>44310</v>
      </c>
      <c r="AR9" s="721"/>
      <c r="AS9" s="767">
        <f>SUBTOTAL(9,AS10:AS10)</f>
        <v>19716.949999999997</v>
      </c>
      <c r="AT9" s="767">
        <f t="shared" ref="AT9:AU9" si="64">SUBTOTAL(9,AT10:AT10)</f>
        <v>18942.329013999984</v>
      </c>
      <c r="AU9" s="767">
        <f t="shared" si="64"/>
        <v>22689.306303882266</v>
      </c>
      <c r="AV9" s="767">
        <f>SUBTOTAL(9,AV10:AV10)</f>
        <v>18578.693566769194</v>
      </c>
      <c r="AW9" s="767">
        <f t="shared" ref="AW9:AX9" si="65">SUBTOTAL(9,AW10:AW10)</f>
        <v>17842.951069028619</v>
      </c>
      <c r="AX9" s="767">
        <f t="shared" si="65"/>
        <v>14991.647306242259</v>
      </c>
      <c r="AY9" s="767">
        <f>SUBTOTAL(9,AY10:AY10)</f>
        <v>16265.482364999965</v>
      </c>
      <c r="AZ9" s="767">
        <f t="shared" ref="AZ9:BA9" si="66">SUBTOTAL(9,AZ10:AZ10)</f>
        <v>15941.859999999999</v>
      </c>
      <c r="BA9" s="767">
        <f t="shared" si="66"/>
        <v>0</v>
      </c>
      <c r="BB9" s="767">
        <f>SUBTOTAL(9,BB10:BB10)</f>
        <v>0</v>
      </c>
      <c r="BC9" s="767">
        <f t="shared" ref="BC9:BE9" si="67">SUBTOTAL(9,BC10:BC10)</f>
        <v>0</v>
      </c>
      <c r="BD9" s="767">
        <f t="shared" si="67"/>
        <v>0</v>
      </c>
      <c r="BE9" s="767">
        <f t="shared" si="67"/>
        <v>144969.21962492229</v>
      </c>
      <c r="BG9" s="759">
        <f t="shared" ref="BG9:BJ9" si="68">SUBTOTAL(9,BG10:BG10)</f>
        <v>61348.585317882251</v>
      </c>
      <c r="BH9" s="759">
        <f t="shared" si="68"/>
        <v>51413.291942040072</v>
      </c>
      <c r="BI9" s="759">
        <f t="shared" si="68"/>
        <v>32207.342364999964</v>
      </c>
      <c r="BJ9" s="759">
        <f t="shared" si="68"/>
        <v>0</v>
      </c>
      <c r="BM9" s="767">
        <f>SUBTOTAL(9,BM10:BM10)</f>
        <v>4946.9499999999971</v>
      </c>
      <c r="BN9" s="767">
        <f t="shared" ref="BN9:BO9" si="69">SUBTOTAL(9,BN10:BN10)</f>
        <v>4172.3290139999845</v>
      </c>
      <c r="BO9" s="767">
        <f t="shared" si="69"/>
        <v>7919.3063038822656</v>
      </c>
      <c r="BP9" s="767">
        <f>SUBTOTAL(9,BP10:BP10)</f>
        <v>3808.6935667691941</v>
      </c>
      <c r="BQ9" s="767">
        <f t="shared" ref="BQ9:BR9" si="70">SUBTOTAL(9,BQ10:BQ10)</f>
        <v>3072.9510690286188</v>
      </c>
      <c r="BR9" s="767">
        <f t="shared" si="70"/>
        <v>0</v>
      </c>
      <c r="BS9" s="767">
        <f>SUBTOTAL(9,BS10:BS10)</f>
        <v>0</v>
      </c>
      <c r="BT9" s="767">
        <f t="shared" ref="BT9:BU9" si="71">SUBTOTAL(9,BT10:BT10)</f>
        <v>0</v>
      </c>
      <c r="BU9" s="767">
        <f t="shared" si="71"/>
        <v>0</v>
      </c>
      <c r="BV9" s="767">
        <f>SUBTOTAL(9,BV10:BV10)</f>
        <v>0</v>
      </c>
      <c r="BW9" s="767">
        <f t="shared" ref="BW9:BY9" si="72">SUBTOTAL(9,BW10:BW10)</f>
        <v>0</v>
      </c>
      <c r="BX9" s="767">
        <f t="shared" si="72"/>
        <v>0</v>
      </c>
      <c r="BY9" s="767">
        <f t="shared" si="72"/>
        <v>23920.22995368006</v>
      </c>
      <c r="CA9" s="759">
        <f t="shared" ref="CA9:CD9" si="73">SUBTOTAL(9,CA10:CA10)</f>
        <v>17038.585317882247</v>
      </c>
      <c r="CB9" s="759">
        <f t="shared" si="73"/>
        <v>6881.644635797813</v>
      </c>
      <c r="CC9" s="759">
        <f t="shared" si="73"/>
        <v>0</v>
      </c>
      <c r="CD9" s="759">
        <f t="shared" si="73"/>
        <v>0</v>
      </c>
      <c r="CG9" s="783">
        <f t="shared" ref="CG9:CS10" si="74">IFERROR(AS9/E9,0)</f>
        <v>1.3349322951929585</v>
      </c>
      <c r="CH9" s="783">
        <f t="shared" si="74"/>
        <v>1.2824867308056862</v>
      </c>
      <c r="CI9" s="783">
        <f t="shared" si="74"/>
        <v>1.536175105205299</v>
      </c>
      <c r="CJ9" s="783">
        <f t="shared" si="74"/>
        <v>1.2578668630175487</v>
      </c>
      <c r="CK9" s="783">
        <f t="shared" si="74"/>
        <v>1.2080535591759389</v>
      </c>
      <c r="CL9" s="783">
        <f t="shared" si="74"/>
        <v>1.015006588100356</v>
      </c>
      <c r="CM9" s="783">
        <f t="shared" si="74"/>
        <v>1.1012513449559895</v>
      </c>
      <c r="CN9" s="783">
        <f t="shared" si="74"/>
        <v>1.0793405551794177</v>
      </c>
      <c r="CO9" s="783">
        <f t="shared" si="74"/>
        <v>0</v>
      </c>
      <c r="CP9" s="783">
        <f t="shared" si="74"/>
        <v>0</v>
      </c>
      <c r="CQ9" s="783">
        <f t="shared" si="74"/>
        <v>0</v>
      </c>
      <c r="CR9" s="783">
        <f t="shared" si="74"/>
        <v>0</v>
      </c>
      <c r="CS9" s="783">
        <f t="shared" si="74"/>
        <v>0.81792608680276624</v>
      </c>
      <c r="CT9" s="633"/>
      <c r="CU9" s="780">
        <f t="shared" ref="CU9:CX10" si="75">IFERROR(BG9/S9,0)</f>
        <v>1.3845313770679812</v>
      </c>
      <c r="CV9" s="780">
        <f t="shared" si="75"/>
        <v>1.1603090034312813</v>
      </c>
      <c r="CW9" s="780">
        <f t="shared" si="75"/>
        <v>0.72686396671180242</v>
      </c>
      <c r="CX9" s="780">
        <f t="shared" si="75"/>
        <v>0</v>
      </c>
      <c r="DA9" s="783">
        <f t="shared" ref="DA9:DA10" si="76">IFERROR(AS9/Y9,0)</f>
        <v>1.3349322951929585</v>
      </c>
      <c r="DB9" s="783">
        <f t="shared" ref="DB9:DB10" si="77">IFERROR(AT9/Z9,0)</f>
        <v>1.2824867308056862</v>
      </c>
      <c r="DC9" s="783">
        <f t="shared" ref="DC9:DC10" si="78">IFERROR(AU9/AA9,0)</f>
        <v>1.536175105205299</v>
      </c>
      <c r="DD9" s="783">
        <f t="shared" ref="DD9:DD10" si="79">IFERROR(AV9/AB9,0)</f>
        <v>1.2578668630175487</v>
      </c>
      <c r="DE9" s="783">
        <f t="shared" ref="DE9:DE10" si="80">IFERROR(AW9/AC9,0)</f>
        <v>1.2080535591759389</v>
      </c>
      <c r="DF9" s="783">
        <f t="shared" ref="DF9:DF10" si="81">IFERROR(AX9/AD9,0)</f>
        <v>1.015006588100356</v>
      </c>
      <c r="DG9" s="783">
        <f t="shared" ref="DG9:DG10" si="82">IFERROR(AY9/AE9,0)</f>
        <v>1.1012513449559895</v>
      </c>
      <c r="DH9" s="783">
        <f t="shared" ref="DH9:DH10" si="83">IFERROR(AZ9/AF9,0)</f>
        <v>1.0793405551794177</v>
      </c>
      <c r="DI9" s="783">
        <f t="shared" ref="DI9:DI10" si="84">IFERROR(BA9/AG9,0)</f>
        <v>0</v>
      </c>
      <c r="DJ9" s="783">
        <f t="shared" ref="DJ9:DJ10" si="85">IFERROR(BB9/AH9,0)</f>
        <v>0</v>
      </c>
      <c r="DK9" s="783">
        <f t="shared" ref="DK9:DK10" si="86">IFERROR(BC9/AI9,0)</f>
        <v>0</v>
      </c>
      <c r="DL9" s="783">
        <f t="shared" ref="DL9:DL10" si="87">IFERROR(BD9/AJ9,0)</f>
        <v>0</v>
      </c>
      <c r="DM9" s="783">
        <f t="shared" ref="DM9:DM10" si="88">IFERROR(BE9/AK9,0)</f>
        <v>0.81792608680276624</v>
      </c>
      <c r="DN9" s="633"/>
      <c r="DO9" s="780">
        <f t="shared" ref="DO9:DR10" si="89">IFERROR(CA9/AM9,0)</f>
        <v>0.38453137706798118</v>
      </c>
      <c r="DP9" s="780">
        <f t="shared" si="89"/>
        <v>0.15530680739782923</v>
      </c>
      <c r="DQ9" s="780">
        <f t="shared" si="89"/>
        <v>0</v>
      </c>
      <c r="DR9" s="780">
        <f t="shared" si="89"/>
        <v>0</v>
      </c>
    </row>
    <row r="10" spans="2:123" s="677" customFormat="1">
      <c r="C10" s="754" t="s">
        <v>177</v>
      </c>
      <c r="D10" s="755" t="s">
        <v>87</v>
      </c>
      <c r="E10" s="764">
        <v>14770</v>
      </c>
      <c r="F10" s="764">
        <v>14770</v>
      </c>
      <c r="G10" s="764">
        <v>14770</v>
      </c>
      <c r="H10" s="765">
        <v>14770</v>
      </c>
      <c r="I10" s="765">
        <v>14770</v>
      </c>
      <c r="J10" s="765">
        <v>14770</v>
      </c>
      <c r="K10" s="765">
        <v>14770</v>
      </c>
      <c r="L10" s="765">
        <v>14770</v>
      </c>
      <c r="M10" s="765">
        <v>14770</v>
      </c>
      <c r="N10" s="765">
        <v>14770</v>
      </c>
      <c r="O10" s="765">
        <v>14770</v>
      </c>
      <c r="P10" s="765">
        <v>14770</v>
      </c>
      <c r="Q10" s="766">
        <f>SUM(E10:P10)</f>
        <v>177240</v>
      </c>
      <c r="S10" s="765">
        <f>SUM(E10:G10)</f>
        <v>44310</v>
      </c>
      <c r="T10" s="765">
        <f>SUM(H10:J10)</f>
        <v>44310</v>
      </c>
      <c r="U10" s="765">
        <f>SUM(K10:M10)</f>
        <v>44310</v>
      </c>
      <c r="V10" s="765">
        <f>SUM(N10:P10)</f>
        <v>44310</v>
      </c>
      <c r="X10" s="721" t="s">
        <v>87</v>
      </c>
      <c r="Y10" s="764">
        <v>14770</v>
      </c>
      <c r="Z10" s="764">
        <v>14770</v>
      </c>
      <c r="AA10" s="764">
        <v>14770</v>
      </c>
      <c r="AB10" s="765">
        <v>14770</v>
      </c>
      <c r="AC10" s="765">
        <v>14770</v>
      </c>
      <c r="AD10" s="765">
        <v>14770</v>
      </c>
      <c r="AE10" s="765">
        <v>14770</v>
      </c>
      <c r="AF10" s="765">
        <v>14770</v>
      </c>
      <c r="AG10" s="765">
        <v>14770</v>
      </c>
      <c r="AH10" s="765">
        <v>14770</v>
      </c>
      <c r="AI10" s="765">
        <v>14770</v>
      </c>
      <c r="AJ10" s="765">
        <v>14770</v>
      </c>
      <c r="AK10" s="766">
        <f>SUM(Y10:AJ10)</f>
        <v>177240</v>
      </c>
      <c r="AM10" s="765">
        <f t="shared" ref="AM10" si="90">SUM(Y10:AA10)</f>
        <v>44310</v>
      </c>
      <c r="AN10" s="765">
        <f>SUM(AB10:AD10)</f>
        <v>44310</v>
      </c>
      <c r="AO10" s="765">
        <f>SUM(AE10:AG10)</f>
        <v>44310</v>
      </c>
      <c r="AP10" s="765">
        <f>SUM(AH10:AJ10)</f>
        <v>44310</v>
      </c>
      <c r="AR10" s="721" t="s">
        <v>87</v>
      </c>
      <c r="AS10" s="768">
        <v>19716.949999999997</v>
      </c>
      <c r="AT10" s="768">
        <v>18942.329013999984</v>
      </c>
      <c r="AU10" s="768">
        <v>22689.306303882266</v>
      </c>
      <c r="AV10" s="768">
        <v>18578.693566769194</v>
      </c>
      <c r="AW10" s="768">
        <v>17842.951069028619</v>
      </c>
      <c r="AX10" s="768">
        <v>14991.647306242259</v>
      </c>
      <c r="AY10" s="765">
        <v>16265.482364999965</v>
      </c>
      <c r="AZ10" s="765">
        <v>15941.859999999999</v>
      </c>
      <c r="BA10" s="765"/>
      <c r="BB10" s="765"/>
      <c r="BC10" s="765"/>
      <c r="BD10" s="765"/>
      <c r="BE10" s="766">
        <f>SUM(AS10:BD10)</f>
        <v>144969.21962492229</v>
      </c>
      <c r="BG10" s="765">
        <f t="shared" ref="BG10" si="91">SUM(AS10:AU10)</f>
        <v>61348.585317882251</v>
      </c>
      <c r="BH10" s="765">
        <f>SUM(AV10:AX10)</f>
        <v>51413.291942040072</v>
      </c>
      <c r="BI10" s="765">
        <f>SUM(AY10:BA10)</f>
        <v>32207.342364999964</v>
      </c>
      <c r="BJ10" s="765">
        <f>SUM(BB10:BD10)</f>
        <v>0</v>
      </c>
      <c r="BM10" s="764">
        <f>AS10-E10</f>
        <v>4946.9499999999971</v>
      </c>
      <c r="BN10" s="764">
        <f>AT10-F10</f>
        <v>4172.3290139999845</v>
      </c>
      <c r="BO10" s="764">
        <f>AU10-G10</f>
        <v>7919.3063038822656</v>
      </c>
      <c r="BP10" s="765">
        <f>AV10-H10</f>
        <v>3808.6935667691941</v>
      </c>
      <c r="BQ10" s="765">
        <f>AW10-I10</f>
        <v>3072.9510690286188</v>
      </c>
      <c r="BR10" s="765"/>
      <c r="BS10" s="765"/>
      <c r="BT10" s="765"/>
      <c r="BU10" s="765"/>
      <c r="BV10" s="765"/>
      <c r="BW10" s="765"/>
      <c r="BX10" s="765"/>
      <c r="BY10" s="766">
        <f>SUM(BM10:BX10)</f>
        <v>23920.22995368006</v>
      </c>
      <c r="CA10" s="765">
        <f t="shared" ref="CA10" si="92">SUM(BM10:BO10)</f>
        <v>17038.585317882247</v>
      </c>
      <c r="CB10" s="765">
        <f>SUM(BP10:BR10)</f>
        <v>6881.644635797813</v>
      </c>
      <c r="CC10" s="765">
        <f>SUM(BS10:BU10)</f>
        <v>0</v>
      </c>
      <c r="CD10" s="765">
        <f>SUM(BV10:BX10)</f>
        <v>0</v>
      </c>
      <c r="CG10" s="799">
        <f t="shared" si="74"/>
        <v>1.3349322951929585</v>
      </c>
      <c r="CH10" s="799">
        <f t="shared" si="74"/>
        <v>1.2824867308056862</v>
      </c>
      <c r="CI10" s="799">
        <f t="shared" si="74"/>
        <v>1.536175105205299</v>
      </c>
      <c r="CJ10" s="789">
        <f t="shared" si="74"/>
        <v>1.2578668630175487</v>
      </c>
      <c r="CK10" s="789">
        <f t="shared" si="74"/>
        <v>1.2080535591759389</v>
      </c>
      <c r="CL10" s="789">
        <f t="shared" si="74"/>
        <v>1.015006588100356</v>
      </c>
      <c r="CM10" s="789">
        <f t="shared" si="74"/>
        <v>1.1012513449559895</v>
      </c>
      <c r="CN10" s="789">
        <f t="shared" si="74"/>
        <v>1.0793405551794177</v>
      </c>
      <c r="CO10" s="789">
        <f t="shared" si="74"/>
        <v>0</v>
      </c>
      <c r="CP10" s="789">
        <f t="shared" si="74"/>
        <v>0</v>
      </c>
      <c r="CQ10" s="789">
        <f t="shared" si="74"/>
        <v>0</v>
      </c>
      <c r="CR10" s="789">
        <f t="shared" si="74"/>
        <v>0</v>
      </c>
      <c r="CS10" s="790">
        <f t="shared" si="74"/>
        <v>0.81792608680276624</v>
      </c>
      <c r="CT10" s="787"/>
      <c r="CU10" s="789">
        <f t="shared" si="75"/>
        <v>1.3845313770679812</v>
      </c>
      <c r="CV10" s="789">
        <f t="shared" si="75"/>
        <v>1.1603090034312813</v>
      </c>
      <c r="CW10" s="789">
        <f t="shared" si="75"/>
        <v>0.72686396671180242</v>
      </c>
      <c r="CX10" s="789">
        <f t="shared" si="75"/>
        <v>0</v>
      </c>
      <c r="DA10" s="799">
        <f t="shared" si="76"/>
        <v>1.3349322951929585</v>
      </c>
      <c r="DB10" s="799">
        <f t="shared" si="77"/>
        <v>1.2824867308056862</v>
      </c>
      <c r="DC10" s="799">
        <f t="shared" si="78"/>
        <v>1.536175105205299</v>
      </c>
      <c r="DD10" s="789">
        <f t="shared" si="79"/>
        <v>1.2578668630175487</v>
      </c>
      <c r="DE10" s="789">
        <f t="shared" si="80"/>
        <v>1.2080535591759389</v>
      </c>
      <c r="DF10" s="789">
        <f t="shared" si="81"/>
        <v>1.015006588100356</v>
      </c>
      <c r="DG10" s="789">
        <f t="shared" si="82"/>
        <v>1.1012513449559895</v>
      </c>
      <c r="DH10" s="789">
        <f t="shared" si="83"/>
        <v>1.0793405551794177</v>
      </c>
      <c r="DI10" s="789">
        <f t="shared" si="84"/>
        <v>0</v>
      </c>
      <c r="DJ10" s="789">
        <f t="shared" si="85"/>
        <v>0</v>
      </c>
      <c r="DK10" s="789">
        <f t="shared" si="86"/>
        <v>0</v>
      </c>
      <c r="DL10" s="789">
        <f t="shared" si="87"/>
        <v>0</v>
      </c>
      <c r="DM10" s="790">
        <f t="shared" si="88"/>
        <v>0.81792608680276624</v>
      </c>
      <c r="DN10" s="787"/>
      <c r="DO10" s="789">
        <f t="shared" si="89"/>
        <v>0.38453137706798118</v>
      </c>
      <c r="DP10" s="789">
        <f t="shared" si="89"/>
        <v>0.15530680739782923</v>
      </c>
      <c r="DQ10" s="789">
        <f t="shared" si="89"/>
        <v>0</v>
      </c>
      <c r="DR10" s="789">
        <f t="shared" si="89"/>
        <v>0</v>
      </c>
    </row>
    <row r="11" spans="2:123">
      <c r="X11" s="721"/>
      <c r="AR11" s="721"/>
      <c r="AV11" s="801"/>
      <c r="CG11" s="633"/>
      <c r="CH11" s="633"/>
      <c r="CI11" s="633"/>
      <c r="CJ11" s="633"/>
      <c r="CK11" s="633"/>
      <c r="CL11" s="633"/>
      <c r="CM11" s="633"/>
      <c r="CN11" s="633"/>
      <c r="CO11" s="633"/>
      <c r="CP11" s="633"/>
      <c r="CQ11" s="633"/>
      <c r="CR11" s="633"/>
      <c r="CS11" s="633"/>
      <c r="CT11" s="633"/>
      <c r="CU11" s="633"/>
      <c r="CV11" s="633"/>
      <c r="CW11" s="633"/>
      <c r="CX11" s="633"/>
      <c r="DA11" s="633"/>
      <c r="DB11" s="633"/>
      <c r="DC11" s="633"/>
      <c r="DD11" s="633"/>
      <c r="DE11" s="633"/>
      <c r="DF11" s="633"/>
      <c r="DG11" s="633"/>
      <c r="DH11" s="633"/>
      <c r="DI11" s="633"/>
      <c r="DJ11" s="633"/>
      <c r="DK11" s="633"/>
      <c r="DL11" s="633"/>
      <c r="DM11" s="633"/>
      <c r="DN11" s="633"/>
      <c r="DO11" s="633"/>
      <c r="DP11" s="633"/>
      <c r="DQ11" s="633"/>
      <c r="DR11" s="633"/>
    </row>
    <row r="12" spans="2:123">
      <c r="C12" s="750" t="s">
        <v>163</v>
      </c>
      <c r="D12" s="751"/>
      <c r="E12" s="767">
        <f>SUBTOTAL(9,E13:E16)</f>
        <v>233333.33333333331</v>
      </c>
      <c r="F12" s="767">
        <f t="shared" ref="F12:G12" si="93">SUBTOTAL(9,F13:F16)</f>
        <v>233333.33333333331</v>
      </c>
      <c r="G12" s="767">
        <f t="shared" si="93"/>
        <v>233333.33333333331</v>
      </c>
      <c r="H12" s="767">
        <f>SUBTOTAL(9,H13:H16)</f>
        <v>233333.33333333331</v>
      </c>
      <c r="I12" s="767">
        <f t="shared" ref="I12:J12" si="94">SUBTOTAL(9,I13:I16)</f>
        <v>233333.33333333331</v>
      </c>
      <c r="J12" s="767">
        <f t="shared" si="94"/>
        <v>233333.33333333331</v>
      </c>
      <c r="K12" s="767">
        <f>SUBTOTAL(9,K13:K16)</f>
        <v>233333.33333333331</v>
      </c>
      <c r="L12" s="767">
        <f t="shared" ref="L12:M12" si="95">SUBTOTAL(9,L13:L16)</f>
        <v>233333.33333333331</v>
      </c>
      <c r="M12" s="767">
        <f t="shared" si="95"/>
        <v>233333.33333333331</v>
      </c>
      <c r="N12" s="767">
        <f>SUBTOTAL(9,N13:N16)</f>
        <v>233333.33333333331</v>
      </c>
      <c r="O12" s="767">
        <f t="shared" ref="O12:Q12" si="96">SUBTOTAL(9,O13:O16)</f>
        <v>233333.33333333331</v>
      </c>
      <c r="P12" s="767">
        <f t="shared" si="96"/>
        <v>233333.33333333331</v>
      </c>
      <c r="Q12" s="767">
        <f t="shared" si="96"/>
        <v>2799999.9999999995</v>
      </c>
      <c r="S12" s="759">
        <f t="shared" ref="S12:V12" si="97">SUBTOTAL(9,S13:S16)</f>
        <v>699999.99999999988</v>
      </c>
      <c r="T12" s="759">
        <f t="shared" si="97"/>
        <v>699999.99999999988</v>
      </c>
      <c r="U12" s="759">
        <f t="shared" si="97"/>
        <v>699999.99999999988</v>
      </c>
      <c r="V12" s="759">
        <f t="shared" si="97"/>
        <v>699999.99999999988</v>
      </c>
      <c r="X12" s="721"/>
      <c r="Y12" s="767">
        <f>SUBTOTAL(9,Y13:Y16)</f>
        <v>233333.33333333331</v>
      </c>
      <c r="Z12" s="767">
        <f t="shared" ref="Z12:AA12" si="98">SUBTOTAL(9,Z13:Z16)</f>
        <v>233333.33333333331</v>
      </c>
      <c r="AA12" s="767">
        <f t="shared" si="98"/>
        <v>233333.33333333331</v>
      </c>
      <c r="AB12" s="767">
        <f>SUBTOTAL(9,AB13:AB16)</f>
        <v>233333.33333333331</v>
      </c>
      <c r="AC12" s="767">
        <f t="shared" ref="AC12:AD12" si="99">SUBTOTAL(9,AC13:AC16)</f>
        <v>233333.33333333331</v>
      </c>
      <c r="AD12" s="767">
        <f t="shared" si="99"/>
        <v>233333.33333333331</v>
      </c>
      <c r="AE12" s="767">
        <f>SUBTOTAL(9,AE13:AE16)</f>
        <v>233333.33333333331</v>
      </c>
      <c r="AF12" s="767">
        <f t="shared" ref="AF12:AG12" si="100">SUBTOTAL(9,AF13:AF16)</f>
        <v>233333.33333333331</v>
      </c>
      <c r="AG12" s="767">
        <f t="shared" si="100"/>
        <v>233333.33333333331</v>
      </c>
      <c r="AH12" s="767">
        <f>SUBTOTAL(9,AH13:AH16)</f>
        <v>233333.33333333331</v>
      </c>
      <c r="AI12" s="767">
        <f t="shared" ref="AI12:AK12" si="101">SUBTOTAL(9,AI13:AI16)</f>
        <v>233333.33333333331</v>
      </c>
      <c r="AJ12" s="767">
        <f t="shared" si="101"/>
        <v>233333.33333333331</v>
      </c>
      <c r="AK12" s="767">
        <f t="shared" si="101"/>
        <v>2799999.9999999995</v>
      </c>
      <c r="AM12" s="759">
        <f t="shared" ref="AM12:AP12" si="102">SUBTOTAL(9,AM13:AM16)</f>
        <v>699999.99999999988</v>
      </c>
      <c r="AN12" s="759">
        <f t="shared" si="102"/>
        <v>699999.99999999988</v>
      </c>
      <c r="AO12" s="759">
        <f t="shared" si="102"/>
        <v>699999.99999999988</v>
      </c>
      <c r="AP12" s="759">
        <f t="shared" si="102"/>
        <v>699999.99999999988</v>
      </c>
      <c r="AR12" s="721"/>
      <c r="AS12" s="767">
        <f>SUBTOTAL(9,AS13:AS16)</f>
        <v>179096.81000000003</v>
      </c>
      <c r="AT12" s="767">
        <f t="shared" ref="AT12:AU12" si="103">SUBTOTAL(9,AT13:AT16)</f>
        <v>111137.33000000005</v>
      </c>
      <c r="AU12" s="767">
        <f t="shared" si="103"/>
        <v>65970.250000000015</v>
      </c>
      <c r="AV12" s="767">
        <f>SUBTOTAL(9,AV13:AV16)</f>
        <v>83942.349999999991</v>
      </c>
      <c r="AW12" s="767">
        <f t="shared" ref="AW12:AX12" si="104">SUBTOTAL(9,AW13:AW16)</f>
        <v>62096.72</v>
      </c>
      <c r="AX12" s="767">
        <f t="shared" si="104"/>
        <v>155074.44999999998</v>
      </c>
      <c r="AY12" s="767">
        <f>SUBTOTAL(9,AY13:AY16)</f>
        <v>238630.08000000002</v>
      </c>
      <c r="AZ12" s="767">
        <f t="shared" ref="AZ12:BA12" si="105">SUBTOTAL(9,AZ13:AZ16)</f>
        <v>157793.58000000002</v>
      </c>
      <c r="BA12" s="767">
        <f t="shared" si="105"/>
        <v>0</v>
      </c>
      <c r="BB12" s="767">
        <f>SUBTOTAL(9,BB13:BB16)</f>
        <v>0</v>
      </c>
      <c r="BC12" s="767">
        <f t="shared" ref="BC12:BE12" si="106">SUBTOTAL(9,BC13:BC16)</f>
        <v>0</v>
      </c>
      <c r="BD12" s="767">
        <f t="shared" si="106"/>
        <v>0</v>
      </c>
      <c r="BE12" s="767">
        <f t="shared" si="106"/>
        <v>1053741.57</v>
      </c>
      <c r="BG12" s="759">
        <f t="shared" ref="BG12:BJ12" si="107">SUBTOTAL(9,BG13:BG16)</f>
        <v>356204.39000000007</v>
      </c>
      <c r="BH12" s="759">
        <f t="shared" si="107"/>
        <v>301113.52</v>
      </c>
      <c r="BI12" s="759">
        <f t="shared" si="107"/>
        <v>396423.66000000003</v>
      </c>
      <c r="BJ12" s="759">
        <f t="shared" si="107"/>
        <v>0</v>
      </c>
      <c r="BM12" s="767">
        <f>SUBTOTAL(9,BM13:BM16)</f>
        <v>-54236.523333333302</v>
      </c>
      <c r="BN12" s="767">
        <f t="shared" ref="BN12:BO12" si="108">SUBTOTAL(9,BN13:BN16)</f>
        <v>-122196.00333333327</v>
      </c>
      <c r="BO12" s="767">
        <f t="shared" si="108"/>
        <v>-167363.08333333331</v>
      </c>
      <c r="BP12" s="767">
        <f>SUBTOTAL(9,BP13:BP16)</f>
        <v>-149390.98333333334</v>
      </c>
      <c r="BQ12" s="767">
        <f t="shared" ref="BQ12:BR12" si="109">SUBTOTAL(9,BQ13:BQ16)</f>
        <v>-171236.61333333328</v>
      </c>
      <c r="BR12" s="767">
        <f t="shared" si="109"/>
        <v>0</v>
      </c>
      <c r="BS12" s="767">
        <f>SUBTOTAL(9,BS13:BS16)</f>
        <v>0</v>
      </c>
      <c r="BT12" s="767">
        <f t="shared" ref="BT12:BU12" si="110">SUBTOTAL(9,BT13:BT16)</f>
        <v>0</v>
      </c>
      <c r="BU12" s="767">
        <f t="shared" si="110"/>
        <v>0</v>
      </c>
      <c r="BV12" s="767">
        <f>SUBTOTAL(9,BV13:BV16)</f>
        <v>0</v>
      </c>
      <c r="BW12" s="767">
        <f t="shared" ref="BW12:BY12" si="111">SUBTOTAL(9,BW13:BW16)</f>
        <v>0</v>
      </c>
      <c r="BX12" s="767">
        <f t="shared" si="111"/>
        <v>0</v>
      </c>
      <c r="BY12" s="767">
        <f t="shared" si="111"/>
        <v>-664423.20666666655</v>
      </c>
      <c r="CA12" s="759">
        <f t="shared" ref="CA12:CD12" si="112">SUBTOTAL(9,CA13:CA16)</f>
        <v>-343795.60999999987</v>
      </c>
      <c r="CB12" s="759">
        <f t="shared" si="112"/>
        <v>-320627.59666666662</v>
      </c>
      <c r="CC12" s="759">
        <f t="shared" si="112"/>
        <v>0</v>
      </c>
      <c r="CD12" s="759">
        <f t="shared" si="112"/>
        <v>0</v>
      </c>
      <c r="CG12" s="783">
        <f t="shared" ref="CG12:CS16" si="113">IFERROR(AS12/E12,0)</f>
        <v>0.76755775714285734</v>
      </c>
      <c r="CH12" s="783">
        <f t="shared" si="113"/>
        <v>0.47630284285714308</v>
      </c>
      <c r="CI12" s="783">
        <f t="shared" si="113"/>
        <v>0.28272964285714292</v>
      </c>
      <c r="CJ12" s="783">
        <f t="shared" si="113"/>
        <v>0.35975292857142854</v>
      </c>
      <c r="CK12" s="783">
        <f t="shared" si="113"/>
        <v>0.26612880000000005</v>
      </c>
      <c r="CL12" s="783">
        <f t="shared" si="113"/>
        <v>0.66460478571428572</v>
      </c>
      <c r="CM12" s="783">
        <f t="shared" si="113"/>
        <v>1.0227003428571431</v>
      </c>
      <c r="CN12" s="783">
        <f t="shared" si="113"/>
        <v>0.67625820000000014</v>
      </c>
      <c r="CO12" s="783">
        <f t="shared" si="113"/>
        <v>0</v>
      </c>
      <c r="CP12" s="783">
        <f t="shared" si="113"/>
        <v>0</v>
      </c>
      <c r="CQ12" s="783">
        <f t="shared" si="113"/>
        <v>0</v>
      </c>
      <c r="CR12" s="783">
        <f t="shared" si="113"/>
        <v>0</v>
      </c>
      <c r="CS12" s="783">
        <f t="shared" si="113"/>
        <v>0.37633627500000011</v>
      </c>
      <c r="CT12" s="633"/>
      <c r="CU12" s="780">
        <f t="shared" ref="CU12:CX16" si="114">IFERROR(BG12/S12,0)</f>
        <v>0.50886341428571447</v>
      </c>
      <c r="CV12" s="780">
        <f t="shared" si="114"/>
        <v>0.43016217142857155</v>
      </c>
      <c r="CW12" s="780">
        <f t="shared" si="114"/>
        <v>0.56631951428571448</v>
      </c>
      <c r="CX12" s="780">
        <f t="shared" si="114"/>
        <v>0</v>
      </c>
      <c r="DA12" s="783">
        <f t="shared" ref="DA12:DA16" si="115">IFERROR(AS12/Y12,0)</f>
        <v>0.76755775714285734</v>
      </c>
      <c r="DB12" s="783">
        <f t="shared" ref="DB12:DB16" si="116">IFERROR(AT12/Z12,0)</f>
        <v>0.47630284285714308</v>
      </c>
      <c r="DC12" s="783">
        <f t="shared" ref="DC12:DC16" si="117">IFERROR(AU12/AA12,0)</f>
        <v>0.28272964285714292</v>
      </c>
      <c r="DD12" s="783">
        <f t="shared" ref="DD12:DD16" si="118">IFERROR(AV12/AB12,0)</f>
        <v>0.35975292857142854</v>
      </c>
      <c r="DE12" s="783">
        <f t="shared" ref="DE12:DE16" si="119">IFERROR(AW12/AC12,0)</f>
        <v>0.26612880000000005</v>
      </c>
      <c r="DF12" s="783">
        <f t="shared" ref="DF12:DF16" si="120">IFERROR(AX12/AD12,0)</f>
        <v>0.66460478571428572</v>
      </c>
      <c r="DG12" s="783">
        <f t="shared" ref="DG12:DG16" si="121">IFERROR(AY12/AE12,0)</f>
        <v>1.0227003428571431</v>
      </c>
      <c r="DH12" s="783">
        <f t="shared" ref="DH12:DH16" si="122">IFERROR(AZ12/AF12,0)</f>
        <v>0.67625820000000014</v>
      </c>
      <c r="DI12" s="783">
        <f t="shared" ref="DI12:DI16" si="123">IFERROR(BA12/AG12,0)</f>
        <v>0</v>
      </c>
      <c r="DJ12" s="783">
        <f t="shared" ref="DJ12:DJ16" si="124">IFERROR(BB12/AH12,0)</f>
        <v>0</v>
      </c>
      <c r="DK12" s="783">
        <f t="shared" ref="DK12:DK16" si="125">IFERROR(BC12/AI12,0)</f>
        <v>0</v>
      </c>
      <c r="DL12" s="783">
        <f t="shared" ref="DL12:DL16" si="126">IFERROR(BD12/AJ12,0)</f>
        <v>0</v>
      </c>
      <c r="DM12" s="783">
        <f t="shared" ref="DM12:DM16" si="127">IFERROR(BE12/AK12,0)</f>
        <v>0.37633627500000011</v>
      </c>
      <c r="DN12" s="633"/>
      <c r="DO12" s="780">
        <f t="shared" ref="DO12:DR16" si="128">IFERROR(CA12/AM12,0)</f>
        <v>-0.49113658571428559</v>
      </c>
      <c r="DP12" s="780">
        <f t="shared" si="128"/>
        <v>-0.45803942380952384</v>
      </c>
      <c r="DQ12" s="780">
        <f t="shared" si="128"/>
        <v>0</v>
      </c>
      <c r="DR12" s="780">
        <f t="shared" si="128"/>
        <v>0</v>
      </c>
    </row>
    <row r="13" spans="2:123" s="677" customFormat="1">
      <c r="C13" s="752" t="s">
        <v>177</v>
      </c>
      <c r="D13" s="753" t="s">
        <v>87</v>
      </c>
      <c r="E13" s="795">
        <v>78541.666666666657</v>
      </c>
      <c r="F13" s="795">
        <v>78541.666666666657</v>
      </c>
      <c r="G13" s="795">
        <v>78541.666666666657</v>
      </c>
      <c r="H13" s="761">
        <v>78541.666666666657</v>
      </c>
      <c r="I13" s="761">
        <v>78541.666666666657</v>
      </c>
      <c r="J13" s="761">
        <v>78541.666666666657</v>
      </c>
      <c r="K13" s="761">
        <v>78541.666666666657</v>
      </c>
      <c r="L13" s="761">
        <v>78541.666666666657</v>
      </c>
      <c r="M13" s="761">
        <v>78541.666666666657</v>
      </c>
      <c r="N13" s="761">
        <v>78541.666666666657</v>
      </c>
      <c r="O13" s="761">
        <v>78541.666666666657</v>
      </c>
      <c r="P13" s="761">
        <v>78541.666666666657</v>
      </c>
      <c r="Q13" s="762">
        <f>SUM(E13:P13)</f>
        <v>942499.99999999965</v>
      </c>
      <c r="S13" s="761">
        <f>SUM(E13:G13)</f>
        <v>235624.99999999997</v>
      </c>
      <c r="T13" s="761">
        <f>SUM(H13:J13)</f>
        <v>235624.99999999997</v>
      </c>
      <c r="U13" s="761">
        <f>SUM(K13:M13)</f>
        <v>235624.99999999997</v>
      </c>
      <c r="V13" s="761">
        <f>SUM(N13:P13)</f>
        <v>235624.99999999997</v>
      </c>
      <c r="X13" s="721" t="s">
        <v>87</v>
      </c>
      <c r="Y13" s="795">
        <v>78541.666666666657</v>
      </c>
      <c r="Z13" s="795">
        <v>78541.666666666657</v>
      </c>
      <c r="AA13" s="795">
        <v>78541.666666666657</v>
      </c>
      <c r="AB13" s="761">
        <v>78541.666666666657</v>
      </c>
      <c r="AC13" s="761">
        <v>78541.666666666657</v>
      </c>
      <c r="AD13" s="761">
        <v>78541.666666666657</v>
      </c>
      <c r="AE13" s="761">
        <v>78541.666666666657</v>
      </c>
      <c r="AF13" s="761">
        <v>78541.666666666657</v>
      </c>
      <c r="AG13" s="761">
        <v>78541.666666666657</v>
      </c>
      <c r="AH13" s="761">
        <v>78541.666666666657</v>
      </c>
      <c r="AI13" s="761">
        <v>78541.666666666657</v>
      </c>
      <c r="AJ13" s="761">
        <v>78541.666666666657</v>
      </c>
      <c r="AK13" s="762">
        <f>SUM(Y13:AJ13)</f>
        <v>942499.99999999965</v>
      </c>
      <c r="AM13" s="761">
        <f t="shared" ref="AM13:AM16" si="129">SUM(Y13:AA13)</f>
        <v>235624.99999999997</v>
      </c>
      <c r="AN13" s="761">
        <f t="shared" ref="AN13:AN16" si="130">SUM(AB13:AD13)</f>
        <v>235624.99999999997</v>
      </c>
      <c r="AO13" s="761">
        <f t="shared" ref="AO13:AO16" si="131">SUM(AE13:AG13)</f>
        <v>235624.99999999997</v>
      </c>
      <c r="AP13" s="761">
        <f t="shared" ref="AP13:AP16" si="132">SUM(AH13:AJ13)</f>
        <v>235624.99999999997</v>
      </c>
      <c r="AR13" s="721" t="s">
        <v>87</v>
      </c>
      <c r="AS13" s="784">
        <v>92522.389999999985</v>
      </c>
      <c r="AT13" s="784">
        <v>65724.44</v>
      </c>
      <c r="AU13" s="784">
        <v>34613.98000000001</v>
      </c>
      <c r="AV13" s="784">
        <v>33899.439999999995</v>
      </c>
      <c r="AW13" s="784">
        <v>20539.740000000005</v>
      </c>
      <c r="AX13" s="784">
        <v>35995.880000000005</v>
      </c>
      <c r="AY13" s="784">
        <v>39890.380000000005</v>
      </c>
      <c r="AZ13" s="761">
        <v>38083.230000000003</v>
      </c>
      <c r="BA13" s="761"/>
      <c r="BB13" s="761"/>
      <c r="BC13" s="761"/>
      <c r="BD13" s="761"/>
      <c r="BE13" s="762">
        <f>SUM(AS13:BD13)</f>
        <v>361269.48</v>
      </c>
      <c r="BG13" s="761">
        <f t="shared" ref="BG13:BG16" si="133">SUM(AS13:AU13)</f>
        <v>192860.81</v>
      </c>
      <c r="BH13" s="761">
        <f t="shared" ref="BH13:BH16" si="134">SUM(AV13:AX13)</f>
        <v>90435.06</v>
      </c>
      <c r="BI13" s="761">
        <f t="shared" ref="BI13:BI16" si="135">SUM(AY13:BA13)</f>
        <v>77973.610000000015</v>
      </c>
      <c r="BJ13" s="761">
        <f t="shared" ref="BJ13:BJ16" si="136">SUM(BB13:BD13)</f>
        <v>0</v>
      </c>
      <c r="BM13" s="795">
        <f t="shared" ref="BM13:BQ16" si="137">AS13-E13</f>
        <v>13980.723333333328</v>
      </c>
      <c r="BN13" s="795">
        <f t="shared" si="137"/>
        <v>-12817.226666666655</v>
      </c>
      <c r="BO13" s="795">
        <f t="shared" si="137"/>
        <v>-43927.686666666646</v>
      </c>
      <c r="BP13" s="761">
        <f t="shared" si="137"/>
        <v>-44642.226666666662</v>
      </c>
      <c r="BQ13" s="761">
        <f t="shared" si="137"/>
        <v>-58001.926666666652</v>
      </c>
      <c r="BR13" s="761"/>
      <c r="BS13" s="761"/>
      <c r="BT13" s="761"/>
      <c r="BU13" s="761"/>
      <c r="BV13" s="761"/>
      <c r="BW13" s="761"/>
      <c r="BX13" s="761"/>
      <c r="BY13" s="762">
        <f>SUM(BM13:BX13)</f>
        <v>-145408.34333333327</v>
      </c>
      <c r="CA13" s="761">
        <f t="shared" ref="CA13:CA16" si="138">SUM(BM13:BO13)</f>
        <v>-42764.189999999973</v>
      </c>
      <c r="CB13" s="761">
        <f t="shared" ref="CB13:CB16" si="139">SUM(BP13:BR13)</f>
        <v>-102644.15333333332</v>
      </c>
      <c r="CC13" s="761">
        <f t="shared" ref="CC13:CC16" si="140">SUM(BS13:BU13)</f>
        <v>0</v>
      </c>
      <c r="CD13" s="761">
        <f t="shared" ref="CD13:CD16" si="141">SUM(BV13:BX13)</f>
        <v>0</v>
      </c>
      <c r="CG13" s="798">
        <f t="shared" si="113"/>
        <v>1.1780039045092838</v>
      </c>
      <c r="CH13" s="798">
        <f t="shared" si="113"/>
        <v>0.83680984615384624</v>
      </c>
      <c r="CI13" s="798">
        <f t="shared" si="113"/>
        <v>0.44070849867374023</v>
      </c>
      <c r="CJ13" s="785">
        <f t="shared" si="113"/>
        <v>0.43161090716180373</v>
      </c>
      <c r="CK13" s="785">
        <f t="shared" si="113"/>
        <v>0.26151393103448284</v>
      </c>
      <c r="CL13" s="785">
        <f t="shared" si="113"/>
        <v>0.45830298143236087</v>
      </c>
      <c r="CM13" s="785">
        <f t="shared" si="113"/>
        <v>0.50788812732095501</v>
      </c>
      <c r="CN13" s="785">
        <f t="shared" si="113"/>
        <v>0.48487932095490727</v>
      </c>
      <c r="CO13" s="785">
        <f t="shared" si="113"/>
        <v>0</v>
      </c>
      <c r="CP13" s="785">
        <f t="shared" si="113"/>
        <v>0</v>
      </c>
      <c r="CQ13" s="785">
        <f t="shared" si="113"/>
        <v>0</v>
      </c>
      <c r="CR13" s="785">
        <f t="shared" si="113"/>
        <v>0</v>
      </c>
      <c r="CS13" s="786">
        <f t="shared" si="113"/>
        <v>0.38330979310344837</v>
      </c>
      <c r="CT13" s="787"/>
      <c r="CU13" s="785">
        <f t="shared" si="114"/>
        <v>0.81850741644562341</v>
      </c>
      <c r="CV13" s="785">
        <f t="shared" si="114"/>
        <v>0.38380927320954911</v>
      </c>
      <c r="CW13" s="785">
        <f t="shared" si="114"/>
        <v>0.3309224827586208</v>
      </c>
      <c r="CX13" s="785">
        <f t="shared" si="114"/>
        <v>0</v>
      </c>
      <c r="DA13" s="798">
        <f t="shared" si="115"/>
        <v>1.1780039045092838</v>
      </c>
      <c r="DB13" s="798">
        <f t="shared" si="116"/>
        <v>0.83680984615384624</v>
      </c>
      <c r="DC13" s="798">
        <f t="shared" si="117"/>
        <v>0.44070849867374023</v>
      </c>
      <c r="DD13" s="785">
        <f t="shared" si="118"/>
        <v>0.43161090716180373</v>
      </c>
      <c r="DE13" s="785">
        <f t="shared" si="119"/>
        <v>0.26151393103448284</v>
      </c>
      <c r="DF13" s="785">
        <f t="shared" si="120"/>
        <v>0.45830298143236087</v>
      </c>
      <c r="DG13" s="785">
        <f t="shared" si="121"/>
        <v>0.50788812732095501</v>
      </c>
      <c r="DH13" s="785">
        <f t="shared" si="122"/>
        <v>0.48487932095490727</v>
      </c>
      <c r="DI13" s="785">
        <f t="shared" si="123"/>
        <v>0</v>
      </c>
      <c r="DJ13" s="785">
        <f t="shared" si="124"/>
        <v>0</v>
      </c>
      <c r="DK13" s="785">
        <f t="shared" si="125"/>
        <v>0</v>
      </c>
      <c r="DL13" s="785">
        <f t="shared" si="126"/>
        <v>0</v>
      </c>
      <c r="DM13" s="786">
        <f t="shared" si="127"/>
        <v>0.38330979310344837</v>
      </c>
      <c r="DN13" s="787"/>
      <c r="DO13" s="785">
        <f t="shared" si="128"/>
        <v>-0.18149258355437656</v>
      </c>
      <c r="DP13" s="785">
        <f t="shared" si="128"/>
        <v>-0.43562505393457118</v>
      </c>
      <c r="DQ13" s="785">
        <f t="shared" si="128"/>
        <v>0</v>
      </c>
      <c r="DR13" s="785">
        <f t="shared" si="128"/>
        <v>0</v>
      </c>
    </row>
    <row r="14" spans="2:123" s="677" customFormat="1">
      <c r="C14" s="752" t="s">
        <v>177</v>
      </c>
      <c r="D14" s="753" t="s">
        <v>88</v>
      </c>
      <c r="E14" s="795">
        <v>86874.999999999985</v>
      </c>
      <c r="F14" s="795">
        <v>86874.999999999985</v>
      </c>
      <c r="G14" s="795">
        <v>86874.999999999985</v>
      </c>
      <c r="H14" s="761">
        <v>86874.999999999985</v>
      </c>
      <c r="I14" s="761">
        <v>86874.999999999985</v>
      </c>
      <c r="J14" s="761">
        <v>86874.999999999985</v>
      </c>
      <c r="K14" s="761">
        <v>86874.999999999985</v>
      </c>
      <c r="L14" s="761">
        <v>86874.999999999985</v>
      </c>
      <c r="M14" s="761">
        <v>86874.999999999985</v>
      </c>
      <c r="N14" s="761">
        <v>86874.999999999985</v>
      </c>
      <c r="O14" s="761">
        <v>86874.999999999985</v>
      </c>
      <c r="P14" s="761">
        <v>86874.999999999985</v>
      </c>
      <c r="Q14" s="762">
        <f t="shared" ref="Q14:Q16" si="142">SUM(E14:P14)</f>
        <v>1042499.9999999999</v>
      </c>
      <c r="S14" s="761">
        <f>SUM(E14:G14)</f>
        <v>260624.99999999994</v>
      </c>
      <c r="T14" s="761">
        <f>SUM(H14:J14)</f>
        <v>260624.99999999994</v>
      </c>
      <c r="U14" s="761">
        <f>SUM(K14:M14)</f>
        <v>260624.99999999994</v>
      </c>
      <c r="V14" s="761">
        <f>SUM(N14:P14)</f>
        <v>260624.99999999994</v>
      </c>
      <c r="X14" s="721" t="s">
        <v>88</v>
      </c>
      <c r="Y14" s="795">
        <v>86874.999999999985</v>
      </c>
      <c r="Z14" s="795">
        <v>86874.999999999985</v>
      </c>
      <c r="AA14" s="795">
        <v>86874.999999999985</v>
      </c>
      <c r="AB14" s="761">
        <v>86874.999999999985</v>
      </c>
      <c r="AC14" s="761">
        <v>86874.999999999985</v>
      </c>
      <c r="AD14" s="761">
        <v>86874.999999999985</v>
      </c>
      <c r="AE14" s="761">
        <v>86874.999999999985</v>
      </c>
      <c r="AF14" s="761">
        <v>86874.999999999985</v>
      </c>
      <c r="AG14" s="761">
        <v>86874.999999999985</v>
      </c>
      <c r="AH14" s="761">
        <v>86874.999999999985</v>
      </c>
      <c r="AI14" s="761">
        <v>86874.999999999985</v>
      </c>
      <c r="AJ14" s="761">
        <v>86874.999999999985</v>
      </c>
      <c r="AK14" s="762">
        <f t="shared" ref="AK14:AK16" si="143">SUM(Y14:AJ14)</f>
        <v>1042499.9999999999</v>
      </c>
      <c r="AM14" s="761">
        <f t="shared" si="129"/>
        <v>260624.99999999994</v>
      </c>
      <c r="AN14" s="761">
        <f t="shared" si="130"/>
        <v>260624.99999999994</v>
      </c>
      <c r="AO14" s="761">
        <f t="shared" si="131"/>
        <v>260624.99999999994</v>
      </c>
      <c r="AP14" s="761">
        <f t="shared" si="132"/>
        <v>260624.99999999994</v>
      </c>
      <c r="AR14" s="721" t="s">
        <v>88</v>
      </c>
      <c r="AS14" s="784">
        <v>86044.97000000003</v>
      </c>
      <c r="AT14" s="784">
        <v>45343.140000000043</v>
      </c>
      <c r="AU14" s="784">
        <v>11121.27</v>
      </c>
      <c r="AV14" s="784">
        <v>49497.21</v>
      </c>
      <c r="AW14" s="784">
        <v>46179.450000000004</v>
      </c>
      <c r="AX14" s="784">
        <v>110133.42</v>
      </c>
      <c r="AY14" s="784">
        <v>95536.950000000012</v>
      </c>
      <c r="AZ14" s="761">
        <v>97524.97</v>
      </c>
      <c r="BA14" s="761"/>
      <c r="BB14" s="761"/>
      <c r="BC14" s="761"/>
      <c r="BD14" s="761"/>
      <c r="BE14" s="762">
        <f t="shared" ref="BE14:BE16" si="144">SUM(AS14:BD14)</f>
        <v>541381.38000000012</v>
      </c>
      <c r="BG14" s="761">
        <f t="shared" si="133"/>
        <v>142509.38000000006</v>
      </c>
      <c r="BH14" s="761">
        <f t="shared" si="134"/>
        <v>205810.08000000002</v>
      </c>
      <c r="BI14" s="761">
        <f t="shared" si="135"/>
        <v>193061.92</v>
      </c>
      <c r="BJ14" s="761">
        <f t="shared" si="136"/>
        <v>0</v>
      </c>
      <c r="BM14" s="795">
        <f t="shared" si="137"/>
        <v>-830.02999999995518</v>
      </c>
      <c r="BN14" s="795">
        <f t="shared" si="137"/>
        <v>-41531.859999999942</v>
      </c>
      <c r="BO14" s="795">
        <f t="shared" si="137"/>
        <v>-75753.729999999981</v>
      </c>
      <c r="BP14" s="761">
        <f t="shared" si="137"/>
        <v>-37377.789999999986</v>
      </c>
      <c r="BQ14" s="761">
        <f t="shared" si="137"/>
        <v>-40695.549999999981</v>
      </c>
      <c r="BR14" s="761"/>
      <c r="BS14" s="761"/>
      <c r="BT14" s="761"/>
      <c r="BU14" s="761"/>
      <c r="BV14" s="761"/>
      <c r="BW14" s="761"/>
      <c r="BX14" s="761"/>
      <c r="BY14" s="762">
        <f t="shared" ref="BY14:BY16" si="145">SUM(BM14:BX14)</f>
        <v>-196188.95999999985</v>
      </c>
      <c r="CA14" s="761">
        <f t="shared" si="138"/>
        <v>-118115.61999999988</v>
      </c>
      <c r="CB14" s="761">
        <f t="shared" si="139"/>
        <v>-78073.339999999967</v>
      </c>
      <c r="CC14" s="761">
        <f t="shared" si="140"/>
        <v>0</v>
      </c>
      <c r="CD14" s="761">
        <f t="shared" si="141"/>
        <v>0</v>
      </c>
      <c r="CG14" s="798">
        <f t="shared" si="113"/>
        <v>0.99044569784172709</v>
      </c>
      <c r="CH14" s="798">
        <f t="shared" si="113"/>
        <v>0.52193542446043228</v>
      </c>
      <c r="CI14" s="798">
        <f t="shared" si="113"/>
        <v>0.128014618705036</v>
      </c>
      <c r="CJ14" s="785">
        <f t="shared" si="113"/>
        <v>0.56975205755395697</v>
      </c>
      <c r="CK14" s="785">
        <f t="shared" si="113"/>
        <v>0.53156201438848938</v>
      </c>
      <c r="CL14" s="785">
        <f t="shared" si="113"/>
        <v>1.267722820143885</v>
      </c>
      <c r="CM14" s="785">
        <f t="shared" si="113"/>
        <v>1.0997058992805759</v>
      </c>
      <c r="CN14" s="785">
        <f t="shared" si="113"/>
        <v>1.122589582733813</v>
      </c>
      <c r="CO14" s="785">
        <f t="shared" si="113"/>
        <v>0</v>
      </c>
      <c r="CP14" s="785">
        <f t="shared" si="113"/>
        <v>0</v>
      </c>
      <c r="CQ14" s="785">
        <f t="shared" si="113"/>
        <v>0</v>
      </c>
      <c r="CR14" s="785">
        <f t="shared" si="113"/>
        <v>0</v>
      </c>
      <c r="CS14" s="786">
        <f t="shared" si="113"/>
        <v>0.51931067625899296</v>
      </c>
      <c r="CT14" s="787"/>
      <c r="CU14" s="785">
        <f t="shared" si="114"/>
        <v>0.54679858033573181</v>
      </c>
      <c r="CV14" s="785">
        <f t="shared" si="114"/>
        <v>0.78967896402877724</v>
      </c>
      <c r="CW14" s="785">
        <f t="shared" si="114"/>
        <v>0.74076516067146303</v>
      </c>
      <c r="CX14" s="785">
        <f t="shared" si="114"/>
        <v>0</v>
      </c>
      <c r="DA14" s="798">
        <f t="shared" si="115"/>
        <v>0.99044569784172709</v>
      </c>
      <c r="DB14" s="798">
        <f t="shared" si="116"/>
        <v>0.52193542446043228</v>
      </c>
      <c r="DC14" s="798">
        <f t="shared" si="117"/>
        <v>0.128014618705036</v>
      </c>
      <c r="DD14" s="785">
        <f t="shared" si="118"/>
        <v>0.56975205755395697</v>
      </c>
      <c r="DE14" s="785">
        <f t="shared" si="119"/>
        <v>0.53156201438848938</v>
      </c>
      <c r="DF14" s="785">
        <f t="shared" si="120"/>
        <v>1.267722820143885</v>
      </c>
      <c r="DG14" s="785">
        <f t="shared" si="121"/>
        <v>1.0997058992805759</v>
      </c>
      <c r="DH14" s="785">
        <f t="shared" si="122"/>
        <v>1.122589582733813</v>
      </c>
      <c r="DI14" s="785">
        <f t="shared" si="123"/>
        <v>0</v>
      </c>
      <c r="DJ14" s="785">
        <f t="shared" si="124"/>
        <v>0</v>
      </c>
      <c r="DK14" s="785">
        <f t="shared" si="125"/>
        <v>0</v>
      </c>
      <c r="DL14" s="785">
        <f t="shared" si="126"/>
        <v>0</v>
      </c>
      <c r="DM14" s="786">
        <f t="shared" si="127"/>
        <v>0.51931067625899296</v>
      </c>
      <c r="DN14" s="787"/>
      <c r="DO14" s="785">
        <f t="shared" si="128"/>
        <v>-0.45320141966426825</v>
      </c>
      <c r="DP14" s="785">
        <f t="shared" si="128"/>
        <v>-0.29956197601918461</v>
      </c>
      <c r="DQ14" s="785">
        <f t="shared" si="128"/>
        <v>0</v>
      </c>
      <c r="DR14" s="785">
        <f t="shared" si="128"/>
        <v>0</v>
      </c>
    </row>
    <row r="15" spans="2:123" s="677" customFormat="1">
      <c r="C15" s="752" t="s">
        <v>177</v>
      </c>
      <c r="D15" s="753" t="s">
        <v>89</v>
      </c>
      <c r="E15" s="795">
        <v>67916.666666666672</v>
      </c>
      <c r="F15" s="795">
        <v>67916.666666666672</v>
      </c>
      <c r="G15" s="795">
        <v>67916.666666666672</v>
      </c>
      <c r="H15" s="761">
        <v>67916.666666666672</v>
      </c>
      <c r="I15" s="761">
        <v>67916.666666666672</v>
      </c>
      <c r="J15" s="761">
        <v>67916.666666666672</v>
      </c>
      <c r="K15" s="761">
        <v>67916.666666666672</v>
      </c>
      <c r="L15" s="761">
        <v>67916.666666666672</v>
      </c>
      <c r="M15" s="761">
        <v>67916.666666666672</v>
      </c>
      <c r="N15" s="761">
        <v>67916.666666666672</v>
      </c>
      <c r="O15" s="761">
        <v>67916.666666666672</v>
      </c>
      <c r="P15" s="761">
        <v>67916.666666666672</v>
      </c>
      <c r="Q15" s="762">
        <f t="shared" si="142"/>
        <v>814999.99999999988</v>
      </c>
      <c r="S15" s="761">
        <f>SUM(E15:G15)</f>
        <v>203750</v>
      </c>
      <c r="T15" s="761">
        <f>SUM(H15:J15)</f>
        <v>203750</v>
      </c>
      <c r="U15" s="761">
        <f>SUM(K15:M15)</f>
        <v>203750</v>
      </c>
      <c r="V15" s="761">
        <f>SUM(N15:P15)</f>
        <v>203750</v>
      </c>
      <c r="X15" s="721" t="s">
        <v>89</v>
      </c>
      <c r="Y15" s="795">
        <v>67916.666666666672</v>
      </c>
      <c r="Z15" s="795">
        <v>67916.666666666672</v>
      </c>
      <c r="AA15" s="795">
        <v>67916.666666666672</v>
      </c>
      <c r="AB15" s="761">
        <v>67916.666666666672</v>
      </c>
      <c r="AC15" s="761">
        <v>67916.666666666672</v>
      </c>
      <c r="AD15" s="761">
        <v>67916.666666666672</v>
      </c>
      <c r="AE15" s="761">
        <v>67916.666666666672</v>
      </c>
      <c r="AF15" s="761">
        <v>67916.666666666672</v>
      </c>
      <c r="AG15" s="761">
        <v>67916.666666666672</v>
      </c>
      <c r="AH15" s="761">
        <v>67916.666666666672</v>
      </c>
      <c r="AI15" s="761">
        <v>67916.666666666672</v>
      </c>
      <c r="AJ15" s="761">
        <v>67916.666666666672</v>
      </c>
      <c r="AK15" s="762">
        <f t="shared" si="143"/>
        <v>814999.99999999988</v>
      </c>
      <c r="AM15" s="761">
        <f t="shared" si="129"/>
        <v>203750</v>
      </c>
      <c r="AN15" s="761">
        <f t="shared" si="130"/>
        <v>203750</v>
      </c>
      <c r="AO15" s="761">
        <f t="shared" si="131"/>
        <v>203750</v>
      </c>
      <c r="AP15" s="761">
        <f t="shared" si="132"/>
        <v>203750</v>
      </c>
      <c r="AR15" s="721" t="s">
        <v>89</v>
      </c>
      <c r="AS15" s="784">
        <v>529.45000000000005</v>
      </c>
      <c r="AT15" s="784">
        <v>69.75</v>
      </c>
      <c r="AU15" s="784">
        <v>20235</v>
      </c>
      <c r="AV15" s="784">
        <v>545.70000000000073</v>
      </c>
      <c r="AW15" s="784">
        <v>3356.03</v>
      </c>
      <c r="AX15" s="784">
        <v>8945.15</v>
      </c>
      <c r="AY15" s="784">
        <v>103202.75000000001</v>
      </c>
      <c r="AZ15" s="761">
        <v>22185.38</v>
      </c>
      <c r="BA15" s="761"/>
      <c r="BB15" s="761"/>
      <c r="BC15" s="761"/>
      <c r="BD15" s="761"/>
      <c r="BE15" s="762">
        <f t="shared" si="144"/>
        <v>159069.21000000002</v>
      </c>
      <c r="BG15" s="761">
        <f t="shared" si="133"/>
        <v>20834.2</v>
      </c>
      <c r="BH15" s="761">
        <f t="shared" si="134"/>
        <v>12846.880000000001</v>
      </c>
      <c r="BI15" s="761">
        <f t="shared" si="135"/>
        <v>125388.13000000002</v>
      </c>
      <c r="BJ15" s="761">
        <f t="shared" si="136"/>
        <v>0</v>
      </c>
      <c r="BM15" s="795">
        <f t="shared" si="137"/>
        <v>-67387.216666666674</v>
      </c>
      <c r="BN15" s="795">
        <f t="shared" si="137"/>
        <v>-67846.916666666672</v>
      </c>
      <c r="BO15" s="795">
        <f t="shared" si="137"/>
        <v>-47681.666666666672</v>
      </c>
      <c r="BP15" s="761">
        <f t="shared" si="137"/>
        <v>-67370.966666666674</v>
      </c>
      <c r="BQ15" s="761">
        <f t="shared" si="137"/>
        <v>-64560.636666666673</v>
      </c>
      <c r="BR15" s="761"/>
      <c r="BS15" s="761"/>
      <c r="BT15" s="761"/>
      <c r="BU15" s="761"/>
      <c r="BV15" s="761"/>
      <c r="BW15" s="761"/>
      <c r="BX15" s="761"/>
      <c r="BY15" s="762">
        <f t="shared" si="145"/>
        <v>-314847.40333333338</v>
      </c>
      <c r="CA15" s="761">
        <f t="shared" si="138"/>
        <v>-182915.80000000005</v>
      </c>
      <c r="CB15" s="761">
        <f t="shared" si="139"/>
        <v>-131931.60333333333</v>
      </c>
      <c r="CC15" s="761">
        <f t="shared" si="140"/>
        <v>0</v>
      </c>
      <c r="CD15" s="761">
        <f t="shared" si="141"/>
        <v>0</v>
      </c>
      <c r="CG15" s="798">
        <f t="shared" si="113"/>
        <v>7.7955828220858895E-3</v>
      </c>
      <c r="CH15" s="798">
        <f t="shared" si="113"/>
        <v>1.0269938650306748E-3</v>
      </c>
      <c r="CI15" s="798">
        <f t="shared" si="113"/>
        <v>0.29793865030674843</v>
      </c>
      <c r="CJ15" s="785">
        <f t="shared" si="113"/>
        <v>8.034846625766881E-3</v>
      </c>
      <c r="CK15" s="785">
        <f t="shared" si="113"/>
        <v>4.941393865030675E-2</v>
      </c>
      <c r="CL15" s="785">
        <f t="shared" si="113"/>
        <v>0.13170773006134967</v>
      </c>
      <c r="CM15" s="785">
        <f t="shared" si="113"/>
        <v>1.5195496932515338</v>
      </c>
      <c r="CN15" s="785">
        <f t="shared" si="113"/>
        <v>0.32665590184049081</v>
      </c>
      <c r="CO15" s="785">
        <f t="shared" si="113"/>
        <v>0</v>
      </c>
      <c r="CP15" s="785">
        <f t="shared" si="113"/>
        <v>0</v>
      </c>
      <c r="CQ15" s="785">
        <f t="shared" si="113"/>
        <v>0</v>
      </c>
      <c r="CR15" s="785">
        <f t="shared" si="113"/>
        <v>0</v>
      </c>
      <c r="CS15" s="786">
        <f t="shared" si="113"/>
        <v>0.19517694478527614</v>
      </c>
      <c r="CT15" s="787"/>
      <c r="CU15" s="785">
        <f t="shared" si="114"/>
        <v>0.10225374233128835</v>
      </c>
      <c r="CV15" s="785">
        <f t="shared" si="114"/>
        <v>6.3052171779141103E-2</v>
      </c>
      <c r="CW15" s="785">
        <f t="shared" si="114"/>
        <v>0.61540186503067495</v>
      </c>
      <c r="CX15" s="785">
        <f t="shared" si="114"/>
        <v>0</v>
      </c>
      <c r="DA15" s="798">
        <f t="shared" si="115"/>
        <v>7.7955828220858895E-3</v>
      </c>
      <c r="DB15" s="798">
        <f t="shared" si="116"/>
        <v>1.0269938650306748E-3</v>
      </c>
      <c r="DC15" s="798">
        <f t="shared" si="117"/>
        <v>0.29793865030674843</v>
      </c>
      <c r="DD15" s="785">
        <f t="shared" si="118"/>
        <v>8.034846625766881E-3</v>
      </c>
      <c r="DE15" s="785">
        <f t="shared" si="119"/>
        <v>4.941393865030675E-2</v>
      </c>
      <c r="DF15" s="785">
        <f t="shared" si="120"/>
        <v>0.13170773006134967</v>
      </c>
      <c r="DG15" s="785">
        <f t="shared" si="121"/>
        <v>1.5195496932515338</v>
      </c>
      <c r="DH15" s="785">
        <f t="shared" si="122"/>
        <v>0.32665590184049081</v>
      </c>
      <c r="DI15" s="785">
        <f t="shared" si="123"/>
        <v>0</v>
      </c>
      <c r="DJ15" s="785">
        <f t="shared" si="124"/>
        <v>0</v>
      </c>
      <c r="DK15" s="785">
        <f t="shared" si="125"/>
        <v>0</v>
      </c>
      <c r="DL15" s="785">
        <f t="shared" si="126"/>
        <v>0</v>
      </c>
      <c r="DM15" s="786">
        <f t="shared" si="127"/>
        <v>0.19517694478527614</v>
      </c>
      <c r="DN15" s="787"/>
      <c r="DO15" s="785">
        <f t="shared" si="128"/>
        <v>-0.89774625766871186</v>
      </c>
      <c r="DP15" s="785">
        <f t="shared" si="128"/>
        <v>-0.64751707157464211</v>
      </c>
      <c r="DQ15" s="785">
        <f t="shared" si="128"/>
        <v>0</v>
      </c>
      <c r="DR15" s="785">
        <f t="shared" si="128"/>
        <v>0</v>
      </c>
    </row>
    <row r="16" spans="2:123" s="677" customFormat="1">
      <c r="C16" s="754" t="s">
        <v>161</v>
      </c>
      <c r="D16" s="755" t="s">
        <v>147</v>
      </c>
      <c r="E16" s="764">
        <v>0</v>
      </c>
      <c r="F16" s="764">
        <v>0</v>
      </c>
      <c r="G16" s="764">
        <v>0</v>
      </c>
      <c r="H16" s="765">
        <v>0</v>
      </c>
      <c r="I16" s="765">
        <v>0</v>
      </c>
      <c r="J16" s="765">
        <v>0</v>
      </c>
      <c r="K16" s="765">
        <v>0</v>
      </c>
      <c r="L16" s="765">
        <v>0</v>
      </c>
      <c r="M16" s="765">
        <v>0</v>
      </c>
      <c r="N16" s="765">
        <v>0</v>
      </c>
      <c r="O16" s="765">
        <v>0</v>
      </c>
      <c r="P16" s="765">
        <v>0</v>
      </c>
      <c r="Q16" s="766">
        <f t="shared" si="142"/>
        <v>0</v>
      </c>
      <c r="S16" s="765">
        <f>SUM(E16:G16)</f>
        <v>0</v>
      </c>
      <c r="T16" s="765">
        <f>SUM(H16:J16)</f>
        <v>0</v>
      </c>
      <c r="U16" s="765">
        <f>SUM(K16:M16)</f>
        <v>0</v>
      </c>
      <c r="V16" s="765">
        <f>SUM(N16:P16)</f>
        <v>0</v>
      </c>
      <c r="X16" s="721" t="s">
        <v>147</v>
      </c>
      <c r="Y16" s="764">
        <v>0</v>
      </c>
      <c r="Z16" s="764">
        <v>0</v>
      </c>
      <c r="AA16" s="764">
        <v>0</v>
      </c>
      <c r="AB16" s="765">
        <v>0</v>
      </c>
      <c r="AC16" s="765">
        <v>0</v>
      </c>
      <c r="AD16" s="765">
        <v>0</v>
      </c>
      <c r="AE16" s="765">
        <v>0</v>
      </c>
      <c r="AF16" s="765">
        <v>0</v>
      </c>
      <c r="AG16" s="765">
        <v>0</v>
      </c>
      <c r="AH16" s="765">
        <v>0</v>
      </c>
      <c r="AI16" s="765">
        <v>0</v>
      </c>
      <c r="AJ16" s="765">
        <v>0</v>
      </c>
      <c r="AK16" s="766">
        <f t="shared" si="143"/>
        <v>0</v>
      </c>
      <c r="AM16" s="765">
        <f t="shared" si="129"/>
        <v>0</v>
      </c>
      <c r="AN16" s="765">
        <f t="shared" si="130"/>
        <v>0</v>
      </c>
      <c r="AO16" s="765">
        <f t="shared" si="131"/>
        <v>0</v>
      </c>
      <c r="AP16" s="765">
        <f t="shared" si="132"/>
        <v>0</v>
      </c>
      <c r="AR16" s="721" t="s">
        <v>147</v>
      </c>
      <c r="AS16" s="768">
        <v>0</v>
      </c>
      <c r="AT16" s="768">
        <v>0</v>
      </c>
      <c r="AU16" s="768">
        <v>0</v>
      </c>
      <c r="AV16" s="768">
        <v>0</v>
      </c>
      <c r="AW16" s="768">
        <v>-7978.5</v>
      </c>
      <c r="AX16" s="768">
        <v>0</v>
      </c>
      <c r="AY16" s="768">
        <v>0</v>
      </c>
      <c r="AZ16" s="768">
        <v>0</v>
      </c>
      <c r="BA16" s="765"/>
      <c r="BB16" s="765"/>
      <c r="BC16" s="765"/>
      <c r="BD16" s="765"/>
      <c r="BE16" s="766">
        <f t="shared" si="144"/>
        <v>-7978.5</v>
      </c>
      <c r="BG16" s="765">
        <f t="shared" si="133"/>
        <v>0</v>
      </c>
      <c r="BH16" s="765">
        <f t="shared" si="134"/>
        <v>-7978.5</v>
      </c>
      <c r="BI16" s="765">
        <f t="shared" si="135"/>
        <v>0</v>
      </c>
      <c r="BJ16" s="765">
        <f t="shared" si="136"/>
        <v>0</v>
      </c>
      <c r="BM16" s="764">
        <f t="shared" si="137"/>
        <v>0</v>
      </c>
      <c r="BN16" s="764">
        <f t="shared" si="137"/>
        <v>0</v>
      </c>
      <c r="BO16" s="764">
        <f t="shared" si="137"/>
        <v>0</v>
      </c>
      <c r="BP16" s="765">
        <f t="shared" si="137"/>
        <v>0</v>
      </c>
      <c r="BQ16" s="765">
        <f t="shared" si="137"/>
        <v>-7978.5</v>
      </c>
      <c r="BR16" s="765"/>
      <c r="BS16" s="765"/>
      <c r="BT16" s="765"/>
      <c r="BU16" s="765"/>
      <c r="BV16" s="765"/>
      <c r="BW16" s="765"/>
      <c r="BX16" s="765"/>
      <c r="BY16" s="766">
        <f t="shared" si="145"/>
        <v>-7978.5</v>
      </c>
      <c r="CA16" s="765">
        <f t="shared" si="138"/>
        <v>0</v>
      </c>
      <c r="CB16" s="765">
        <f t="shared" si="139"/>
        <v>-7978.5</v>
      </c>
      <c r="CC16" s="765">
        <f t="shared" si="140"/>
        <v>0</v>
      </c>
      <c r="CD16" s="765">
        <f t="shared" si="141"/>
        <v>0</v>
      </c>
      <c r="CG16" s="799">
        <f t="shared" si="113"/>
        <v>0</v>
      </c>
      <c r="CH16" s="799">
        <f t="shared" si="113"/>
        <v>0</v>
      </c>
      <c r="CI16" s="799">
        <f t="shared" si="113"/>
        <v>0</v>
      </c>
      <c r="CJ16" s="789">
        <f t="shared" si="113"/>
        <v>0</v>
      </c>
      <c r="CK16" s="789">
        <f t="shared" si="113"/>
        <v>0</v>
      </c>
      <c r="CL16" s="789">
        <f t="shared" si="113"/>
        <v>0</v>
      </c>
      <c r="CM16" s="789">
        <f t="shared" si="113"/>
        <v>0</v>
      </c>
      <c r="CN16" s="789">
        <f t="shared" si="113"/>
        <v>0</v>
      </c>
      <c r="CO16" s="789">
        <f t="shared" si="113"/>
        <v>0</v>
      </c>
      <c r="CP16" s="789">
        <f t="shared" si="113"/>
        <v>0</v>
      </c>
      <c r="CQ16" s="789">
        <f t="shared" si="113"/>
        <v>0</v>
      </c>
      <c r="CR16" s="789">
        <f t="shared" si="113"/>
        <v>0</v>
      </c>
      <c r="CS16" s="790">
        <f t="shared" si="113"/>
        <v>0</v>
      </c>
      <c r="CT16" s="787"/>
      <c r="CU16" s="789">
        <f t="shared" si="114"/>
        <v>0</v>
      </c>
      <c r="CV16" s="789">
        <f t="shared" si="114"/>
        <v>0</v>
      </c>
      <c r="CW16" s="789">
        <f t="shared" si="114"/>
        <v>0</v>
      </c>
      <c r="CX16" s="789">
        <f t="shared" si="114"/>
        <v>0</v>
      </c>
      <c r="DA16" s="799">
        <f t="shared" si="115"/>
        <v>0</v>
      </c>
      <c r="DB16" s="799">
        <f t="shared" si="116"/>
        <v>0</v>
      </c>
      <c r="DC16" s="799">
        <f t="shared" si="117"/>
        <v>0</v>
      </c>
      <c r="DD16" s="789">
        <f t="shared" si="118"/>
        <v>0</v>
      </c>
      <c r="DE16" s="789">
        <f t="shared" si="119"/>
        <v>0</v>
      </c>
      <c r="DF16" s="789">
        <f t="shared" si="120"/>
        <v>0</v>
      </c>
      <c r="DG16" s="789">
        <f t="shared" si="121"/>
        <v>0</v>
      </c>
      <c r="DH16" s="789">
        <f t="shared" si="122"/>
        <v>0</v>
      </c>
      <c r="DI16" s="789">
        <f t="shared" si="123"/>
        <v>0</v>
      </c>
      <c r="DJ16" s="789">
        <f t="shared" si="124"/>
        <v>0</v>
      </c>
      <c r="DK16" s="789">
        <f t="shared" si="125"/>
        <v>0</v>
      </c>
      <c r="DL16" s="789">
        <f t="shared" si="126"/>
        <v>0</v>
      </c>
      <c r="DM16" s="790">
        <f t="shared" si="127"/>
        <v>0</v>
      </c>
      <c r="DN16" s="787"/>
      <c r="DO16" s="789">
        <f t="shared" si="128"/>
        <v>0</v>
      </c>
      <c r="DP16" s="789">
        <f t="shared" si="128"/>
        <v>0</v>
      </c>
      <c r="DQ16" s="789">
        <f t="shared" si="128"/>
        <v>0</v>
      </c>
      <c r="DR16" s="789">
        <f t="shared" si="128"/>
        <v>0</v>
      </c>
    </row>
    <row r="17" spans="1:123">
      <c r="X17" s="721"/>
      <c r="AR17" s="721"/>
      <c r="CG17" s="633"/>
      <c r="CH17" s="633"/>
      <c r="CI17" s="633"/>
      <c r="CJ17" s="633"/>
      <c r="CK17" s="633"/>
      <c r="CL17" s="633"/>
      <c r="CM17" s="633"/>
      <c r="CN17" s="633"/>
      <c r="CO17" s="633"/>
      <c r="CP17" s="633"/>
      <c r="CQ17" s="633"/>
      <c r="CR17" s="633"/>
      <c r="CS17" s="633"/>
      <c r="CT17" s="633"/>
      <c r="CU17" s="633"/>
      <c r="CV17" s="633"/>
      <c r="CW17" s="633"/>
      <c r="CX17" s="633"/>
      <c r="DA17" s="633"/>
      <c r="DB17" s="633"/>
      <c r="DC17" s="633"/>
      <c r="DD17" s="633"/>
      <c r="DE17" s="633"/>
      <c r="DF17" s="633"/>
      <c r="DG17" s="633"/>
      <c r="DH17" s="633"/>
      <c r="DI17" s="633"/>
      <c r="DJ17" s="633"/>
      <c r="DK17" s="633"/>
      <c r="DL17" s="633"/>
      <c r="DM17" s="633"/>
      <c r="DN17" s="633"/>
      <c r="DO17" s="633"/>
      <c r="DP17" s="633"/>
      <c r="DQ17" s="633"/>
      <c r="DR17" s="633"/>
    </row>
    <row r="18" spans="1:123">
      <c r="C18" s="750" t="s">
        <v>164</v>
      </c>
      <c r="D18" s="751"/>
      <c r="E18" s="767">
        <f>SUBTOTAL(9,E19:E19)</f>
        <v>269.17799999999994</v>
      </c>
      <c r="F18" s="767">
        <f t="shared" ref="F18:G18" si="146">SUBTOTAL(9,F19:F19)</f>
        <v>265.02839999999998</v>
      </c>
      <c r="G18" s="767">
        <f t="shared" si="146"/>
        <v>384.35846399999991</v>
      </c>
      <c r="H18" s="767">
        <f>SUBTOTAL(9,H19:H19)</f>
        <v>10105.374742419997</v>
      </c>
      <c r="I18" s="767">
        <f t="shared" ref="I18:J18" si="147">SUBTOTAL(9,I19:I19)</f>
        <v>12035.781591710998</v>
      </c>
      <c r="J18" s="767">
        <f t="shared" si="147"/>
        <v>15662.307442090048</v>
      </c>
      <c r="K18" s="767">
        <f>SUBTOTAL(9,K19:K19)</f>
        <v>18770.075066563848</v>
      </c>
      <c r="L18" s="767">
        <f t="shared" ref="L18:M18" si="148">SUBTOTAL(9,L19:L19)</f>
        <v>22087.710762247058</v>
      </c>
      <c r="M18" s="767">
        <f t="shared" si="148"/>
        <v>24239.445635857184</v>
      </c>
      <c r="N18" s="767">
        <f>SUBTOTAL(9,N19:N19)</f>
        <v>33116.499515998366</v>
      </c>
      <c r="O18" s="767">
        <f t="shared" ref="O18:Q18" si="149">SUBTOTAL(9,O19:O19)</f>
        <v>34716.188078582723</v>
      </c>
      <c r="P18" s="767">
        <f t="shared" si="149"/>
        <v>36284.705817038754</v>
      </c>
      <c r="Q18" s="767">
        <f t="shared" si="149"/>
        <v>207936.65351650899</v>
      </c>
      <c r="S18" s="759">
        <f t="shared" ref="S18:V18" si="150">SUBTOTAL(9,S19:S19)</f>
        <v>918.56486399999983</v>
      </c>
      <c r="T18" s="759">
        <f t="shared" si="150"/>
        <v>37803.463776221048</v>
      </c>
      <c r="U18" s="759">
        <f t="shared" si="150"/>
        <v>65097.23146466809</v>
      </c>
      <c r="V18" s="759">
        <f t="shared" si="150"/>
        <v>104117.39341161985</v>
      </c>
      <c r="X18" s="721"/>
      <c r="Y18" s="767">
        <f>SUBTOTAL(9,Y19:Y19)</f>
        <v>269.17799999999994</v>
      </c>
      <c r="Z18" s="767">
        <f t="shared" ref="Z18:AA18" si="151">SUBTOTAL(9,Z19:Z19)</f>
        <v>265.02839999999998</v>
      </c>
      <c r="AA18" s="767">
        <f t="shared" si="151"/>
        <v>384.35846399999991</v>
      </c>
      <c r="AB18" s="767">
        <f>SUBTOTAL(9,AB19:AB19)</f>
        <v>10105.374742419997</v>
      </c>
      <c r="AC18" s="767">
        <f t="shared" ref="AC18:AD18" si="152">SUBTOTAL(9,AC19:AC19)</f>
        <v>12035.781591710998</v>
      </c>
      <c r="AD18" s="767">
        <f t="shared" si="152"/>
        <v>15662.307442090048</v>
      </c>
      <c r="AE18" s="767">
        <f>SUBTOTAL(9,AE19:AE19)</f>
        <v>18770.075066563848</v>
      </c>
      <c r="AF18" s="767">
        <f t="shared" ref="AF18:AG18" si="153">SUBTOTAL(9,AF19:AF19)</f>
        <v>22087.710762247058</v>
      </c>
      <c r="AG18" s="767">
        <f t="shared" si="153"/>
        <v>24239.445635857184</v>
      </c>
      <c r="AH18" s="767">
        <f>SUBTOTAL(9,AH19:AH19)</f>
        <v>33116.499515998366</v>
      </c>
      <c r="AI18" s="767">
        <f t="shared" ref="AI18:AK18" si="154">SUBTOTAL(9,AI19:AI19)</f>
        <v>34716.188078582723</v>
      </c>
      <c r="AJ18" s="767">
        <f t="shared" si="154"/>
        <v>36284.705817038754</v>
      </c>
      <c r="AK18" s="767">
        <f t="shared" si="154"/>
        <v>207936.65351650899</v>
      </c>
      <c r="AM18" s="759">
        <f t="shared" ref="AM18:AP18" si="155">SUBTOTAL(9,AM19:AM19)</f>
        <v>918.56486399999983</v>
      </c>
      <c r="AN18" s="759">
        <f t="shared" si="155"/>
        <v>37803.463776221048</v>
      </c>
      <c r="AO18" s="759">
        <f t="shared" si="155"/>
        <v>65097.23146466809</v>
      </c>
      <c r="AP18" s="759">
        <f t="shared" si="155"/>
        <v>104117.39341161985</v>
      </c>
      <c r="AR18" s="721"/>
      <c r="AS18" s="767">
        <f>SUBTOTAL(9,AS19:AS19)</f>
        <v>-170</v>
      </c>
      <c r="AT18" s="767">
        <f t="shared" ref="AT18:AU18" si="156">SUBTOTAL(9,AT19:AT19)</f>
        <v>0</v>
      </c>
      <c r="AU18" s="767">
        <f t="shared" si="156"/>
        <v>486</v>
      </c>
      <c r="AV18" s="767">
        <f>SUBTOTAL(9,AV19:AV19)</f>
        <v>0</v>
      </c>
      <c r="AW18" s="767">
        <f t="shared" ref="AW18:AX18" si="157">SUBTOTAL(9,AW19:AW19)</f>
        <v>0</v>
      </c>
      <c r="AX18" s="767">
        <f t="shared" si="157"/>
        <v>0</v>
      </c>
      <c r="AY18" s="767">
        <f>SUBTOTAL(9,AY19:AY19)</f>
        <v>0</v>
      </c>
      <c r="AZ18" s="767">
        <f t="shared" ref="AZ18:BA18" si="158">SUBTOTAL(9,AZ19:AZ19)</f>
        <v>0</v>
      </c>
      <c r="BA18" s="767">
        <f t="shared" si="158"/>
        <v>0</v>
      </c>
      <c r="BB18" s="767">
        <f>SUBTOTAL(9,BB19:BB19)</f>
        <v>0</v>
      </c>
      <c r="BC18" s="767">
        <f t="shared" ref="BC18:BE18" si="159">SUBTOTAL(9,BC19:BC19)</f>
        <v>0</v>
      </c>
      <c r="BD18" s="767">
        <f t="shared" si="159"/>
        <v>0</v>
      </c>
      <c r="BE18" s="767">
        <f t="shared" si="159"/>
        <v>316</v>
      </c>
      <c r="BG18" s="759">
        <f t="shared" ref="BG18:BJ18" si="160">SUBTOTAL(9,BG19:BG19)</f>
        <v>316</v>
      </c>
      <c r="BH18" s="759">
        <f t="shared" si="160"/>
        <v>0</v>
      </c>
      <c r="BI18" s="759">
        <f t="shared" si="160"/>
        <v>0</v>
      </c>
      <c r="BJ18" s="759">
        <f t="shared" si="160"/>
        <v>0</v>
      </c>
      <c r="BM18" s="767">
        <f>SUBTOTAL(9,BM19:BM19)</f>
        <v>-439.17799999999994</v>
      </c>
      <c r="BN18" s="767">
        <f t="shared" ref="BN18:BO18" si="161">SUBTOTAL(9,BN19:BN19)</f>
        <v>-265.02839999999998</v>
      </c>
      <c r="BO18" s="767">
        <f t="shared" si="161"/>
        <v>101.64153600000009</v>
      </c>
      <c r="BP18" s="767">
        <f>SUBTOTAL(9,BP19:BP19)</f>
        <v>-10105.374742419997</v>
      </c>
      <c r="BQ18" s="767">
        <f t="shared" ref="BQ18:BR18" si="162">SUBTOTAL(9,BQ19:BQ19)</f>
        <v>-12035.781591710998</v>
      </c>
      <c r="BR18" s="767">
        <f t="shared" si="162"/>
        <v>0</v>
      </c>
      <c r="BS18" s="767">
        <f>SUBTOTAL(9,BS19:BS19)</f>
        <v>0</v>
      </c>
      <c r="BT18" s="767">
        <f t="shared" ref="BT18:BU18" si="163">SUBTOTAL(9,BT19:BT19)</f>
        <v>0</v>
      </c>
      <c r="BU18" s="767">
        <f t="shared" si="163"/>
        <v>0</v>
      </c>
      <c r="BV18" s="767">
        <f>SUBTOTAL(9,BV19:BV19)</f>
        <v>0</v>
      </c>
      <c r="BW18" s="767">
        <f t="shared" ref="BW18:BY18" si="164">SUBTOTAL(9,BW19:BW19)</f>
        <v>0</v>
      </c>
      <c r="BX18" s="767">
        <f t="shared" si="164"/>
        <v>0</v>
      </c>
      <c r="BY18" s="767">
        <f t="shared" si="164"/>
        <v>-22743.721198130996</v>
      </c>
      <c r="CA18" s="759">
        <f t="shared" ref="CA18:CD18" si="165">SUBTOTAL(9,CA19:CA19)</f>
        <v>-602.56486399999983</v>
      </c>
      <c r="CB18" s="759">
        <f t="shared" si="165"/>
        <v>-22141.156334130996</v>
      </c>
      <c r="CC18" s="759">
        <f t="shared" si="165"/>
        <v>0</v>
      </c>
      <c r="CD18" s="759">
        <f t="shared" si="165"/>
        <v>0</v>
      </c>
      <c r="CG18" s="783">
        <f t="shared" ref="CG18:CS19" si="166">IFERROR(AS18/E18,0)</f>
        <v>-0.63155235569028689</v>
      </c>
      <c r="CH18" s="783">
        <f t="shared" si="166"/>
        <v>0</v>
      </c>
      <c r="CI18" s="783">
        <f t="shared" si="166"/>
        <v>1.2644446409276944</v>
      </c>
      <c r="CJ18" s="783">
        <f t="shared" si="166"/>
        <v>0</v>
      </c>
      <c r="CK18" s="783">
        <f t="shared" si="166"/>
        <v>0</v>
      </c>
      <c r="CL18" s="783">
        <f t="shared" si="166"/>
        <v>0</v>
      </c>
      <c r="CM18" s="783">
        <f t="shared" si="166"/>
        <v>0</v>
      </c>
      <c r="CN18" s="783">
        <f t="shared" si="166"/>
        <v>0</v>
      </c>
      <c r="CO18" s="783">
        <f t="shared" si="166"/>
        <v>0</v>
      </c>
      <c r="CP18" s="783">
        <f t="shared" si="166"/>
        <v>0</v>
      </c>
      <c r="CQ18" s="783">
        <f t="shared" si="166"/>
        <v>0</v>
      </c>
      <c r="CR18" s="783">
        <f t="shared" si="166"/>
        <v>0</v>
      </c>
      <c r="CS18" s="783">
        <f t="shared" si="166"/>
        <v>1.5196935925243763E-3</v>
      </c>
      <c r="CT18" s="633"/>
      <c r="CU18" s="780">
        <f t="shared" ref="CU18:CX19" si="167">IFERROR(BG18/S18,0)</f>
        <v>0.34401490018237846</v>
      </c>
      <c r="CV18" s="780">
        <f t="shared" si="167"/>
        <v>0</v>
      </c>
      <c r="CW18" s="780">
        <f t="shared" si="167"/>
        <v>0</v>
      </c>
      <c r="CX18" s="780">
        <f t="shared" si="167"/>
        <v>0</v>
      </c>
      <c r="DA18" s="783">
        <f t="shared" ref="DA18:DA19" si="168">IFERROR(AS18/Y18,0)</f>
        <v>-0.63155235569028689</v>
      </c>
      <c r="DB18" s="783">
        <f t="shared" ref="DB18:DB19" si="169">IFERROR(AT18/Z18,0)</f>
        <v>0</v>
      </c>
      <c r="DC18" s="783">
        <f t="shared" ref="DC18:DC19" si="170">IFERROR(AU18/AA18,0)</f>
        <v>1.2644446409276944</v>
      </c>
      <c r="DD18" s="783">
        <f t="shared" ref="DD18:DD19" si="171">IFERROR(AV18/AB18,0)</f>
        <v>0</v>
      </c>
      <c r="DE18" s="783">
        <f t="shared" ref="DE18:DE19" si="172">IFERROR(AW18/AC18,0)</f>
        <v>0</v>
      </c>
      <c r="DF18" s="783">
        <f t="shared" ref="DF18:DF19" si="173">IFERROR(AX18/AD18,0)</f>
        <v>0</v>
      </c>
      <c r="DG18" s="783">
        <f t="shared" ref="DG18:DG19" si="174">IFERROR(AY18/AE18,0)</f>
        <v>0</v>
      </c>
      <c r="DH18" s="783">
        <f t="shared" ref="DH18:DH19" si="175">IFERROR(AZ18/AF18,0)</f>
        <v>0</v>
      </c>
      <c r="DI18" s="783">
        <f t="shared" ref="DI18:DI19" si="176">IFERROR(BA18/AG18,0)</f>
        <v>0</v>
      </c>
      <c r="DJ18" s="783">
        <f t="shared" ref="DJ18:DJ19" si="177">IFERROR(BB18/AH18,0)</f>
        <v>0</v>
      </c>
      <c r="DK18" s="783">
        <f t="shared" ref="DK18:DK19" si="178">IFERROR(BC18/AI18,0)</f>
        <v>0</v>
      </c>
      <c r="DL18" s="783">
        <f t="shared" ref="DL18:DL19" si="179">IFERROR(BD18/AJ18,0)</f>
        <v>0</v>
      </c>
      <c r="DM18" s="783">
        <f t="shared" ref="DM18:DM19" si="180">IFERROR(BE18/AK18,0)</f>
        <v>1.5196935925243763E-3</v>
      </c>
      <c r="DN18" s="633"/>
      <c r="DO18" s="780">
        <f t="shared" ref="DO18:DR19" si="181">IFERROR(CA18/AM18,0)</f>
        <v>-0.65598509981762154</v>
      </c>
      <c r="DP18" s="780">
        <f t="shared" si="181"/>
        <v>-0.5856912071654693</v>
      </c>
      <c r="DQ18" s="780">
        <f t="shared" si="181"/>
        <v>0</v>
      </c>
      <c r="DR18" s="780">
        <f t="shared" si="181"/>
        <v>0</v>
      </c>
    </row>
    <row r="19" spans="1:123" s="677" customFormat="1">
      <c r="C19" s="754" t="s">
        <v>177</v>
      </c>
      <c r="D19" s="755" t="s">
        <v>89</v>
      </c>
      <c r="E19" s="764">
        <v>269.17799999999994</v>
      </c>
      <c r="F19" s="764">
        <v>265.02839999999998</v>
      </c>
      <c r="G19" s="764">
        <v>384.35846399999991</v>
      </c>
      <c r="H19" s="765">
        <v>10105.374742419997</v>
      </c>
      <c r="I19" s="765">
        <v>12035.781591710998</v>
      </c>
      <c r="J19" s="765">
        <v>15662.307442090048</v>
      </c>
      <c r="K19" s="765">
        <v>18770.075066563848</v>
      </c>
      <c r="L19" s="765">
        <v>22087.710762247058</v>
      </c>
      <c r="M19" s="765">
        <v>24239.445635857184</v>
      </c>
      <c r="N19" s="765">
        <v>33116.499515998366</v>
      </c>
      <c r="O19" s="765">
        <v>34716.188078582723</v>
      </c>
      <c r="P19" s="765">
        <v>36284.705817038754</v>
      </c>
      <c r="Q19" s="766">
        <f>SUM(E19:P19)</f>
        <v>207936.65351650899</v>
      </c>
      <c r="S19" s="765">
        <f>SUM(E19:G19)</f>
        <v>918.56486399999983</v>
      </c>
      <c r="T19" s="765">
        <f>SUM(H19:J19)</f>
        <v>37803.463776221048</v>
      </c>
      <c r="U19" s="765">
        <f>SUM(K19:M19)</f>
        <v>65097.23146466809</v>
      </c>
      <c r="V19" s="765">
        <f>SUM(N19:P19)</f>
        <v>104117.39341161985</v>
      </c>
      <c r="X19" s="721" t="s">
        <v>89</v>
      </c>
      <c r="Y19" s="764">
        <v>269.17799999999994</v>
      </c>
      <c r="Z19" s="764">
        <v>265.02839999999998</v>
      </c>
      <c r="AA19" s="764">
        <v>384.35846399999991</v>
      </c>
      <c r="AB19" s="765">
        <v>10105.374742419997</v>
      </c>
      <c r="AC19" s="765">
        <v>12035.781591710998</v>
      </c>
      <c r="AD19" s="765">
        <v>15662.307442090048</v>
      </c>
      <c r="AE19" s="765">
        <v>18770.075066563848</v>
      </c>
      <c r="AF19" s="765">
        <v>22087.710762247058</v>
      </c>
      <c r="AG19" s="765">
        <v>24239.445635857184</v>
      </c>
      <c r="AH19" s="765">
        <v>33116.499515998366</v>
      </c>
      <c r="AI19" s="765">
        <v>34716.188078582723</v>
      </c>
      <c r="AJ19" s="765">
        <v>36284.705817038754</v>
      </c>
      <c r="AK19" s="766">
        <f>SUM(Y19:AJ19)</f>
        <v>207936.65351650899</v>
      </c>
      <c r="AM19" s="765">
        <f t="shared" ref="AM19" si="182">SUM(Y19:AA19)</f>
        <v>918.56486399999983</v>
      </c>
      <c r="AN19" s="765">
        <f>SUM(AB19:AD19)</f>
        <v>37803.463776221048</v>
      </c>
      <c r="AO19" s="765">
        <f>SUM(AE19:AG19)</f>
        <v>65097.23146466809</v>
      </c>
      <c r="AP19" s="765">
        <f>SUM(AH19:AJ19)</f>
        <v>104117.39341161985</v>
      </c>
      <c r="AR19" s="721" t="s">
        <v>89</v>
      </c>
      <c r="AS19" s="768">
        <v>-170</v>
      </c>
      <c r="AT19" s="768">
        <v>0</v>
      </c>
      <c r="AU19" s="768">
        <v>486</v>
      </c>
      <c r="AV19" s="768">
        <v>0</v>
      </c>
      <c r="AW19" s="768">
        <v>0</v>
      </c>
      <c r="AX19" s="768">
        <v>0</v>
      </c>
      <c r="AY19" s="768">
        <v>0</v>
      </c>
      <c r="AZ19" s="768">
        <v>0</v>
      </c>
      <c r="BA19" s="765"/>
      <c r="BB19" s="765"/>
      <c r="BC19" s="765"/>
      <c r="BD19" s="765"/>
      <c r="BE19" s="766">
        <f>SUM(AS19:BD19)</f>
        <v>316</v>
      </c>
      <c r="BG19" s="765">
        <f t="shared" ref="BG19" si="183">SUM(AS19:AU19)</f>
        <v>316</v>
      </c>
      <c r="BH19" s="765">
        <f>SUM(AV19:AX19)</f>
        <v>0</v>
      </c>
      <c r="BI19" s="765">
        <f>SUM(AY19:BA19)</f>
        <v>0</v>
      </c>
      <c r="BJ19" s="765">
        <f>SUM(BB19:BD19)</f>
        <v>0</v>
      </c>
      <c r="BM19" s="764">
        <f>AS19-E19</f>
        <v>-439.17799999999994</v>
      </c>
      <c r="BN19" s="764">
        <f>AT19-F19</f>
        <v>-265.02839999999998</v>
      </c>
      <c r="BO19" s="764">
        <f>AU19-G19</f>
        <v>101.64153600000009</v>
      </c>
      <c r="BP19" s="765">
        <f>AV19-H19</f>
        <v>-10105.374742419997</v>
      </c>
      <c r="BQ19" s="765">
        <f>AW19-I19</f>
        <v>-12035.781591710998</v>
      </c>
      <c r="BR19" s="765"/>
      <c r="BS19" s="765"/>
      <c r="BT19" s="765"/>
      <c r="BU19" s="765"/>
      <c r="BV19" s="765"/>
      <c r="BW19" s="765"/>
      <c r="BX19" s="765"/>
      <c r="BY19" s="766">
        <f>SUM(BM19:BX19)</f>
        <v>-22743.721198130996</v>
      </c>
      <c r="CA19" s="765">
        <f t="shared" ref="CA19" si="184">SUM(BM19:BO19)</f>
        <v>-602.56486399999983</v>
      </c>
      <c r="CB19" s="765">
        <f>SUM(BP19:BR19)</f>
        <v>-22141.156334130996</v>
      </c>
      <c r="CC19" s="765">
        <f>SUM(BS19:BU19)</f>
        <v>0</v>
      </c>
      <c r="CD19" s="765">
        <f>SUM(BV19:BX19)</f>
        <v>0</v>
      </c>
      <c r="CG19" s="799">
        <f t="shared" si="166"/>
        <v>-0.63155235569028689</v>
      </c>
      <c r="CH19" s="799">
        <f t="shared" si="166"/>
        <v>0</v>
      </c>
      <c r="CI19" s="799">
        <f t="shared" si="166"/>
        <v>1.2644446409276944</v>
      </c>
      <c r="CJ19" s="789">
        <f t="shared" si="166"/>
        <v>0</v>
      </c>
      <c r="CK19" s="789">
        <f t="shared" si="166"/>
        <v>0</v>
      </c>
      <c r="CL19" s="789">
        <f t="shared" si="166"/>
        <v>0</v>
      </c>
      <c r="CM19" s="789">
        <f t="shared" si="166"/>
        <v>0</v>
      </c>
      <c r="CN19" s="789">
        <f t="shared" si="166"/>
        <v>0</v>
      </c>
      <c r="CO19" s="789">
        <f t="shared" si="166"/>
        <v>0</v>
      </c>
      <c r="CP19" s="789">
        <f t="shared" si="166"/>
        <v>0</v>
      </c>
      <c r="CQ19" s="789">
        <f t="shared" si="166"/>
        <v>0</v>
      </c>
      <c r="CR19" s="789">
        <f t="shared" si="166"/>
        <v>0</v>
      </c>
      <c r="CS19" s="790">
        <f t="shared" si="166"/>
        <v>1.5196935925243763E-3</v>
      </c>
      <c r="CT19" s="787"/>
      <c r="CU19" s="789">
        <f t="shared" si="167"/>
        <v>0.34401490018237846</v>
      </c>
      <c r="CV19" s="789">
        <f t="shared" si="167"/>
        <v>0</v>
      </c>
      <c r="CW19" s="789">
        <f t="shared" si="167"/>
        <v>0</v>
      </c>
      <c r="CX19" s="789">
        <f t="shared" si="167"/>
        <v>0</v>
      </c>
      <c r="DA19" s="799">
        <f t="shared" si="168"/>
        <v>-0.63155235569028689</v>
      </c>
      <c r="DB19" s="799">
        <f t="shared" si="169"/>
        <v>0</v>
      </c>
      <c r="DC19" s="799">
        <f t="shared" si="170"/>
        <v>1.2644446409276944</v>
      </c>
      <c r="DD19" s="789">
        <f t="shared" si="171"/>
        <v>0</v>
      </c>
      <c r="DE19" s="789">
        <f t="shared" si="172"/>
        <v>0</v>
      </c>
      <c r="DF19" s="789">
        <f t="shared" si="173"/>
        <v>0</v>
      </c>
      <c r="DG19" s="789">
        <f t="shared" si="174"/>
        <v>0</v>
      </c>
      <c r="DH19" s="789">
        <f t="shared" si="175"/>
        <v>0</v>
      </c>
      <c r="DI19" s="789">
        <f t="shared" si="176"/>
        <v>0</v>
      </c>
      <c r="DJ19" s="789">
        <f t="shared" si="177"/>
        <v>0</v>
      </c>
      <c r="DK19" s="789">
        <f t="shared" si="178"/>
        <v>0</v>
      </c>
      <c r="DL19" s="789">
        <f t="shared" si="179"/>
        <v>0</v>
      </c>
      <c r="DM19" s="790">
        <f t="shared" si="180"/>
        <v>1.5196935925243763E-3</v>
      </c>
      <c r="DN19" s="787"/>
      <c r="DO19" s="789">
        <f t="shared" si="181"/>
        <v>-0.65598509981762154</v>
      </c>
      <c r="DP19" s="789">
        <f t="shared" si="181"/>
        <v>-0.5856912071654693</v>
      </c>
      <c r="DQ19" s="789">
        <f t="shared" si="181"/>
        <v>0</v>
      </c>
      <c r="DR19" s="789">
        <f t="shared" si="181"/>
        <v>0</v>
      </c>
    </row>
    <row r="20" spans="1:123">
      <c r="X20" s="721"/>
      <c r="AR20" s="721"/>
      <c r="CG20" s="633"/>
      <c r="CH20" s="633"/>
      <c r="CI20" s="633"/>
      <c r="CJ20" s="633"/>
      <c r="CK20" s="633"/>
      <c r="CL20" s="633"/>
      <c r="CM20" s="633"/>
      <c r="CN20" s="633"/>
      <c r="CO20" s="633"/>
      <c r="CP20" s="633"/>
      <c r="CQ20" s="633"/>
      <c r="CR20" s="633"/>
      <c r="CS20" s="633"/>
      <c r="CT20" s="633"/>
      <c r="CU20" s="633"/>
      <c r="CV20" s="633"/>
      <c r="CW20" s="633"/>
      <c r="CX20" s="633"/>
      <c r="DA20" s="633"/>
      <c r="DB20" s="633"/>
      <c r="DC20" s="633"/>
      <c r="DD20" s="633"/>
      <c r="DE20" s="633"/>
      <c r="DF20" s="633"/>
      <c r="DG20" s="633"/>
      <c r="DH20" s="633"/>
      <c r="DI20" s="633"/>
      <c r="DJ20" s="633"/>
      <c r="DK20" s="633"/>
      <c r="DL20" s="633"/>
      <c r="DM20" s="633"/>
      <c r="DN20" s="633"/>
      <c r="DO20" s="633"/>
      <c r="DP20" s="633"/>
      <c r="DQ20" s="633"/>
      <c r="DR20" s="633"/>
    </row>
    <row r="21" spans="1:123" s="816" customFormat="1">
      <c r="C21" s="750" t="s">
        <v>206</v>
      </c>
      <c r="D21" s="751"/>
      <c r="E21" s="767">
        <f>SUBTOTAL(9,E22:E22)</f>
        <v>63968.765635127318</v>
      </c>
      <c r="F21" s="767">
        <f t="shared" ref="F21:G21" si="185">SUBTOTAL(9,F22:F22)</f>
        <v>29352.495915682986</v>
      </c>
      <c r="G21" s="767">
        <f t="shared" si="185"/>
        <v>35224.109088086756</v>
      </c>
      <c r="H21" s="767">
        <f>SUBTOTAL(9,H22:H22)</f>
        <v>26760.742347237072</v>
      </c>
      <c r="I21" s="767">
        <f t="shared" ref="I21:J21" si="186">SUBTOTAL(9,I22:I22)</f>
        <v>22302.21114196605</v>
      </c>
      <c r="J21" s="767">
        <f t="shared" si="186"/>
        <v>111613.11391620571</v>
      </c>
      <c r="K21" s="767">
        <f>SUBTOTAL(9,K22:K22)</f>
        <v>106194.74718527612</v>
      </c>
      <c r="L21" s="767">
        <f t="shared" ref="L21:M21" si="187">SUBTOTAL(9,L22:L22)</f>
        <v>70429.108336755075</v>
      </c>
      <c r="M21" s="767">
        <f t="shared" si="187"/>
        <v>90340.322308363626</v>
      </c>
      <c r="N21" s="767">
        <f>SUBTOTAL(9,N22:N22)</f>
        <v>85831.746399370604</v>
      </c>
      <c r="O21" s="767">
        <f t="shared" ref="O21:Q21" si="188">SUBTOTAL(9,O22:O22)</f>
        <v>29536.365977956448</v>
      </c>
      <c r="P21" s="767">
        <f t="shared" si="188"/>
        <v>-21587.462326993234</v>
      </c>
      <c r="Q21" s="767">
        <f t="shared" si="188"/>
        <v>649966.26592503453</v>
      </c>
      <c r="S21" s="759">
        <f t="shared" ref="S21:V21" si="189">SUBTOTAL(9,S22:S22)</f>
        <v>128545.37063889706</v>
      </c>
      <c r="T21" s="759">
        <f t="shared" si="189"/>
        <v>160676.06740540883</v>
      </c>
      <c r="U21" s="759">
        <f t="shared" si="189"/>
        <v>266964.17783039482</v>
      </c>
      <c r="V21" s="759">
        <f t="shared" si="189"/>
        <v>93780.650050333817</v>
      </c>
      <c r="W21" s="677"/>
      <c r="X21" s="721"/>
      <c r="Y21" s="767">
        <f>SUBTOTAL(9,Y22:Y22)</f>
        <v>0</v>
      </c>
      <c r="Z21" s="767">
        <f t="shared" ref="Z21:AA21" si="190">SUBTOTAL(9,Z22:Z22)</f>
        <v>0</v>
      </c>
      <c r="AA21" s="767">
        <f t="shared" si="190"/>
        <v>0</v>
      </c>
      <c r="AB21" s="767">
        <f>SUBTOTAL(9,AB22:AB22)</f>
        <v>0</v>
      </c>
      <c r="AC21" s="767">
        <f t="shared" ref="AC21:AD21" si="191">SUBTOTAL(9,AC22:AC22)</f>
        <v>0</v>
      </c>
      <c r="AD21" s="767">
        <f t="shared" si="191"/>
        <v>0</v>
      </c>
      <c r="AE21" s="767">
        <f>SUBTOTAL(9,AE22:AE22)</f>
        <v>0</v>
      </c>
      <c r="AF21" s="767">
        <f t="shared" ref="AF21:AG21" si="192">SUBTOTAL(9,AF22:AF22)</f>
        <v>0</v>
      </c>
      <c r="AG21" s="767">
        <f t="shared" si="192"/>
        <v>0</v>
      </c>
      <c r="AH21" s="767">
        <f>SUBTOTAL(9,AH22:AH22)</f>
        <v>0</v>
      </c>
      <c r="AI21" s="767">
        <f t="shared" ref="AI21:AK21" si="193">SUBTOTAL(9,AI22:AI22)</f>
        <v>0</v>
      </c>
      <c r="AJ21" s="767">
        <f t="shared" si="193"/>
        <v>0</v>
      </c>
      <c r="AK21" s="767">
        <f t="shared" si="193"/>
        <v>0</v>
      </c>
      <c r="AM21" s="759">
        <f t="shared" ref="AM21:AP21" si="194">SUBTOTAL(9,AM22:AM22)</f>
        <v>0</v>
      </c>
      <c r="AN21" s="759">
        <f t="shared" si="194"/>
        <v>0</v>
      </c>
      <c r="AO21" s="759">
        <f t="shared" si="194"/>
        <v>0</v>
      </c>
      <c r="AP21" s="759">
        <f t="shared" si="194"/>
        <v>0</v>
      </c>
      <c r="AQ21" s="677"/>
      <c r="AR21" s="721"/>
      <c r="AS21" s="767">
        <f>SUBTOTAL(9,AS22:AS22)</f>
        <v>0</v>
      </c>
      <c r="AT21" s="767">
        <f t="shared" ref="AT21:AU21" si="195">SUBTOTAL(9,AT22:AT22)</f>
        <v>0</v>
      </c>
      <c r="AU21" s="767">
        <f t="shared" si="195"/>
        <v>0</v>
      </c>
      <c r="AV21" s="767">
        <f>SUBTOTAL(9,AV22:AV22)</f>
        <v>0</v>
      </c>
      <c r="AW21" s="767">
        <f t="shared" ref="AW21:AX21" si="196">SUBTOTAL(9,AW22:AW22)</f>
        <v>0</v>
      </c>
      <c r="AX21" s="767">
        <f t="shared" si="196"/>
        <v>0</v>
      </c>
      <c r="AY21" s="767">
        <f>SUBTOTAL(9,AY22:AY22)</f>
        <v>0</v>
      </c>
      <c r="AZ21" s="767">
        <f t="shared" ref="AZ21:BA21" si="197">SUBTOTAL(9,AZ22:AZ22)</f>
        <v>0</v>
      </c>
      <c r="BA21" s="767">
        <f t="shared" si="197"/>
        <v>0</v>
      </c>
      <c r="BB21" s="767">
        <f>SUBTOTAL(9,BB22:BB22)</f>
        <v>0</v>
      </c>
      <c r="BC21" s="767">
        <f t="shared" ref="BC21:BE21" si="198">SUBTOTAL(9,BC22:BC22)</f>
        <v>0</v>
      </c>
      <c r="BD21" s="767">
        <f t="shared" si="198"/>
        <v>0</v>
      </c>
      <c r="BE21" s="767">
        <f t="shared" si="198"/>
        <v>0</v>
      </c>
      <c r="BG21" s="759">
        <f t="shared" ref="BG21:BJ21" si="199">SUBTOTAL(9,BG22:BG22)</f>
        <v>0</v>
      </c>
      <c r="BH21" s="759">
        <f t="shared" si="199"/>
        <v>0</v>
      </c>
      <c r="BI21" s="759">
        <f t="shared" si="199"/>
        <v>0</v>
      </c>
      <c r="BJ21" s="759">
        <f t="shared" si="199"/>
        <v>0</v>
      </c>
      <c r="BK21" s="677"/>
      <c r="BL21" s="677"/>
      <c r="BM21" s="767">
        <f>SUBTOTAL(9,BM22:BM22)</f>
        <v>-63968.765635127318</v>
      </c>
      <c r="BN21" s="767">
        <f t="shared" ref="BN21:BO21" si="200">SUBTOTAL(9,BN22:BN22)</f>
        <v>-29352.495915682986</v>
      </c>
      <c r="BO21" s="767">
        <f t="shared" si="200"/>
        <v>-35224.109088086756</v>
      </c>
      <c r="BP21" s="767">
        <f>SUBTOTAL(9,BP22:BP22)</f>
        <v>-26760.742347237072</v>
      </c>
      <c r="BQ21" s="767">
        <f t="shared" ref="BQ21:BR21" si="201">SUBTOTAL(9,BQ22:BQ22)</f>
        <v>-22302.21114196605</v>
      </c>
      <c r="BR21" s="767">
        <f t="shared" si="201"/>
        <v>0</v>
      </c>
      <c r="BS21" s="767">
        <f>SUBTOTAL(9,BS22:BS22)</f>
        <v>0</v>
      </c>
      <c r="BT21" s="767">
        <f t="shared" ref="BT21:BU21" si="202">SUBTOTAL(9,BT22:BT22)</f>
        <v>0</v>
      </c>
      <c r="BU21" s="767">
        <f t="shared" si="202"/>
        <v>0</v>
      </c>
      <c r="BV21" s="767">
        <f>SUBTOTAL(9,BV22:BV22)</f>
        <v>0</v>
      </c>
      <c r="BW21" s="767">
        <f t="shared" ref="BW21:BY21" si="203">SUBTOTAL(9,BW22:BW22)</f>
        <v>0</v>
      </c>
      <c r="BX21" s="767">
        <f t="shared" si="203"/>
        <v>0</v>
      </c>
      <c r="BY21" s="767">
        <f t="shared" si="203"/>
        <v>-177608.32412810018</v>
      </c>
      <c r="CA21" s="759">
        <f t="shared" ref="CA21:CD21" si="204">SUBTOTAL(9,CA22:CA22)</f>
        <v>-128545.37063889706</v>
      </c>
      <c r="CB21" s="759">
        <f t="shared" si="204"/>
        <v>-49062.953489203122</v>
      </c>
      <c r="CC21" s="759">
        <f t="shared" si="204"/>
        <v>0</v>
      </c>
      <c r="CD21" s="759">
        <f t="shared" si="204"/>
        <v>0</v>
      </c>
      <c r="CE21" s="677"/>
      <c r="CF21" s="677"/>
      <c r="CG21" s="783">
        <f t="shared" ref="CG21:CG22" si="205">IFERROR(AS21/E21,0)</f>
        <v>0</v>
      </c>
      <c r="CH21" s="783">
        <f t="shared" ref="CH21:CH22" si="206">IFERROR(AT21/F21,0)</f>
        <v>0</v>
      </c>
      <c r="CI21" s="783">
        <f t="shared" ref="CI21:CI22" si="207">IFERROR(AU21/G21,0)</f>
        <v>0</v>
      </c>
      <c r="CJ21" s="783">
        <f t="shared" ref="CJ21:CJ22" si="208">IFERROR(AV21/H21,0)</f>
        <v>0</v>
      </c>
      <c r="CK21" s="783">
        <f t="shared" ref="CK21:CK22" si="209">IFERROR(AW21/I21,0)</f>
        <v>0</v>
      </c>
      <c r="CL21" s="783">
        <f t="shared" ref="CL21:CL22" si="210">IFERROR(AX21/J21,0)</f>
        <v>0</v>
      </c>
      <c r="CM21" s="783">
        <f t="shared" ref="CM21:CM22" si="211">IFERROR(AY21/K21,0)</f>
        <v>0</v>
      </c>
      <c r="CN21" s="783">
        <f t="shared" ref="CN21:CN22" si="212">IFERROR(AZ21/L21,0)</f>
        <v>0</v>
      </c>
      <c r="CO21" s="783">
        <f t="shared" ref="CO21:CO22" si="213">IFERROR(BA21/M21,0)</f>
        <v>0</v>
      </c>
      <c r="CP21" s="783">
        <f t="shared" ref="CP21:CP22" si="214">IFERROR(BB21/N21,0)</f>
        <v>0</v>
      </c>
      <c r="CQ21" s="783">
        <f t="shared" ref="CQ21:CQ22" si="215">IFERROR(BC21/O21,0)</f>
        <v>0</v>
      </c>
      <c r="CR21" s="783">
        <f t="shared" ref="CR21:CR22" si="216">IFERROR(BD21/P21,0)</f>
        <v>0</v>
      </c>
      <c r="CS21" s="783">
        <f t="shared" ref="CS21:CS22" si="217">IFERROR(BE21/Q21,0)</f>
        <v>0</v>
      </c>
      <c r="CT21" s="633"/>
      <c r="CU21" s="780">
        <f t="shared" ref="CU21:CU22" si="218">IFERROR(BG21/S21,0)</f>
        <v>0</v>
      </c>
      <c r="CV21" s="780">
        <f t="shared" ref="CV21:CV22" si="219">IFERROR(BH21/T21,0)</f>
        <v>0</v>
      </c>
      <c r="CW21" s="780">
        <f t="shared" ref="CW21:CW22" si="220">IFERROR(BI21/U21,0)</f>
        <v>0</v>
      </c>
      <c r="CX21" s="780">
        <f t="shared" ref="CX21:CX22" si="221">IFERROR(BJ21/V21,0)</f>
        <v>0</v>
      </c>
      <c r="CY21" s="677"/>
      <c r="DA21" s="783">
        <f t="shared" ref="DA21:DA22" si="222">IFERROR(AS21/Y21,0)</f>
        <v>0</v>
      </c>
      <c r="DB21" s="783">
        <f t="shared" ref="DB21:DB22" si="223">IFERROR(AT21/Z21,0)</f>
        <v>0</v>
      </c>
      <c r="DC21" s="783">
        <f t="shared" ref="DC21:DC22" si="224">IFERROR(AU21/AA21,0)</f>
        <v>0</v>
      </c>
      <c r="DD21" s="783">
        <f t="shared" ref="DD21:DD22" si="225">IFERROR(AV21/AB21,0)</f>
        <v>0</v>
      </c>
      <c r="DE21" s="783">
        <f t="shared" ref="DE21:DE22" si="226">IFERROR(AW21/AC21,0)</f>
        <v>0</v>
      </c>
      <c r="DF21" s="783">
        <f t="shared" ref="DF21:DF22" si="227">IFERROR(AX21/AD21,0)</f>
        <v>0</v>
      </c>
      <c r="DG21" s="783">
        <f t="shared" ref="DG21:DG22" si="228">IFERROR(AY21/AE21,0)</f>
        <v>0</v>
      </c>
      <c r="DH21" s="783">
        <f t="shared" ref="DH21:DH22" si="229">IFERROR(AZ21/AF21,0)</f>
        <v>0</v>
      </c>
      <c r="DI21" s="783">
        <f t="shared" ref="DI21:DI22" si="230">IFERROR(BA21/AG21,0)</f>
        <v>0</v>
      </c>
      <c r="DJ21" s="783">
        <f t="shared" ref="DJ21:DJ22" si="231">IFERROR(BB21/AH21,0)</f>
        <v>0</v>
      </c>
      <c r="DK21" s="783">
        <f t="shared" ref="DK21:DK22" si="232">IFERROR(BC21/AI21,0)</f>
        <v>0</v>
      </c>
      <c r="DL21" s="783">
        <f t="shared" ref="DL21:DL22" si="233">IFERROR(BD21/AJ21,0)</f>
        <v>0</v>
      </c>
      <c r="DM21" s="783">
        <f t="shared" ref="DM21:DM22" si="234">IFERROR(BE21/AK21,0)</f>
        <v>0</v>
      </c>
      <c r="DN21" s="633"/>
      <c r="DO21" s="780">
        <f t="shared" ref="DO21:DO22" si="235">IFERROR(CA21/AM21,0)</f>
        <v>0</v>
      </c>
      <c r="DP21" s="780">
        <f t="shared" ref="DP21:DP22" si="236">IFERROR(CB21/AN21,0)</f>
        <v>0</v>
      </c>
      <c r="DQ21" s="780">
        <f t="shared" ref="DQ21:DQ22" si="237">IFERROR(CC21/AO21,0)</f>
        <v>0</v>
      </c>
      <c r="DR21" s="780">
        <f t="shared" ref="DR21:DR22" si="238">IFERROR(CD21/AP21,0)</f>
        <v>0</v>
      </c>
      <c r="DS21" s="677"/>
    </row>
    <row r="22" spans="1:123" s="677" customFormat="1">
      <c r="C22" s="754" t="s">
        <v>161</v>
      </c>
      <c r="D22" s="755" t="s">
        <v>186</v>
      </c>
      <c r="E22" s="764">
        <v>63968.765635127318</v>
      </c>
      <c r="F22" s="764">
        <v>29352.495915682986</v>
      </c>
      <c r="G22" s="764">
        <v>35224.109088086756</v>
      </c>
      <c r="H22" s="765">
        <v>26760.742347237072</v>
      </c>
      <c r="I22" s="765">
        <v>22302.21114196605</v>
      </c>
      <c r="J22" s="765">
        <v>111613.11391620571</v>
      </c>
      <c r="K22" s="765">
        <v>106194.74718527612</v>
      </c>
      <c r="L22" s="765">
        <v>70429.108336755075</v>
      </c>
      <c r="M22" s="765">
        <v>90340.322308363626</v>
      </c>
      <c r="N22" s="765">
        <v>85831.746399370604</v>
      </c>
      <c r="O22" s="765">
        <v>29536.365977956448</v>
      </c>
      <c r="P22" s="765">
        <v>-21587.462326993234</v>
      </c>
      <c r="Q22" s="766">
        <f>SUM(E22:P22)</f>
        <v>649966.26592503453</v>
      </c>
      <c r="S22" s="765">
        <f>SUM(E22:G22)</f>
        <v>128545.37063889706</v>
      </c>
      <c r="T22" s="765">
        <f>SUM(H22:J22)</f>
        <v>160676.06740540883</v>
      </c>
      <c r="U22" s="765">
        <f>SUM(K22:M22)</f>
        <v>266964.17783039482</v>
      </c>
      <c r="V22" s="765">
        <f>SUM(N22:P22)</f>
        <v>93780.650050333817</v>
      </c>
      <c r="X22" s="721"/>
      <c r="Y22" s="764">
        <v>0</v>
      </c>
      <c r="Z22" s="764">
        <v>0</v>
      </c>
      <c r="AA22" s="764">
        <v>0</v>
      </c>
      <c r="AB22" s="765">
        <v>0</v>
      </c>
      <c r="AC22" s="765">
        <v>0</v>
      </c>
      <c r="AD22" s="765">
        <v>0</v>
      </c>
      <c r="AE22" s="765">
        <v>0</v>
      </c>
      <c r="AF22" s="765">
        <v>0</v>
      </c>
      <c r="AG22" s="765">
        <v>0</v>
      </c>
      <c r="AH22" s="765">
        <v>0</v>
      </c>
      <c r="AI22" s="765">
        <v>0</v>
      </c>
      <c r="AJ22" s="765">
        <v>0</v>
      </c>
      <c r="AK22" s="766">
        <f>SUM(Y22:AJ22)</f>
        <v>0</v>
      </c>
      <c r="AM22" s="765">
        <f>SUM(Y22:AA22)</f>
        <v>0</v>
      </c>
      <c r="AN22" s="765">
        <f>SUM(AB22:AD22)</f>
        <v>0</v>
      </c>
      <c r="AO22" s="765">
        <f>SUM(AE22:AG22)</f>
        <v>0</v>
      </c>
      <c r="AP22" s="765">
        <f>SUM(AH22:AJ22)</f>
        <v>0</v>
      </c>
      <c r="AR22" s="721"/>
      <c r="AS22" s="768">
        <v>0</v>
      </c>
      <c r="AT22" s="768">
        <v>0</v>
      </c>
      <c r="AU22" s="768">
        <v>0</v>
      </c>
      <c r="AV22" s="768">
        <v>0</v>
      </c>
      <c r="AW22" s="768">
        <v>0</v>
      </c>
      <c r="AX22" s="768">
        <v>0</v>
      </c>
      <c r="AY22" s="768">
        <v>0</v>
      </c>
      <c r="AZ22" s="768">
        <v>0</v>
      </c>
      <c r="BA22" s="768">
        <v>0</v>
      </c>
      <c r="BB22" s="768">
        <v>0</v>
      </c>
      <c r="BC22" s="768">
        <v>0</v>
      </c>
      <c r="BD22" s="768">
        <v>0</v>
      </c>
      <c r="BE22" s="766">
        <f>SUM(AS22:BD22)</f>
        <v>0</v>
      </c>
      <c r="BG22" s="765">
        <f>SUM(AS22:AU22)</f>
        <v>0</v>
      </c>
      <c r="BH22" s="765">
        <f>SUM(AV22:AX22)</f>
        <v>0</v>
      </c>
      <c r="BI22" s="765">
        <f>SUM(AY22:BA22)</f>
        <v>0</v>
      </c>
      <c r="BJ22" s="765">
        <f>SUM(BB22:BD22)</f>
        <v>0</v>
      </c>
      <c r="BM22" s="764">
        <f>AS22-E22</f>
        <v>-63968.765635127318</v>
      </c>
      <c r="BN22" s="764">
        <f>AT22-F22</f>
        <v>-29352.495915682986</v>
      </c>
      <c r="BO22" s="764">
        <f>AU22-G22</f>
        <v>-35224.109088086756</v>
      </c>
      <c r="BP22" s="765">
        <f>AV22-H22</f>
        <v>-26760.742347237072</v>
      </c>
      <c r="BQ22" s="765">
        <f>AW22-I22</f>
        <v>-22302.21114196605</v>
      </c>
      <c r="BR22" s="765"/>
      <c r="BS22" s="765"/>
      <c r="BT22" s="765"/>
      <c r="BU22" s="765"/>
      <c r="BV22" s="765"/>
      <c r="BW22" s="765"/>
      <c r="BX22" s="765"/>
      <c r="BY22" s="766">
        <f>SUM(BM22:BX22)</f>
        <v>-177608.32412810018</v>
      </c>
      <c r="CA22" s="765">
        <f t="shared" ref="CA22" si="239">SUM(BM22:BO22)</f>
        <v>-128545.37063889706</v>
      </c>
      <c r="CB22" s="765">
        <f>SUM(BP22:BR22)</f>
        <v>-49062.953489203122</v>
      </c>
      <c r="CC22" s="765">
        <f>SUM(BS22:BU22)</f>
        <v>0</v>
      </c>
      <c r="CD22" s="765">
        <f>SUM(BV22:BX22)</f>
        <v>0</v>
      </c>
      <c r="CG22" s="799">
        <f t="shared" si="205"/>
        <v>0</v>
      </c>
      <c r="CH22" s="799">
        <f t="shared" si="206"/>
        <v>0</v>
      </c>
      <c r="CI22" s="799">
        <f t="shared" si="207"/>
        <v>0</v>
      </c>
      <c r="CJ22" s="789">
        <f t="shared" si="208"/>
        <v>0</v>
      </c>
      <c r="CK22" s="789">
        <f t="shared" si="209"/>
        <v>0</v>
      </c>
      <c r="CL22" s="789">
        <f t="shared" si="210"/>
        <v>0</v>
      </c>
      <c r="CM22" s="789">
        <f t="shared" si="211"/>
        <v>0</v>
      </c>
      <c r="CN22" s="789">
        <f t="shared" si="212"/>
        <v>0</v>
      </c>
      <c r="CO22" s="789">
        <f t="shared" si="213"/>
        <v>0</v>
      </c>
      <c r="CP22" s="789">
        <f t="shared" si="214"/>
        <v>0</v>
      </c>
      <c r="CQ22" s="789">
        <f t="shared" si="215"/>
        <v>0</v>
      </c>
      <c r="CR22" s="789">
        <f t="shared" si="216"/>
        <v>0</v>
      </c>
      <c r="CS22" s="790">
        <f t="shared" si="217"/>
        <v>0</v>
      </c>
      <c r="CT22" s="787"/>
      <c r="CU22" s="789">
        <f t="shared" si="218"/>
        <v>0</v>
      </c>
      <c r="CV22" s="789">
        <f t="shared" si="219"/>
        <v>0</v>
      </c>
      <c r="CW22" s="789">
        <f t="shared" si="220"/>
        <v>0</v>
      </c>
      <c r="CX22" s="789">
        <f t="shared" si="221"/>
        <v>0</v>
      </c>
      <c r="DA22" s="799">
        <f t="shared" si="222"/>
        <v>0</v>
      </c>
      <c r="DB22" s="799">
        <f t="shared" si="223"/>
        <v>0</v>
      </c>
      <c r="DC22" s="799">
        <f t="shared" si="224"/>
        <v>0</v>
      </c>
      <c r="DD22" s="789">
        <f t="shared" si="225"/>
        <v>0</v>
      </c>
      <c r="DE22" s="789">
        <f t="shared" si="226"/>
        <v>0</v>
      </c>
      <c r="DF22" s="789">
        <f t="shared" si="227"/>
        <v>0</v>
      </c>
      <c r="DG22" s="789">
        <f t="shared" si="228"/>
        <v>0</v>
      </c>
      <c r="DH22" s="789">
        <f t="shared" si="229"/>
        <v>0</v>
      </c>
      <c r="DI22" s="789">
        <f t="shared" si="230"/>
        <v>0</v>
      </c>
      <c r="DJ22" s="789">
        <f t="shared" si="231"/>
        <v>0</v>
      </c>
      <c r="DK22" s="789">
        <f t="shared" si="232"/>
        <v>0</v>
      </c>
      <c r="DL22" s="789">
        <f t="shared" si="233"/>
        <v>0</v>
      </c>
      <c r="DM22" s="790">
        <f t="shared" si="234"/>
        <v>0</v>
      </c>
      <c r="DN22" s="787"/>
      <c r="DO22" s="789">
        <f t="shared" si="235"/>
        <v>0</v>
      </c>
      <c r="DP22" s="789">
        <f t="shared" si="236"/>
        <v>0</v>
      </c>
      <c r="DQ22" s="789">
        <f t="shared" si="237"/>
        <v>0</v>
      </c>
      <c r="DR22" s="789">
        <f t="shared" si="238"/>
        <v>0</v>
      </c>
    </row>
    <row r="23" spans="1:123" s="816" customFormat="1">
      <c r="W23" s="677"/>
      <c r="X23" s="721"/>
      <c r="AQ23" s="677"/>
      <c r="AR23" s="721"/>
      <c r="BK23" s="677"/>
      <c r="BL23" s="677"/>
      <c r="CE23" s="677"/>
      <c r="CF23" s="677"/>
      <c r="CG23" s="633"/>
      <c r="CH23" s="633"/>
      <c r="CI23" s="633"/>
      <c r="CJ23" s="633"/>
      <c r="CK23" s="633"/>
      <c r="CL23" s="633"/>
      <c r="CM23" s="633"/>
      <c r="CN23" s="633"/>
      <c r="CO23" s="633"/>
      <c r="CP23" s="633"/>
      <c r="CQ23" s="633"/>
      <c r="CR23" s="633"/>
      <c r="CS23" s="633"/>
      <c r="CT23" s="633"/>
      <c r="CU23" s="633"/>
      <c r="CV23" s="633"/>
      <c r="CW23" s="633"/>
      <c r="CX23" s="633"/>
      <c r="CY23" s="677"/>
      <c r="DA23" s="633"/>
      <c r="DB23" s="633"/>
      <c r="DC23" s="633"/>
      <c r="DD23" s="633"/>
      <c r="DE23" s="633"/>
      <c r="DF23" s="633"/>
      <c r="DG23" s="633"/>
      <c r="DH23" s="633"/>
      <c r="DI23" s="633"/>
      <c r="DJ23" s="633"/>
      <c r="DK23" s="633"/>
      <c r="DL23" s="633"/>
      <c r="DM23" s="633"/>
      <c r="DN23" s="633"/>
      <c r="DO23" s="633"/>
      <c r="DP23" s="633"/>
      <c r="DQ23" s="633"/>
      <c r="DR23" s="633"/>
      <c r="DS23" s="677"/>
    </row>
    <row r="24" spans="1:123">
      <c r="C24" s="678" t="s">
        <v>166</v>
      </c>
      <c r="D24" s="715"/>
      <c r="E24" s="684">
        <f>E18+E12+E9+E3+E21</f>
        <v>1003020.3165868433</v>
      </c>
      <c r="F24" s="684">
        <f t="shared" ref="F24:V24" si="240">F18+F12+F9+F3+F21</f>
        <v>921898.00113665138</v>
      </c>
      <c r="G24" s="684">
        <f t="shared" si="240"/>
        <v>1079761.9957478503</v>
      </c>
      <c r="H24" s="684">
        <f t="shared" si="240"/>
        <v>1131047.7326002829</v>
      </c>
      <c r="I24" s="684">
        <f t="shared" si="240"/>
        <v>1205749.4064327981</v>
      </c>
      <c r="J24" s="684">
        <f t="shared" si="240"/>
        <v>1191780.4330987609</v>
      </c>
      <c r="K24" s="684">
        <f t="shared" si="240"/>
        <v>1268827.624498948</v>
      </c>
      <c r="L24" s="684">
        <f t="shared" si="240"/>
        <v>1262792.1955417492</v>
      </c>
      <c r="M24" s="684">
        <f t="shared" si="240"/>
        <v>1319593.1441207367</v>
      </c>
      <c r="N24" s="684">
        <f t="shared" si="240"/>
        <v>1404906.6745994929</v>
      </c>
      <c r="O24" s="684">
        <f t="shared" si="240"/>
        <v>1429617.3630075655</v>
      </c>
      <c r="P24" s="684">
        <f t="shared" si="240"/>
        <v>1557301.8720939844</v>
      </c>
      <c r="Q24" s="684">
        <f t="shared" si="240"/>
        <v>14776296.759465663</v>
      </c>
      <c r="S24" s="684">
        <f t="shared" si="240"/>
        <v>3004680.3134713452</v>
      </c>
      <c r="T24" s="684">
        <f t="shared" si="240"/>
        <v>3528577.5721318419</v>
      </c>
      <c r="U24" s="684">
        <f t="shared" si="240"/>
        <v>3851212.9641614337</v>
      </c>
      <c r="V24" s="684">
        <f t="shared" si="240"/>
        <v>4391825.9097010428</v>
      </c>
      <c r="X24" s="721"/>
      <c r="Y24" s="684">
        <f>Y18+Y12+Y9+Y3</f>
        <v>1051446.5205277151</v>
      </c>
      <c r="Z24" s="684">
        <f t="shared" ref="Z24:AA24" si="241">Z18+Z12+Z9+Z3</f>
        <v>965118.80354395439</v>
      </c>
      <c r="AA24" s="684">
        <f t="shared" si="241"/>
        <v>1133105.3682372069</v>
      </c>
      <c r="AB24" s="684">
        <f>AB18+AB12+AB9+AB3</f>
        <v>1187058.3382297219</v>
      </c>
      <c r="AC24" s="684">
        <f t="shared" ref="AC24:AD24" si="242">AC18+AC12+AC9+AC3</f>
        <v>1266429.7880709034</v>
      </c>
      <c r="AD24" s="684">
        <f t="shared" si="242"/>
        <v>1251331.7009621831</v>
      </c>
      <c r="AE24" s="684">
        <f>AE18+AE12+AE9+AE3</f>
        <v>1333123.6296956092</v>
      </c>
      <c r="AF24" s="684">
        <f t="shared" ref="AF24:AG24" si="243">AF18+AF12+AF9+AF3</f>
        <v>1326488.0089493408</v>
      </c>
      <c r="AG24" s="684">
        <f t="shared" si="243"/>
        <v>1386795.8304691643</v>
      </c>
      <c r="AH24" s="684">
        <f>AH18+AH12+AH9+AH3</f>
        <v>1477014.3356639638</v>
      </c>
      <c r="AI24" s="684">
        <f t="shared" ref="AI24:AK24" si="244">AI18+AI12+AI9+AI3</f>
        <v>1424139.5241773296</v>
      </c>
      <c r="AJ24" s="684">
        <f t="shared" si="244"/>
        <v>1487883.7833612994</v>
      </c>
      <c r="AK24" s="684">
        <f t="shared" si="244"/>
        <v>15289935.631888391</v>
      </c>
      <c r="AM24" s="684">
        <f t="shared" ref="AM24:AP24" si="245">AM18+AM12+AM9+AM3</f>
        <v>3149670.6923088762</v>
      </c>
      <c r="AN24" s="684">
        <f t="shared" si="245"/>
        <v>3704819.8272628081</v>
      </c>
      <c r="AO24" s="684">
        <f t="shared" si="245"/>
        <v>4046407.4691141136</v>
      </c>
      <c r="AP24" s="684">
        <f t="shared" si="245"/>
        <v>4389037.6432025926</v>
      </c>
      <c r="AR24" s="721"/>
      <c r="AS24" s="684">
        <f>AS18+AS12+AS9+AS3</f>
        <v>826190.0204850001</v>
      </c>
      <c r="AT24" s="684">
        <f t="shared" ref="AT24:AU24" si="246">AT18+AT12+AT9+AT3</f>
        <v>747815.59559899988</v>
      </c>
      <c r="AU24" s="684">
        <f t="shared" si="246"/>
        <v>1075924.1115538822</v>
      </c>
      <c r="AV24" s="684">
        <f>AV18+AV12+AV9+AV3</f>
        <v>1144781.3635667693</v>
      </c>
      <c r="AW24" s="684">
        <f t="shared" ref="AW24:AX24" si="247">AW18+AW12+AW9+AW3</f>
        <v>1267742.6610690283</v>
      </c>
      <c r="AX24" s="684">
        <f t="shared" si="247"/>
        <v>1224253.0673062422</v>
      </c>
      <c r="AY24" s="684">
        <f>AY18+AY12+AY9+AY3</f>
        <v>1168574.642365</v>
      </c>
      <c r="AZ24" s="684">
        <f t="shared" ref="AZ24:BA24" si="248">AZ18+AZ12+AZ9+AZ3</f>
        <v>1232725.1099999999</v>
      </c>
      <c r="BA24" s="684">
        <f t="shared" si="248"/>
        <v>951110.99700065795</v>
      </c>
      <c r="BB24" s="684">
        <f>BB18+BB12+BB9+BB3</f>
        <v>0</v>
      </c>
      <c r="BC24" s="684">
        <f t="shared" ref="BC24:BE24" si="249">BC18+BC12+BC9+BC3</f>
        <v>0</v>
      </c>
      <c r="BD24" s="684">
        <f t="shared" si="249"/>
        <v>0</v>
      </c>
      <c r="BE24" s="684">
        <f t="shared" si="249"/>
        <v>9656648.7589455787</v>
      </c>
      <c r="BG24" s="684">
        <f t="shared" ref="BG24:BJ24" si="250">BG18+BG12+BG9+BG3</f>
        <v>2667460.9176378823</v>
      </c>
      <c r="BH24" s="684">
        <f t="shared" si="250"/>
        <v>3636777.0919420398</v>
      </c>
      <c r="BI24" s="684">
        <f t="shared" si="250"/>
        <v>3352410.749365658</v>
      </c>
      <c r="BJ24" s="684">
        <f t="shared" si="250"/>
        <v>0</v>
      </c>
      <c r="BM24" s="684">
        <f>BM18+BM12+BM9+BM3</f>
        <v>-95330.340466716079</v>
      </c>
      <c r="BN24" s="684">
        <f t="shared" ref="BN24:BO24" si="251">BN18+BN12+BN9+BN3</f>
        <v>-144729.90962196855</v>
      </c>
      <c r="BO24" s="684">
        <f t="shared" si="251"/>
        <v>31386.22489411867</v>
      </c>
      <c r="BP24" s="684">
        <f>BP18+BP12+BP9+BP3</f>
        <v>40494.373313723307</v>
      </c>
      <c r="BQ24" s="684">
        <f t="shared" ref="BQ24:BR24" si="252">BQ18+BQ12+BQ9+BQ3</f>
        <v>84295.465778196551</v>
      </c>
      <c r="BR24" s="684">
        <f t="shared" si="252"/>
        <v>0</v>
      </c>
      <c r="BS24" s="684">
        <f>BS18+BS12+BS9+BS3</f>
        <v>0</v>
      </c>
      <c r="BT24" s="684">
        <f t="shared" ref="BT24:BU24" si="253">BT18+BT12+BT9+BT3</f>
        <v>0</v>
      </c>
      <c r="BU24" s="684">
        <f t="shared" si="253"/>
        <v>0</v>
      </c>
      <c r="BV24" s="684">
        <f>BV18+BV12+BV9+BV3</f>
        <v>0</v>
      </c>
      <c r="BW24" s="684">
        <f t="shared" ref="BW24:BY24" si="254">BW18+BW12+BW9+BW3</f>
        <v>0</v>
      </c>
      <c r="BX24" s="684">
        <f t="shared" si="254"/>
        <v>0</v>
      </c>
      <c r="BY24" s="684">
        <f t="shared" si="254"/>
        <v>-83884.18610264617</v>
      </c>
      <c r="CA24" s="684">
        <f t="shared" ref="CA24:CD24" si="255">CA18+CA12+CA9+CA3</f>
        <v>-208674.02519456597</v>
      </c>
      <c r="CB24" s="684">
        <f t="shared" si="255"/>
        <v>124789.83909191989</v>
      </c>
      <c r="CC24" s="684">
        <f t="shared" si="255"/>
        <v>0</v>
      </c>
      <c r="CD24" s="684">
        <f t="shared" si="255"/>
        <v>0</v>
      </c>
      <c r="CG24" s="685">
        <f t="shared" ref="CG24:CS30" si="256">IFERROR(AS24/E24,0)</f>
        <v>0.8237021791307525</v>
      </c>
      <c r="CH24" s="685">
        <f t="shared" si="256"/>
        <v>0.81116955962262949</v>
      </c>
      <c r="CI24" s="685">
        <f t="shared" si="256"/>
        <v>0.99644562023012317</v>
      </c>
      <c r="CJ24" s="685">
        <f t="shared" si="256"/>
        <v>1.0121423973282833</v>
      </c>
      <c r="CK24" s="685">
        <f t="shared" si="256"/>
        <v>1.0514147088155215</v>
      </c>
      <c r="CL24" s="685">
        <f t="shared" si="256"/>
        <v>1.0272471617301593</v>
      </c>
      <c r="CM24" s="685">
        <f t="shared" si="256"/>
        <v>0.92098770534450081</v>
      </c>
      <c r="CN24" s="685">
        <f t="shared" si="256"/>
        <v>0.97618999733455725</v>
      </c>
      <c r="CO24" s="685">
        <f t="shared" si="256"/>
        <v>0.72076078997394033</v>
      </c>
      <c r="CP24" s="685">
        <f t="shared" si="256"/>
        <v>0</v>
      </c>
      <c r="CQ24" s="685">
        <f t="shared" si="256"/>
        <v>0</v>
      </c>
      <c r="CR24" s="685">
        <f t="shared" si="256"/>
        <v>0</v>
      </c>
      <c r="CS24" s="685">
        <f t="shared" si="256"/>
        <v>0.65352293041621212</v>
      </c>
      <c r="CT24" s="633"/>
      <c r="CU24" s="685">
        <f t="shared" ref="CU24:CX30" si="257">IFERROR(BG24/S24,0)</f>
        <v>0.88776862739055618</v>
      </c>
      <c r="CV24" s="685">
        <f t="shared" si="257"/>
        <v>1.03066377813676</v>
      </c>
      <c r="CW24" s="685">
        <f t="shared" si="257"/>
        <v>0.87048178861114078</v>
      </c>
      <c r="CX24" s="685">
        <f t="shared" si="257"/>
        <v>0</v>
      </c>
      <c r="DA24" s="685">
        <f t="shared" ref="DA24:DA30" si="258">IFERROR(AS24/Y24,0)</f>
        <v>0.78576513817397009</v>
      </c>
      <c r="DB24" s="685">
        <f t="shared" ref="DB24:DB30" si="259">IFERROR(AT24/Z24,0)</f>
        <v>0.77484304818535443</v>
      </c>
      <c r="DC24" s="685">
        <f t="shared" ref="DC24:DC30" si="260">IFERROR(AU24/AA24,0)</f>
        <v>0.9495357993296929</v>
      </c>
      <c r="DD24" s="685">
        <f t="shared" ref="DD24:DD30" si="261">IFERROR(AV24/AB24,0)</f>
        <v>0.96438509102593817</v>
      </c>
      <c r="DE24" s="685">
        <f t="shared" ref="DE24:DE30" si="262">IFERROR(AW24/AC24,0)</f>
        <v>1.0010366725502602</v>
      </c>
      <c r="DF24" s="685">
        <f t="shared" ref="DF24:DF30" si="263">IFERROR(AX24/AD24,0)</f>
        <v>0.97836014732534993</v>
      </c>
      <c r="DG24" s="685">
        <f t="shared" ref="DG24:DG30" si="264">IFERROR(AY24/AE24,0)</f>
        <v>0.87656884653062483</v>
      </c>
      <c r="DH24" s="685">
        <f t="shared" ref="DH24:DH30" si="265">IFERROR(AZ24/AF24,0)</f>
        <v>0.9293149291084758</v>
      </c>
      <c r="DI24" s="685">
        <f t="shared" ref="DI24:DI30" si="266">IFERROR(BA24/AG24,0)</f>
        <v>0.68583347029453456</v>
      </c>
      <c r="DJ24" s="685">
        <f t="shared" ref="DJ24:DJ30" si="267">IFERROR(BB24/AH24,0)</f>
        <v>0</v>
      </c>
      <c r="DK24" s="685">
        <f t="shared" ref="DK24:DK30" si="268">IFERROR(BC24/AI24,0)</f>
        <v>0</v>
      </c>
      <c r="DL24" s="685">
        <f t="shared" ref="DL24:DL30" si="269">IFERROR(BD24/AJ24,0)</f>
        <v>0</v>
      </c>
      <c r="DM24" s="685">
        <f t="shared" ref="DM24:DM30" si="270">IFERROR(BE24/AK24,0)</f>
        <v>0.6315689608794598</v>
      </c>
      <c r="DN24" s="633"/>
      <c r="DO24" s="685">
        <f t="shared" ref="DO24:DR30" si="271">IFERROR(CA24/AM24,0)</f>
        <v>-6.6252648476592582E-2</v>
      </c>
      <c r="DP24" s="685">
        <f t="shared" si="271"/>
        <v>3.3683106037606422E-2</v>
      </c>
      <c r="DQ24" s="685">
        <f t="shared" si="271"/>
        <v>0</v>
      </c>
      <c r="DR24" s="685">
        <f t="shared" si="271"/>
        <v>0</v>
      </c>
    </row>
    <row r="25" spans="1:123">
      <c r="C25" s="680" t="s">
        <v>177</v>
      </c>
      <c r="D25" s="719" t="s">
        <v>87</v>
      </c>
      <c r="E25" s="738">
        <f t="shared" ref="E25:P29" si="272">SUMIF($D$4:$D$19,$D25,E$4:E$19)</f>
        <v>304295.69366666663</v>
      </c>
      <c r="F25" s="738">
        <f t="shared" si="272"/>
        <v>309356.89666666673</v>
      </c>
      <c r="G25" s="738">
        <f t="shared" si="272"/>
        <v>360958.89666666673</v>
      </c>
      <c r="H25" s="738">
        <f t="shared" si="272"/>
        <v>384566.19666666666</v>
      </c>
      <c r="I25" s="738">
        <f t="shared" si="272"/>
        <v>415538.63666666672</v>
      </c>
      <c r="J25" s="738">
        <f t="shared" si="272"/>
        <v>319816.88686566171</v>
      </c>
      <c r="K25" s="738">
        <f t="shared" si="272"/>
        <v>352174.77546551812</v>
      </c>
      <c r="L25" s="738">
        <f t="shared" si="272"/>
        <v>384532.66406537464</v>
      </c>
      <c r="M25" s="738">
        <f t="shared" si="272"/>
        <v>384532.66406537464</v>
      </c>
      <c r="N25" s="738">
        <f t="shared" si="272"/>
        <v>416890.55266523105</v>
      </c>
      <c r="O25" s="738">
        <f t="shared" si="272"/>
        <v>481606.32986494387</v>
      </c>
      <c r="P25" s="738">
        <f t="shared" si="272"/>
        <v>578679.9956645132</v>
      </c>
      <c r="Q25" s="739">
        <f>SUM(E25:P25)</f>
        <v>4692950.1889899503</v>
      </c>
      <c r="S25" s="738">
        <f t="shared" ref="S25:V29" si="273">SUMIF($D$4:$D$19,$D25,S$4:S$19)</f>
        <v>974611.48700000008</v>
      </c>
      <c r="T25" s="738">
        <f t="shared" si="273"/>
        <v>1119921.720198995</v>
      </c>
      <c r="U25" s="738">
        <f t="shared" si="273"/>
        <v>1121240.1035962675</v>
      </c>
      <c r="V25" s="738">
        <f t="shared" si="273"/>
        <v>1477176.8781946881</v>
      </c>
      <c r="X25" s="721" t="s">
        <v>87</v>
      </c>
      <c r="Y25" s="738">
        <f t="shared" ref="Y25:AJ30" si="274">SUMIF($D$4:$D$19,$D25,Y$4:Y$19)</f>
        <v>373492.64781992056</v>
      </c>
      <c r="Z25" s="738">
        <f t="shared" si="274"/>
        <v>343375.59568110958</v>
      </c>
      <c r="AA25" s="738">
        <f t="shared" si="274"/>
        <v>401942.06149051827</v>
      </c>
      <c r="AB25" s="738">
        <f t="shared" si="274"/>
        <v>417373.95450168999</v>
      </c>
      <c r="AC25" s="738">
        <f t="shared" si="274"/>
        <v>444392.02152737475</v>
      </c>
      <c r="AD25" s="738">
        <f t="shared" si="274"/>
        <v>437859.27314985183</v>
      </c>
      <c r="AE25" s="738">
        <f t="shared" si="274"/>
        <v>465311.04622222739</v>
      </c>
      <c r="AF25" s="738">
        <f t="shared" si="274"/>
        <v>461838.4980838889</v>
      </c>
      <c r="AG25" s="738">
        <f t="shared" si="274"/>
        <v>482128.32097694406</v>
      </c>
      <c r="AH25" s="738">
        <f t="shared" si="274"/>
        <v>510507.18441523798</v>
      </c>
      <c r="AI25" s="738">
        <f t="shared" si="274"/>
        <v>491501.81417926925</v>
      </c>
      <c r="AJ25" s="738">
        <f t="shared" si="274"/>
        <v>513194.03686695243</v>
      </c>
      <c r="AK25" s="739">
        <f>SUM(Y25:AJ25)</f>
        <v>5342916.4549149852</v>
      </c>
      <c r="AM25" s="738">
        <f t="shared" ref="AM25:AP30" si="275">SUMIF($D$4:$D$19,$D25,AM$4:AM$19)</f>
        <v>1118810.3049915484</v>
      </c>
      <c r="AN25" s="738">
        <f t="shared" si="275"/>
        <v>1299625.2491789167</v>
      </c>
      <c r="AO25" s="738">
        <f t="shared" si="275"/>
        <v>1409277.8652830604</v>
      </c>
      <c r="AP25" s="738">
        <f t="shared" si="275"/>
        <v>1515203.0354614595</v>
      </c>
      <c r="AR25" s="721" t="s">
        <v>87</v>
      </c>
      <c r="AS25" s="738">
        <f t="shared" ref="AS25:BD30" si="276">SUMIF($D$4:$D$19,$D25,AS$4:AS$19)</f>
        <v>321544.62</v>
      </c>
      <c r="AT25" s="738">
        <f t="shared" si="276"/>
        <v>300415.82966499997</v>
      </c>
      <c r="AU25" s="738">
        <f t="shared" si="276"/>
        <v>324761.91154688224</v>
      </c>
      <c r="AV25" s="738">
        <f t="shared" si="276"/>
        <v>343246.5235667692</v>
      </c>
      <c r="AW25" s="738">
        <f t="shared" si="276"/>
        <v>360184.30106902862</v>
      </c>
      <c r="AX25" s="738">
        <f t="shared" si="276"/>
        <v>350514.01730624225</v>
      </c>
      <c r="AY25" s="738">
        <f t="shared" si="276"/>
        <v>357279.90236499993</v>
      </c>
      <c r="AZ25" s="738">
        <f t="shared" si="276"/>
        <v>400125.86</v>
      </c>
      <c r="BA25" s="738">
        <f t="shared" si="276"/>
        <v>324756.67200029577</v>
      </c>
      <c r="BB25" s="738">
        <f t="shared" si="276"/>
        <v>0</v>
      </c>
      <c r="BC25" s="738">
        <f t="shared" si="276"/>
        <v>0</v>
      </c>
      <c r="BD25" s="738">
        <f t="shared" si="276"/>
        <v>0</v>
      </c>
      <c r="BE25" s="739">
        <f>SUM(AS25:BD25)</f>
        <v>3082829.637519218</v>
      </c>
      <c r="BG25" s="738">
        <f t="shared" ref="BG25:BJ30" si="277">SUMIF($D$4:$D$19,$D25,BG$4:BG$19)</f>
        <v>946722.36121188221</v>
      </c>
      <c r="BH25" s="738">
        <f t="shared" si="277"/>
        <v>1053944.84194204</v>
      </c>
      <c r="BI25" s="738">
        <f t="shared" si="277"/>
        <v>1082162.4343652958</v>
      </c>
      <c r="BJ25" s="738">
        <f t="shared" si="277"/>
        <v>0</v>
      </c>
      <c r="BM25" s="738">
        <f t="shared" ref="BM25:BX30" si="278">SUMIF($D$4:$D$19,$D25,BM$4:BM$19)</f>
        <v>17248.92633333338</v>
      </c>
      <c r="BN25" s="738">
        <f t="shared" si="278"/>
        <v>-8941.06700166679</v>
      </c>
      <c r="BO25" s="738">
        <f t="shared" si="278"/>
        <v>-36196.985119784433</v>
      </c>
      <c r="BP25" s="738">
        <f t="shared" si="278"/>
        <v>-41319.673099897482</v>
      </c>
      <c r="BQ25" s="738">
        <f t="shared" si="278"/>
        <v>-55354.335597638077</v>
      </c>
      <c r="BR25" s="738">
        <f t="shared" si="278"/>
        <v>0</v>
      </c>
      <c r="BS25" s="738">
        <f t="shared" si="278"/>
        <v>0</v>
      </c>
      <c r="BT25" s="738">
        <f t="shared" si="278"/>
        <v>0</v>
      </c>
      <c r="BU25" s="738">
        <f t="shared" si="278"/>
        <v>0</v>
      </c>
      <c r="BV25" s="738">
        <f t="shared" si="278"/>
        <v>0</v>
      </c>
      <c r="BW25" s="738">
        <f t="shared" si="278"/>
        <v>0</v>
      </c>
      <c r="BX25" s="738">
        <f t="shared" si="278"/>
        <v>0</v>
      </c>
      <c r="BY25" s="739">
        <f>SUM(BM25:BX25)</f>
        <v>-124563.1344856534</v>
      </c>
      <c r="CA25" s="738">
        <f t="shared" ref="CA25:CD30" si="279">SUMIF($D$4:$D$19,$D25,CA$4:CA$19)</f>
        <v>-27889.125788117843</v>
      </c>
      <c r="CB25" s="738">
        <f t="shared" si="279"/>
        <v>-96674.008697535566</v>
      </c>
      <c r="CC25" s="738">
        <f t="shared" si="279"/>
        <v>0</v>
      </c>
      <c r="CD25" s="738">
        <f t="shared" si="279"/>
        <v>0</v>
      </c>
      <c r="CG25" s="743">
        <f t="shared" si="256"/>
        <v>1.0566847533249297</v>
      </c>
      <c r="CH25" s="743">
        <f t="shared" si="256"/>
        <v>0.97109789017795589</v>
      </c>
      <c r="CI25" s="743">
        <f t="shared" si="256"/>
        <v>0.89971992530437295</v>
      </c>
      <c r="CJ25" s="743">
        <f t="shared" si="256"/>
        <v>0.89255510895641088</v>
      </c>
      <c r="CK25" s="743">
        <f t="shared" si="256"/>
        <v>0.86678895603625472</v>
      </c>
      <c r="CL25" s="743">
        <f t="shared" si="256"/>
        <v>1.0959834571007965</v>
      </c>
      <c r="CM25" s="743">
        <f t="shared" si="256"/>
        <v>1.0144960038456294</v>
      </c>
      <c r="CN25" s="743">
        <f t="shared" si="256"/>
        <v>1.0405510308793282</v>
      </c>
      <c r="CO25" s="743">
        <f t="shared" si="256"/>
        <v>0.84454898724828142</v>
      </c>
      <c r="CP25" s="743">
        <f t="shared" si="256"/>
        <v>0</v>
      </c>
      <c r="CQ25" s="743">
        <f t="shared" si="256"/>
        <v>0</v>
      </c>
      <c r="CR25" s="743">
        <f t="shared" si="256"/>
        <v>0</v>
      </c>
      <c r="CS25" s="745">
        <f t="shared" si="256"/>
        <v>0.6569065328568352</v>
      </c>
      <c r="CT25" s="633"/>
      <c r="CU25" s="743">
        <f t="shared" si="257"/>
        <v>0.97138436581127852</v>
      </c>
      <c r="CV25" s="743">
        <f t="shared" si="257"/>
        <v>0.94108795546421609</v>
      </c>
      <c r="CW25" s="743">
        <f t="shared" si="257"/>
        <v>0.96514781347399725</v>
      </c>
      <c r="CX25" s="743">
        <f t="shared" si="257"/>
        <v>0</v>
      </c>
      <c r="DA25" s="743">
        <f t="shared" si="258"/>
        <v>0.86091285029801368</v>
      </c>
      <c r="DB25" s="743">
        <f t="shared" si="259"/>
        <v>0.87488986824792858</v>
      </c>
      <c r="DC25" s="743">
        <f t="shared" si="260"/>
        <v>0.80798190252239455</v>
      </c>
      <c r="DD25" s="743">
        <f t="shared" si="261"/>
        <v>0.82239564751130001</v>
      </c>
      <c r="DE25" s="743">
        <f t="shared" si="262"/>
        <v>0.81051027835980427</v>
      </c>
      <c r="DF25" s="743">
        <f t="shared" si="263"/>
        <v>0.80051751510189728</v>
      </c>
      <c r="DG25" s="743">
        <f t="shared" si="264"/>
        <v>0.76783026164044044</v>
      </c>
      <c r="DH25" s="743">
        <f t="shared" si="265"/>
        <v>0.8663761502344931</v>
      </c>
      <c r="DI25" s="743">
        <f t="shared" si="266"/>
        <v>0.67358970189147216</v>
      </c>
      <c r="DJ25" s="743">
        <f t="shared" si="267"/>
        <v>0</v>
      </c>
      <c r="DK25" s="743">
        <f t="shared" si="268"/>
        <v>0</v>
      </c>
      <c r="DL25" s="743">
        <f t="shared" si="269"/>
        <v>0</v>
      </c>
      <c r="DM25" s="745">
        <f t="shared" si="270"/>
        <v>0.57699379421950381</v>
      </c>
      <c r="DN25" s="633"/>
      <c r="DO25" s="743">
        <f t="shared" si="271"/>
        <v>-2.4927483831433353E-2</v>
      </c>
      <c r="DP25" s="743">
        <f t="shared" si="271"/>
        <v>-7.4386065335844104E-2</v>
      </c>
      <c r="DQ25" s="743">
        <f t="shared" si="271"/>
        <v>0</v>
      </c>
      <c r="DR25" s="743">
        <f t="shared" si="271"/>
        <v>0</v>
      </c>
    </row>
    <row r="26" spans="1:123">
      <c r="C26" s="680" t="s">
        <v>177</v>
      </c>
      <c r="D26" s="719" t="s">
        <v>88</v>
      </c>
      <c r="E26" s="738">
        <f t="shared" si="272"/>
        <v>434482.14743965771</v>
      </c>
      <c r="F26" s="738">
        <f t="shared" si="272"/>
        <v>397117.36079292529</v>
      </c>
      <c r="G26" s="738">
        <f t="shared" si="272"/>
        <v>469777.97477119998</v>
      </c>
      <c r="H26" s="738">
        <f t="shared" si="272"/>
        <v>488923.58660797658</v>
      </c>
      <c r="I26" s="738">
        <f t="shared" si="272"/>
        <v>522443.61059202644</v>
      </c>
      <c r="J26" s="738">
        <f t="shared" si="272"/>
        <v>514338.74202063092</v>
      </c>
      <c r="K26" s="738">
        <f t="shared" si="272"/>
        <v>548396.84436066693</v>
      </c>
      <c r="L26" s="738">
        <f t="shared" si="272"/>
        <v>544088.61991321796</v>
      </c>
      <c r="M26" s="738">
        <f t="shared" si="272"/>
        <v>569261.23308945971</v>
      </c>
      <c r="N26" s="738">
        <f t="shared" si="272"/>
        <v>604469.53212089604</v>
      </c>
      <c r="O26" s="738">
        <f t="shared" si="272"/>
        <v>615114.95992820268</v>
      </c>
      <c r="P26" s="738">
        <f t="shared" si="272"/>
        <v>673206.72100377223</v>
      </c>
      <c r="Q26" s="739">
        <f t="shared" ref="Q26:Q29" si="280">SUM(E26:P26)</f>
        <v>6381621.3326406311</v>
      </c>
      <c r="S26" s="738">
        <f t="shared" si="273"/>
        <v>1301377.483003783</v>
      </c>
      <c r="T26" s="738">
        <f t="shared" si="273"/>
        <v>1525705.9392206341</v>
      </c>
      <c r="U26" s="738">
        <f t="shared" si="273"/>
        <v>1661746.6973633447</v>
      </c>
      <c r="V26" s="738">
        <f t="shared" si="273"/>
        <v>1892791.2130528709</v>
      </c>
      <c r="X26" s="721" t="s">
        <v>88</v>
      </c>
      <c r="Y26" s="738">
        <f t="shared" si="274"/>
        <v>441091.84825282404</v>
      </c>
      <c r="Z26" s="738">
        <f t="shared" si="274"/>
        <v>403016.5754653383</v>
      </c>
      <c r="AA26" s="738">
        <f t="shared" si="274"/>
        <v>477058.82075595728</v>
      </c>
      <c r="AB26" s="738">
        <f t="shared" si="274"/>
        <v>496568.48369771882</v>
      </c>
      <c r="AC26" s="738">
        <f t="shared" si="274"/>
        <v>530725.8862035186</v>
      </c>
      <c r="AD26" s="738">
        <f t="shared" si="274"/>
        <v>522466.90470095479</v>
      </c>
      <c r="AE26" s="738">
        <f t="shared" si="274"/>
        <v>557172.61704668251</v>
      </c>
      <c r="AF26" s="738">
        <f t="shared" si="274"/>
        <v>552782.47231985081</v>
      </c>
      <c r="AG26" s="738">
        <f t="shared" si="274"/>
        <v>578433.73918030492</v>
      </c>
      <c r="AH26" s="738">
        <f t="shared" si="274"/>
        <v>614311.51904506818</v>
      </c>
      <c r="AI26" s="738">
        <f t="shared" si="274"/>
        <v>590284.11248394765</v>
      </c>
      <c r="AJ26" s="738">
        <f t="shared" si="274"/>
        <v>617708.35348846705</v>
      </c>
      <c r="AK26" s="739">
        <f t="shared" ref="AK26:AK30" si="281">SUM(Y26:AJ26)</f>
        <v>6381621.3326406321</v>
      </c>
      <c r="AM26" s="738">
        <f t="shared" si="275"/>
        <v>1321167.2444741195</v>
      </c>
      <c r="AN26" s="738">
        <f t="shared" si="275"/>
        <v>1549761.2746021922</v>
      </c>
      <c r="AO26" s="738">
        <f t="shared" si="275"/>
        <v>1688388.8285468384</v>
      </c>
      <c r="AP26" s="738">
        <f t="shared" si="275"/>
        <v>1822303.9850174831</v>
      </c>
      <c r="AR26" s="721" t="s">
        <v>88</v>
      </c>
      <c r="AS26" s="738">
        <f t="shared" si="276"/>
        <v>360112.36600499996</v>
      </c>
      <c r="AT26" s="738">
        <f t="shared" si="276"/>
        <v>314988.65232699993</v>
      </c>
      <c r="AU26" s="738">
        <f t="shared" si="276"/>
        <v>526957.71359900001</v>
      </c>
      <c r="AV26" s="738">
        <f t="shared" si="276"/>
        <v>512321.04000000004</v>
      </c>
      <c r="AW26" s="738">
        <f t="shared" si="276"/>
        <v>528763.24</v>
      </c>
      <c r="AX26" s="738">
        <f t="shared" si="276"/>
        <v>582767.49</v>
      </c>
      <c r="AY26" s="738">
        <f t="shared" si="276"/>
        <v>464691.96</v>
      </c>
      <c r="AZ26" s="738">
        <f t="shared" si="276"/>
        <v>536355.72</v>
      </c>
      <c r="BA26" s="738">
        <f t="shared" si="276"/>
        <v>430826.6510003584</v>
      </c>
      <c r="BB26" s="738">
        <f t="shared" si="276"/>
        <v>0</v>
      </c>
      <c r="BC26" s="738">
        <f t="shared" si="276"/>
        <v>0</v>
      </c>
      <c r="BD26" s="738">
        <f t="shared" si="276"/>
        <v>0</v>
      </c>
      <c r="BE26" s="739">
        <f t="shared" ref="BE26:BE30" si="282">SUM(AS26:BD26)</f>
        <v>4257784.8329313584</v>
      </c>
      <c r="BG26" s="738">
        <f t="shared" si="277"/>
        <v>1202058.7319309998</v>
      </c>
      <c r="BH26" s="738">
        <f t="shared" si="277"/>
        <v>1623851.77</v>
      </c>
      <c r="BI26" s="738">
        <f t="shared" si="277"/>
        <v>1431874.3310003583</v>
      </c>
      <c r="BJ26" s="738">
        <f t="shared" si="277"/>
        <v>0</v>
      </c>
      <c r="BM26" s="738">
        <f t="shared" si="278"/>
        <v>-74369.781434657736</v>
      </c>
      <c r="BN26" s="738">
        <f t="shared" si="278"/>
        <v>-82128.708465925316</v>
      </c>
      <c r="BO26" s="738">
        <f t="shared" si="278"/>
        <v>57179.738827800029</v>
      </c>
      <c r="BP26" s="738">
        <f t="shared" si="278"/>
        <v>23397.453392023446</v>
      </c>
      <c r="BQ26" s="738">
        <f t="shared" si="278"/>
        <v>6319.6294079735599</v>
      </c>
      <c r="BR26" s="738">
        <f t="shared" si="278"/>
        <v>0</v>
      </c>
      <c r="BS26" s="738">
        <f t="shared" si="278"/>
        <v>0</v>
      </c>
      <c r="BT26" s="738">
        <f t="shared" si="278"/>
        <v>0</v>
      </c>
      <c r="BU26" s="738">
        <f t="shared" si="278"/>
        <v>0</v>
      </c>
      <c r="BV26" s="738">
        <f t="shared" si="278"/>
        <v>0</v>
      </c>
      <c r="BW26" s="738">
        <f t="shared" si="278"/>
        <v>0</v>
      </c>
      <c r="BX26" s="738">
        <f t="shared" si="278"/>
        <v>0</v>
      </c>
      <c r="BY26" s="739">
        <f t="shared" ref="BY26:BY30" si="283">SUM(BM26:BX26)</f>
        <v>-69601.668272786017</v>
      </c>
      <c r="CA26" s="738">
        <f t="shared" si="279"/>
        <v>-99318.751072783023</v>
      </c>
      <c r="CB26" s="738">
        <f t="shared" si="279"/>
        <v>29717.082799997006</v>
      </c>
      <c r="CC26" s="738">
        <f t="shared" si="279"/>
        <v>0</v>
      </c>
      <c r="CD26" s="738">
        <f t="shared" si="279"/>
        <v>0</v>
      </c>
      <c r="CG26" s="743">
        <f t="shared" si="256"/>
        <v>0.82883121464734877</v>
      </c>
      <c r="CH26" s="743">
        <f t="shared" si="256"/>
        <v>0.79318781656400328</v>
      </c>
      <c r="CI26" s="743">
        <f t="shared" si="256"/>
        <v>1.1217165169474979</v>
      </c>
      <c r="CJ26" s="743">
        <f t="shared" si="256"/>
        <v>1.0478550309964565</v>
      </c>
      <c r="CK26" s="743">
        <f t="shared" si="256"/>
        <v>1.0120962899724475</v>
      </c>
      <c r="CL26" s="743">
        <f t="shared" si="256"/>
        <v>1.133042180938072</v>
      </c>
      <c r="CM26" s="743">
        <f t="shared" si="256"/>
        <v>0.84736439455946921</v>
      </c>
      <c r="CN26" s="743">
        <f t="shared" si="256"/>
        <v>0.98578742574242517</v>
      </c>
      <c r="CO26" s="743">
        <f t="shared" si="256"/>
        <v>0.75681712710736049</v>
      </c>
      <c r="CP26" s="743">
        <f t="shared" si="256"/>
        <v>0</v>
      </c>
      <c r="CQ26" s="743">
        <f t="shared" si="256"/>
        <v>0</v>
      </c>
      <c r="CR26" s="743">
        <f t="shared" si="256"/>
        <v>0</v>
      </c>
      <c r="CS26" s="745">
        <f t="shared" si="256"/>
        <v>0.66719484140397012</v>
      </c>
      <c r="CT26" s="633"/>
      <c r="CU26" s="743">
        <f t="shared" si="257"/>
        <v>0.92368182762503315</v>
      </c>
      <c r="CV26" s="743">
        <f t="shared" si="257"/>
        <v>1.0643281436195373</v>
      </c>
      <c r="CW26" s="743">
        <f t="shared" si="257"/>
        <v>0.8616682273371028</v>
      </c>
      <c r="CX26" s="743">
        <f t="shared" si="257"/>
        <v>0</v>
      </c>
      <c r="DA26" s="743">
        <f t="shared" si="258"/>
        <v>0.81641129263987566</v>
      </c>
      <c r="DB26" s="743">
        <f t="shared" si="259"/>
        <v>0.78157741269897407</v>
      </c>
      <c r="DC26" s="743">
        <f t="shared" si="260"/>
        <v>1.104596939983149</v>
      </c>
      <c r="DD26" s="743">
        <f t="shared" si="261"/>
        <v>1.0317228274033405</v>
      </c>
      <c r="DE26" s="743">
        <f t="shared" si="262"/>
        <v>0.99630195878034489</v>
      </c>
      <c r="DF26" s="743">
        <f t="shared" si="263"/>
        <v>1.1154151291813585</v>
      </c>
      <c r="DG26" s="743">
        <f t="shared" si="264"/>
        <v>0.83401794306245669</v>
      </c>
      <c r="DH26" s="743">
        <f t="shared" si="265"/>
        <v>0.97028351450632466</v>
      </c>
      <c r="DI26" s="743">
        <f t="shared" si="266"/>
        <v>0.74481590857905411</v>
      </c>
      <c r="DJ26" s="743">
        <f t="shared" si="267"/>
        <v>0</v>
      </c>
      <c r="DK26" s="743">
        <f t="shared" si="268"/>
        <v>0</v>
      </c>
      <c r="DL26" s="743">
        <f t="shared" si="269"/>
        <v>0</v>
      </c>
      <c r="DM26" s="745">
        <f t="shared" si="270"/>
        <v>0.66719484140397001</v>
      </c>
      <c r="DN26" s="633"/>
      <c r="DO26" s="743">
        <f t="shared" si="271"/>
        <v>-7.517500262604232E-2</v>
      </c>
      <c r="DP26" s="743">
        <f t="shared" si="271"/>
        <v>1.9175264788846319E-2</v>
      </c>
      <c r="DQ26" s="743">
        <f t="shared" si="271"/>
        <v>0</v>
      </c>
      <c r="DR26" s="743">
        <f t="shared" si="271"/>
        <v>0</v>
      </c>
    </row>
    <row r="27" spans="1:123">
      <c r="C27" s="680" t="s">
        <v>177</v>
      </c>
      <c r="D27" s="719" t="s">
        <v>89</v>
      </c>
      <c r="E27" s="738">
        <f t="shared" si="272"/>
        <v>186650.25336105726</v>
      </c>
      <c r="F27" s="738">
        <f t="shared" si="272"/>
        <v>173912.195989884</v>
      </c>
      <c r="G27" s="738">
        <f t="shared" si="272"/>
        <v>198794.24089938903</v>
      </c>
      <c r="H27" s="738">
        <f t="shared" si="272"/>
        <v>215040.07578997459</v>
      </c>
      <c r="I27" s="738">
        <f t="shared" si="272"/>
        <v>228394.09648017946</v>
      </c>
      <c r="J27" s="738">
        <f t="shared" si="272"/>
        <v>229258.48561982592</v>
      </c>
      <c r="K27" s="738">
        <f t="shared" si="272"/>
        <v>243973.24402306619</v>
      </c>
      <c r="L27" s="738">
        <f t="shared" si="272"/>
        <v>245822.63815510788</v>
      </c>
      <c r="M27" s="738">
        <f t="shared" si="272"/>
        <v>256553.19183949567</v>
      </c>
      <c r="N27" s="738">
        <f t="shared" si="272"/>
        <v>277429.22317627392</v>
      </c>
      <c r="O27" s="738">
        <f t="shared" si="272"/>
        <v>282656.87025403907</v>
      </c>
      <c r="P27" s="738">
        <f t="shared" si="272"/>
        <v>304023.0422597389</v>
      </c>
      <c r="Q27" s="739">
        <f t="shared" si="280"/>
        <v>2842507.5578480316</v>
      </c>
      <c r="S27" s="738">
        <f t="shared" si="273"/>
        <v>559356.69025033026</v>
      </c>
      <c r="T27" s="738">
        <f t="shared" si="273"/>
        <v>672692.65788998001</v>
      </c>
      <c r="U27" s="738">
        <f t="shared" si="273"/>
        <v>746349.07401766977</v>
      </c>
      <c r="V27" s="738">
        <f t="shared" si="273"/>
        <v>864109.13569005183</v>
      </c>
      <c r="X27" s="721" t="s">
        <v>89</v>
      </c>
      <c r="Y27" s="738">
        <f t="shared" si="274"/>
        <v>222979.51986973843</v>
      </c>
      <c r="Z27" s="738">
        <f t="shared" si="274"/>
        <v>206336.37797390134</v>
      </c>
      <c r="AA27" s="738">
        <f t="shared" si="274"/>
        <v>238812.3599740105</v>
      </c>
      <c r="AB27" s="738">
        <f t="shared" si="274"/>
        <v>257059.14921784558</v>
      </c>
      <c r="AC27" s="738">
        <f t="shared" si="274"/>
        <v>273916.42895684583</v>
      </c>
      <c r="AD27" s="738">
        <f t="shared" si="274"/>
        <v>273933.75861420948</v>
      </c>
      <c r="AE27" s="738">
        <f t="shared" si="274"/>
        <v>292208.01194097078</v>
      </c>
      <c r="AF27" s="738">
        <f t="shared" si="274"/>
        <v>293607.14308134664</v>
      </c>
      <c r="AG27" s="738">
        <f t="shared" si="274"/>
        <v>306968.54765454825</v>
      </c>
      <c r="AH27" s="738">
        <f t="shared" si="274"/>
        <v>331524.28376222</v>
      </c>
      <c r="AI27" s="738">
        <f t="shared" si="274"/>
        <v>322623.93375933345</v>
      </c>
      <c r="AJ27" s="738">
        <f t="shared" si="274"/>
        <v>336176.91546578897</v>
      </c>
      <c r="AK27" s="739">
        <f t="shared" si="281"/>
        <v>3356146.4302707589</v>
      </c>
      <c r="AM27" s="738">
        <f t="shared" si="275"/>
        <v>668128.25781765021</v>
      </c>
      <c r="AN27" s="738">
        <f t="shared" si="275"/>
        <v>804909.3367889009</v>
      </c>
      <c r="AO27" s="738">
        <f t="shared" si="275"/>
        <v>892783.70267686574</v>
      </c>
      <c r="AP27" s="738">
        <f t="shared" si="275"/>
        <v>990325.13298734231</v>
      </c>
      <c r="AR27" s="721" t="s">
        <v>89</v>
      </c>
      <c r="AS27" s="738">
        <f t="shared" si="276"/>
        <v>146475.24349300002</v>
      </c>
      <c r="AT27" s="738">
        <f t="shared" si="276"/>
        <v>116315.32551000001</v>
      </c>
      <c r="AU27" s="738">
        <f t="shared" si="276"/>
        <v>187342.43036999996</v>
      </c>
      <c r="AV27" s="738">
        <f t="shared" si="276"/>
        <v>168538.78000000003</v>
      </c>
      <c r="AW27" s="738">
        <f t="shared" si="276"/>
        <v>208563.73</v>
      </c>
      <c r="AX27" s="738">
        <f t="shared" si="276"/>
        <v>239683.63999999998</v>
      </c>
      <c r="AY27" s="738">
        <f t="shared" si="276"/>
        <v>306286.13</v>
      </c>
      <c r="AZ27" s="738">
        <f t="shared" si="276"/>
        <v>253807.22</v>
      </c>
      <c r="BA27" s="738">
        <f t="shared" si="276"/>
        <v>142000.29300000914</v>
      </c>
      <c r="BB27" s="738">
        <f t="shared" si="276"/>
        <v>0</v>
      </c>
      <c r="BC27" s="738">
        <f t="shared" si="276"/>
        <v>0</v>
      </c>
      <c r="BD27" s="738">
        <f t="shared" si="276"/>
        <v>0</v>
      </c>
      <c r="BE27" s="739">
        <f t="shared" si="282"/>
        <v>1769012.792373009</v>
      </c>
      <c r="BG27" s="738">
        <f t="shared" si="277"/>
        <v>450132.999373</v>
      </c>
      <c r="BH27" s="738">
        <f t="shared" si="277"/>
        <v>616786.15</v>
      </c>
      <c r="BI27" s="738">
        <f t="shared" si="277"/>
        <v>702093.64300000912</v>
      </c>
      <c r="BJ27" s="738">
        <f t="shared" si="277"/>
        <v>0</v>
      </c>
      <c r="BM27" s="738">
        <f t="shared" si="278"/>
        <v>-40175.009868057256</v>
      </c>
      <c r="BN27" s="738">
        <f t="shared" si="278"/>
        <v>-57596.870479883983</v>
      </c>
      <c r="BO27" s="738">
        <f t="shared" si="278"/>
        <v>-11451.810529389066</v>
      </c>
      <c r="BP27" s="738">
        <f t="shared" si="278"/>
        <v>-46501.295789974611</v>
      </c>
      <c r="BQ27" s="738">
        <f t="shared" si="278"/>
        <v>-19830.36648017948</v>
      </c>
      <c r="BR27" s="738">
        <f t="shared" si="278"/>
        <v>0</v>
      </c>
      <c r="BS27" s="738">
        <f t="shared" si="278"/>
        <v>0</v>
      </c>
      <c r="BT27" s="738">
        <f t="shared" si="278"/>
        <v>0</v>
      </c>
      <c r="BU27" s="738">
        <f t="shared" si="278"/>
        <v>0</v>
      </c>
      <c r="BV27" s="738">
        <f t="shared" si="278"/>
        <v>0</v>
      </c>
      <c r="BW27" s="738">
        <f t="shared" si="278"/>
        <v>0</v>
      </c>
      <c r="BX27" s="738">
        <f t="shared" si="278"/>
        <v>0</v>
      </c>
      <c r="BY27" s="739">
        <f t="shared" si="283"/>
        <v>-175555.35314748442</v>
      </c>
      <c r="CA27" s="738">
        <f t="shared" si="279"/>
        <v>-109223.69087733033</v>
      </c>
      <c r="CB27" s="738">
        <f t="shared" si="279"/>
        <v>-66331.662270154076</v>
      </c>
      <c r="CC27" s="738">
        <f t="shared" si="279"/>
        <v>0</v>
      </c>
      <c r="CD27" s="738">
        <f t="shared" si="279"/>
        <v>0</v>
      </c>
      <c r="CG27" s="743">
        <f t="shared" si="256"/>
        <v>0.7847578069431147</v>
      </c>
      <c r="CH27" s="743">
        <f t="shared" si="256"/>
        <v>0.66881638086362705</v>
      </c>
      <c r="CI27" s="743">
        <f t="shared" si="256"/>
        <v>0.942393650451952</v>
      </c>
      <c r="CJ27" s="743">
        <f t="shared" si="256"/>
        <v>0.78375521111984969</v>
      </c>
      <c r="CK27" s="743">
        <f t="shared" si="256"/>
        <v>0.91317478522523732</v>
      </c>
      <c r="CL27" s="743">
        <f t="shared" si="256"/>
        <v>1.0454733631864856</v>
      </c>
      <c r="CM27" s="743">
        <f t="shared" si="256"/>
        <v>1.2554086872372059</v>
      </c>
      <c r="CN27" s="743">
        <f t="shared" si="256"/>
        <v>1.0324810680774406</v>
      </c>
      <c r="CO27" s="743">
        <f t="shared" si="256"/>
        <v>0.55349259926123662</v>
      </c>
      <c r="CP27" s="743">
        <f t="shared" si="256"/>
        <v>0</v>
      </c>
      <c r="CQ27" s="743">
        <f t="shared" si="256"/>
        <v>0</v>
      </c>
      <c r="CR27" s="743">
        <f t="shared" si="256"/>
        <v>0</v>
      </c>
      <c r="CS27" s="745">
        <f t="shared" si="256"/>
        <v>0.62234233555117446</v>
      </c>
      <c r="CT27" s="633"/>
      <c r="CU27" s="743">
        <f t="shared" si="257"/>
        <v>0.80473337893134145</v>
      </c>
      <c r="CV27" s="743">
        <f t="shared" si="257"/>
        <v>0.91689145520728488</v>
      </c>
      <c r="CW27" s="743">
        <f t="shared" si="257"/>
        <v>0.94070411211280891</v>
      </c>
      <c r="CX27" s="743">
        <f t="shared" si="257"/>
        <v>0</v>
      </c>
      <c r="DA27" s="743">
        <f t="shared" si="258"/>
        <v>0.65689998605508182</v>
      </c>
      <c r="DB27" s="743">
        <f t="shared" si="259"/>
        <v>0.56371700740386299</v>
      </c>
      <c r="DC27" s="743">
        <f t="shared" si="260"/>
        <v>0.7844754366582537</v>
      </c>
      <c r="DD27" s="743">
        <f t="shared" si="261"/>
        <v>0.65564202057313781</v>
      </c>
      <c r="DE27" s="743">
        <f t="shared" si="262"/>
        <v>0.76141373043695082</v>
      </c>
      <c r="DF27" s="743">
        <f t="shared" si="263"/>
        <v>0.87496934007887239</v>
      </c>
      <c r="DG27" s="743">
        <f t="shared" si="264"/>
        <v>1.0481784122396793</v>
      </c>
      <c r="DH27" s="743">
        <f t="shared" si="265"/>
        <v>0.86444497683654886</v>
      </c>
      <c r="DI27" s="743">
        <f t="shared" si="266"/>
        <v>0.46258906355387047</v>
      </c>
      <c r="DJ27" s="743">
        <f t="shared" si="267"/>
        <v>0</v>
      </c>
      <c r="DK27" s="743">
        <f t="shared" si="268"/>
        <v>0</v>
      </c>
      <c r="DL27" s="743">
        <f t="shared" si="269"/>
        <v>0</v>
      </c>
      <c r="DM27" s="745">
        <f t="shared" si="270"/>
        <v>0.52709642714555005</v>
      </c>
      <c r="DN27" s="633"/>
      <c r="DO27" s="743">
        <f t="shared" si="271"/>
        <v>-0.163477131223419</v>
      </c>
      <c r="DP27" s="743">
        <f t="shared" si="271"/>
        <v>-8.2408861766689281E-2</v>
      </c>
      <c r="DQ27" s="743">
        <f t="shared" si="271"/>
        <v>0</v>
      </c>
      <c r="DR27" s="743">
        <f t="shared" si="271"/>
        <v>0</v>
      </c>
    </row>
    <row r="28" spans="1:123">
      <c r="C28" s="680" t="s">
        <v>176</v>
      </c>
      <c r="D28" s="719" t="s">
        <v>90</v>
      </c>
      <c r="E28" s="738">
        <f t="shared" si="272"/>
        <v>13623.456484334463</v>
      </c>
      <c r="F28" s="738">
        <f t="shared" si="272"/>
        <v>12159.051771492457</v>
      </c>
      <c r="G28" s="738">
        <f t="shared" si="272"/>
        <v>15006.774322507856</v>
      </c>
      <c r="H28" s="738">
        <f t="shared" si="272"/>
        <v>15757.131188428062</v>
      </c>
      <c r="I28" s="738">
        <f t="shared" si="272"/>
        <v>17070.851551959495</v>
      </c>
      <c r="J28" s="738">
        <f t="shared" si="272"/>
        <v>16753.20467643653</v>
      </c>
      <c r="K28" s="738">
        <f t="shared" si="272"/>
        <v>18088.013464420492</v>
      </c>
      <c r="L28" s="738">
        <f t="shared" si="272"/>
        <v>17919.165071293719</v>
      </c>
      <c r="M28" s="738">
        <f t="shared" si="272"/>
        <v>18905.732818043078</v>
      </c>
      <c r="N28" s="738">
        <f t="shared" si="272"/>
        <v>20285.620237721268</v>
      </c>
      <c r="O28" s="738">
        <f t="shared" si="272"/>
        <v>20702.836982423396</v>
      </c>
      <c r="P28" s="738">
        <f t="shared" si="272"/>
        <v>22979.575492953481</v>
      </c>
      <c r="Q28" s="739">
        <f t="shared" si="280"/>
        <v>209251.41406201432</v>
      </c>
      <c r="S28" s="738">
        <f t="shared" si="273"/>
        <v>40789.28257833478</v>
      </c>
      <c r="T28" s="738">
        <f t="shared" si="273"/>
        <v>49581.187416824083</v>
      </c>
      <c r="U28" s="738">
        <f t="shared" si="273"/>
        <v>54912.911353757285</v>
      </c>
      <c r="V28" s="738">
        <f t="shared" si="273"/>
        <v>63968.032713098146</v>
      </c>
      <c r="X28" s="721" t="s">
        <v>90</v>
      </c>
      <c r="Y28" s="738">
        <f t="shared" si="274"/>
        <v>13882.504585231964</v>
      </c>
      <c r="Z28" s="738">
        <f t="shared" si="274"/>
        <v>12390.254423605116</v>
      </c>
      <c r="AA28" s="738">
        <f t="shared" si="274"/>
        <v>15292.126016720935</v>
      </c>
      <c r="AB28" s="738">
        <f t="shared" si="274"/>
        <v>16056.750812467582</v>
      </c>
      <c r="AC28" s="738">
        <f t="shared" si="274"/>
        <v>17395.451383164098</v>
      </c>
      <c r="AD28" s="738">
        <f t="shared" si="274"/>
        <v>17071.764497166932</v>
      </c>
      <c r="AE28" s="738">
        <f t="shared" si="274"/>
        <v>18431.954485728456</v>
      </c>
      <c r="AF28" s="738">
        <f t="shared" si="274"/>
        <v>18259.895464254208</v>
      </c>
      <c r="AG28" s="738">
        <f t="shared" si="274"/>
        <v>19265.222657366983</v>
      </c>
      <c r="AH28" s="738">
        <f t="shared" si="274"/>
        <v>20671.348441437578</v>
      </c>
      <c r="AI28" s="738">
        <f t="shared" si="274"/>
        <v>19729.663754779453</v>
      </c>
      <c r="AJ28" s="738">
        <f t="shared" si="274"/>
        <v>20804.477540091008</v>
      </c>
      <c r="AK28" s="739">
        <f t="shared" si="281"/>
        <v>209251.41406201434</v>
      </c>
      <c r="AM28" s="738">
        <f t="shared" si="275"/>
        <v>41564.885025558011</v>
      </c>
      <c r="AN28" s="738">
        <f t="shared" si="275"/>
        <v>50523.966692798611</v>
      </c>
      <c r="AO28" s="738">
        <f t="shared" si="275"/>
        <v>55957.072607349648</v>
      </c>
      <c r="AP28" s="738">
        <f t="shared" si="275"/>
        <v>61205.489736308038</v>
      </c>
      <c r="AR28" s="721" t="s">
        <v>90</v>
      </c>
      <c r="AS28" s="738">
        <f t="shared" si="276"/>
        <v>15588.980986999999</v>
      </c>
      <c r="AT28" s="738">
        <f t="shared" si="276"/>
        <v>16095.788096999999</v>
      </c>
      <c r="AU28" s="738">
        <f t="shared" si="276"/>
        <v>36862.056037999988</v>
      </c>
      <c r="AV28" s="738">
        <f t="shared" si="276"/>
        <v>120675.02</v>
      </c>
      <c r="AW28" s="738">
        <f t="shared" si="276"/>
        <v>178209.89</v>
      </c>
      <c r="AX28" s="738">
        <f t="shared" si="276"/>
        <v>51287.92</v>
      </c>
      <c r="AY28" s="738">
        <f t="shared" si="276"/>
        <v>40316.65</v>
      </c>
      <c r="AZ28" s="738">
        <f t="shared" si="276"/>
        <v>42436.31</v>
      </c>
      <c r="BA28" s="738">
        <f t="shared" si="276"/>
        <v>53527.380999994697</v>
      </c>
      <c r="BB28" s="738">
        <f t="shared" si="276"/>
        <v>0</v>
      </c>
      <c r="BC28" s="738">
        <f t="shared" si="276"/>
        <v>0</v>
      </c>
      <c r="BD28" s="738">
        <f t="shared" si="276"/>
        <v>0</v>
      </c>
      <c r="BE28" s="739">
        <f t="shared" si="282"/>
        <v>554999.99612199469</v>
      </c>
      <c r="BG28" s="738">
        <f t="shared" si="277"/>
        <v>68546.82512199998</v>
      </c>
      <c r="BH28" s="738">
        <f t="shared" si="277"/>
        <v>350172.83</v>
      </c>
      <c r="BI28" s="738">
        <f t="shared" si="277"/>
        <v>136280.34099999469</v>
      </c>
      <c r="BJ28" s="738">
        <f t="shared" si="277"/>
        <v>0</v>
      </c>
      <c r="BM28" s="738">
        <f t="shared" si="278"/>
        <v>1965.5245026655357</v>
      </c>
      <c r="BN28" s="738">
        <f t="shared" si="278"/>
        <v>3936.7363255075416</v>
      </c>
      <c r="BO28" s="738">
        <f t="shared" si="278"/>
        <v>21855.281715492132</v>
      </c>
      <c r="BP28" s="738">
        <f t="shared" si="278"/>
        <v>104917.88881157195</v>
      </c>
      <c r="BQ28" s="738">
        <f t="shared" si="278"/>
        <v>161139.03844804052</v>
      </c>
      <c r="BR28" s="738">
        <f t="shared" si="278"/>
        <v>0</v>
      </c>
      <c r="BS28" s="738">
        <f t="shared" si="278"/>
        <v>0</v>
      </c>
      <c r="BT28" s="738">
        <f t="shared" si="278"/>
        <v>0</v>
      </c>
      <c r="BU28" s="738">
        <f t="shared" si="278"/>
        <v>0</v>
      </c>
      <c r="BV28" s="738">
        <f t="shared" si="278"/>
        <v>0</v>
      </c>
      <c r="BW28" s="738">
        <f t="shared" si="278"/>
        <v>0</v>
      </c>
      <c r="BX28" s="738">
        <f t="shared" si="278"/>
        <v>0</v>
      </c>
      <c r="BY28" s="739">
        <f t="shared" si="283"/>
        <v>293814.46980327764</v>
      </c>
      <c r="CA28" s="738">
        <f t="shared" si="279"/>
        <v>27757.542543665208</v>
      </c>
      <c r="CB28" s="738">
        <f t="shared" si="279"/>
        <v>266056.92725961248</v>
      </c>
      <c r="CC28" s="738">
        <f t="shared" si="279"/>
        <v>0</v>
      </c>
      <c r="CD28" s="738">
        <f t="shared" si="279"/>
        <v>0</v>
      </c>
      <c r="CG28" s="743">
        <f t="shared" si="256"/>
        <v>1.1442750233705874</v>
      </c>
      <c r="CH28" s="743">
        <f t="shared" si="256"/>
        <v>1.32377001097548</v>
      </c>
      <c r="CI28" s="743">
        <f t="shared" si="256"/>
        <v>2.4563610570669119</v>
      </c>
      <c r="CJ28" s="743">
        <f t="shared" si="256"/>
        <v>7.6584384909242225</v>
      </c>
      <c r="CK28" s="743">
        <f t="shared" si="256"/>
        <v>10.439425910158771</v>
      </c>
      <c r="CL28" s="743">
        <f t="shared" si="256"/>
        <v>3.0613796578356576</v>
      </c>
      <c r="CM28" s="743">
        <f t="shared" si="256"/>
        <v>2.2289153023522297</v>
      </c>
      <c r="CN28" s="743">
        <f t="shared" si="256"/>
        <v>2.3682079958056996</v>
      </c>
      <c r="CO28" s="743">
        <f t="shared" si="256"/>
        <v>2.8312777671812719</v>
      </c>
      <c r="CP28" s="743">
        <f t="shared" si="256"/>
        <v>0</v>
      </c>
      <c r="CQ28" s="743">
        <f t="shared" si="256"/>
        <v>0</v>
      </c>
      <c r="CR28" s="743">
        <f t="shared" si="256"/>
        <v>0</v>
      </c>
      <c r="CS28" s="745">
        <f t="shared" si="256"/>
        <v>2.6523118068751179</v>
      </c>
      <c r="CT28" s="633"/>
      <c r="CU28" s="743">
        <f t="shared" si="257"/>
        <v>1.6805106829314183</v>
      </c>
      <c r="CV28" s="743">
        <f t="shared" si="257"/>
        <v>7.0626148392964465</v>
      </c>
      <c r="CW28" s="743">
        <f t="shared" si="257"/>
        <v>2.4817540654884622</v>
      </c>
      <c r="CX28" s="743">
        <f t="shared" si="257"/>
        <v>0</v>
      </c>
      <c r="DA28" s="743">
        <f t="shared" si="258"/>
        <v>1.1229228048361939</v>
      </c>
      <c r="DB28" s="743">
        <f t="shared" si="259"/>
        <v>1.2990684086628066</v>
      </c>
      <c r="DC28" s="743">
        <f t="shared" si="260"/>
        <v>2.4105252597116813</v>
      </c>
      <c r="DD28" s="743">
        <f t="shared" si="261"/>
        <v>7.5155317168090754</v>
      </c>
      <c r="DE28" s="743">
        <f t="shared" si="262"/>
        <v>10.24462579755059</v>
      </c>
      <c r="DF28" s="743">
        <f t="shared" si="263"/>
        <v>3.0042541887519159</v>
      </c>
      <c r="DG28" s="743">
        <f t="shared" si="264"/>
        <v>2.1873236520422448</v>
      </c>
      <c r="DH28" s="743">
        <f t="shared" si="265"/>
        <v>2.3240171381634593</v>
      </c>
      <c r="DI28" s="743">
        <f t="shared" si="266"/>
        <v>2.7784460087475775</v>
      </c>
      <c r="DJ28" s="743">
        <f t="shared" si="267"/>
        <v>0</v>
      </c>
      <c r="DK28" s="743">
        <f t="shared" si="268"/>
        <v>0</v>
      </c>
      <c r="DL28" s="743">
        <f t="shared" si="269"/>
        <v>0</v>
      </c>
      <c r="DM28" s="745">
        <f t="shared" si="270"/>
        <v>2.6523118068751179</v>
      </c>
      <c r="DN28" s="633"/>
      <c r="DO28" s="743">
        <f t="shared" si="271"/>
        <v>0.66781232587548967</v>
      </c>
      <c r="DP28" s="743">
        <f t="shared" si="271"/>
        <v>5.2659548462875279</v>
      </c>
      <c r="DQ28" s="743">
        <f t="shared" si="271"/>
        <v>0</v>
      </c>
      <c r="DR28" s="743">
        <f t="shared" si="271"/>
        <v>0</v>
      </c>
    </row>
    <row r="29" spans="1:123" s="816" customFormat="1">
      <c r="C29" s="680" t="s">
        <v>161</v>
      </c>
      <c r="D29" s="719" t="s">
        <v>147</v>
      </c>
      <c r="E29" s="738">
        <f t="shared" si="272"/>
        <v>0</v>
      </c>
      <c r="F29" s="738">
        <f t="shared" si="272"/>
        <v>0</v>
      </c>
      <c r="G29" s="738">
        <f t="shared" si="272"/>
        <v>0</v>
      </c>
      <c r="H29" s="738">
        <f t="shared" si="272"/>
        <v>0</v>
      </c>
      <c r="I29" s="738">
        <f t="shared" si="272"/>
        <v>0</v>
      </c>
      <c r="J29" s="738">
        <f t="shared" si="272"/>
        <v>0</v>
      </c>
      <c r="K29" s="738">
        <f t="shared" si="272"/>
        <v>0</v>
      </c>
      <c r="L29" s="738">
        <f t="shared" si="272"/>
        <v>0</v>
      </c>
      <c r="M29" s="738">
        <f t="shared" si="272"/>
        <v>0</v>
      </c>
      <c r="N29" s="738">
        <f t="shared" si="272"/>
        <v>0</v>
      </c>
      <c r="O29" s="738">
        <f t="shared" si="272"/>
        <v>0</v>
      </c>
      <c r="P29" s="738">
        <f t="shared" si="272"/>
        <v>0</v>
      </c>
      <c r="Q29" s="739">
        <f t="shared" si="280"/>
        <v>0</v>
      </c>
      <c r="S29" s="738">
        <f t="shared" si="273"/>
        <v>0</v>
      </c>
      <c r="T29" s="738">
        <f t="shared" si="273"/>
        <v>0</v>
      </c>
      <c r="U29" s="738">
        <f t="shared" si="273"/>
        <v>0</v>
      </c>
      <c r="V29" s="738">
        <f t="shared" si="273"/>
        <v>0</v>
      </c>
      <c r="W29" s="677"/>
      <c r="X29" s="721" t="s">
        <v>147</v>
      </c>
      <c r="Y29" s="738">
        <f t="shared" si="274"/>
        <v>0</v>
      </c>
      <c r="Z29" s="738">
        <f t="shared" si="274"/>
        <v>0</v>
      </c>
      <c r="AA29" s="738">
        <f t="shared" si="274"/>
        <v>0</v>
      </c>
      <c r="AB29" s="738">
        <f t="shared" si="274"/>
        <v>0</v>
      </c>
      <c r="AC29" s="738">
        <f t="shared" si="274"/>
        <v>0</v>
      </c>
      <c r="AD29" s="738">
        <f t="shared" si="274"/>
        <v>0</v>
      </c>
      <c r="AE29" s="738">
        <f t="shared" si="274"/>
        <v>0</v>
      </c>
      <c r="AF29" s="738">
        <f t="shared" si="274"/>
        <v>0</v>
      </c>
      <c r="AG29" s="738">
        <f t="shared" si="274"/>
        <v>0</v>
      </c>
      <c r="AH29" s="738">
        <f t="shared" si="274"/>
        <v>0</v>
      </c>
      <c r="AI29" s="738">
        <f t="shared" si="274"/>
        <v>0</v>
      </c>
      <c r="AJ29" s="738">
        <f t="shared" si="274"/>
        <v>0</v>
      </c>
      <c r="AK29" s="739">
        <f t="shared" si="281"/>
        <v>0</v>
      </c>
      <c r="AM29" s="738">
        <f t="shared" si="275"/>
        <v>0</v>
      </c>
      <c r="AN29" s="738">
        <f t="shared" si="275"/>
        <v>0</v>
      </c>
      <c r="AO29" s="738">
        <f t="shared" si="275"/>
        <v>0</v>
      </c>
      <c r="AP29" s="738">
        <f t="shared" si="275"/>
        <v>0</v>
      </c>
      <c r="AQ29" s="677"/>
      <c r="AR29" s="721" t="s">
        <v>147</v>
      </c>
      <c r="AS29" s="738">
        <f t="shared" si="276"/>
        <v>0</v>
      </c>
      <c r="AT29" s="738">
        <f t="shared" si="276"/>
        <v>0</v>
      </c>
      <c r="AU29" s="738">
        <f t="shared" si="276"/>
        <v>0</v>
      </c>
      <c r="AV29" s="738">
        <f t="shared" si="276"/>
        <v>0</v>
      </c>
      <c r="AW29" s="738">
        <f t="shared" si="276"/>
        <v>-7978.5</v>
      </c>
      <c r="AX29" s="738">
        <f t="shared" si="276"/>
        <v>0</v>
      </c>
      <c r="AY29" s="738">
        <f t="shared" si="276"/>
        <v>0</v>
      </c>
      <c r="AZ29" s="738">
        <f t="shared" si="276"/>
        <v>0</v>
      </c>
      <c r="BA29" s="738">
        <f t="shared" si="276"/>
        <v>0</v>
      </c>
      <c r="BB29" s="738">
        <f t="shared" si="276"/>
        <v>0</v>
      </c>
      <c r="BC29" s="738">
        <f t="shared" si="276"/>
        <v>0</v>
      </c>
      <c r="BD29" s="738">
        <f t="shared" si="276"/>
        <v>0</v>
      </c>
      <c r="BE29" s="739">
        <f t="shared" si="282"/>
        <v>-7978.5</v>
      </c>
      <c r="BG29" s="738">
        <f t="shared" si="277"/>
        <v>0</v>
      </c>
      <c r="BH29" s="738">
        <f t="shared" si="277"/>
        <v>-7978.5</v>
      </c>
      <c r="BI29" s="738">
        <f t="shared" si="277"/>
        <v>0</v>
      </c>
      <c r="BJ29" s="738">
        <f t="shared" si="277"/>
        <v>0</v>
      </c>
      <c r="BK29" s="677"/>
      <c r="BL29" s="677"/>
      <c r="BM29" s="738">
        <f t="shared" si="278"/>
        <v>0</v>
      </c>
      <c r="BN29" s="738">
        <f t="shared" si="278"/>
        <v>0</v>
      </c>
      <c r="BO29" s="738">
        <f t="shared" si="278"/>
        <v>0</v>
      </c>
      <c r="BP29" s="738">
        <f t="shared" si="278"/>
        <v>0</v>
      </c>
      <c r="BQ29" s="738">
        <f t="shared" si="278"/>
        <v>-7978.5</v>
      </c>
      <c r="BR29" s="738">
        <f t="shared" si="278"/>
        <v>0</v>
      </c>
      <c r="BS29" s="738">
        <f t="shared" si="278"/>
        <v>0</v>
      </c>
      <c r="BT29" s="738">
        <f t="shared" si="278"/>
        <v>0</v>
      </c>
      <c r="BU29" s="738">
        <f t="shared" si="278"/>
        <v>0</v>
      </c>
      <c r="BV29" s="738">
        <f t="shared" si="278"/>
        <v>0</v>
      </c>
      <c r="BW29" s="738">
        <f t="shared" si="278"/>
        <v>0</v>
      </c>
      <c r="BX29" s="738">
        <f t="shared" si="278"/>
        <v>0</v>
      </c>
      <c r="BY29" s="739">
        <f t="shared" si="283"/>
        <v>-7978.5</v>
      </c>
      <c r="CA29" s="738">
        <f t="shared" si="279"/>
        <v>0</v>
      </c>
      <c r="CB29" s="738">
        <f t="shared" si="279"/>
        <v>-7978.5</v>
      </c>
      <c r="CC29" s="738">
        <f t="shared" si="279"/>
        <v>0</v>
      </c>
      <c r="CD29" s="738">
        <f t="shared" si="279"/>
        <v>0</v>
      </c>
      <c r="CE29" s="677"/>
      <c r="CF29" s="677"/>
      <c r="CG29" s="743">
        <f t="shared" si="256"/>
        <v>0</v>
      </c>
      <c r="CH29" s="743">
        <f t="shared" si="256"/>
        <v>0</v>
      </c>
      <c r="CI29" s="743">
        <f t="shared" si="256"/>
        <v>0</v>
      </c>
      <c r="CJ29" s="743">
        <f t="shared" si="256"/>
        <v>0</v>
      </c>
      <c r="CK29" s="743">
        <f t="shared" si="256"/>
        <v>0</v>
      </c>
      <c r="CL29" s="743">
        <f t="shared" si="256"/>
        <v>0</v>
      </c>
      <c r="CM29" s="743">
        <f t="shared" si="256"/>
        <v>0</v>
      </c>
      <c r="CN29" s="743">
        <f t="shared" si="256"/>
        <v>0</v>
      </c>
      <c r="CO29" s="743">
        <f t="shared" si="256"/>
        <v>0</v>
      </c>
      <c r="CP29" s="743">
        <f t="shared" si="256"/>
        <v>0</v>
      </c>
      <c r="CQ29" s="743">
        <f t="shared" si="256"/>
        <v>0</v>
      </c>
      <c r="CR29" s="743">
        <f t="shared" si="256"/>
        <v>0</v>
      </c>
      <c r="CS29" s="745">
        <f t="shared" si="256"/>
        <v>0</v>
      </c>
      <c r="CT29" s="633"/>
      <c r="CU29" s="743">
        <f t="shared" si="257"/>
        <v>0</v>
      </c>
      <c r="CV29" s="743">
        <f t="shared" si="257"/>
        <v>0</v>
      </c>
      <c r="CW29" s="743">
        <f t="shared" si="257"/>
        <v>0</v>
      </c>
      <c r="CX29" s="743">
        <f t="shared" si="257"/>
        <v>0</v>
      </c>
      <c r="CY29" s="677"/>
      <c r="DA29" s="743">
        <f t="shared" si="258"/>
        <v>0</v>
      </c>
      <c r="DB29" s="743">
        <f t="shared" si="259"/>
        <v>0</v>
      </c>
      <c r="DC29" s="743">
        <f t="shared" si="260"/>
        <v>0</v>
      </c>
      <c r="DD29" s="743">
        <f t="shared" si="261"/>
        <v>0</v>
      </c>
      <c r="DE29" s="743">
        <f t="shared" si="262"/>
        <v>0</v>
      </c>
      <c r="DF29" s="743">
        <f t="shared" si="263"/>
        <v>0</v>
      </c>
      <c r="DG29" s="743">
        <f t="shared" si="264"/>
        <v>0</v>
      </c>
      <c r="DH29" s="743">
        <f t="shared" si="265"/>
        <v>0</v>
      </c>
      <c r="DI29" s="743">
        <f t="shared" si="266"/>
        <v>0</v>
      </c>
      <c r="DJ29" s="743">
        <f t="shared" si="267"/>
        <v>0</v>
      </c>
      <c r="DK29" s="743">
        <f t="shared" si="268"/>
        <v>0</v>
      </c>
      <c r="DL29" s="743">
        <f t="shared" si="269"/>
        <v>0</v>
      </c>
      <c r="DM29" s="745">
        <f t="shared" si="270"/>
        <v>0</v>
      </c>
      <c r="DN29" s="633"/>
      <c r="DO29" s="743">
        <f t="shared" si="271"/>
        <v>0</v>
      </c>
      <c r="DP29" s="743">
        <f t="shared" si="271"/>
        <v>0</v>
      </c>
      <c r="DQ29" s="743">
        <f t="shared" si="271"/>
        <v>0</v>
      </c>
      <c r="DR29" s="743">
        <f t="shared" si="271"/>
        <v>0</v>
      </c>
      <c r="DS29" s="677"/>
    </row>
    <row r="30" spans="1:123" s="816" customFormat="1">
      <c r="C30" s="682" t="s">
        <v>161</v>
      </c>
      <c r="D30" s="720" t="s">
        <v>186</v>
      </c>
      <c r="E30" s="740">
        <f>E22</f>
        <v>63968.765635127318</v>
      </c>
      <c r="F30" s="740">
        <f t="shared" ref="F30:V30" si="284">F22</f>
        <v>29352.495915682986</v>
      </c>
      <c r="G30" s="740">
        <f t="shared" si="284"/>
        <v>35224.109088086756</v>
      </c>
      <c r="H30" s="740">
        <f t="shared" si="284"/>
        <v>26760.742347237072</v>
      </c>
      <c r="I30" s="740">
        <f t="shared" si="284"/>
        <v>22302.21114196605</v>
      </c>
      <c r="J30" s="740">
        <f t="shared" si="284"/>
        <v>111613.11391620571</v>
      </c>
      <c r="K30" s="740">
        <f t="shared" si="284"/>
        <v>106194.74718527612</v>
      </c>
      <c r="L30" s="740">
        <f t="shared" si="284"/>
        <v>70429.108336755075</v>
      </c>
      <c r="M30" s="740">
        <f t="shared" si="284"/>
        <v>90340.322308363626</v>
      </c>
      <c r="N30" s="740">
        <f t="shared" si="284"/>
        <v>85831.746399370604</v>
      </c>
      <c r="O30" s="740">
        <f t="shared" si="284"/>
        <v>29536.365977956448</v>
      </c>
      <c r="P30" s="740">
        <f t="shared" si="284"/>
        <v>-21587.462326993234</v>
      </c>
      <c r="Q30" s="741">
        <f t="shared" si="284"/>
        <v>649966.26592503453</v>
      </c>
      <c r="S30" s="740">
        <f t="shared" si="284"/>
        <v>128545.37063889706</v>
      </c>
      <c r="T30" s="740">
        <f t="shared" si="284"/>
        <v>160676.06740540883</v>
      </c>
      <c r="U30" s="740">
        <f t="shared" si="284"/>
        <v>266964.17783039482</v>
      </c>
      <c r="V30" s="740">
        <f t="shared" si="284"/>
        <v>93780.650050333817</v>
      </c>
      <c r="W30" s="677"/>
      <c r="X30" s="721"/>
      <c r="Y30" s="740">
        <f t="shared" si="274"/>
        <v>0</v>
      </c>
      <c r="Z30" s="740">
        <f t="shared" si="274"/>
        <v>0</v>
      </c>
      <c r="AA30" s="740">
        <f t="shared" si="274"/>
        <v>0</v>
      </c>
      <c r="AB30" s="740">
        <f t="shared" si="274"/>
        <v>0</v>
      </c>
      <c r="AC30" s="740">
        <f t="shared" si="274"/>
        <v>0</v>
      </c>
      <c r="AD30" s="740">
        <f t="shared" si="274"/>
        <v>0</v>
      </c>
      <c r="AE30" s="740">
        <f t="shared" si="274"/>
        <v>0</v>
      </c>
      <c r="AF30" s="740">
        <f t="shared" si="274"/>
        <v>0</v>
      </c>
      <c r="AG30" s="740">
        <f t="shared" si="274"/>
        <v>0</v>
      </c>
      <c r="AH30" s="740">
        <f t="shared" si="274"/>
        <v>0</v>
      </c>
      <c r="AI30" s="740">
        <f t="shared" si="274"/>
        <v>0</v>
      </c>
      <c r="AJ30" s="740">
        <f t="shared" si="274"/>
        <v>0</v>
      </c>
      <c r="AK30" s="741">
        <f t="shared" si="281"/>
        <v>0</v>
      </c>
      <c r="AM30" s="740">
        <f t="shared" si="275"/>
        <v>0</v>
      </c>
      <c r="AN30" s="740">
        <f t="shared" si="275"/>
        <v>0</v>
      </c>
      <c r="AO30" s="740">
        <f t="shared" si="275"/>
        <v>0</v>
      </c>
      <c r="AP30" s="740">
        <f t="shared" si="275"/>
        <v>0</v>
      </c>
      <c r="AQ30" s="677"/>
      <c r="AR30" s="721"/>
      <c r="AS30" s="740">
        <f t="shared" si="276"/>
        <v>0</v>
      </c>
      <c r="AT30" s="740">
        <f t="shared" si="276"/>
        <v>0</v>
      </c>
      <c r="AU30" s="740">
        <f t="shared" si="276"/>
        <v>0</v>
      </c>
      <c r="AV30" s="740">
        <f t="shared" si="276"/>
        <v>0</v>
      </c>
      <c r="AW30" s="740">
        <f t="shared" si="276"/>
        <v>0</v>
      </c>
      <c r="AX30" s="740">
        <f t="shared" si="276"/>
        <v>0</v>
      </c>
      <c r="AY30" s="740">
        <f t="shared" si="276"/>
        <v>0</v>
      </c>
      <c r="AZ30" s="740">
        <f t="shared" si="276"/>
        <v>0</v>
      </c>
      <c r="BA30" s="740">
        <f t="shared" si="276"/>
        <v>0</v>
      </c>
      <c r="BB30" s="740">
        <f t="shared" si="276"/>
        <v>0</v>
      </c>
      <c r="BC30" s="740">
        <f t="shared" si="276"/>
        <v>0</v>
      </c>
      <c r="BD30" s="740">
        <f t="shared" si="276"/>
        <v>0</v>
      </c>
      <c r="BE30" s="741">
        <f t="shared" si="282"/>
        <v>0</v>
      </c>
      <c r="BG30" s="740">
        <f t="shared" si="277"/>
        <v>0</v>
      </c>
      <c r="BH30" s="740">
        <f t="shared" si="277"/>
        <v>0</v>
      </c>
      <c r="BI30" s="740">
        <f t="shared" si="277"/>
        <v>0</v>
      </c>
      <c r="BJ30" s="740">
        <f t="shared" si="277"/>
        <v>0</v>
      </c>
      <c r="BK30" s="677"/>
      <c r="BL30" s="677"/>
      <c r="BM30" s="740">
        <f t="shared" si="278"/>
        <v>0</v>
      </c>
      <c r="BN30" s="740">
        <f t="shared" si="278"/>
        <v>0</v>
      </c>
      <c r="BO30" s="740">
        <f t="shared" si="278"/>
        <v>0</v>
      </c>
      <c r="BP30" s="740">
        <f t="shared" si="278"/>
        <v>0</v>
      </c>
      <c r="BQ30" s="740">
        <f t="shared" si="278"/>
        <v>0</v>
      </c>
      <c r="BR30" s="740">
        <f t="shared" si="278"/>
        <v>0</v>
      </c>
      <c r="BS30" s="740">
        <f t="shared" si="278"/>
        <v>0</v>
      </c>
      <c r="BT30" s="740">
        <f t="shared" si="278"/>
        <v>0</v>
      </c>
      <c r="BU30" s="740">
        <f t="shared" si="278"/>
        <v>0</v>
      </c>
      <c r="BV30" s="740">
        <f t="shared" si="278"/>
        <v>0</v>
      </c>
      <c r="BW30" s="740">
        <f t="shared" si="278"/>
        <v>0</v>
      </c>
      <c r="BX30" s="740">
        <f t="shared" si="278"/>
        <v>0</v>
      </c>
      <c r="BY30" s="741">
        <f t="shared" si="283"/>
        <v>0</v>
      </c>
      <c r="CA30" s="740">
        <f t="shared" si="279"/>
        <v>0</v>
      </c>
      <c r="CB30" s="740">
        <f t="shared" si="279"/>
        <v>0</v>
      </c>
      <c r="CC30" s="740">
        <f t="shared" si="279"/>
        <v>0</v>
      </c>
      <c r="CD30" s="740">
        <f t="shared" si="279"/>
        <v>0</v>
      </c>
      <c r="CE30" s="677"/>
      <c r="CF30" s="677"/>
      <c r="CG30" s="744">
        <f t="shared" si="256"/>
        <v>0</v>
      </c>
      <c r="CH30" s="744">
        <f t="shared" si="256"/>
        <v>0</v>
      </c>
      <c r="CI30" s="744">
        <f t="shared" si="256"/>
        <v>0</v>
      </c>
      <c r="CJ30" s="744">
        <f t="shared" si="256"/>
        <v>0</v>
      </c>
      <c r="CK30" s="744">
        <f t="shared" si="256"/>
        <v>0</v>
      </c>
      <c r="CL30" s="744">
        <f t="shared" si="256"/>
        <v>0</v>
      </c>
      <c r="CM30" s="744">
        <f t="shared" si="256"/>
        <v>0</v>
      </c>
      <c r="CN30" s="744">
        <f t="shared" si="256"/>
        <v>0</v>
      </c>
      <c r="CO30" s="744">
        <f t="shared" si="256"/>
        <v>0</v>
      </c>
      <c r="CP30" s="744">
        <f t="shared" si="256"/>
        <v>0</v>
      </c>
      <c r="CQ30" s="744">
        <f t="shared" si="256"/>
        <v>0</v>
      </c>
      <c r="CR30" s="744">
        <f t="shared" si="256"/>
        <v>0</v>
      </c>
      <c r="CS30" s="746">
        <f t="shared" si="256"/>
        <v>0</v>
      </c>
      <c r="CT30" s="633"/>
      <c r="CU30" s="744">
        <f t="shared" si="257"/>
        <v>0</v>
      </c>
      <c r="CV30" s="744">
        <f t="shared" si="257"/>
        <v>0</v>
      </c>
      <c r="CW30" s="744">
        <f t="shared" si="257"/>
        <v>0</v>
      </c>
      <c r="CX30" s="744">
        <f t="shared" si="257"/>
        <v>0</v>
      </c>
      <c r="CY30" s="677"/>
      <c r="DA30" s="744">
        <f t="shared" si="258"/>
        <v>0</v>
      </c>
      <c r="DB30" s="744">
        <f t="shared" si="259"/>
        <v>0</v>
      </c>
      <c r="DC30" s="744">
        <f t="shared" si="260"/>
        <v>0</v>
      </c>
      <c r="DD30" s="744">
        <f t="shared" si="261"/>
        <v>0</v>
      </c>
      <c r="DE30" s="744">
        <f t="shared" si="262"/>
        <v>0</v>
      </c>
      <c r="DF30" s="744">
        <f t="shared" si="263"/>
        <v>0</v>
      </c>
      <c r="DG30" s="744">
        <f t="shared" si="264"/>
        <v>0</v>
      </c>
      <c r="DH30" s="744">
        <f t="shared" si="265"/>
        <v>0</v>
      </c>
      <c r="DI30" s="744">
        <f t="shared" si="266"/>
        <v>0</v>
      </c>
      <c r="DJ30" s="744">
        <f t="shared" si="267"/>
        <v>0</v>
      </c>
      <c r="DK30" s="744">
        <f t="shared" si="268"/>
        <v>0</v>
      </c>
      <c r="DL30" s="744">
        <f t="shared" si="269"/>
        <v>0</v>
      </c>
      <c r="DM30" s="746">
        <f t="shared" si="270"/>
        <v>0</v>
      </c>
      <c r="DN30" s="633"/>
      <c r="DO30" s="744">
        <f t="shared" si="271"/>
        <v>0</v>
      </c>
      <c r="DP30" s="744">
        <f t="shared" si="271"/>
        <v>0</v>
      </c>
      <c r="DQ30" s="744">
        <f t="shared" si="271"/>
        <v>0</v>
      </c>
      <c r="DR30" s="744">
        <f t="shared" si="271"/>
        <v>0</v>
      </c>
      <c r="DS30" s="677"/>
    </row>
    <row r="31" spans="1:123">
      <c r="C31" s="707"/>
      <c r="D31" s="708"/>
      <c r="E31" s="564"/>
      <c r="F31" s="564"/>
      <c r="G31" s="564"/>
      <c r="H31" s="564"/>
      <c r="I31" s="564"/>
      <c r="J31" s="564"/>
      <c r="K31" s="564"/>
      <c r="L31" s="564"/>
      <c r="M31" s="564"/>
      <c r="N31" s="564"/>
      <c r="O31" s="564"/>
      <c r="P31" s="564"/>
      <c r="Q31" s="709"/>
      <c r="S31" s="564"/>
      <c r="T31" s="564"/>
      <c r="U31" s="564"/>
      <c r="V31" s="564"/>
      <c r="X31" s="721"/>
      <c r="Y31" s="564"/>
      <c r="Z31" s="564"/>
      <c r="AA31" s="564"/>
      <c r="AB31" s="564"/>
      <c r="AC31" s="564"/>
      <c r="AD31" s="564"/>
      <c r="AE31" s="564"/>
      <c r="AF31" s="564"/>
      <c r="AG31" s="564"/>
      <c r="AH31" s="564"/>
      <c r="AI31" s="564"/>
      <c r="AJ31" s="564"/>
      <c r="AK31" s="709"/>
      <c r="AM31" s="564"/>
      <c r="AN31" s="564"/>
      <c r="AO31" s="564"/>
      <c r="AP31" s="564"/>
      <c r="AR31" s="721"/>
      <c r="AS31" s="564"/>
      <c r="AT31" s="564"/>
      <c r="AU31" s="564"/>
      <c r="AV31" s="564"/>
      <c r="AW31" s="564"/>
      <c r="AX31" s="564"/>
      <c r="AY31" s="564"/>
      <c r="AZ31" s="564"/>
      <c r="BA31" s="564"/>
      <c r="BB31" s="564"/>
      <c r="BC31" s="564"/>
      <c r="BD31" s="564"/>
      <c r="BE31" s="709"/>
      <c r="BG31" s="564"/>
      <c r="BH31" s="564"/>
      <c r="BI31" s="564"/>
      <c r="BJ31" s="564"/>
      <c r="BM31" s="564"/>
      <c r="BN31" s="564"/>
      <c r="BO31" s="564"/>
      <c r="BP31" s="564"/>
      <c r="BQ31" s="564"/>
      <c r="BR31" s="564"/>
      <c r="BS31" s="564"/>
      <c r="BT31" s="564"/>
      <c r="BU31" s="564"/>
      <c r="BV31" s="564"/>
      <c r="BW31" s="564"/>
      <c r="BX31" s="564"/>
      <c r="BY31" s="709"/>
      <c r="CA31" s="564"/>
      <c r="CB31" s="564"/>
      <c r="CC31" s="564"/>
      <c r="CD31" s="564"/>
      <c r="CG31" s="769"/>
      <c r="CH31" s="769"/>
      <c r="CI31" s="769"/>
      <c r="CJ31" s="769"/>
      <c r="CK31" s="769"/>
      <c r="CL31" s="769"/>
      <c r="CM31" s="769"/>
      <c r="CN31" s="769"/>
      <c r="CO31" s="769"/>
      <c r="CP31" s="769"/>
      <c r="CQ31" s="769"/>
      <c r="CR31" s="769"/>
      <c r="CS31" s="791"/>
      <c r="CT31" s="633"/>
      <c r="CU31" s="769"/>
      <c r="CV31" s="769"/>
      <c r="CW31" s="769"/>
      <c r="CX31" s="769"/>
      <c r="DA31" s="769"/>
      <c r="DB31" s="769"/>
      <c r="DC31" s="769"/>
      <c r="DD31" s="769"/>
      <c r="DE31" s="769"/>
      <c r="DF31" s="769"/>
      <c r="DG31" s="769"/>
      <c r="DH31" s="769"/>
      <c r="DI31" s="769"/>
      <c r="DJ31" s="769"/>
      <c r="DK31" s="769"/>
      <c r="DL31" s="769"/>
      <c r="DM31" s="791"/>
      <c r="DN31" s="633"/>
      <c r="DO31" s="769"/>
      <c r="DP31" s="769"/>
      <c r="DQ31" s="769"/>
      <c r="DR31" s="769"/>
    </row>
    <row r="32" spans="1:123" ht="2.4500000000000002" customHeight="1">
      <c r="A32" s="710"/>
      <c r="B32" s="710"/>
      <c r="C32" s="711"/>
      <c r="D32" s="712"/>
      <c r="E32" s="713"/>
      <c r="F32" s="713"/>
      <c r="G32" s="713"/>
      <c r="H32" s="713"/>
      <c r="I32" s="713"/>
      <c r="J32" s="713"/>
      <c r="K32" s="713"/>
      <c r="L32" s="713"/>
      <c r="M32" s="713"/>
      <c r="N32" s="713"/>
      <c r="O32" s="713"/>
      <c r="P32" s="713"/>
      <c r="Q32" s="714"/>
      <c r="R32" s="710"/>
      <c r="S32" s="713"/>
      <c r="T32" s="713"/>
      <c r="U32" s="713"/>
      <c r="V32" s="713"/>
      <c r="W32" s="710"/>
      <c r="X32" s="722"/>
      <c r="Y32" s="713"/>
      <c r="Z32" s="713"/>
      <c r="AA32" s="713"/>
      <c r="AB32" s="713"/>
      <c r="AC32" s="713"/>
      <c r="AD32" s="713"/>
      <c r="AE32" s="713"/>
      <c r="AF32" s="713"/>
      <c r="AG32" s="713"/>
      <c r="AH32" s="713"/>
      <c r="AI32" s="713"/>
      <c r="AJ32" s="713"/>
      <c r="AK32" s="714"/>
      <c r="AL32" s="710"/>
      <c r="AM32" s="713"/>
      <c r="AN32" s="713"/>
      <c r="AO32" s="713"/>
      <c r="AP32" s="713"/>
      <c r="AQ32" s="710"/>
      <c r="AR32" s="722"/>
      <c r="AS32" s="713"/>
      <c r="AT32" s="713"/>
      <c r="AU32" s="713"/>
      <c r="AV32" s="713"/>
      <c r="AW32" s="713"/>
      <c r="AX32" s="713"/>
      <c r="AY32" s="713"/>
      <c r="AZ32" s="713"/>
      <c r="BA32" s="713"/>
      <c r="BB32" s="713"/>
      <c r="BC32" s="713"/>
      <c r="BD32" s="713"/>
      <c r="BE32" s="714"/>
      <c r="BF32" s="710"/>
      <c r="BG32" s="713"/>
      <c r="BH32" s="713"/>
      <c r="BI32" s="713"/>
      <c r="BJ32" s="713"/>
      <c r="BK32" s="710"/>
      <c r="BL32" s="710"/>
      <c r="BM32" s="713"/>
      <c r="BN32" s="713"/>
      <c r="BO32" s="713"/>
      <c r="BP32" s="713"/>
      <c r="BQ32" s="713"/>
      <c r="BR32" s="713"/>
      <c r="BS32" s="713"/>
      <c r="BT32" s="713"/>
      <c r="BU32" s="713"/>
      <c r="BV32" s="713"/>
      <c r="BW32" s="713"/>
      <c r="BX32" s="713"/>
      <c r="BY32" s="714"/>
      <c r="BZ32" s="710"/>
      <c r="CA32" s="713"/>
      <c r="CB32" s="713"/>
      <c r="CC32" s="713"/>
      <c r="CD32" s="713"/>
      <c r="CE32" s="710"/>
      <c r="CF32" s="710"/>
      <c r="CG32" s="792"/>
      <c r="CH32" s="792"/>
      <c r="CI32" s="792"/>
      <c r="CJ32" s="792"/>
      <c r="CK32" s="792"/>
      <c r="CL32" s="792"/>
      <c r="CM32" s="792"/>
      <c r="CN32" s="792"/>
      <c r="CO32" s="792"/>
      <c r="CP32" s="792"/>
      <c r="CQ32" s="792"/>
      <c r="CR32" s="792"/>
      <c r="CS32" s="793"/>
      <c r="CT32" s="794"/>
      <c r="CU32" s="792"/>
      <c r="CV32" s="792"/>
      <c r="CW32" s="792"/>
      <c r="CX32" s="792"/>
      <c r="CY32" s="710"/>
      <c r="CZ32" s="710"/>
      <c r="DA32" s="792"/>
      <c r="DB32" s="792"/>
      <c r="DC32" s="792"/>
      <c r="DD32" s="792"/>
      <c r="DE32" s="792"/>
      <c r="DF32" s="792"/>
      <c r="DG32" s="792"/>
      <c r="DH32" s="792"/>
      <c r="DI32" s="792"/>
      <c r="DJ32" s="792"/>
      <c r="DK32" s="792"/>
      <c r="DL32" s="792"/>
      <c r="DM32" s="793"/>
      <c r="DN32" s="794"/>
      <c r="DO32" s="792"/>
      <c r="DP32" s="792"/>
      <c r="DQ32" s="792"/>
      <c r="DR32" s="792"/>
      <c r="DS32" s="710"/>
    </row>
    <row r="33" spans="2:122">
      <c r="X33" s="721"/>
      <c r="AR33" s="721"/>
      <c r="CG33" s="633"/>
      <c r="CH33" s="633"/>
      <c r="CI33" s="633"/>
      <c r="CJ33" s="633"/>
      <c r="CK33" s="633"/>
      <c r="CL33" s="633"/>
      <c r="CM33" s="633"/>
      <c r="CN33" s="633"/>
      <c r="CO33" s="633"/>
      <c r="CP33" s="633"/>
      <c r="CQ33" s="633"/>
      <c r="CR33" s="633"/>
      <c r="CS33" s="633"/>
      <c r="CT33" s="633"/>
      <c r="CU33" s="633"/>
      <c r="CV33" s="633"/>
      <c r="CW33" s="633"/>
      <c r="CX33" s="633"/>
      <c r="DA33" s="633"/>
      <c r="DB33" s="633"/>
      <c r="DC33" s="633"/>
      <c r="DD33" s="633"/>
      <c r="DE33" s="633"/>
      <c r="DF33" s="633"/>
      <c r="DG33" s="633"/>
      <c r="DH33" s="633"/>
      <c r="DI33" s="633"/>
      <c r="DJ33" s="633"/>
      <c r="DK33" s="633"/>
      <c r="DL33" s="633"/>
      <c r="DM33" s="633"/>
      <c r="DN33" s="633"/>
      <c r="DO33" s="633"/>
      <c r="DP33" s="633"/>
      <c r="DQ33" s="633"/>
      <c r="DR33" s="633"/>
    </row>
    <row r="34" spans="2:122">
      <c r="B34" s="551" t="s">
        <v>151</v>
      </c>
      <c r="C34" s="750" t="s">
        <v>160</v>
      </c>
      <c r="D34" s="751"/>
      <c r="E34" s="767">
        <f>SUBTOTAL(9,E35:E38)</f>
        <v>19865.873233440001</v>
      </c>
      <c r="F34" s="767">
        <f t="shared" ref="F34:G34" si="285">SUBTOTAL(9,F35:F38)</f>
        <v>17457.899464598209</v>
      </c>
      <c r="G34" s="767">
        <f t="shared" si="285"/>
        <v>20949.479357517852</v>
      </c>
      <c r="H34" s="767">
        <f>SUBTOTAL(9,H35:H38)</f>
        <v>26186.849196897318</v>
      </c>
      <c r="I34" s="767">
        <f t="shared" ref="I34:J34" si="286">SUBTOTAL(9,I35:I38)</f>
        <v>25139.375229021422</v>
      </c>
      <c r="J34" s="767">
        <f t="shared" si="286"/>
        <v>25642.16273360185</v>
      </c>
      <c r="K34" s="767">
        <f>SUBTOTAL(9,K35:K38)</f>
        <v>26924.270870281951</v>
      </c>
      <c r="L34" s="767">
        <f t="shared" ref="L34:M34" si="287">SUBTOTAL(9,L35:L38)</f>
        <v>29616.697957310145</v>
      </c>
      <c r="M34" s="767">
        <f t="shared" si="287"/>
        <v>35540.037548772176</v>
      </c>
      <c r="N34" s="767">
        <f>SUBTOTAL(9,N35:N38)</f>
        <v>40871.043181087982</v>
      </c>
      <c r="O34" s="767">
        <f t="shared" ref="O34:Q34" si="288">SUBTOTAL(9,O35:O38)</f>
        <v>53132.356135414375</v>
      </c>
      <c r="P34" s="767">
        <f t="shared" si="288"/>
        <v>69072.062976038709</v>
      </c>
      <c r="Q34" s="767">
        <f t="shared" si="288"/>
        <v>390398.10788398201</v>
      </c>
      <c r="S34" s="759">
        <f t="shared" ref="S34:V34" si="289">SUBTOTAL(9,S35:S38)</f>
        <v>58273.25205555607</v>
      </c>
      <c r="T34" s="759">
        <f t="shared" si="289"/>
        <v>76968.387159520586</v>
      </c>
      <c r="U34" s="759">
        <f t="shared" si="289"/>
        <v>92081.006376364254</v>
      </c>
      <c r="V34" s="759">
        <f t="shared" si="289"/>
        <v>163075.46229254108</v>
      </c>
      <c r="X34" s="721"/>
      <c r="Y34" s="767">
        <f>SUBTOTAL(9,Y35:Y38)</f>
        <v>19865.873233440001</v>
      </c>
      <c r="Z34" s="767">
        <f t="shared" ref="Z34:AA34" si="290">SUBTOTAL(9,Z35:Z38)</f>
        <v>17457.899464598209</v>
      </c>
      <c r="AA34" s="767">
        <f t="shared" si="290"/>
        <v>20949.479357517852</v>
      </c>
      <c r="AB34" s="767">
        <f>SUBTOTAL(9,AB35:AB38)</f>
        <v>26186.849196897318</v>
      </c>
      <c r="AC34" s="767">
        <f t="shared" ref="AC34:AD34" si="291">SUBTOTAL(9,AC35:AC38)</f>
        <v>25139.375229021422</v>
      </c>
      <c r="AD34" s="767">
        <f t="shared" si="291"/>
        <v>25642.16273360185</v>
      </c>
      <c r="AE34" s="767">
        <f>SUBTOTAL(9,AE35:AE38)</f>
        <v>26924.270870281951</v>
      </c>
      <c r="AF34" s="767">
        <f t="shared" ref="AF34:AG34" si="292">SUBTOTAL(9,AF35:AF38)</f>
        <v>29616.697957310145</v>
      </c>
      <c r="AG34" s="767">
        <f t="shared" si="292"/>
        <v>35540.037548772176</v>
      </c>
      <c r="AH34" s="767">
        <f>SUBTOTAL(9,AH35:AH38)</f>
        <v>40871.043181087982</v>
      </c>
      <c r="AI34" s="767">
        <f t="shared" ref="AI34:AK34" si="293">SUBTOTAL(9,AI35:AI38)</f>
        <v>53132.356135414375</v>
      </c>
      <c r="AJ34" s="767">
        <f t="shared" si="293"/>
        <v>69072.062976038709</v>
      </c>
      <c r="AK34" s="767">
        <f t="shared" si="293"/>
        <v>390398.10788398201</v>
      </c>
      <c r="AM34" s="759">
        <f t="shared" ref="AM34:AP34" si="294">SUBTOTAL(9,AM35:AM38)</f>
        <v>58273.25205555607</v>
      </c>
      <c r="AN34" s="759">
        <f t="shared" si="294"/>
        <v>76968.387159520586</v>
      </c>
      <c r="AO34" s="759">
        <f t="shared" si="294"/>
        <v>92081.006376364254</v>
      </c>
      <c r="AP34" s="759">
        <f t="shared" si="294"/>
        <v>163075.46229254108</v>
      </c>
      <c r="AR34" s="721"/>
      <c r="AS34" s="767">
        <f>SUBTOTAL(9,AS35:AS38)</f>
        <v>12317.369999999999</v>
      </c>
      <c r="AT34" s="767">
        <f t="shared" ref="AT34:AU34" si="295">SUBTOTAL(9,AT35:AT38)</f>
        <v>18716.88</v>
      </c>
      <c r="AU34" s="767">
        <f t="shared" si="295"/>
        <v>36603.479999999996</v>
      </c>
      <c r="AV34" s="767">
        <f>SUBTOTAL(9,AV35:AV38)</f>
        <v>36237.040000000001</v>
      </c>
      <c r="AW34" s="767">
        <f t="shared" ref="AW34:AX34" si="296">SUBTOTAL(9,AW35:AW38)</f>
        <v>34947.030000000006</v>
      </c>
      <c r="AX34" s="767">
        <f t="shared" si="296"/>
        <v>33904.18</v>
      </c>
      <c r="AY34" s="767">
        <f>SUBTOTAL(9,AY35:AY38)</f>
        <v>54943.329999999994</v>
      </c>
      <c r="AZ34" s="767">
        <f t="shared" ref="AZ34:BA34" si="297">SUBTOTAL(9,AZ35:AZ38)</f>
        <v>78493.91</v>
      </c>
      <c r="BA34" s="767">
        <f t="shared" si="297"/>
        <v>110858.00099999952</v>
      </c>
      <c r="BB34" s="767">
        <f>SUBTOTAL(9,BB35:BB38)</f>
        <v>0</v>
      </c>
      <c r="BC34" s="767">
        <f t="shared" ref="BC34:BE34" si="298">SUBTOTAL(9,BC35:BC38)</f>
        <v>0</v>
      </c>
      <c r="BD34" s="767">
        <f t="shared" si="298"/>
        <v>0</v>
      </c>
      <c r="BE34" s="767">
        <f t="shared" si="298"/>
        <v>417021.22099999944</v>
      </c>
      <c r="BG34" s="759">
        <f t="shared" ref="BG34:BJ34" si="299">SUBTOTAL(9,BG35:BG38)</f>
        <v>67637.73</v>
      </c>
      <c r="BH34" s="759">
        <f t="shared" si="299"/>
        <v>105088.25000000001</v>
      </c>
      <c r="BI34" s="759">
        <f t="shared" si="299"/>
        <v>244295.24099999951</v>
      </c>
      <c r="BJ34" s="759">
        <f t="shared" si="299"/>
        <v>0</v>
      </c>
      <c r="BM34" s="767">
        <f>SUBTOTAL(9,BM35:BM38)</f>
        <v>-7548.5032334400012</v>
      </c>
      <c r="BN34" s="767">
        <f t="shared" ref="BN34:BO34" si="300">SUBTOTAL(9,BN35:BN38)</f>
        <v>1258.9805354017899</v>
      </c>
      <c r="BO34" s="767">
        <f t="shared" si="300"/>
        <v>15654.000642482144</v>
      </c>
      <c r="BP34" s="767">
        <f>SUBTOTAL(9,BP35:BP38)</f>
        <v>10050.190803102683</v>
      </c>
      <c r="BQ34" s="767">
        <f t="shared" ref="BQ34:BR34" si="301">SUBTOTAL(9,BQ35:BQ38)</f>
        <v>9807.6547709785827</v>
      </c>
      <c r="BR34" s="767">
        <f t="shared" si="301"/>
        <v>0</v>
      </c>
      <c r="BS34" s="767">
        <f>SUBTOTAL(9,BS35:BS38)</f>
        <v>0</v>
      </c>
      <c r="BT34" s="767">
        <f t="shared" ref="BT34:BU34" si="302">SUBTOTAL(9,BT35:BT38)</f>
        <v>0</v>
      </c>
      <c r="BU34" s="767">
        <f t="shared" si="302"/>
        <v>0</v>
      </c>
      <c r="BV34" s="767">
        <f>SUBTOTAL(9,BV35:BV38)</f>
        <v>0</v>
      </c>
      <c r="BW34" s="767">
        <f t="shared" ref="BW34:BY34" si="303">SUBTOTAL(9,BW35:BW38)</f>
        <v>0</v>
      </c>
      <c r="BX34" s="767">
        <f t="shared" si="303"/>
        <v>0</v>
      </c>
      <c r="BY34" s="767">
        <f t="shared" si="303"/>
        <v>29222.323518525198</v>
      </c>
      <c r="CA34" s="759">
        <f t="shared" ref="CA34:CD34" si="304">SUBTOTAL(9,CA35:CA38)</f>
        <v>9364.4779444439318</v>
      </c>
      <c r="CB34" s="759">
        <f t="shared" si="304"/>
        <v>19857.845574081268</v>
      </c>
      <c r="CC34" s="759">
        <f t="shared" si="304"/>
        <v>0</v>
      </c>
      <c r="CD34" s="759">
        <f t="shared" si="304"/>
        <v>0</v>
      </c>
      <c r="CG34" s="783">
        <f t="shared" ref="CG34:CS38" si="305">IFERROR(AS34/E34,0)</f>
        <v>0.6200266082069984</v>
      </c>
      <c r="CH34" s="783">
        <f t="shared" si="305"/>
        <v>1.0721152357392594</v>
      </c>
      <c r="CI34" s="783">
        <f t="shared" si="305"/>
        <v>1.7472262377186289</v>
      </c>
      <c r="CJ34" s="783">
        <f t="shared" si="305"/>
        <v>1.3837877068575877</v>
      </c>
      <c r="CK34" s="783">
        <f t="shared" si="305"/>
        <v>1.3901312057929118</v>
      </c>
      <c r="CL34" s="783">
        <f t="shared" si="305"/>
        <v>1.3222043847171865</v>
      </c>
      <c r="CM34" s="783">
        <f t="shared" si="305"/>
        <v>2.0406617607106488</v>
      </c>
      <c r="CN34" s="783">
        <f t="shared" si="305"/>
        <v>2.6503261813029271</v>
      </c>
      <c r="CO34" s="783">
        <f t="shared" si="305"/>
        <v>3.1192426526805797</v>
      </c>
      <c r="CP34" s="783">
        <f t="shared" si="305"/>
        <v>0</v>
      </c>
      <c r="CQ34" s="783">
        <f t="shared" si="305"/>
        <v>0</v>
      </c>
      <c r="CR34" s="783">
        <f t="shared" si="305"/>
        <v>0</v>
      </c>
      <c r="CS34" s="783">
        <f t="shared" si="305"/>
        <v>1.068194780093374</v>
      </c>
      <c r="CT34" s="633"/>
      <c r="CU34" s="780">
        <f t="shared" ref="CU34:CX38" si="306">IFERROR(BG34/S34,0)</f>
        <v>1.1606994223613278</v>
      </c>
      <c r="CV34" s="780">
        <f t="shared" si="306"/>
        <v>1.3653430178054751</v>
      </c>
      <c r="CW34" s="780">
        <f t="shared" si="306"/>
        <v>2.653047035579601</v>
      </c>
      <c r="CX34" s="780">
        <f t="shared" si="306"/>
        <v>0</v>
      </c>
      <c r="DA34" s="783">
        <f t="shared" ref="DA34:DA38" si="307">IFERROR(AS34/Y34,0)</f>
        <v>0.6200266082069984</v>
      </c>
      <c r="DB34" s="783">
        <f t="shared" ref="DB34:DB38" si="308">IFERROR(AT34/Z34,0)</f>
        <v>1.0721152357392594</v>
      </c>
      <c r="DC34" s="783">
        <f t="shared" ref="DC34:DC38" si="309">IFERROR(AU34/AA34,0)</f>
        <v>1.7472262377186289</v>
      </c>
      <c r="DD34" s="783">
        <f t="shared" ref="DD34:DD38" si="310">IFERROR(AV34/AB34,0)</f>
        <v>1.3837877068575877</v>
      </c>
      <c r="DE34" s="783">
        <f t="shared" ref="DE34:DE38" si="311">IFERROR(AW34/AC34,0)</f>
        <v>1.3901312057929118</v>
      </c>
      <c r="DF34" s="783">
        <f t="shared" ref="DF34:DF38" si="312">IFERROR(AX34/AD34,0)</f>
        <v>1.3222043847171865</v>
      </c>
      <c r="DG34" s="783">
        <f t="shared" ref="DG34:DG38" si="313">IFERROR(AY34/AE34,0)</f>
        <v>2.0406617607106488</v>
      </c>
      <c r="DH34" s="783">
        <f t="shared" ref="DH34:DH38" si="314">IFERROR(AZ34/AF34,0)</f>
        <v>2.6503261813029271</v>
      </c>
      <c r="DI34" s="783">
        <f t="shared" ref="DI34:DI38" si="315">IFERROR(BA34/AG34,0)</f>
        <v>3.1192426526805797</v>
      </c>
      <c r="DJ34" s="783">
        <f t="shared" ref="DJ34:DJ38" si="316">IFERROR(BB34/AH34,0)</f>
        <v>0</v>
      </c>
      <c r="DK34" s="783">
        <f t="shared" ref="DK34:DK38" si="317">IFERROR(BC34/AI34,0)</f>
        <v>0</v>
      </c>
      <c r="DL34" s="783">
        <f t="shared" ref="DL34:DL38" si="318">IFERROR(BD34/AJ34,0)</f>
        <v>0</v>
      </c>
      <c r="DM34" s="783">
        <f t="shared" ref="DM34:DM38" si="319">IFERROR(BE34/AK34,0)</f>
        <v>1.068194780093374</v>
      </c>
      <c r="DN34" s="633"/>
      <c r="DO34" s="780">
        <f t="shared" ref="DO34:DR38" si="320">IFERROR(CA34/AM34,0)</f>
        <v>0.16069942236132803</v>
      </c>
      <c r="DP34" s="780">
        <f t="shared" si="320"/>
        <v>0.25800002191711452</v>
      </c>
      <c r="DQ34" s="780">
        <f t="shared" si="320"/>
        <v>0</v>
      </c>
      <c r="DR34" s="780">
        <f t="shared" si="320"/>
        <v>0</v>
      </c>
    </row>
    <row r="35" spans="2:122">
      <c r="C35" s="752" t="s">
        <v>176</v>
      </c>
      <c r="D35" s="753" t="s">
        <v>87</v>
      </c>
      <c r="E35" s="795">
        <v>5.8416587246432545</v>
      </c>
      <c r="F35" s="795">
        <v>5.1335820742904943</v>
      </c>
      <c r="G35" s="795">
        <v>6.1602984891485937</v>
      </c>
      <c r="H35" s="761">
        <v>7.7003731114357423</v>
      </c>
      <c r="I35" s="761">
        <v>7.3923581869783108</v>
      </c>
      <c r="J35" s="761">
        <v>7.5402053507178772</v>
      </c>
      <c r="K35" s="761">
        <v>7.9172156182537732</v>
      </c>
      <c r="L35" s="761">
        <v>8.7089371800791504</v>
      </c>
      <c r="M35" s="761">
        <v>10.450724616094979</v>
      </c>
      <c r="N35" s="761">
        <v>12.018333308509227</v>
      </c>
      <c r="O35" s="761">
        <v>15.623833301061993</v>
      </c>
      <c r="P35" s="761">
        <v>20.310983291380591</v>
      </c>
      <c r="Q35" s="762">
        <f>SUM(E35:P35)</f>
        <v>114.79850325259397</v>
      </c>
      <c r="R35" s="677"/>
      <c r="S35" s="761">
        <f>SUM(E35:G35)</f>
        <v>17.135539288082342</v>
      </c>
      <c r="T35" s="761">
        <f>SUM(H35:J35)</f>
        <v>22.632936649131931</v>
      </c>
      <c r="U35" s="761">
        <f>SUM(K35:M35)</f>
        <v>27.076877414427905</v>
      </c>
      <c r="V35" s="761">
        <f>SUM(N35:P35)</f>
        <v>47.953149900951814</v>
      </c>
      <c r="X35" s="721" t="s">
        <v>87</v>
      </c>
      <c r="Y35" s="795">
        <v>5.8416587246432545</v>
      </c>
      <c r="Z35" s="795">
        <v>5.1335820742904943</v>
      </c>
      <c r="AA35" s="795">
        <v>6.1602984891485937</v>
      </c>
      <c r="AB35" s="761">
        <v>7.7003731114357423</v>
      </c>
      <c r="AC35" s="761">
        <v>7.3923581869783108</v>
      </c>
      <c r="AD35" s="761">
        <v>7.5402053507178772</v>
      </c>
      <c r="AE35" s="761">
        <v>7.9172156182537732</v>
      </c>
      <c r="AF35" s="761">
        <v>8.7089371800791504</v>
      </c>
      <c r="AG35" s="761">
        <v>10.450724616094979</v>
      </c>
      <c r="AH35" s="761">
        <v>12.018333308509227</v>
      </c>
      <c r="AI35" s="761">
        <v>15.623833301061993</v>
      </c>
      <c r="AJ35" s="761">
        <v>20.310983291380591</v>
      </c>
      <c r="AK35" s="762">
        <f>SUM(Y35:AJ35)</f>
        <v>114.79850325259397</v>
      </c>
      <c r="AL35" s="677"/>
      <c r="AM35" s="761">
        <f>SUM(Y35:AA35)</f>
        <v>17.135539288082342</v>
      </c>
      <c r="AN35" s="761">
        <f>SUM(AB35:AD35)</f>
        <v>22.632936649131931</v>
      </c>
      <c r="AO35" s="761">
        <f>SUM(AE35:AG35)</f>
        <v>27.076877414427905</v>
      </c>
      <c r="AP35" s="761">
        <f>SUM(AH35:AJ35)</f>
        <v>47.953149900951814</v>
      </c>
      <c r="AR35" s="721" t="s">
        <v>87</v>
      </c>
      <c r="AS35" s="784">
        <v>1.19</v>
      </c>
      <c r="AT35" s="784">
        <v>1.9700000000000002</v>
      </c>
      <c r="AU35" s="784">
        <v>1.27</v>
      </c>
      <c r="AV35" s="784">
        <v>0.59000000000000008</v>
      </c>
      <c r="AW35" s="784">
        <f>0.1+0.58</f>
        <v>0.67999999999999994</v>
      </c>
      <c r="AX35" s="784">
        <f>0.11+0.34</f>
        <v>0.45</v>
      </c>
      <c r="AY35" s="784">
        <f>0.16+0.45</f>
        <v>0.61</v>
      </c>
      <c r="AZ35" s="784">
        <f>287.27+0.23</f>
        <v>287.5</v>
      </c>
      <c r="BA35" s="761">
        <f t="array" ref="BA35:BD35">TRANSPOSE('TH_YouTube Performance'!F14:F17)</f>
        <v>3042.4639999999999</v>
      </c>
      <c r="BB35" s="761">
        <v>0</v>
      </c>
      <c r="BC35" s="761">
        <v>0</v>
      </c>
      <c r="BD35" s="761">
        <v>0</v>
      </c>
      <c r="BE35" s="762">
        <f>SUM(AS35:BD35)</f>
        <v>3336.7240000000002</v>
      </c>
      <c r="BF35" s="677"/>
      <c r="BG35" s="761">
        <f>SUM(AS35:AU35)</f>
        <v>4.43</v>
      </c>
      <c r="BH35" s="761">
        <f>SUM(AV35:AX35)</f>
        <v>1.72</v>
      </c>
      <c r="BI35" s="761">
        <f>SUM(AY35:BA35)</f>
        <v>3330.5740000000001</v>
      </c>
      <c r="BJ35" s="761">
        <f>SUM(BB35:BD35)</f>
        <v>0</v>
      </c>
      <c r="BM35" s="795">
        <f t="shared" ref="BM35:BQ38" si="321">AS35-E35</f>
        <v>-4.651658724643255</v>
      </c>
      <c r="BN35" s="795">
        <f t="shared" si="321"/>
        <v>-3.1635820742904941</v>
      </c>
      <c r="BO35" s="795">
        <f t="shared" si="321"/>
        <v>-4.8902984891485932</v>
      </c>
      <c r="BP35" s="761">
        <f t="shared" si="321"/>
        <v>-7.1103731114357425</v>
      </c>
      <c r="BQ35" s="761">
        <f t="shared" si="321"/>
        <v>-6.7123581869783111</v>
      </c>
      <c r="BR35" s="761"/>
      <c r="BS35" s="761"/>
      <c r="BT35" s="761"/>
      <c r="BU35" s="761"/>
      <c r="BV35" s="761"/>
      <c r="BW35" s="761"/>
      <c r="BX35" s="761"/>
      <c r="BY35" s="762">
        <f>SUM(BM35:BX35)</f>
        <v>-26.528270586496394</v>
      </c>
      <c r="BZ35" s="677"/>
      <c r="CA35" s="761">
        <f>SUM(BM35:BO35)</f>
        <v>-12.705539288082342</v>
      </c>
      <c r="CB35" s="761">
        <f>SUM(BP35:BR35)</f>
        <v>-13.822731298414054</v>
      </c>
      <c r="CC35" s="761">
        <f>SUM(BS35:BU35)</f>
        <v>0</v>
      </c>
      <c r="CD35" s="761">
        <f>SUM(BV35:BX35)</f>
        <v>0</v>
      </c>
      <c r="CG35" s="798">
        <f t="shared" si="305"/>
        <v>0.2037092641136225</v>
      </c>
      <c r="CH35" s="798">
        <f t="shared" si="305"/>
        <v>0.38374763887889557</v>
      </c>
      <c r="CI35" s="798">
        <f t="shared" si="305"/>
        <v>0.20615884152969427</v>
      </c>
      <c r="CJ35" s="785">
        <f t="shared" si="305"/>
        <v>7.661966393859504E-2</v>
      </c>
      <c r="CK35" s="785">
        <f t="shared" si="305"/>
        <v>9.198688467204208E-2</v>
      </c>
      <c r="CL35" s="785">
        <f t="shared" si="305"/>
        <v>5.9680072235321423E-2</v>
      </c>
      <c r="CM35" s="785">
        <f t="shared" si="305"/>
        <v>7.7047289023377902E-2</v>
      </c>
      <c r="CN35" s="785">
        <f t="shared" si="305"/>
        <v>33.012064969033005</v>
      </c>
      <c r="CO35" s="785">
        <f t="shared" si="305"/>
        <v>291.12469343172188</v>
      </c>
      <c r="CP35" s="785">
        <f t="shared" si="305"/>
        <v>0</v>
      </c>
      <c r="CQ35" s="785">
        <f t="shared" si="305"/>
        <v>0</v>
      </c>
      <c r="CR35" s="785">
        <f t="shared" si="305"/>
        <v>0</v>
      </c>
      <c r="CS35" s="786">
        <f t="shared" si="305"/>
        <v>29.065919027342407</v>
      </c>
      <c r="CT35" s="787"/>
      <c r="CU35" s="785">
        <f t="shared" si="306"/>
        <v>0.25852702535490296</v>
      </c>
      <c r="CV35" s="785">
        <f t="shared" si="306"/>
        <v>7.5995440921537205E-2</v>
      </c>
      <c r="CW35" s="785">
        <f t="shared" si="306"/>
        <v>123.00436084351827</v>
      </c>
      <c r="CX35" s="785">
        <f t="shared" si="306"/>
        <v>0</v>
      </c>
      <c r="DA35" s="798">
        <f t="shared" si="307"/>
        <v>0.2037092641136225</v>
      </c>
      <c r="DB35" s="798">
        <f t="shared" si="308"/>
        <v>0.38374763887889557</v>
      </c>
      <c r="DC35" s="798">
        <f t="shared" si="309"/>
        <v>0.20615884152969427</v>
      </c>
      <c r="DD35" s="785">
        <f t="shared" si="310"/>
        <v>7.661966393859504E-2</v>
      </c>
      <c r="DE35" s="785">
        <f t="shared" si="311"/>
        <v>9.198688467204208E-2</v>
      </c>
      <c r="DF35" s="785">
        <f t="shared" si="312"/>
        <v>5.9680072235321423E-2</v>
      </c>
      <c r="DG35" s="785">
        <f t="shared" si="313"/>
        <v>7.7047289023377902E-2</v>
      </c>
      <c r="DH35" s="785">
        <f t="shared" si="314"/>
        <v>33.012064969033005</v>
      </c>
      <c r="DI35" s="785">
        <f t="shared" si="315"/>
        <v>291.12469343172188</v>
      </c>
      <c r="DJ35" s="785">
        <f t="shared" si="316"/>
        <v>0</v>
      </c>
      <c r="DK35" s="785">
        <f t="shared" si="317"/>
        <v>0</v>
      </c>
      <c r="DL35" s="785">
        <f t="shared" si="318"/>
        <v>0</v>
      </c>
      <c r="DM35" s="786">
        <f t="shared" si="319"/>
        <v>29.065919027342407</v>
      </c>
      <c r="DN35" s="787"/>
      <c r="DO35" s="785">
        <f t="shared" si="320"/>
        <v>-0.74147297464509698</v>
      </c>
      <c r="DP35" s="785">
        <f t="shared" si="320"/>
        <v>-0.61073520916448165</v>
      </c>
      <c r="DQ35" s="785">
        <f t="shared" si="320"/>
        <v>0</v>
      </c>
      <c r="DR35" s="785">
        <f t="shared" si="320"/>
        <v>0</v>
      </c>
    </row>
    <row r="36" spans="2:122">
      <c r="C36" s="752" t="s">
        <v>176</v>
      </c>
      <c r="D36" s="753" t="s">
        <v>88</v>
      </c>
      <c r="E36" s="795">
        <v>18192.2575176719</v>
      </c>
      <c r="F36" s="795">
        <v>15987.145344458702</v>
      </c>
      <c r="G36" s="795">
        <v>19184.574413350445</v>
      </c>
      <c r="H36" s="761">
        <v>23980.718016688057</v>
      </c>
      <c r="I36" s="761">
        <v>23021.489296020529</v>
      </c>
      <c r="J36" s="761">
        <v>23481.919081940941</v>
      </c>
      <c r="K36" s="761">
        <v>24656.015036037996</v>
      </c>
      <c r="L36" s="761">
        <v>27121.616539641793</v>
      </c>
      <c r="M36" s="761">
        <v>32545.939847570153</v>
      </c>
      <c r="N36" s="761">
        <v>37427.830824705663</v>
      </c>
      <c r="O36" s="761">
        <v>48656.180072117357</v>
      </c>
      <c r="P36" s="761">
        <v>63253.034093752583</v>
      </c>
      <c r="Q36" s="762">
        <f t="shared" ref="Q36:Q38" si="322">SUM(E36:P36)</f>
        <v>357508.72008395608</v>
      </c>
      <c r="R36" s="677"/>
      <c r="S36" s="761">
        <f>SUM(E36:G36)</f>
        <v>53363.977275481055</v>
      </c>
      <c r="T36" s="761">
        <f>SUM(H36:J36)</f>
        <v>70484.126394649531</v>
      </c>
      <c r="U36" s="761">
        <f>SUM(K36:M36)</f>
        <v>84323.57142324993</v>
      </c>
      <c r="V36" s="761">
        <f>SUM(N36:P36)</f>
        <v>149337.04499057561</v>
      </c>
      <c r="X36" s="721" t="s">
        <v>88</v>
      </c>
      <c r="Y36" s="795">
        <v>18192.2575176719</v>
      </c>
      <c r="Z36" s="795">
        <v>15987.145344458702</v>
      </c>
      <c r="AA36" s="795">
        <v>19184.574413350445</v>
      </c>
      <c r="AB36" s="761">
        <v>23980.718016688057</v>
      </c>
      <c r="AC36" s="761">
        <v>23021.489296020529</v>
      </c>
      <c r="AD36" s="761">
        <v>23481.919081940941</v>
      </c>
      <c r="AE36" s="761">
        <v>24656.015036037996</v>
      </c>
      <c r="AF36" s="761">
        <v>27121.616539641793</v>
      </c>
      <c r="AG36" s="761">
        <v>32545.939847570153</v>
      </c>
      <c r="AH36" s="761">
        <v>37427.830824705663</v>
      </c>
      <c r="AI36" s="761">
        <v>48656.180072117357</v>
      </c>
      <c r="AJ36" s="761">
        <v>63253.034093752583</v>
      </c>
      <c r="AK36" s="762">
        <f t="shared" ref="AK36:AK38" si="323">SUM(Y36:AJ36)</f>
        <v>357508.72008395608</v>
      </c>
      <c r="AL36" s="677"/>
      <c r="AM36" s="761">
        <f t="shared" ref="AM36:AM38" si="324">SUM(Y36:AA36)</f>
        <v>53363.977275481055</v>
      </c>
      <c r="AN36" s="761">
        <f t="shared" ref="AN36:AN38" si="325">SUM(AB36:AD36)</f>
        <v>70484.126394649531</v>
      </c>
      <c r="AO36" s="761">
        <f>SUM(AE36:AG36)</f>
        <v>84323.57142324993</v>
      </c>
      <c r="AP36" s="761">
        <f t="shared" ref="AP36:AP38" si="326">SUM(AH36:AJ36)</f>
        <v>149337.04499057561</v>
      </c>
      <c r="AR36" s="721" t="s">
        <v>88</v>
      </c>
      <c r="AS36" s="784">
        <v>11744.529999999999</v>
      </c>
      <c r="AT36" s="784">
        <v>17888.43</v>
      </c>
      <c r="AU36" s="784">
        <v>34740.6</v>
      </c>
      <c r="AV36" s="784">
        <v>33290.340000000004</v>
      </c>
      <c r="AW36" s="784">
        <f>33.81+31907.06</f>
        <v>31940.870000000003</v>
      </c>
      <c r="AX36" s="784">
        <f>50.38+30260.45</f>
        <v>30310.83</v>
      </c>
      <c r="AY36" s="784">
        <f>45.92+45255.81</f>
        <v>45301.729999999996</v>
      </c>
      <c r="AZ36" s="784">
        <f>54553.08+85.89</f>
        <v>54638.97</v>
      </c>
      <c r="BA36" s="761">
        <f t="array" ref="BA36:BD36">TRANSPOSE('TH_YouTube Performance'!H14:H17)</f>
        <v>61792.702999999892</v>
      </c>
      <c r="BB36" s="761">
        <v>0</v>
      </c>
      <c r="BC36" s="761">
        <v>0</v>
      </c>
      <c r="BD36" s="761">
        <v>0</v>
      </c>
      <c r="BE36" s="762">
        <f t="shared" ref="BE36:BE38" si="327">SUM(AS36:BD36)</f>
        <v>321649.00299999985</v>
      </c>
      <c r="BF36" s="677"/>
      <c r="BG36" s="761">
        <f t="shared" ref="BG36:BG38" si="328">SUM(AS36:AU36)</f>
        <v>64373.56</v>
      </c>
      <c r="BH36" s="761">
        <f t="shared" ref="BH36:BH38" si="329">SUM(AV36:AX36)</f>
        <v>95542.040000000008</v>
      </c>
      <c r="BI36" s="761">
        <f>SUM(AY36:BA36)</f>
        <v>161733.40299999987</v>
      </c>
      <c r="BJ36" s="761">
        <f t="shared" ref="BJ36:BJ38" si="330">SUM(BB36:BD36)</f>
        <v>0</v>
      </c>
      <c r="BM36" s="795">
        <f t="shared" si="321"/>
        <v>-6447.7275176719013</v>
      </c>
      <c r="BN36" s="795">
        <f t="shared" si="321"/>
        <v>1901.284655541298</v>
      </c>
      <c r="BO36" s="795">
        <f t="shared" si="321"/>
        <v>15556.025586649554</v>
      </c>
      <c r="BP36" s="761">
        <f t="shared" si="321"/>
        <v>9309.6219833119467</v>
      </c>
      <c r="BQ36" s="761">
        <f t="shared" si="321"/>
        <v>8919.3807039794738</v>
      </c>
      <c r="BR36" s="761"/>
      <c r="BS36" s="761"/>
      <c r="BT36" s="761"/>
      <c r="BU36" s="761"/>
      <c r="BV36" s="761"/>
      <c r="BW36" s="761"/>
      <c r="BX36" s="761"/>
      <c r="BY36" s="762">
        <f t="shared" ref="BY36:BY38" si="331">SUM(BM36:BX36)</f>
        <v>29238.585411810371</v>
      </c>
      <c r="BZ36" s="677"/>
      <c r="CA36" s="761">
        <f t="shared" ref="CA36:CA38" si="332">SUM(BM36:BO36)</f>
        <v>11009.58272451895</v>
      </c>
      <c r="CB36" s="761">
        <f t="shared" ref="CB36:CB38" si="333">SUM(BP36:BR36)</f>
        <v>18229.00268729142</v>
      </c>
      <c r="CC36" s="761">
        <f>SUM(BS36:BU36)</f>
        <v>0</v>
      </c>
      <c r="CD36" s="761">
        <f t="shared" ref="CD36:CD38" si="334">SUM(BV36:BX36)</f>
        <v>0</v>
      </c>
      <c r="CG36" s="798">
        <f t="shared" si="305"/>
        <v>0.64557848241711624</v>
      </c>
      <c r="CH36" s="798">
        <f t="shared" si="305"/>
        <v>1.1189258378888951</v>
      </c>
      <c r="CI36" s="798">
        <f t="shared" si="305"/>
        <v>1.8108611247494861</v>
      </c>
      <c r="CJ36" s="785">
        <f t="shared" si="305"/>
        <v>1.3882128123450443</v>
      </c>
      <c r="CK36" s="785">
        <f t="shared" si="305"/>
        <v>1.3874371718219494</v>
      </c>
      <c r="CL36" s="785">
        <f t="shared" si="305"/>
        <v>1.2908157077890161</v>
      </c>
      <c r="CM36" s="785">
        <f t="shared" si="305"/>
        <v>1.8373500313730984</v>
      </c>
      <c r="CN36" s="785">
        <f t="shared" si="305"/>
        <v>2.0145911996114978</v>
      </c>
      <c r="CO36" s="785">
        <f t="shared" si="305"/>
        <v>1.8986301606101343</v>
      </c>
      <c r="CP36" s="785">
        <f t="shared" si="305"/>
        <v>0</v>
      </c>
      <c r="CQ36" s="785">
        <f t="shared" si="305"/>
        <v>0</v>
      </c>
      <c r="CR36" s="785">
        <f t="shared" si="305"/>
        <v>0</v>
      </c>
      <c r="CS36" s="786">
        <f t="shared" si="305"/>
        <v>0.89969554567638221</v>
      </c>
      <c r="CT36" s="787"/>
      <c r="CU36" s="785">
        <f t="shared" si="306"/>
        <v>1.2063111350880789</v>
      </c>
      <c r="CV36" s="785">
        <f t="shared" si="306"/>
        <v>1.3555114447336418</v>
      </c>
      <c r="CW36" s="785">
        <f t="shared" si="306"/>
        <v>1.9180094043716736</v>
      </c>
      <c r="CX36" s="785">
        <f t="shared" si="306"/>
        <v>0</v>
      </c>
      <c r="DA36" s="798">
        <f t="shared" si="307"/>
        <v>0.64557848241711624</v>
      </c>
      <c r="DB36" s="798">
        <f t="shared" si="308"/>
        <v>1.1189258378888951</v>
      </c>
      <c r="DC36" s="798">
        <f t="shared" si="309"/>
        <v>1.8108611247494861</v>
      </c>
      <c r="DD36" s="785">
        <f t="shared" si="310"/>
        <v>1.3882128123450443</v>
      </c>
      <c r="DE36" s="785">
        <f t="shared" si="311"/>
        <v>1.3874371718219494</v>
      </c>
      <c r="DF36" s="785">
        <f t="shared" si="312"/>
        <v>1.2908157077890161</v>
      </c>
      <c r="DG36" s="785">
        <f t="shared" si="313"/>
        <v>1.8373500313730984</v>
      </c>
      <c r="DH36" s="785">
        <f t="shared" si="314"/>
        <v>2.0145911996114978</v>
      </c>
      <c r="DI36" s="785">
        <f t="shared" si="315"/>
        <v>1.8986301606101343</v>
      </c>
      <c r="DJ36" s="785">
        <f t="shared" si="316"/>
        <v>0</v>
      </c>
      <c r="DK36" s="785">
        <f t="shared" si="317"/>
        <v>0</v>
      </c>
      <c r="DL36" s="785">
        <f t="shared" si="318"/>
        <v>0</v>
      </c>
      <c r="DM36" s="786">
        <f t="shared" si="319"/>
        <v>0.89969554567638221</v>
      </c>
      <c r="DN36" s="787"/>
      <c r="DO36" s="785">
        <f t="shared" si="320"/>
        <v>0.206311135088079</v>
      </c>
      <c r="DP36" s="785">
        <f t="shared" si="320"/>
        <v>0.25862564551378464</v>
      </c>
      <c r="DQ36" s="785">
        <f t="shared" si="320"/>
        <v>0</v>
      </c>
      <c r="DR36" s="785">
        <f t="shared" si="320"/>
        <v>0</v>
      </c>
    </row>
    <row r="37" spans="2:122">
      <c r="C37" s="752" t="s">
        <v>176</v>
      </c>
      <c r="D37" s="753" t="s">
        <v>89</v>
      </c>
      <c r="E37" s="795">
        <v>0</v>
      </c>
      <c r="F37" s="795">
        <v>0</v>
      </c>
      <c r="G37" s="795">
        <v>0</v>
      </c>
      <c r="H37" s="761">
        <v>0</v>
      </c>
      <c r="I37" s="761">
        <v>0</v>
      </c>
      <c r="J37" s="761">
        <v>0</v>
      </c>
      <c r="K37" s="761">
        <v>0</v>
      </c>
      <c r="L37" s="761">
        <v>0</v>
      </c>
      <c r="M37" s="761">
        <v>0</v>
      </c>
      <c r="N37" s="761">
        <v>0</v>
      </c>
      <c r="O37" s="761">
        <v>0</v>
      </c>
      <c r="P37" s="761">
        <v>0</v>
      </c>
      <c r="Q37" s="762">
        <f t="shared" si="322"/>
        <v>0</v>
      </c>
      <c r="R37" s="677"/>
      <c r="S37" s="761">
        <f>SUM(E37:G37)</f>
        <v>0</v>
      </c>
      <c r="T37" s="761">
        <f>SUM(H37:J37)</f>
        <v>0</v>
      </c>
      <c r="U37" s="761">
        <f>SUM(K37:M37)</f>
        <v>0</v>
      </c>
      <c r="V37" s="761">
        <f>SUM(N37:P37)</f>
        <v>0</v>
      </c>
      <c r="X37" s="721" t="s">
        <v>89</v>
      </c>
      <c r="Y37" s="795">
        <v>0</v>
      </c>
      <c r="Z37" s="795">
        <v>0</v>
      </c>
      <c r="AA37" s="795">
        <v>0</v>
      </c>
      <c r="AB37" s="761">
        <v>0</v>
      </c>
      <c r="AC37" s="761">
        <v>0</v>
      </c>
      <c r="AD37" s="761">
        <v>0</v>
      </c>
      <c r="AE37" s="761">
        <v>0</v>
      </c>
      <c r="AF37" s="761">
        <v>0</v>
      </c>
      <c r="AG37" s="761">
        <v>0</v>
      </c>
      <c r="AH37" s="761">
        <v>0</v>
      </c>
      <c r="AI37" s="761">
        <v>0</v>
      </c>
      <c r="AJ37" s="761">
        <v>0</v>
      </c>
      <c r="AK37" s="762">
        <f t="shared" si="323"/>
        <v>0</v>
      </c>
      <c r="AL37" s="677"/>
      <c r="AM37" s="761">
        <f t="shared" si="324"/>
        <v>0</v>
      </c>
      <c r="AN37" s="761">
        <f t="shared" si="325"/>
        <v>0</v>
      </c>
      <c r="AO37" s="761">
        <f>SUM(AE37:AG37)</f>
        <v>0</v>
      </c>
      <c r="AP37" s="761">
        <f t="shared" si="326"/>
        <v>0</v>
      </c>
      <c r="AR37" s="721" t="s">
        <v>89</v>
      </c>
      <c r="AS37" s="784">
        <v>0</v>
      </c>
      <c r="AT37" s="784">
        <v>0</v>
      </c>
      <c r="AU37" s="784">
        <v>0</v>
      </c>
      <c r="AV37" s="784">
        <v>0</v>
      </c>
      <c r="AW37" s="784">
        <v>0</v>
      </c>
      <c r="AX37" s="784">
        <v>0</v>
      </c>
      <c r="AY37" s="784">
        <v>0</v>
      </c>
      <c r="AZ37" s="784">
        <v>0</v>
      </c>
      <c r="BA37" s="784">
        <v>0</v>
      </c>
      <c r="BB37" s="784">
        <v>0</v>
      </c>
      <c r="BC37" s="784">
        <v>0</v>
      </c>
      <c r="BD37" s="784">
        <v>0</v>
      </c>
      <c r="BE37" s="762">
        <f t="shared" si="327"/>
        <v>0</v>
      </c>
      <c r="BF37" s="677"/>
      <c r="BG37" s="761">
        <f t="shared" si="328"/>
        <v>0</v>
      </c>
      <c r="BH37" s="761">
        <f t="shared" si="329"/>
        <v>0</v>
      </c>
      <c r="BI37" s="761">
        <f t="shared" ref="BI37:BI38" si="335">SUM(AY37:BA37)</f>
        <v>0</v>
      </c>
      <c r="BJ37" s="761">
        <f t="shared" si="330"/>
        <v>0</v>
      </c>
      <c r="BM37" s="795">
        <f t="shared" si="321"/>
        <v>0</v>
      </c>
      <c r="BN37" s="795">
        <f t="shared" si="321"/>
        <v>0</v>
      </c>
      <c r="BO37" s="795">
        <f t="shared" si="321"/>
        <v>0</v>
      </c>
      <c r="BP37" s="761">
        <f t="shared" si="321"/>
        <v>0</v>
      </c>
      <c r="BQ37" s="761">
        <f t="shared" si="321"/>
        <v>0</v>
      </c>
      <c r="BR37" s="761"/>
      <c r="BS37" s="761"/>
      <c r="BT37" s="761"/>
      <c r="BU37" s="761"/>
      <c r="BV37" s="761"/>
      <c r="BW37" s="761"/>
      <c r="BX37" s="761"/>
      <c r="BY37" s="762">
        <f t="shared" si="331"/>
        <v>0</v>
      </c>
      <c r="BZ37" s="677"/>
      <c r="CA37" s="761">
        <f t="shared" si="332"/>
        <v>0</v>
      </c>
      <c r="CB37" s="761">
        <f t="shared" si="333"/>
        <v>0</v>
      </c>
      <c r="CC37" s="761">
        <f t="shared" ref="CC37:CC38" si="336">SUM(BS37:BU37)</f>
        <v>0</v>
      </c>
      <c r="CD37" s="761">
        <f t="shared" si="334"/>
        <v>0</v>
      </c>
      <c r="CG37" s="798">
        <f t="shared" si="305"/>
        <v>0</v>
      </c>
      <c r="CH37" s="798">
        <f t="shared" si="305"/>
        <v>0</v>
      </c>
      <c r="CI37" s="798">
        <f t="shared" si="305"/>
        <v>0</v>
      </c>
      <c r="CJ37" s="785">
        <f t="shared" si="305"/>
        <v>0</v>
      </c>
      <c r="CK37" s="785">
        <f t="shared" si="305"/>
        <v>0</v>
      </c>
      <c r="CL37" s="785">
        <f t="shared" si="305"/>
        <v>0</v>
      </c>
      <c r="CM37" s="785">
        <f t="shared" si="305"/>
        <v>0</v>
      </c>
      <c r="CN37" s="785">
        <f t="shared" si="305"/>
        <v>0</v>
      </c>
      <c r="CO37" s="785">
        <f t="shared" si="305"/>
        <v>0</v>
      </c>
      <c r="CP37" s="785">
        <f t="shared" si="305"/>
        <v>0</v>
      </c>
      <c r="CQ37" s="785">
        <f t="shared" si="305"/>
        <v>0</v>
      </c>
      <c r="CR37" s="785">
        <f t="shared" si="305"/>
        <v>0</v>
      </c>
      <c r="CS37" s="786">
        <f t="shared" si="305"/>
        <v>0</v>
      </c>
      <c r="CT37" s="787"/>
      <c r="CU37" s="785">
        <f t="shared" si="306"/>
        <v>0</v>
      </c>
      <c r="CV37" s="785">
        <f t="shared" si="306"/>
        <v>0</v>
      </c>
      <c r="CW37" s="785">
        <f t="shared" si="306"/>
        <v>0</v>
      </c>
      <c r="CX37" s="785">
        <f t="shared" si="306"/>
        <v>0</v>
      </c>
      <c r="DA37" s="798">
        <f t="shared" si="307"/>
        <v>0</v>
      </c>
      <c r="DB37" s="798">
        <f t="shared" si="308"/>
        <v>0</v>
      </c>
      <c r="DC37" s="798">
        <f t="shared" si="309"/>
        <v>0</v>
      </c>
      <c r="DD37" s="785">
        <f t="shared" si="310"/>
        <v>0</v>
      </c>
      <c r="DE37" s="785">
        <f t="shared" si="311"/>
        <v>0</v>
      </c>
      <c r="DF37" s="785">
        <f t="shared" si="312"/>
        <v>0</v>
      </c>
      <c r="DG37" s="785">
        <f t="shared" si="313"/>
        <v>0</v>
      </c>
      <c r="DH37" s="785">
        <f t="shared" si="314"/>
        <v>0</v>
      </c>
      <c r="DI37" s="785">
        <f t="shared" si="315"/>
        <v>0</v>
      </c>
      <c r="DJ37" s="785">
        <f t="shared" si="316"/>
        <v>0</v>
      </c>
      <c r="DK37" s="785">
        <f t="shared" si="317"/>
        <v>0</v>
      </c>
      <c r="DL37" s="785">
        <f t="shared" si="318"/>
        <v>0</v>
      </c>
      <c r="DM37" s="786">
        <f t="shared" si="319"/>
        <v>0</v>
      </c>
      <c r="DN37" s="787"/>
      <c r="DO37" s="785">
        <f t="shared" si="320"/>
        <v>0</v>
      </c>
      <c r="DP37" s="785">
        <f t="shared" si="320"/>
        <v>0</v>
      </c>
      <c r="DQ37" s="785">
        <f t="shared" si="320"/>
        <v>0</v>
      </c>
      <c r="DR37" s="785">
        <f t="shared" si="320"/>
        <v>0</v>
      </c>
    </row>
    <row r="38" spans="2:122">
      <c r="C38" s="754" t="s">
        <v>176</v>
      </c>
      <c r="D38" s="755" t="s">
        <v>90</v>
      </c>
      <c r="E38" s="764">
        <v>1667.7740570434564</v>
      </c>
      <c r="F38" s="764">
        <v>1465.6205380652177</v>
      </c>
      <c r="G38" s="764">
        <v>1758.7446456782616</v>
      </c>
      <c r="H38" s="765">
        <v>2198.4308070978263</v>
      </c>
      <c r="I38" s="765">
        <v>2110.4935748139133</v>
      </c>
      <c r="J38" s="765">
        <v>2152.7034463101918</v>
      </c>
      <c r="K38" s="765">
        <v>2260.3386186257012</v>
      </c>
      <c r="L38" s="765">
        <v>2486.3724804882718</v>
      </c>
      <c r="M38" s="765">
        <v>2983.646976585926</v>
      </c>
      <c r="N38" s="765">
        <v>3431.1940230738146</v>
      </c>
      <c r="O38" s="765">
        <v>4460.5522299959584</v>
      </c>
      <c r="P38" s="765">
        <v>5798.717898994747</v>
      </c>
      <c r="Q38" s="766">
        <f t="shared" si="322"/>
        <v>32774.589296773287</v>
      </c>
      <c r="R38" s="677"/>
      <c r="S38" s="765">
        <f>SUM(E38:G38)</f>
        <v>4892.1392407869362</v>
      </c>
      <c r="T38" s="765">
        <f>SUM(H38:J38)</f>
        <v>6461.6278282219318</v>
      </c>
      <c r="U38" s="765">
        <f>SUM(K38:M38)</f>
        <v>7730.3580756998981</v>
      </c>
      <c r="V38" s="765">
        <f>SUM(N38:P38)</f>
        <v>13690.46415206452</v>
      </c>
      <c r="X38" s="721" t="s">
        <v>90</v>
      </c>
      <c r="Y38" s="764">
        <v>1667.7740570434564</v>
      </c>
      <c r="Z38" s="764">
        <v>1465.6205380652177</v>
      </c>
      <c r="AA38" s="764">
        <v>1758.7446456782616</v>
      </c>
      <c r="AB38" s="765">
        <v>2198.4308070978263</v>
      </c>
      <c r="AC38" s="765">
        <v>2110.4935748139133</v>
      </c>
      <c r="AD38" s="765">
        <v>2152.7034463101918</v>
      </c>
      <c r="AE38" s="765">
        <v>2260.3386186257012</v>
      </c>
      <c r="AF38" s="765">
        <v>2486.3724804882718</v>
      </c>
      <c r="AG38" s="765">
        <v>2983.646976585926</v>
      </c>
      <c r="AH38" s="765">
        <v>3431.1940230738146</v>
      </c>
      <c r="AI38" s="765">
        <v>4460.5522299959584</v>
      </c>
      <c r="AJ38" s="765">
        <v>5798.717898994747</v>
      </c>
      <c r="AK38" s="766">
        <f t="shared" si="323"/>
        <v>32774.589296773287</v>
      </c>
      <c r="AL38" s="677"/>
      <c r="AM38" s="765">
        <f t="shared" si="324"/>
        <v>4892.1392407869362</v>
      </c>
      <c r="AN38" s="765">
        <f t="shared" si="325"/>
        <v>6461.6278282219318</v>
      </c>
      <c r="AO38" s="765">
        <f>SUM(AE38:AG38)</f>
        <v>7730.3580756998981</v>
      </c>
      <c r="AP38" s="765">
        <f t="shared" si="326"/>
        <v>13690.46415206452</v>
      </c>
      <c r="AR38" s="721" t="s">
        <v>90</v>
      </c>
      <c r="AS38" s="768">
        <v>571.65</v>
      </c>
      <c r="AT38" s="768">
        <v>826.48</v>
      </c>
      <c r="AU38" s="768">
        <v>1861.61</v>
      </c>
      <c r="AV38" s="768">
        <v>2946.1099999999997</v>
      </c>
      <c r="AW38" s="768">
        <f>3000.36+5.12</f>
        <v>3005.48</v>
      </c>
      <c r="AX38" s="768">
        <f>3587.19+5.71</f>
        <v>3592.9</v>
      </c>
      <c r="AY38" s="768">
        <f>9619.02+21.97</f>
        <v>9640.99</v>
      </c>
      <c r="AZ38" s="768">
        <f>23513.21+54.23</f>
        <v>23567.439999999999</v>
      </c>
      <c r="BA38" s="765">
        <f t="array" ref="BA38:BD38">TRANSPOSE('TH_YouTube Performance'!J14:J17)</f>
        <v>46022.833999999631</v>
      </c>
      <c r="BB38" s="765">
        <v>0</v>
      </c>
      <c r="BC38" s="765">
        <v>0</v>
      </c>
      <c r="BD38" s="765">
        <v>0</v>
      </c>
      <c r="BE38" s="766">
        <f t="shared" si="327"/>
        <v>92035.493999999628</v>
      </c>
      <c r="BF38" s="677"/>
      <c r="BG38" s="765">
        <f t="shared" si="328"/>
        <v>3259.74</v>
      </c>
      <c r="BH38" s="765">
        <f t="shared" si="329"/>
        <v>9544.49</v>
      </c>
      <c r="BI38" s="765">
        <f t="shared" si="335"/>
        <v>79231.263999999632</v>
      </c>
      <c r="BJ38" s="765">
        <f t="shared" si="330"/>
        <v>0</v>
      </c>
      <c r="BM38" s="764">
        <f t="shared" si="321"/>
        <v>-1096.1240570434566</v>
      </c>
      <c r="BN38" s="764">
        <f t="shared" si="321"/>
        <v>-639.1405380652177</v>
      </c>
      <c r="BO38" s="764">
        <f t="shared" si="321"/>
        <v>102.86535432173832</v>
      </c>
      <c r="BP38" s="765">
        <f t="shared" si="321"/>
        <v>747.67919290217333</v>
      </c>
      <c r="BQ38" s="765">
        <f t="shared" si="321"/>
        <v>894.98642518608676</v>
      </c>
      <c r="BR38" s="765"/>
      <c r="BS38" s="765"/>
      <c r="BT38" s="765"/>
      <c r="BU38" s="765"/>
      <c r="BV38" s="765"/>
      <c r="BW38" s="765"/>
      <c r="BX38" s="765"/>
      <c r="BY38" s="766">
        <f t="shared" si="331"/>
        <v>10.266377301324155</v>
      </c>
      <c r="BZ38" s="677"/>
      <c r="CA38" s="765">
        <f t="shared" si="332"/>
        <v>-1632.3992407869359</v>
      </c>
      <c r="CB38" s="765">
        <f t="shared" si="333"/>
        <v>1642.6656180882601</v>
      </c>
      <c r="CC38" s="765">
        <f t="shared" si="336"/>
        <v>0</v>
      </c>
      <c r="CD38" s="765">
        <f t="shared" si="334"/>
        <v>0</v>
      </c>
      <c r="CG38" s="799">
        <f t="shared" si="305"/>
        <v>0.34276225702502622</v>
      </c>
      <c r="CH38" s="799">
        <f t="shared" si="305"/>
        <v>0.56391131164895225</v>
      </c>
      <c r="CI38" s="799">
        <f t="shared" si="305"/>
        <v>1.0584879417114406</v>
      </c>
      <c r="CJ38" s="789">
        <f t="shared" si="305"/>
        <v>1.340096759237646</v>
      </c>
      <c r="CK38" s="789">
        <f t="shared" si="305"/>
        <v>1.4240649845451434</v>
      </c>
      <c r="CL38" s="789">
        <f t="shared" si="305"/>
        <v>1.6690176281170335</v>
      </c>
      <c r="CM38" s="789">
        <f t="shared" si="305"/>
        <v>4.2652857056708511</v>
      </c>
      <c r="CN38" s="789">
        <f t="shared" si="305"/>
        <v>9.4786441633121061</v>
      </c>
      <c r="CO38" s="789">
        <f t="shared" si="305"/>
        <v>15.425026607089359</v>
      </c>
      <c r="CP38" s="789">
        <f t="shared" si="305"/>
        <v>0</v>
      </c>
      <c r="CQ38" s="789">
        <f t="shared" si="305"/>
        <v>0</v>
      </c>
      <c r="CR38" s="789">
        <f t="shared" si="305"/>
        <v>0</v>
      </c>
      <c r="CS38" s="790">
        <f t="shared" si="305"/>
        <v>2.8081356921552842</v>
      </c>
      <c r="CT38" s="787"/>
      <c r="CU38" s="789">
        <f t="shared" si="306"/>
        <v>0.66632199934596448</v>
      </c>
      <c r="CV38" s="789">
        <f t="shared" si="306"/>
        <v>1.4771030232216871</v>
      </c>
      <c r="CW38" s="789">
        <f t="shared" si="306"/>
        <v>10.249365323588341</v>
      </c>
      <c r="CX38" s="789">
        <f t="shared" si="306"/>
        <v>0</v>
      </c>
      <c r="DA38" s="799">
        <f t="shared" si="307"/>
        <v>0.34276225702502622</v>
      </c>
      <c r="DB38" s="799">
        <f t="shared" si="308"/>
        <v>0.56391131164895225</v>
      </c>
      <c r="DC38" s="799">
        <f t="shared" si="309"/>
        <v>1.0584879417114406</v>
      </c>
      <c r="DD38" s="789">
        <f t="shared" si="310"/>
        <v>1.340096759237646</v>
      </c>
      <c r="DE38" s="789">
        <f t="shared" si="311"/>
        <v>1.4240649845451434</v>
      </c>
      <c r="DF38" s="789">
        <f t="shared" si="312"/>
        <v>1.6690176281170335</v>
      </c>
      <c r="DG38" s="789">
        <f t="shared" si="313"/>
        <v>4.2652857056708511</v>
      </c>
      <c r="DH38" s="789">
        <f t="shared" si="314"/>
        <v>9.4786441633121061</v>
      </c>
      <c r="DI38" s="789">
        <f t="shared" si="315"/>
        <v>15.425026607089359</v>
      </c>
      <c r="DJ38" s="789">
        <f t="shared" si="316"/>
        <v>0</v>
      </c>
      <c r="DK38" s="789">
        <f t="shared" si="317"/>
        <v>0</v>
      </c>
      <c r="DL38" s="789">
        <f t="shared" si="318"/>
        <v>0</v>
      </c>
      <c r="DM38" s="790">
        <f t="shared" si="319"/>
        <v>2.8081356921552842</v>
      </c>
      <c r="DN38" s="787"/>
      <c r="DO38" s="789">
        <f t="shared" si="320"/>
        <v>-0.33367800065403547</v>
      </c>
      <c r="DP38" s="789">
        <f t="shared" si="320"/>
        <v>0.25421854395787413</v>
      </c>
      <c r="DQ38" s="789">
        <f t="shared" si="320"/>
        <v>0</v>
      </c>
      <c r="DR38" s="789">
        <f t="shared" si="320"/>
        <v>0</v>
      </c>
    </row>
    <row r="39" spans="2:122">
      <c r="X39" s="721"/>
      <c r="AR39" s="721"/>
      <c r="CG39" s="633"/>
      <c r="CH39" s="633"/>
      <c r="CI39" s="633"/>
      <c r="CJ39" s="633"/>
      <c r="CK39" s="633"/>
      <c r="CL39" s="633"/>
      <c r="CM39" s="633"/>
      <c r="CN39" s="633"/>
      <c r="CO39" s="633"/>
      <c r="CP39" s="633"/>
      <c r="CQ39" s="633"/>
      <c r="CR39" s="633"/>
      <c r="CS39" s="633"/>
      <c r="CT39" s="633"/>
      <c r="CU39" s="633"/>
      <c r="CV39" s="633"/>
      <c r="CW39" s="633"/>
      <c r="CX39" s="633"/>
      <c r="DA39" s="633"/>
      <c r="DB39" s="633"/>
      <c r="DC39" s="633"/>
      <c r="DD39" s="633"/>
      <c r="DE39" s="633"/>
      <c r="DF39" s="633"/>
      <c r="DG39" s="633"/>
      <c r="DH39" s="633"/>
      <c r="DI39" s="633"/>
      <c r="DJ39" s="633"/>
      <c r="DK39" s="633"/>
      <c r="DL39" s="633"/>
      <c r="DM39" s="633"/>
      <c r="DN39" s="633"/>
      <c r="DO39" s="633"/>
      <c r="DP39" s="633"/>
      <c r="DQ39" s="633"/>
      <c r="DR39" s="633"/>
    </row>
    <row r="40" spans="2:122" hidden="1">
      <c r="C40" s="750" t="s">
        <v>162</v>
      </c>
      <c r="D40" s="751"/>
      <c r="E40" s="767">
        <f>SUBTOTAL(9,E41:E41)</f>
        <v>0</v>
      </c>
      <c r="F40" s="767">
        <f t="shared" ref="F40:G40" si="337">SUBTOTAL(9,F41:F41)</f>
        <v>0</v>
      </c>
      <c r="G40" s="767">
        <f t="shared" si="337"/>
        <v>0</v>
      </c>
      <c r="H40" s="767">
        <f>SUBTOTAL(9,H41:H41)</f>
        <v>0</v>
      </c>
      <c r="I40" s="767">
        <f t="shared" ref="I40:J40" si="338">SUBTOTAL(9,I41:I41)</f>
        <v>0</v>
      </c>
      <c r="J40" s="767">
        <f t="shared" si="338"/>
        <v>0</v>
      </c>
      <c r="K40" s="767">
        <f>SUBTOTAL(9,K41:K41)</f>
        <v>0</v>
      </c>
      <c r="L40" s="767">
        <f t="shared" ref="L40:M40" si="339">SUBTOTAL(9,L41:L41)</f>
        <v>0</v>
      </c>
      <c r="M40" s="767">
        <f t="shared" si="339"/>
        <v>0</v>
      </c>
      <c r="N40" s="767">
        <f>SUBTOTAL(9,N41:N41)</f>
        <v>0</v>
      </c>
      <c r="O40" s="767">
        <f t="shared" ref="O40:Q40" si="340">SUBTOTAL(9,O41:O41)</f>
        <v>0</v>
      </c>
      <c r="P40" s="767">
        <f t="shared" si="340"/>
        <v>0</v>
      </c>
      <c r="Q40" s="767">
        <f t="shared" si="340"/>
        <v>0</v>
      </c>
      <c r="S40" s="759">
        <f t="shared" ref="S40:V40" si="341">SUBTOTAL(9,S41:S41)</f>
        <v>0</v>
      </c>
      <c r="T40" s="759">
        <f t="shared" si="341"/>
        <v>0</v>
      </c>
      <c r="U40" s="759">
        <f t="shared" si="341"/>
        <v>0</v>
      </c>
      <c r="V40" s="759">
        <f t="shared" si="341"/>
        <v>0</v>
      </c>
      <c r="X40" s="721"/>
      <c r="Y40" s="767">
        <f>SUBTOTAL(9,Y41:Y41)</f>
        <v>0</v>
      </c>
      <c r="Z40" s="767">
        <f t="shared" ref="Z40:AA40" si="342">SUBTOTAL(9,Z41:Z41)</f>
        <v>0</v>
      </c>
      <c r="AA40" s="767">
        <f t="shared" si="342"/>
        <v>0</v>
      </c>
      <c r="AB40" s="767">
        <f>SUBTOTAL(9,AB41:AB41)</f>
        <v>0</v>
      </c>
      <c r="AC40" s="767">
        <f t="shared" ref="AC40:AD40" si="343">SUBTOTAL(9,AC41:AC41)</f>
        <v>0</v>
      </c>
      <c r="AD40" s="767">
        <f t="shared" si="343"/>
        <v>0</v>
      </c>
      <c r="AE40" s="767">
        <f>SUBTOTAL(9,AE41:AE41)</f>
        <v>0</v>
      </c>
      <c r="AF40" s="767">
        <f t="shared" ref="AF40:AG40" si="344">SUBTOTAL(9,AF41:AF41)</f>
        <v>0</v>
      </c>
      <c r="AG40" s="767">
        <f t="shared" si="344"/>
        <v>0</v>
      </c>
      <c r="AH40" s="767">
        <f>SUBTOTAL(9,AH41:AH41)</f>
        <v>0</v>
      </c>
      <c r="AI40" s="767">
        <f t="shared" ref="AI40:AK40" si="345">SUBTOTAL(9,AI41:AI41)</f>
        <v>0</v>
      </c>
      <c r="AJ40" s="767">
        <f t="shared" si="345"/>
        <v>0</v>
      </c>
      <c r="AK40" s="767">
        <f t="shared" si="345"/>
        <v>0</v>
      </c>
      <c r="AM40" s="759">
        <f t="shared" ref="AM40:AP40" si="346">SUBTOTAL(9,AM41:AM41)</f>
        <v>0</v>
      </c>
      <c r="AN40" s="759">
        <f t="shared" si="346"/>
        <v>0</v>
      </c>
      <c r="AO40" s="759">
        <f t="shared" si="346"/>
        <v>0</v>
      </c>
      <c r="AP40" s="759">
        <f t="shared" si="346"/>
        <v>0</v>
      </c>
      <c r="AR40" s="721"/>
      <c r="AS40" s="767">
        <f>SUBTOTAL(9,AS41:AS41)</f>
        <v>0</v>
      </c>
      <c r="AT40" s="767">
        <f t="shared" ref="AT40:AU40" si="347">SUBTOTAL(9,AT41:AT41)</f>
        <v>0</v>
      </c>
      <c r="AU40" s="767">
        <f t="shared" si="347"/>
        <v>0</v>
      </c>
      <c r="AV40" s="767">
        <f>SUBTOTAL(9,AV41:AV41)</f>
        <v>0</v>
      </c>
      <c r="AW40" s="767">
        <f t="shared" ref="AW40:AX40" si="348">SUBTOTAL(9,AW41:AW41)</f>
        <v>0</v>
      </c>
      <c r="AX40" s="767">
        <f t="shared" si="348"/>
        <v>0</v>
      </c>
      <c r="AY40" s="767">
        <f>SUBTOTAL(9,AY41:AY41)</f>
        <v>0</v>
      </c>
      <c r="AZ40" s="767">
        <f t="shared" ref="AZ40:BA40" si="349">SUBTOTAL(9,AZ41:AZ41)</f>
        <v>0</v>
      </c>
      <c r="BA40" s="767">
        <f t="shared" si="349"/>
        <v>0</v>
      </c>
      <c r="BB40" s="767">
        <f>SUBTOTAL(9,BB41:BB41)</f>
        <v>0</v>
      </c>
      <c r="BC40" s="767">
        <f t="shared" ref="BC40:BE40" si="350">SUBTOTAL(9,BC41:BC41)</f>
        <v>0</v>
      </c>
      <c r="BD40" s="767">
        <f t="shared" si="350"/>
        <v>0</v>
      </c>
      <c r="BE40" s="767">
        <f t="shared" si="350"/>
        <v>0</v>
      </c>
      <c r="BG40" s="759">
        <f t="shared" ref="BG40:BJ40" si="351">SUBTOTAL(9,BG41:BG41)</f>
        <v>0</v>
      </c>
      <c r="BH40" s="759">
        <f t="shared" si="351"/>
        <v>0</v>
      </c>
      <c r="BI40" s="759">
        <f t="shared" si="351"/>
        <v>0</v>
      </c>
      <c r="BJ40" s="759">
        <f t="shared" si="351"/>
        <v>0</v>
      </c>
      <c r="BM40" s="767">
        <f>SUBTOTAL(9,BM41:BM41)</f>
        <v>0</v>
      </c>
      <c r="BN40" s="767">
        <f t="shared" ref="BN40:BO40" si="352">SUBTOTAL(9,BN41:BN41)</f>
        <v>0</v>
      </c>
      <c r="BO40" s="767">
        <f t="shared" si="352"/>
        <v>0</v>
      </c>
      <c r="BP40" s="767">
        <f>SUBTOTAL(9,BP41:BP41)</f>
        <v>0</v>
      </c>
      <c r="BQ40" s="767">
        <f>SUBTOTAL(9,BQ41:BQ41)</f>
        <v>0</v>
      </c>
      <c r="BR40" s="767">
        <f t="shared" ref="BR40" si="353">SUBTOTAL(9,BR41:BR41)</f>
        <v>0</v>
      </c>
      <c r="BS40" s="767">
        <f>SUBTOTAL(9,BS41:BS41)</f>
        <v>0</v>
      </c>
      <c r="BT40" s="767">
        <f t="shared" ref="BT40:BU40" si="354">SUBTOTAL(9,BT41:BT41)</f>
        <v>0</v>
      </c>
      <c r="BU40" s="767">
        <f t="shared" si="354"/>
        <v>0</v>
      </c>
      <c r="BV40" s="767">
        <f>SUBTOTAL(9,BV41:BV41)</f>
        <v>0</v>
      </c>
      <c r="BW40" s="767">
        <f t="shared" ref="BW40:BY40" si="355">SUBTOTAL(9,BW41:BW41)</f>
        <v>0</v>
      </c>
      <c r="BX40" s="767">
        <f t="shared" si="355"/>
        <v>0</v>
      </c>
      <c r="BY40" s="767">
        <f t="shared" si="355"/>
        <v>0</v>
      </c>
      <c r="CA40" s="759">
        <f t="shared" ref="CA40:CD40" si="356">SUBTOTAL(9,CA41:CA41)</f>
        <v>0</v>
      </c>
      <c r="CB40" s="759">
        <f t="shared" si="356"/>
        <v>0</v>
      </c>
      <c r="CC40" s="759">
        <f t="shared" si="356"/>
        <v>0</v>
      </c>
      <c r="CD40" s="759">
        <f t="shared" si="356"/>
        <v>0</v>
      </c>
      <c r="CG40" s="783">
        <f t="shared" ref="CG40:CS41" si="357">IFERROR(AS40/E40,0)</f>
        <v>0</v>
      </c>
      <c r="CH40" s="783">
        <f t="shared" si="357"/>
        <v>0</v>
      </c>
      <c r="CI40" s="783">
        <f t="shared" si="357"/>
        <v>0</v>
      </c>
      <c r="CJ40" s="783">
        <f t="shared" si="357"/>
        <v>0</v>
      </c>
      <c r="CK40" s="783">
        <f t="shared" si="357"/>
        <v>0</v>
      </c>
      <c r="CL40" s="783">
        <f t="shared" si="357"/>
        <v>0</v>
      </c>
      <c r="CM40" s="783">
        <f t="shared" si="357"/>
        <v>0</v>
      </c>
      <c r="CN40" s="783">
        <f t="shared" si="357"/>
        <v>0</v>
      </c>
      <c r="CO40" s="783">
        <f t="shared" si="357"/>
        <v>0</v>
      </c>
      <c r="CP40" s="783">
        <f t="shared" si="357"/>
        <v>0</v>
      </c>
      <c r="CQ40" s="783">
        <f t="shared" si="357"/>
        <v>0</v>
      </c>
      <c r="CR40" s="783">
        <f t="shared" si="357"/>
        <v>0</v>
      </c>
      <c r="CS40" s="783">
        <f t="shared" si="357"/>
        <v>0</v>
      </c>
      <c r="CT40" s="633"/>
      <c r="CU40" s="780">
        <f t="shared" ref="CU40:CX41" si="358">IFERROR(BG40/S40,0)</f>
        <v>0</v>
      </c>
      <c r="CV40" s="780">
        <f t="shared" si="358"/>
        <v>0</v>
      </c>
      <c r="CW40" s="780">
        <f t="shared" si="358"/>
        <v>0</v>
      </c>
      <c r="CX40" s="780">
        <f t="shared" si="358"/>
        <v>0</v>
      </c>
      <c r="DA40" s="783">
        <f t="shared" ref="DA40:DA41" si="359">IFERROR(AS40/Y40,0)</f>
        <v>0</v>
      </c>
      <c r="DB40" s="783">
        <f t="shared" ref="DB40:DB41" si="360">IFERROR(AT40/Z40,0)</f>
        <v>0</v>
      </c>
      <c r="DC40" s="783">
        <f t="shared" ref="DC40:DC41" si="361">IFERROR(AU40/AA40,0)</f>
        <v>0</v>
      </c>
      <c r="DD40" s="783">
        <f t="shared" ref="DD40:DD41" si="362">IFERROR(AV40/AB40,0)</f>
        <v>0</v>
      </c>
      <c r="DE40" s="783">
        <f t="shared" ref="DE40:DE41" si="363">IFERROR(AW40/AC40,0)</f>
        <v>0</v>
      </c>
      <c r="DF40" s="783">
        <f t="shared" ref="DF40:DF41" si="364">IFERROR(AX40/AD40,0)</f>
        <v>0</v>
      </c>
      <c r="DG40" s="783">
        <f t="shared" ref="DG40:DG41" si="365">IFERROR(AY40/AE40,0)</f>
        <v>0</v>
      </c>
      <c r="DH40" s="783">
        <f t="shared" ref="DH40:DH41" si="366">IFERROR(AZ40/AF40,0)</f>
        <v>0</v>
      </c>
      <c r="DI40" s="783">
        <f t="shared" ref="DI40:DI41" si="367">IFERROR(BA40/AG40,0)</f>
        <v>0</v>
      </c>
      <c r="DJ40" s="783">
        <f t="shared" ref="DJ40:DJ41" si="368">IFERROR(BB40/AH40,0)</f>
        <v>0</v>
      </c>
      <c r="DK40" s="783">
        <f t="shared" ref="DK40:DK41" si="369">IFERROR(BC40/AI40,0)</f>
        <v>0</v>
      </c>
      <c r="DL40" s="783">
        <f t="shared" ref="DL40:DL41" si="370">IFERROR(BD40/AJ40,0)</f>
        <v>0</v>
      </c>
      <c r="DM40" s="783">
        <f t="shared" ref="DM40:DM41" si="371">IFERROR(BE40/AK40,0)</f>
        <v>0</v>
      </c>
      <c r="DN40" s="633"/>
      <c r="DO40" s="780">
        <f t="shared" ref="DO40:DR41" si="372">IFERROR(CA40/AM40,0)</f>
        <v>0</v>
      </c>
      <c r="DP40" s="780">
        <f t="shared" si="372"/>
        <v>0</v>
      </c>
      <c r="DQ40" s="780">
        <f t="shared" si="372"/>
        <v>0</v>
      </c>
      <c r="DR40" s="780">
        <f t="shared" si="372"/>
        <v>0</v>
      </c>
    </row>
    <row r="41" spans="2:122" s="677" customFormat="1" hidden="1">
      <c r="C41" s="754" t="s">
        <v>177</v>
      </c>
      <c r="D41" s="755" t="s">
        <v>87</v>
      </c>
      <c r="E41" s="768">
        <v>0</v>
      </c>
      <c r="F41" s="768">
        <v>0</v>
      </c>
      <c r="G41" s="768">
        <v>0</v>
      </c>
      <c r="H41" s="765">
        <v>0</v>
      </c>
      <c r="I41" s="765">
        <v>0</v>
      </c>
      <c r="J41" s="765">
        <v>0</v>
      </c>
      <c r="K41" s="765">
        <v>0</v>
      </c>
      <c r="L41" s="765">
        <v>0</v>
      </c>
      <c r="M41" s="765">
        <v>0</v>
      </c>
      <c r="N41" s="765">
        <v>0</v>
      </c>
      <c r="O41" s="765">
        <v>0</v>
      </c>
      <c r="P41" s="765">
        <v>0</v>
      </c>
      <c r="Q41" s="766">
        <f>SUM(E41:P41)</f>
        <v>0</v>
      </c>
      <c r="S41" s="765">
        <f>SUM(E41:G41)</f>
        <v>0</v>
      </c>
      <c r="T41" s="765">
        <f>SUM(H41:J41)</f>
        <v>0</v>
      </c>
      <c r="U41" s="765">
        <f>SUM(K41:M41)</f>
        <v>0</v>
      </c>
      <c r="V41" s="765">
        <f>SUM(N41:P41)</f>
        <v>0</v>
      </c>
      <c r="X41" s="721" t="s">
        <v>87</v>
      </c>
      <c r="Y41" s="768">
        <v>0</v>
      </c>
      <c r="Z41" s="768">
        <v>0</v>
      </c>
      <c r="AA41" s="768">
        <v>0</v>
      </c>
      <c r="AB41" s="765">
        <v>0</v>
      </c>
      <c r="AC41" s="765">
        <v>0</v>
      </c>
      <c r="AD41" s="765">
        <v>0</v>
      </c>
      <c r="AE41" s="765">
        <v>0</v>
      </c>
      <c r="AF41" s="765">
        <v>0</v>
      </c>
      <c r="AG41" s="765">
        <v>0</v>
      </c>
      <c r="AH41" s="765">
        <v>0</v>
      </c>
      <c r="AI41" s="765">
        <v>0</v>
      </c>
      <c r="AJ41" s="765">
        <v>0</v>
      </c>
      <c r="AK41" s="766">
        <f>SUM(Y41:AJ41)</f>
        <v>0</v>
      </c>
      <c r="AM41" s="765">
        <f t="shared" ref="AM41" si="373">SUM(Y41:AA41)</f>
        <v>0</v>
      </c>
      <c r="AN41" s="765">
        <f>SUM(AB41:AD41)</f>
        <v>0</v>
      </c>
      <c r="AO41" s="765">
        <f>SUM(AE41:AG41)</f>
        <v>0</v>
      </c>
      <c r="AP41" s="765">
        <f>SUM(AH41:AJ41)</f>
        <v>0</v>
      </c>
      <c r="AR41" s="721" t="s">
        <v>87</v>
      </c>
      <c r="AS41" s="768">
        <v>0</v>
      </c>
      <c r="AT41" s="768">
        <v>0</v>
      </c>
      <c r="AU41" s="768">
        <v>0</v>
      </c>
      <c r="AV41" s="765">
        <v>0</v>
      </c>
      <c r="AW41" s="765">
        <v>0</v>
      </c>
      <c r="AX41" s="765">
        <v>0</v>
      </c>
      <c r="AY41" s="765">
        <v>0</v>
      </c>
      <c r="AZ41" s="765">
        <v>0</v>
      </c>
      <c r="BA41" s="765">
        <v>0</v>
      </c>
      <c r="BB41" s="765">
        <v>0</v>
      </c>
      <c r="BC41" s="765">
        <v>0</v>
      </c>
      <c r="BD41" s="765">
        <v>0</v>
      </c>
      <c r="BE41" s="766">
        <f>SUM(AS41:BD41)</f>
        <v>0</v>
      </c>
      <c r="BG41" s="765">
        <f t="shared" ref="BG41" si="374">SUM(AS41:AU41)</f>
        <v>0</v>
      </c>
      <c r="BH41" s="765">
        <f>SUM(AV41:AX41)</f>
        <v>0</v>
      </c>
      <c r="BI41" s="765">
        <f>SUM(AY41:BA41)</f>
        <v>0</v>
      </c>
      <c r="BJ41" s="765">
        <f>SUM(BB41:BD41)</f>
        <v>0</v>
      </c>
      <c r="BM41" s="768">
        <f>AS41-E41</f>
        <v>0</v>
      </c>
      <c r="BN41" s="768">
        <f>AT41-F41</f>
        <v>0</v>
      </c>
      <c r="BO41" s="768">
        <f>AU41-G41</f>
        <v>0</v>
      </c>
      <c r="BP41" s="765">
        <f>AV41-H41</f>
        <v>0</v>
      </c>
      <c r="BQ41" s="765">
        <f>AW41-I41</f>
        <v>0</v>
      </c>
      <c r="BR41" s="765"/>
      <c r="BS41" s="765"/>
      <c r="BT41" s="765"/>
      <c r="BU41" s="765"/>
      <c r="BV41" s="765"/>
      <c r="BW41" s="765"/>
      <c r="BX41" s="765"/>
      <c r="BY41" s="766">
        <f>SUM(BM41:BX41)</f>
        <v>0</v>
      </c>
      <c r="CA41" s="765">
        <f t="shared" ref="CA41" si="375">SUM(BM41:BO41)</f>
        <v>0</v>
      </c>
      <c r="CB41" s="765">
        <f>SUM(BP41:BR41)</f>
        <v>0</v>
      </c>
      <c r="CC41" s="765">
        <f>SUM(BS41:BU41)</f>
        <v>0</v>
      </c>
      <c r="CD41" s="765">
        <f>SUM(BV41:BX41)</f>
        <v>0</v>
      </c>
      <c r="CG41" s="788">
        <f t="shared" si="357"/>
        <v>0</v>
      </c>
      <c r="CH41" s="788">
        <f t="shared" si="357"/>
        <v>0</v>
      </c>
      <c r="CI41" s="788">
        <f t="shared" si="357"/>
        <v>0</v>
      </c>
      <c r="CJ41" s="789">
        <f t="shared" si="357"/>
        <v>0</v>
      </c>
      <c r="CK41" s="789">
        <f t="shared" si="357"/>
        <v>0</v>
      </c>
      <c r="CL41" s="789">
        <f t="shared" si="357"/>
        <v>0</v>
      </c>
      <c r="CM41" s="789">
        <f t="shared" si="357"/>
        <v>0</v>
      </c>
      <c r="CN41" s="789">
        <f t="shared" si="357"/>
        <v>0</v>
      </c>
      <c r="CO41" s="789">
        <f t="shared" si="357"/>
        <v>0</v>
      </c>
      <c r="CP41" s="789">
        <f t="shared" si="357"/>
        <v>0</v>
      </c>
      <c r="CQ41" s="789">
        <f t="shared" si="357"/>
        <v>0</v>
      </c>
      <c r="CR41" s="789">
        <f t="shared" si="357"/>
        <v>0</v>
      </c>
      <c r="CS41" s="790">
        <f t="shared" si="357"/>
        <v>0</v>
      </c>
      <c r="CT41" s="787"/>
      <c r="CU41" s="789">
        <f t="shared" si="358"/>
        <v>0</v>
      </c>
      <c r="CV41" s="789">
        <f t="shared" si="358"/>
        <v>0</v>
      </c>
      <c r="CW41" s="789">
        <f t="shared" si="358"/>
        <v>0</v>
      </c>
      <c r="CX41" s="789">
        <f t="shared" si="358"/>
        <v>0</v>
      </c>
      <c r="DA41" s="788">
        <f t="shared" si="359"/>
        <v>0</v>
      </c>
      <c r="DB41" s="788">
        <f t="shared" si="360"/>
        <v>0</v>
      </c>
      <c r="DC41" s="788">
        <f t="shared" si="361"/>
        <v>0</v>
      </c>
      <c r="DD41" s="789">
        <f t="shared" si="362"/>
        <v>0</v>
      </c>
      <c r="DE41" s="789">
        <f t="shared" si="363"/>
        <v>0</v>
      </c>
      <c r="DF41" s="789">
        <f t="shared" si="364"/>
        <v>0</v>
      </c>
      <c r="DG41" s="789">
        <f t="shared" si="365"/>
        <v>0</v>
      </c>
      <c r="DH41" s="789">
        <f t="shared" si="366"/>
        <v>0</v>
      </c>
      <c r="DI41" s="789">
        <f t="shared" si="367"/>
        <v>0</v>
      </c>
      <c r="DJ41" s="789">
        <f t="shared" si="368"/>
        <v>0</v>
      </c>
      <c r="DK41" s="789">
        <f t="shared" si="369"/>
        <v>0</v>
      </c>
      <c r="DL41" s="789">
        <f t="shared" si="370"/>
        <v>0</v>
      </c>
      <c r="DM41" s="790">
        <f t="shared" si="371"/>
        <v>0</v>
      </c>
      <c r="DN41" s="787"/>
      <c r="DO41" s="789">
        <f t="shared" si="372"/>
        <v>0</v>
      </c>
      <c r="DP41" s="789">
        <f t="shared" si="372"/>
        <v>0</v>
      </c>
      <c r="DQ41" s="789">
        <f t="shared" si="372"/>
        <v>0</v>
      </c>
      <c r="DR41" s="789">
        <f t="shared" si="372"/>
        <v>0</v>
      </c>
    </row>
    <row r="42" spans="2:122" hidden="1">
      <c r="X42" s="721"/>
      <c r="AR42" s="721"/>
      <c r="CG42" s="633"/>
      <c r="CH42" s="633"/>
      <c r="CI42" s="633"/>
      <c r="CJ42" s="633"/>
      <c r="CK42" s="633"/>
      <c r="CL42" s="633"/>
      <c r="CM42" s="633"/>
      <c r="CN42" s="633"/>
      <c r="CO42" s="633"/>
      <c r="CP42" s="633"/>
      <c r="CQ42" s="633"/>
      <c r="CR42" s="633"/>
      <c r="CS42" s="633"/>
      <c r="CT42" s="633"/>
      <c r="CU42" s="633"/>
      <c r="CV42" s="633"/>
      <c r="CW42" s="633"/>
      <c r="CX42" s="633"/>
      <c r="DA42" s="633"/>
      <c r="DB42" s="633"/>
      <c r="DC42" s="633"/>
      <c r="DD42" s="633"/>
      <c r="DE42" s="633"/>
      <c r="DF42" s="633"/>
      <c r="DG42" s="633"/>
      <c r="DH42" s="633"/>
      <c r="DI42" s="633"/>
      <c r="DJ42" s="633"/>
      <c r="DK42" s="633"/>
      <c r="DL42" s="633"/>
      <c r="DM42" s="633"/>
      <c r="DN42" s="633"/>
      <c r="DO42" s="633"/>
      <c r="DP42" s="633"/>
      <c r="DQ42" s="633"/>
      <c r="DR42" s="633"/>
    </row>
    <row r="43" spans="2:122">
      <c r="C43" s="750" t="s">
        <v>163</v>
      </c>
      <c r="D43" s="751"/>
      <c r="E43" s="767">
        <f>SUBTOTAL(9,E44:E47)</f>
        <v>0</v>
      </c>
      <c r="F43" s="767">
        <f t="shared" ref="F43:G43" si="376">SUBTOTAL(9,F44:F47)</f>
        <v>0</v>
      </c>
      <c r="G43" s="767">
        <f t="shared" si="376"/>
        <v>0</v>
      </c>
      <c r="H43" s="767">
        <f>SUBTOTAL(9,H44:H47)</f>
        <v>13322.250000000002</v>
      </c>
      <c r="I43" s="767">
        <f t="shared" ref="I43:J43" si="377">SUBTOTAL(9,I44:I47)</f>
        <v>55935.9</v>
      </c>
      <c r="J43" s="767">
        <f t="shared" si="377"/>
        <v>55935.9</v>
      </c>
      <c r="K43" s="767">
        <f>SUBTOTAL(9,K44:K47)</f>
        <v>55935.9</v>
      </c>
      <c r="L43" s="767">
        <f t="shared" ref="L43:M43" si="378">SUBTOTAL(9,L44:L47)</f>
        <v>55935.9</v>
      </c>
      <c r="M43" s="767">
        <f t="shared" si="378"/>
        <v>55935.9</v>
      </c>
      <c r="N43" s="767">
        <f>SUBTOTAL(9,N44:N47)</f>
        <v>55935.9</v>
      </c>
      <c r="O43" s="767">
        <f t="shared" ref="O43:Q43" si="379">SUBTOTAL(9,O44:O47)</f>
        <v>55935.9</v>
      </c>
      <c r="P43" s="767">
        <f t="shared" si="379"/>
        <v>55935.9</v>
      </c>
      <c r="Q43" s="767">
        <f t="shared" si="379"/>
        <v>460809.45000000007</v>
      </c>
      <c r="S43" s="759">
        <f t="shared" ref="S43:V43" si="380">SUBTOTAL(9,S44:S47)</f>
        <v>0</v>
      </c>
      <c r="T43" s="759">
        <f t="shared" si="380"/>
        <v>125194.05000000002</v>
      </c>
      <c r="U43" s="759">
        <f t="shared" si="380"/>
        <v>167807.7</v>
      </c>
      <c r="V43" s="759">
        <f t="shared" si="380"/>
        <v>167807.7</v>
      </c>
      <c r="X43" s="721"/>
      <c r="Y43" s="767">
        <f>SUBTOTAL(9,Y44:Y47)</f>
        <v>0</v>
      </c>
      <c r="Z43" s="767">
        <f t="shared" ref="Z43:AA43" si="381">SUBTOTAL(9,Z44:Z47)</f>
        <v>0</v>
      </c>
      <c r="AA43" s="767">
        <f t="shared" si="381"/>
        <v>0</v>
      </c>
      <c r="AB43" s="767">
        <f>SUBTOTAL(9,AB44:AB47)</f>
        <v>13322.250000000002</v>
      </c>
      <c r="AC43" s="767">
        <f t="shared" ref="AC43:AD43" si="382">SUBTOTAL(9,AC44:AC47)</f>
        <v>55935.9</v>
      </c>
      <c r="AD43" s="767">
        <f t="shared" si="382"/>
        <v>55935.9</v>
      </c>
      <c r="AE43" s="767">
        <f>SUBTOTAL(9,AE44:AE47)</f>
        <v>55935.9</v>
      </c>
      <c r="AF43" s="767">
        <f t="shared" ref="AF43:AG43" si="383">SUBTOTAL(9,AF44:AF47)</f>
        <v>55935.9</v>
      </c>
      <c r="AG43" s="767">
        <f t="shared" si="383"/>
        <v>55935.9</v>
      </c>
      <c r="AH43" s="767">
        <f>SUBTOTAL(9,AH44:AH47)</f>
        <v>55935.9</v>
      </c>
      <c r="AI43" s="767">
        <f t="shared" ref="AI43:AK43" si="384">SUBTOTAL(9,AI44:AI47)</f>
        <v>55935.9</v>
      </c>
      <c r="AJ43" s="767">
        <f t="shared" si="384"/>
        <v>55935.9</v>
      </c>
      <c r="AK43" s="767">
        <f t="shared" si="384"/>
        <v>460809.45000000007</v>
      </c>
      <c r="AM43" s="759">
        <f t="shared" ref="AM43:AP43" si="385">SUBTOTAL(9,AM44:AM47)</f>
        <v>0</v>
      </c>
      <c r="AN43" s="759">
        <f t="shared" si="385"/>
        <v>125194.05000000002</v>
      </c>
      <c r="AO43" s="759">
        <f t="shared" si="385"/>
        <v>167807.7</v>
      </c>
      <c r="AP43" s="759">
        <f t="shared" si="385"/>
        <v>167807.7</v>
      </c>
      <c r="AR43" s="721"/>
      <c r="AS43" s="767">
        <f>SUBTOTAL(9,AS44:AS47)</f>
        <v>1637.97</v>
      </c>
      <c r="AT43" s="767">
        <f t="shared" ref="AT43:AU43" si="386">SUBTOTAL(9,AT44:AT47)</f>
        <v>0</v>
      </c>
      <c r="AU43" s="767">
        <f t="shared" si="386"/>
        <v>1816.0700000000015</v>
      </c>
      <c r="AV43" s="767">
        <f>SUBTOTAL(9,AV44:AV47)</f>
        <v>0</v>
      </c>
      <c r="AW43" s="767">
        <f t="shared" ref="AW43:AX43" si="387">SUBTOTAL(9,AW44:AW47)</f>
        <v>6491.8099999999995</v>
      </c>
      <c r="AX43" s="767">
        <f t="shared" si="387"/>
        <v>120349.97</v>
      </c>
      <c r="AY43" s="767">
        <f>SUBTOTAL(9,AY44:AY47)</f>
        <v>130149.69095628672</v>
      </c>
      <c r="AZ43" s="767">
        <f t="shared" ref="AZ43:BA43" si="388">SUBTOTAL(9,AZ44:AZ47)</f>
        <v>71849.39</v>
      </c>
      <c r="BA43" s="767">
        <f t="shared" si="388"/>
        <v>0</v>
      </c>
      <c r="BB43" s="767">
        <f>SUBTOTAL(9,BB44:BB47)</f>
        <v>0</v>
      </c>
      <c r="BC43" s="767">
        <f t="shared" ref="BC43:BE43" si="389">SUBTOTAL(9,BC44:BC47)</f>
        <v>0</v>
      </c>
      <c r="BD43" s="767">
        <f t="shared" si="389"/>
        <v>0</v>
      </c>
      <c r="BE43" s="767">
        <f t="shared" si="389"/>
        <v>332294.90095628676</v>
      </c>
      <c r="BG43" s="759">
        <f t="shared" ref="BG43:BJ43" si="390">SUBTOTAL(9,BG44:BG47)</f>
        <v>3454.0400000000018</v>
      </c>
      <c r="BH43" s="759">
        <f t="shared" si="390"/>
        <v>126841.78</v>
      </c>
      <c r="BI43" s="759">
        <f t="shared" si="390"/>
        <v>201999.08095628672</v>
      </c>
      <c r="BJ43" s="759">
        <f t="shared" si="390"/>
        <v>0</v>
      </c>
      <c r="BM43" s="767">
        <f>SUBTOTAL(9,BM44:BM47)</f>
        <v>1637.97</v>
      </c>
      <c r="BN43" s="767">
        <f t="shared" ref="BN43:BO43" si="391">SUBTOTAL(9,BN44:BN47)</f>
        <v>0</v>
      </c>
      <c r="BO43" s="767">
        <f t="shared" si="391"/>
        <v>1816.0700000000015</v>
      </c>
      <c r="BP43" s="767">
        <f>SUBTOTAL(9,BP44:BP47)</f>
        <v>-13322.250000000002</v>
      </c>
      <c r="BQ43" s="767">
        <f>SUBTOTAL(9,BQ44:BQ47)</f>
        <v>-49444.090000000004</v>
      </c>
      <c r="BR43" s="767">
        <f t="shared" ref="BR43" si="392">SUBTOTAL(9,BR44:BR47)</f>
        <v>0</v>
      </c>
      <c r="BS43" s="767">
        <f>SUBTOTAL(9,BS44:BS47)</f>
        <v>0</v>
      </c>
      <c r="BT43" s="767">
        <f t="shared" ref="BT43:BU43" si="393">SUBTOTAL(9,BT44:BT47)</f>
        <v>0</v>
      </c>
      <c r="BU43" s="767">
        <f t="shared" si="393"/>
        <v>0</v>
      </c>
      <c r="BV43" s="767">
        <f>SUBTOTAL(9,BV44:BV47)</f>
        <v>0</v>
      </c>
      <c r="BW43" s="767">
        <f t="shared" ref="BW43:BY43" si="394">SUBTOTAL(9,BW44:BW47)</f>
        <v>0</v>
      </c>
      <c r="BX43" s="767">
        <f t="shared" si="394"/>
        <v>0</v>
      </c>
      <c r="BY43" s="767">
        <f t="shared" si="394"/>
        <v>-59312.3</v>
      </c>
      <c r="CA43" s="759">
        <f t="shared" ref="CA43:CD43" si="395">SUBTOTAL(9,CA44:CA47)</f>
        <v>3454.0400000000018</v>
      </c>
      <c r="CB43" s="759">
        <f t="shared" si="395"/>
        <v>-62766.340000000004</v>
      </c>
      <c r="CC43" s="759">
        <f t="shared" si="395"/>
        <v>0</v>
      </c>
      <c r="CD43" s="759">
        <f t="shared" si="395"/>
        <v>0</v>
      </c>
      <c r="CG43" s="783">
        <f t="shared" ref="CG43:CS47" si="396">IFERROR(AS43/E43,0)</f>
        <v>0</v>
      </c>
      <c r="CH43" s="783">
        <f t="shared" si="396"/>
        <v>0</v>
      </c>
      <c r="CI43" s="783">
        <f t="shared" si="396"/>
        <v>0</v>
      </c>
      <c r="CJ43" s="783">
        <f t="shared" si="396"/>
        <v>0</v>
      </c>
      <c r="CK43" s="783">
        <f t="shared" si="396"/>
        <v>0.11605802355910962</v>
      </c>
      <c r="CL43" s="783">
        <f t="shared" si="396"/>
        <v>2.1515693856718134</v>
      </c>
      <c r="CM43" s="783">
        <f t="shared" si="396"/>
        <v>2.3267649390871821</v>
      </c>
      <c r="CN43" s="783">
        <f t="shared" si="396"/>
        <v>1.2844951095807879</v>
      </c>
      <c r="CO43" s="783">
        <f t="shared" si="396"/>
        <v>0</v>
      </c>
      <c r="CP43" s="783">
        <f t="shared" si="396"/>
        <v>0</v>
      </c>
      <c r="CQ43" s="783">
        <f t="shared" si="396"/>
        <v>0</v>
      </c>
      <c r="CR43" s="783">
        <f t="shared" si="396"/>
        <v>0</v>
      </c>
      <c r="CS43" s="783">
        <f t="shared" si="396"/>
        <v>0.72111129872941349</v>
      </c>
      <c r="CT43" s="633"/>
      <c r="CU43" s="780">
        <f t="shared" ref="CU43:CX47" si="397">IFERROR(BG43/S43,0)</f>
        <v>0</v>
      </c>
      <c r="CV43" s="780">
        <f t="shared" si="397"/>
        <v>1.0131614082298639</v>
      </c>
      <c r="CW43" s="780">
        <f t="shared" si="397"/>
        <v>1.20375334955599</v>
      </c>
      <c r="CX43" s="780">
        <f t="shared" si="397"/>
        <v>0</v>
      </c>
      <c r="DA43" s="783">
        <f t="shared" ref="DA43:DA47" si="398">IFERROR(AS43/Y43,0)</f>
        <v>0</v>
      </c>
      <c r="DB43" s="783">
        <f t="shared" ref="DB43:DB47" si="399">IFERROR(AT43/Z43,0)</f>
        <v>0</v>
      </c>
      <c r="DC43" s="783">
        <f t="shared" ref="DC43:DC47" si="400">IFERROR(AU43/AA43,0)</f>
        <v>0</v>
      </c>
      <c r="DD43" s="783">
        <f t="shared" ref="DD43:DD47" si="401">IFERROR(AV43/AB43,0)</f>
        <v>0</v>
      </c>
      <c r="DE43" s="783">
        <f t="shared" ref="DE43:DE47" si="402">IFERROR(AW43/AC43,0)</f>
        <v>0.11605802355910962</v>
      </c>
      <c r="DF43" s="783">
        <f t="shared" ref="DF43:DF47" si="403">IFERROR(AX43/AD43,0)</f>
        <v>2.1515693856718134</v>
      </c>
      <c r="DG43" s="783">
        <f t="shared" ref="DG43:DG47" si="404">IFERROR(AY43/AE43,0)</f>
        <v>2.3267649390871821</v>
      </c>
      <c r="DH43" s="783">
        <f t="shared" ref="DH43:DH47" si="405">IFERROR(AZ43/AF43,0)</f>
        <v>1.2844951095807879</v>
      </c>
      <c r="DI43" s="783">
        <f t="shared" ref="DI43:DI47" si="406">IFERROR(BA43/AG43,0)</f>
        <v>0</v>
      </c>
      <c r="DJ43" s="783">
        <f t="shared" ref="DJ43:DJ47" si="407">IFERROR(BB43/AH43,0)</f>
        <v>0</v>
      </c>
      <c r="DK43" s="783">
        <f t="shared" ref="DK43:DK47" si="408">IFERROR(BC43/AI43,0)</f>
        <v>0</v>
      </c>
      <c r="DL43" s="783">
        <f t="shared" ref="DL43:DL47" si="409">IFERROR(BD43/AJ43,0)</f>
        <v>0</v>
      </c>
      <c r="DM43" s="783">
        <f t="shared" ref="DM43:DM47" si="410">IFERROR(BE43/AK43,0)</f>
        <v>0.72111129872941349</v>
      </c>
      <c r="DN43" s="633"/>
      <c r="DO43" s="780">
        <f t="shared" ref="DO43:DR47" si="411">IFERROR(CA43/AM43,0)</f>
        <v>0</v>
      </c>
      <c r="DP43" s="780">
        <f t="shared" si="411"/>
        <v>-0.50135242050241202</v>
      </c>
      <c r="DQ43" s="780">
        <f t="shared" si="411"/>
        <v>0</v>
      </c>
      <c r="DR43" s="780">
        <f t="shared" si="411"/>
        <v>0</v>
      </c>
    </row>
    <row r="44" spans="2:122" s="677" customFormat="1">
      <c r="C44" s="752" t="s">
        <v>177</v>
      </c>
      <c r="D44" s="753" t="s">
        <v>87</v>
      </c>
      <c r="E44" s="795">
        <v>0</v>
      </c>
      <c r="F44" s="795">
        <v>0</v>
      </c>
      <c r="G44" s="795">
        <v>0</v>
      </c>
      <c r="H44" s="761">
        <v>0</v>
      </c>
      <c r="I44" s="761">
        <v>0</v>
      </c>
      <c r="J44" s="761">
        <v>0</v>
      </c>
      <c r="K44" s="761">
        <v>0</v>
      </c>
      <c r="L44" s="761">
        <v>0</v>
      </c>
      <c r="M44" s="761">
        <v>0</v>
      </c>
      <c r="N44" s="761">
        <v>0</v>
      </c>
      <c r="O44" s="761">
        <v>0</v>
      </c>
      <c r="P44" s="761">
        <v>0</v>
      </c>
      <c r="Q44" s="762">
        <f>SUM(E44:P44)</f>
        <v>0</v>
      </c>
      <c r="S44" s="761">
        <f>SUM(E44:G44)</f>
        <v>0</v>
      </c>
      <c r="T44" s="761">
        <f>SUM(H44:J44)</f>
        <v>0</v>
      </c>
      <c r="U44" s="761">
        <f>SUM(K44:M44)</f>
        <v>0</v>
      </c>
      <c r="V44" s="761">
        <f>SUM(N44:P44)</f>
        <v>0</v>
      </c>
      <c r="X44" s="721" t="s">
        <v>87</v>
      </c>
      <c r="Y44" s="795">
        <v>0</v>
      </c>
      <c r="Z44" s="795">
        <v>0</v>
      </c>
      <c r="AA44" s="795">
        <v>0</v>
      </c>
      <c r="AB44" s="761">
        <v>0</v>
      </c>
      <c r="AC44" s="761">
        <v>0</v>
      </c>
      <c r="AD44" s="761">
        <v>0</v>
      </c>
      <c r="AE44" s="761">
        <v>0</v>
      </c>
      <c r="AF44" s="761">
        <v>0</v>
      </c>
      <c r="AG44" s="761">
        <v>0</v>
      </c>
      <c r="AH44" s="761">
        <v>0</v>
      </c>
      <c r="AI44" s="761">
        <v>0</v>
      </c>
      <c r="AJ44" s="761">
        <v>0</v>
      </c>
      <c r="AK44" s="762">
        <f>SUM(Y44:AJ44)</f>
        <v>0</v>
      </c>
      <c r="AM44" s="761">
        <f t="shared" ref="AM44:AM47" si="412">SUM(Y44:AA44)</f>
        <v>0</v>
      </c>
      <c r="AN44" s="761">
        <f t="shared" ref="AN44:AN47" si="413">SUM(AB44:AD44)</f>
        <v>0</v>
      </c>
      <c r="AO44" s="761">
        <f t="shared" ref="AO44:AO47" si="414">SUM(AE44:AG44)</f>
        <v>0</v>
      </c>
      <c r="AP44" s="761">
        <f t="shared" ref="AP44:AP47" si="415">SUM(AH44:AJ44)</f>
        <v>0</v>
      </c>
      <c r="AR44" s="721" t="s">
        <v>87</v>
      </c>
      <c r="AS44" s="784">
        <v>0</v>
      </c>
      <c r="AT44" s="784">
        <v>0</v>
      </c>
      <c r="AU44" s="784">
        <v>0</v>
      </c>
      <c r="AV44" s="784">
        <v>0</v>
      </c>
      <c r="AW44" s="784">
        <v>0</v>
      </c>
      <c r="AX44" s="784">
        <v>0</v>
      </c>
      <c r="AY44" s="784">
        <v>0</v>
      </c>
      <c r="AZ44" s="795">
        <v>0</v>
      </c>
      <c r="BA44" s="784"/>
      <c r="BB44" s="784"/>
      <c r="BC44" s="784"/>
      <c r="BD44" s="784"/>
      <c r="BE44" s="762">
        <f>SUM(AS44:BD44)</f>
        <v>0</v>
      </c>
      <c r="BG44" s="761">
        <f t="shared" ref="BG44:BG47" si="416">SUM(AS44:AU44)</f>
        <v>0</v>
      </c>
      <c r="BH44" s="761">
        <f t="shared" ref="BH44:BH47" si="417">SUM(AV44:AX44)</f>
        <v>0</v>
      </c>
      <c r="BI44" s="761">
        <f t="shared" ref="BI44:BI47" si="418">SUM(AY44:BA44)</f>
        <v>0</v>
      </c>
      <c r="BJ44" s="761">
        <f t="shared" ref="BJ44:BJ47" si="419">SUM(BB44:BD44)</f>
        <v>0</v>
      </c>
      <c r="BM44" s="795">
        <f t="shared" ref="BM44:BQ47" si="420">AS44-E44</f>
        <v>0</v>
      </c>
      <c r="BN44" s="795">
        <f t="shared" si="420"/>
        <v>0</v>
      </c>
      <c r="BO44" s="795">
        <f t="shared" si="420"/>
        <v>0</v>
      </c>
      <c r="BP44" s="761">
        <f t="shared" si="420"/>
        <v>0</v>
      </c>
      <c r="BQ44" s="761">
        <f t="shared" si="420"/>
        <v>0</v>
      </c>
      <c r="BR44" s="761"/>
      <c r="BS44" s="761"/>
      <c r="BT44" s="761"/>
      <c r="BU44" s="761"/>
      <c r="BV44" s="761"/>
      <c r="BW44" s="761"/>
      <c r="BX44" s="761"/>
      <c r="BY44" s="762">
        <f>SUM(BM44:BX44)</f>
        <v>0</v>
      </c>
      <c r="CA44" s="761">
        <f t="shared" ref="CA44:CA47" si="421">SUM(BM44:BO44)</f>
        <v>0</v>
      </c>
      <c r="CB44" s="761">
        <f t="shared" ref="CB44:CB47" si="422">SUM(BP44:BR44)</f>
        <v>0</v>
      </c>
      <c r="CC44" s="761">
        <f t="shared" ref="CC44:CC47" si="423">SUM(BS44:BU44)</f>
        <v>0</v>
      </c>
      <c r="CD44" s="761">
        <f t="shared" ref="CD44:CD47" si="424">SUM(BV44:BX44)</f>
        <v>0</v>
      </c>
      <c r="CG44" s="798">
        <f t="shared" si="396"/>
        <v>0</v>
      </c>
      <c r="CH44" s="798">
        <f t="shared" si="396"/>
        <v>0</v>
      </c>
      <c r="CI44" s="798">
        <f t="shared" si="396"/>
        <v>0</v>
      </c>
      <c r="CJ44" s="785">
        <f t="shared" si="396"/>
        <v>0</v>
      </c>
      <c r="CK44" s="785">
        <f t="shared" si="396"/>
        <v>0</v>
      </c>
      <c r="CL44" s="785">
        <f t="shared" si="396"/>
        <v>0</v>
      </c>
      <c r="CM44" s="785">
        <f t="shared" si="396"/>
        <v>0</v>
      </c>
      <c r="CN44" s="785">
        <f t="shared" si="396"/>
        <v>0</v>
      </c>
      <c r="CO44" s="785">
        <f t="shared" si="396"/>
        <v>0</v>
      </c>
      <c r="CP44" s="785">
        <f t="shared" si="396"/>
        <v>0</v>
      </c>
      <c r="CQ44" s="785">
        <f t="shared" si="396"/>
        <v>0</v>
      </c>
      <c r="CR44" s="785">
        <f t="shared" si="396"/>
        <v>0</v>
      </c>
      <c r="CS44" s="786">
        <f t="shared" si="396"/>
        <v>0</v>
      </c>
      <c r="CT44" s="787"/>
      <c r="CU44" s="785">
        <f t="shared" si="397"/>
        <v>0</v>
      </c>
      <c r="CV44" s="785">
        <f t="shared" si="397"/>
        <v>0</v>
      </c>
      <c r="CW44" s="785">
        <f t="shared" si="397"/>
        <v>0</v>
      </c>
      <c r="CX44" s="785">
        <f t="shared" si="397"/>
        <v>0</v>
      </c>
      <c r="DA44" s="798">
        <f t="shared" si="398"/>
        <v>0</v>
      </c>
      <c r="DB44" s="798">
        <f t="shared" si="399"/>
        <v>0</v>
      </c>
      <c r="DC44" s="798">
        <f t="shared" si="400"/>
        <v>0</v>
      </c>
      <c r="DD44" s="785">
        <f t="shared" si="401"/>
        <v>0</v>
      </c>
      <c r="DE44" s="785">
        <f t="shared" si="402"/>
        <v>0</v>
      </c>
      <c r="DF44" s="785">
        <f t="shared" si="403"/>
        <v>0</v>
      </c>
      <c r="DG44" s="785">
        <f t="shared" si="404"/>
        <v>0</v>
      </c>
      <c r="DH44" s="785">
        <f t="shared" si="405"/>
        <v>0</v>
      </c>
      <c r="DI44" s="785">
        <f t="shared" si="406"/>
        <v>0</v>
      </c>
      <c r="DJ44" s="785">
        <f t="shared" si="407"/>
        <v>0</v>
      </c>
      <c r="DK44" s="785">
        <f t="shared" si="408"/>
        <v>0</v>
      </c>
      <c r="DL44" s="785">
        <f t="shared" si="409"/>
        <v>0</v>
      </c>
      <c r="DM44" s="786">
        <f t="shared" si="410"/>
        <v>0</v>
      </c>
      <c r="DN44" s="787"/>
      <c r="DO44" s="785">
        <f t="shared" si="411"/>
        <v>0</v>
      </c>
      <c r="DP44" s="785">
        <f t="shared" si="411"/>
        <v>0</v>
      </c>
      <c r="DQ44" s="785">
        <f t="shared" si="411"/>
        <v>0</v>
      </c>
      <c r="DR44" s="785">
        <f t="shared" si="411"/>
        <v>0</v>
      </c>
    </row>
    <row r="45" spans="2:122" s="677" customFormat="1">
      <c r="C45" s="752" t="s">
        <v>177</v>
      </c>
      <c r="D45" s="753" t="s">
        <v>88</v>
      </c>
      <c r="E45" s="795">
        <v>0</v>
      </c>
      <c r="F45" s="795">
        <v>0</v>
      </c>
      <c r="G45" s="795">
        <v>0</v>
      </c>
      <c r="H45" s="761">
        <v>0</v>
      </c>
      <c r="I45" s="761">
        <v>0</v>
      </c>
      <c r="J45" s="761">
        <v>0</v>
      </c>
      <c r="K45" s="761">
        <v>0</v>
      </c>
      <c r="L45" s="761">
        <v>0</v>
      </c>
      <c r="M45" s="761">
        <v>0</v>
      </c>
      <c r="N45" s="761">
        <v>0</v>
      </c>
      <c r="O45" s="761">
        <v>0</v>
      </c>
      <c r="P45" s="761">
        <v>0</v>
      </c>
      <c r="Q45" s="762">
        <f t="shared" ref="Q45:Q47" si="425">SUM(E45:P45)</f>
        <v>0</v>
      </c>
      <c r="S45" s="761">
        <f>SUM(E45:G45)</f>
        <v>0</v>
      </c>
      <c r="T45" s="761">
        <f>SUM(H45:J45)</f>
        <v>0</v>
      </c>
      <c r="U45" s="761">
        <f>SUM(K45:M45)</f>
        <v>0</v>
      </c>
      <c r="V45" s="761">
        <f>SUM(N45:P45)</f>
        <v>0</v>
      </c>
      <c r="X45" s="721" t="s">
        <v>88</v>
      </c>
      <c r="Y45" s="795">
        <v>0</v>
      </c>
      <c r="Z45" s="795">
        <v>0</v>
      </c>
      <c r="AA45" s="795">
        <v>0</v>
      </c>
      <c r="AB45" s="761">
        <v>0</v>
      </c>
      <c r="AC45" s="761">
        <v>0</v>
      </c>
      <c r="AD45" s="761">
        <v>0</v>
      </c>
      <c r="AE45" s="761">
        <v>0</v>
      </c>
      <c r="AF45" s="761">
        <v>0</v>
      </c>
      <c r="AG45" s="761">
        <v>0</v>
      </c>
      <c r="AH45" s="761">
        <v>0</v>
      </c>
      <c r="AI45" s="761">
        <v>0</v>
      </c>
      <c r="AJ45" s="761">
        <v>0</v>
      </c>
      <c r="AK45" s="762">
        <f t="shared" ref="AK45:AK47" si="426">SUM(Y45:AJ45)</f>
        <v>0</v>
      </c>
      <c r="AM45" s="761">
        <f t="shared" si="412"/>
        <v>0</v>
      </c>
      <c r="AN45" s="761">
        <f t="shared" si="413"/>
        <v>0</v>
      </c>
      <c r="AO45" s="761">
        <f t="shared" si="414"/>
        <v>0</v>
      </c>
      <c r="AP45" s="761">
        <f t="shared" si="415"/>
        <v>0</v>
      </c>
      <c r="AR45" s="721" t="s">
        <v>88</v>
      </c>
      <c r="AS45" s="784">
        <v>0</v>
      </c>
      <c r="AT45" s="784">
        <v>0</v>
      </c>
      <c r="AU45" s="784">
        <v>0</v>
      </c>
      <c r="AV45" s="784">
        <v>0</v>
      </c>
      <c r="AW45" s="784">
        <v>0</v>
      </c>
      <c r="AX45" s="784">
        <v>0</v>
      </c>
      <c r="AY45" s="784">
        <v>0</v>
      </c>
      <c r="AZ45" s="795">
        <v>0</v>
      </c>
      <c r="BA45" s="784"/>
      <c r="BB45" s="784"/>
      <c r="BC45" s="784"/>
      <c r="BD45" s="784"/>
      <c r="BE45" s="762">
        <f t="shared" ref="BE45:BE47" si="427">SUM(AS45:BD45)</f>
        <v>0</v>
      </c>
      <c r="BG45" s="761">
        <f t="shared" si="416"/>
        <v>0</v>
      </c>
      <c r="BH45" s="761">
        <f t="shared" si="417"/>
        <v>0</v>
      </c>
      <c r="BI45" s="761">
        <f t="shared" si="418"/>
        <v>0</v>
      </c>
      <c r="BJ45" s="761">
        <f t="shared" si="419"/>
        <v>0</v>
      </c>
      <c r="BM45" s="795">
        <f t="shared" si="420"/>
        <v>0</v>
      </c>
      <c r="BN45" s="795">
        <f t="shared" si="420"/>
        <v>0</v>
      </c>
      <c r="BO45" s="795">
        <f t="shared" si="420"/>
        <v>0</v>
      </c>
      <c r="BP45" s="761">
        <f t="shared" si="420"/>
        <v>0</v>
      </c>
      <c r="BQ45" s="761">
        <f t="shared" si="420"/>
        <v>0</v>
      </c>
      <c r="BR45" s="761"/>
      <c r="BS45" s="761"/>
      <c r="BT45" s="761"/>
      <c r="BU45" s="761"/>
      <c r="BV45" s="761"/>
      <c r="BW45" s="761"/>
      <c r="BX45" s="761"/>
      <c r="BY45" s="762">
        <f t="shared" ref="BY45:BY47" si="428">SUM(BM45:BX45)</f>
        <v>0</v>
      </c>
      <c r="CA45" s="761">
        <f t="shared" si="421"/>
        <v>0</v>
      </c>
      <c r="CB45" s="761">
        <f t="shared" si="422"/>
        <v>0</v>
      </c>
      <c r="CC45" s="761">
        <f t="shared" si="423"/>
        <v>0</v>
      </c>
      <c r="CD45" s="761">
        <f t="shared" si="424"/>
        <v>0</v>
      </c>
      <c r="CG45" s="798">
        <f t="shared" si="396"/>
        <v>0</v>
      </c>
      <c r="CH45" s="798">
        <f t="shared" si="396"/>
        <v>0</v>
      </c>
      <c r="CI45" s="798">
        <f t="shared" si="396"/>
        <v>0</v>
      </c>
      <c r="CJ45" s="785">
        <f t="shared" si="396"/>
        <v>0</v>
      </c>
      <c r="CK45" s="785">
        <f t="shared" si="396"/>
        <v>0</v>
      </c>
      <c r="CL45" s="785">
        <f t="shared" si="396"/>
        <v>0</v>
      </c>
      <c r="CM45" s="785">
        <f t="shared" si="396"/>
        <v>0</v>
      </c>
      <c r="CN45" s="785">
        <f t="shared" si="396"/>
        <v>0</v>
      </c>
      <c r="CO45" s="785">
        <f t="shared" si="396"/>
        <v>0</v>
      </c>
      <c r="CP45" s="785">
        <f t="shared" si="396"/>
        <v>0</v>
      </c>
      <c r="CQ45" s="785">
        <f t="shared" si="396"/>
        <v>0</v>
      </c>
      <c r="CR45" s="785">
        <f t="shared" si="396"/>
        <v>0</v>
      </c>
      <c r="CS45" s="786">
        <f t="shared" si="396"/>
        <v>0</v>
      </c>
      <c r="CT45" s="787"/>
      <c r="CU45" s="785">
        <f t="shared" si="397"/>
        <v>0</v>
      </c>
      <c r="CV45" s="785">
        <f t="shared" si="397"/>
        <v>0</v>
      </c>
      <c r="CW45" s="785">
        <f t="shared" si="397"/>
        <v>0</v>
      </c>
      <c r="CX45" s="785">
        <f t="shared" si="397"/>
        <v>0</v>
      </c>
      <c r="DA45" s="798">
        <f t="shared" si="398"/>
        <v>0</v>
      </c>
      <c r="DB45" s="798">
        <f t="shared" si="399"/>
        <v>0</v>
      </c>
      <c r="DC45" s="798">
        <f t="shared" si="400"/>
        <v>0</v>
      </c>
      <c r="DD45" s="785">
        <f t="shared" si="401"/>
        <v>0</v>
      </c>
      <c r="DE45" s="785">
        <f t="shared" si="402"/>
        <v>0</v>
      </c>
      <c r="DF45" s="785">
        <f t="shared" si="403"/>
        <v>0</v>
      </c>
      <c r="DG45" s="785">
        <f t="shared" si="404"/>
        <v>0</v>
      </c>
      <c r="DH45" s="785">
        <f t="shared" si="405"/>
        <v>0</v>
      </c>
      <c r="DI45" s="785">
        <f t="shared" si="406"/>
        <v>0</v>
      </c>
      <c r="DJ45" s="785">
        <f t="shared" si="407"/>
        <v>0</v>
      </c>
      <c r="DK45" s="785">
        <f t="shared" si="408"/>
        <v>0</v>
      </c>
      <c r="DL45" s="785">
        <f t="shared" si="409"/>
        <v>0</v>
      </c>
      <c r="DM45" s="786">
        <f t="shared" si="410"/>
        <v>0</v>
      </c>
      <c r="DN45" s="787"/>
      <c r="DO45" s="785">
        <f t="shared" si="411"/>
        <v>0</v>
      </c>
      <c r="DP45" s="785">
        <f t="shared" si="411"/>
        <v>0</v>
      </c>
      <c r="DQ45" s="785">
        <f t="shared" si="411"/>
        <v>0</v>
      </c>
      <c r="DR45" s="785">
        <f t="shared" si="411"/>
        <v>0</v>
      </c>
    </row>
    <row r="46" spans="2:122" s="677" customFormat="1">
      <c r="C46" s="752" t="s">
        <v>177</v>
      </c>
      <c r="D46" s="753" t="s">
        <v>89</v>
      </c>
      <c r="E46" s="795">
        <v>0</v>
      </c>
      <c r="F46" s="795">
        <v>0</v>
      </c>
      <c r="G46" s="795">
        <v>0</v>
      </c>
      <c r="H46" s="761">
        <v>0</v>
      </c>
      <c r="I46" s="761">
        <v>0</v>
      </c>
      <c r="J46" s="761">
        <v>0</v>
      </c>
      <c r="K46" s="761">
        <v>0</v>
      </c>
      <c r="L46" s="761">
        <v>0</v>
      </c>
      <c r="M46" s="761">
        <v>0</v>
      </c>
      <c r="N46" s="761">
        <v>0</v>
      </c>
      <c r="O46" s="761">
        <v>0</v>
      </c>
      <c r="P46" s="761">
        <v>0</v>
      </c>
      <c r="Q46" s="762">
        <f t="shared" si="425"/>
        <v>0</v>
      </c>
      <c r="S46" s="761">
        <f>SUM(E46:G46)</f>
        <v>0</v>
      </c>
      <c r="T46" s="761">
        <f>SUM(H46:J46)</f>
        <v>0</v>
      </c>
      <c r="U46" s="761">
        <f>SUM(K46:M46)</f>
        <v>0</v>
      </c>
      <c r="V46" s="761">
        <f>SUM(N46:P46)</f>
        <v>0</v>
      </c>
      <c r="X46" s="721" t="s">
        <v>89</v>
      </c>
      <c r="Y46" s="795">
        <v>0</v>
      </c>
      <c r="Z46" s="795">
        <v>0</v>
      </c>
      <c r="AA46" s="795">
        <v>0</v>
      </c>
      <c r="AB46" s="761">
        <v>0</v>
      </c>
      <c r="AC46" s="761">
        <v>0</v>
      </c>
      <c r="AD46" s="761">
        <v>0</v>
      </c>
      <c r="AE46" s="761">
        <v>0</v>
      </c>
      <c r="AF46" s="761">
        <v>0</v>
      </c>
      <c r="AG46" s="761">
        <v>0</v>
      </c>
      <c r="AH46" s="761">
        <v>0</v>
      </c>
      <c r="AI46" s="761">
        <v>0</v>
      </c>
      <c r="AJ46" s="761">
        <v>0</v>
      </c>
      <c r="AK46" s="762">
        <f t="shared" si="426"/>
        <v>0</v>
      </c>
      <c r="AM46" s="761">
        <f t="shared" si="412"/>
        <v>0</v>
      </c>
      <c r="AN46" s="761">
        <f t="shared" si="413"/>
        <v>0</v>
      </c>
      <c r="AO46" s="761">
        <f t="shared" si="414"/>
        <v>0</v>
      </c>
      <c r="AP46" s="761">
        <f t="shared" si="415"/>
        <v>0</v>
      </c>
      <c r="AR46" s="721" t="s">
        <v>89</v>
      </c>
      <c r="AS46" s="784">
        <v>0</v>
      </c>
      <c r="AT46" s="784">
        <v>0</v>
      </c>
      <c r="AU46" s="784">
        <v>0</v>
      </c>
      <c r="AV46" s="784">
        <v>0</v>
      </c>
      <c r="AW46" s="784">
        <v>0</v>
      </c>
      <c r="AX46" s="784">
        <v>0</v>
      </c>
      <c r="AY46" s="784">
        <v>0</v>
      </c>
      <c r="AZ46" s="795">
        <v>0</v>
      </c>
      <c r="BA46" s="784"/>
      <c r="BB46" s="784"/>
      <c r="BC46" s="784"/>
      <c r="BD46" s="784"/>
      <c r="BE46" s="762">
        <f t="shared" si="427"/>
        <v>0</v>
      </c>
      <c r="BG46" s="761">
        <f t="shared" si="416"/>
        <v>0</v>
      </c>
      <c r="BH46" s="761">
        <f t="shared" si="417"/>
        <v>0</v>
      </c>
      <c r="BI46" s="761">
        <f t="shared" si="418"/>
        <v>0</v>
      </c>
      <c r="BJ46" s="761">
        <f t="shared" si="419"/>
        <v>0</v>
      </c>
      <c r="BM46" s="795">
        <f t="shared" si="420"/>
        <v>0</v>
      </c>
      <c r="BN46" s="795">
        <f t="shared" si="420"/>
        <v>0</v>
      </c>
      <c r="BO46" s="795">
        <f t="shared" si="420"/>
        <v>0</v>
      </c>
      <c r="BP46" s="761">
        <f t="shared" si="420"/>
        <v>0</v>
      </c>
      <c r="BQ46" s="761">
        <f t="shared" si="420"/>
        <v>0</v>
      </c>
      <c r="BR46" s="761"/>
      <c r="BS46" s="761"/>
      <c r="BT46" s="761"/>
      <c r="BU46" s="761"/>
      <c r="BV46" s="761"/>
      <c r="BW46" s="761"/>
      <c r="BX46" s="761"/>
      <c r="BY46" s="762">
        <f t="shared" si="428"/>
        <v>0</v>
      </c>
      <c r="CA46" s="761">
        <f t="shared" si="421"/>
        <v>0</v>
      </c>
      <c r="CB46" s="761">
        <f t="shared" si="422"/>
        <v>0</v>
      </c>
      <c r="CC46" s="761">
        <f t="shared" si="423"/>
        <v>0</v>
      </c>
      <c r="CD46" s="761">
        <f t="shared" si="424"/>
        <v>0</v>
      </c>
      <c r="CG46" s="798">
        <f t="shared" si="396"/>
        <v>0</v>
      </c>
      <c r="CH46" s="798">
        <f t="shared" si="396"/>
        <v>0</v>
      </c>
      <c r="CI46" s="798">
        <f t="shared" si="396"/>
        <v>0</v>
      </c>
      <c r="CJ46" s="785">
        <f t="shared" si="396"/>
        <v>0</v>
      </c>
      <c r="CK46" s="785">
        <f t="shared" si="396"/>
        <v>0</v>
      </c>
      <c r="CL46" s="785">
        <f t="shared" si="396"/>
        <v>0</v>
      </c>
      <c r="CM46" s="785">
        <f t="shared" si="396"/>
        <v>0</v>
      </c>
      <c r="CN46" s="785">
        <f t="shared" si="396"/>
        <v>0</v>
      </c>
      <c r="CO46" s="785">
        <f t="shared" si="396"/>
        <v>0</v>
      </c>
      <c r="CP46" s="785">
        <f t="shared" si="396"/>
        <v>0</v>
      </c>
      <c r="CQ46" s="785">
        <f t="shared" si="396"/>
        <v>0</v>
      </c>
      <c r="CR46" s="785">
        <f t="shared" si="396"/>
        <v>0</v>
      </c>
      <c r="CS46" s="786">
        <f t="shared" si="396"/>
        <v>0</v>
      </c>
      <c r="CT46" s="787"/>
      <c r="CU46" s="785">
        <f t="shared" si="397"/>
        <v>0</v>
      </c>
      <c r="CV46" s="785">
        <f t="shared" si="397"/>
        <v>0</v>
      </c>
      <c r="CW46" s="785">
        <f t="shared" si="397"/>
        <v>0</v>
      </c>
      <c r="CX46" s="785">
        <f t="shared" si="397"/>
        <v>0</v>
      </c>
      <c r="DA46" s="798">
        <f t="shared" si="398"/>
        <v>0</v>
      </c>
      <c r="DB46" s="798">
        <f t="shared" si="399"/>
        <v>0</v>
      </c>
      <c r="DC46" s="798">
        <f t="shared" si="400"/>
        <v>0</v>
      </c>
      <c r="DD46" s="785">
        <f t="shared" si="401"/>
        <v>0</v>
      </c>
      <c r="DE46" s="785">
        <f t="shared" si="402"/>
        <v>0</v>
      </c>
      <c r="DF46" s="785">
        <f t="shared" si="403"/>
        <v>0</v>
      </c>
      <c r="DG46" s="785">
        <f t="shared" si="404"/>
        <v>0</v>
      </c>
      <c r="DH46" s="785">
        <f t="shared" si="405"/>
        <v>0</v>
      </c>
      <c r="DI46" s="785">
        <f t="shared" si="406"/>
        <v>0</v>
      </c>
      <c r="DJ46" s="785">
        <f t="shared" si="407"/>
        <v>0</v>
      </c>
      <c r="DK46" s="785">
        <f t="shared" si="408"/>
        <v>0</v>
      </c>
      <c r="DL46" s="785">
        <f t="shared" si="409"/>
        <v>0</v>
      </c>
      <c r="DM46" s="786">
        <f t="shared" si="410"/>
        <v>0</v>
      </c>
      <c r="DN46" s="787"/>
      <c r="DO46" s="785">
        <f t="shared" si="411"/>
        <v>0</v>
      </c>
      <c r="DP46" s="785">
        <f t="shared" si="411"/>
        <v>0</v>
      </c>
      <c r="DQ46" s="785">
        <f t="shared" si="411"/>
        <v>0</v>
      </c>
      <c r="DR46" s="785">
        <f t="shared" si="411"/>
        <v>0</v>
      </c>
    </row>
    <row r="47" spans="2:122" s="677" customFormat="1">
      <c r="C47" s="754" t="s">
        <v>161</v>
      </c>
      <c r="D47" s="755" t="s">
        <v>147</v>
      </c>
      <c r="E47" s="764">
        <v>0</v>
      </c>
      <c r="F47" s="764">
        <v>0</v>
      </c>
      <c r="G47" s="764">
        <v>0</v>
      </c>
      <c r="H47" s="765">
        <v>13322.250000000002</v>
      </c>
      <c r="I47" s="765">
        <v>55935.9</v>
      </c>
      <c r="J47" s="765">
        <v>55935.9</v>
      </c>
      <c r="K47" s="765">
        <v>55935.9</v>
      </c>
      <c r="L47" s="765">
        <v>55935.9</v>
      </c>
      <c r="M47" s="765">
        <v>55935.9</v>
      </c>
      <c r="N47" s="765">
        <v>55935.9</v>
      </c>
      <c r="O47" s="765">
        <v>55935.9</v>
      </c>
      <c r="P47" s="765">
        <v>55935.9</v>
      </c>
      <c r="Q47" s="766">
        <f t="shared" si="425"/>
        <v>460809.45000000007</v>
      </c>
      <c r="S47" s="765">
        <f>SUM(E47:G47)</f>
        <v>0</v>
      </c>
      <c r="T47" s="765">
        <f>SUM(H47:J47)</f>
        <v>125194.05000000002</v>
      </c>
      <c r="U47" s="765">
        <f>SUM(K47:M47)</f>
        <v>167807.7</v>
      </c>
      <c r="V47" s="765">
        <f>SUM(N47:P47)</f>
        <v>167807.7</v>
      </c>
      <c r="X47" s="721" t="s">
        <v>147</v>
      </c>
      <c r="Y47" s="764">
        <v>0</v>
      </c>
      <c r="Z47" s="764">
        <v>0</v>
      </c>
      <c r="AA47" s="764">
        <v>0</v>
      </c>
      <c r="AB47" s="765">
        <v>13322.250000000002</v>
      </c>
      <c r="AC47" s="765">
        <v>55935.9</v>
      </c>
      <c r="AD47" s="765">
        <v>55935.9</v>
      </c>
      <c r="AE47" s="765">
        <v>55935.9</v>
      </c>
      <c r="AF47" s="765">
        <v>55935.9</v>
      </c>
      <c r="AG47" s="765">
        <v>55935.9</v>
      </c>
      <c r="AH47" s="765">
        <v>55935.9</v>
      </c>
      <c r="AI47" s="765">
        <v>55935.9</v>
      </c>
      <c r="AJ47" s="765">
        <v>55935.9</v>
      </c>
      <c r="AK47" s="766">
        <f t="shared" si="426"/>
        <v>460809.45000000007</v>
      </c>
      <c r="AM47" s="765">
        <f t="shared" si="412"/>
        <v>0</v>
      </c>
      <c r="AN47" s="765">
        <f t="shared" si="413"/>
        <v>125194.05000000002</v>
      </c>
      <c r="AO47" s="765">
        <f t="shared" si="414"/>
        <v>167807.7</v>
      </c>
      <c r="AP47" s="765">
        <f t="shared" si="415"/>
        <v>167807.7</v>
      </c>
      <c r="AR47" s="721" t="s">
        <v>147</v>
      </c>
      <c r="AS47" s="768">
        <v>1637.97</v>
      </c>
      <c r="AT47" s="768">
        <v>0</v>
      </c>
      <c r="AU47" s="768">
        <v>1816.0700000000015</v>
      </c>
      <c r="AV47" s="768">
        <v>0</v>
      </c>
      <c r="AW47" s="768">
        <v>6491.8099999999995</v>
      </c>
      <c r="AX47" s="768">
        <v>120349.97</v>
      </c>
      <c r="AY47" s="768">
        <v>130149.69095628672</v>
      </c>
      <c r="AZ47" s="764">
        <v>71849.39</v>
      </c>
      <c r="BA47" s="768"/>
      <c r="BB47" s="768"/>
      <c r="BC47" s="768"/>
      <c r="BD47" s="768"/>
      <c r="BE47" s="766">
        <f t="shared" si="427"/>
        <v>332294.90095628676</v>
      </c>
      <c r="BG47" s="765">
        <f t="shared" si="416"/>
        <v>3454.0400000000018</v>
      </c>
      <c r="BH47" s="765">
        <f t="shared" si="417"/>
        <v>126841.78</v>
      </c>
      <c r="BI47" s="765">
        <f t="shared" si="418"/>
        <v>201999.08095628672</v>
      </c>
      <c r="BJ47" s="765">
        <f t="shared" si="419"/>
        <v>0</v>
      </c>
      <c r="BM47" s="764">
        <f t="shared" si="420"/>
        <v>1637.97</v>
      </c>
      <c r="BN47" s="764">
        <f t="shared" si="420"/>
        <v>0</v>
      </c>
      <c r="BO47" s="764">
        <f t="shared" si="420"/>
        <v>1816.0700000000015</v>
      </c>
      <c r="BP47" s="765">
        <f t="shared" si="420"/>
        <v>-13322.250000000002</v>
      </c>
      <c r="BQ47" s="765">
        <f t="shared" si="420"/>
        <v>-49444.090000000004</v>
      </c>
      <c r="BR47" s="765"/>
      <c r="BS47" s="765"/>
      <c r="BT47" s="765"/>
      <c r="BU47" s="765"/>
      <c r="BV47" s="765"/>
      <c r="BW47" s="765"/>
      <c r="BX47" s="765"/>
      <c r="BY47" s="766">
        <f t="shared" si="428"/>
        <v>-59312.3</v>
      </c>
      <c r="CA47" s="765">
        <f t="shared" si="421"/>
        <v>3454.0400000000018</v>
      </c>
      <c r="CB47" s="765">
        <f t="shared" si="422"/>
        <v>-62766.340000000004</v>
      </c>
      <c r="CC47" s="765">
        <f t="shared" si="423"/>
        <v>0</v>
      </c>
      <c r="CD47" s="765">
        <f t="shared" si="424"/>
        <v>0</v>
      </c>
      <c r="CG47" s="799">
        <f t="shared" si="396"/>
        <v>0</v>
      </c>
      <c r="CH47" s="799">
        <f t="shared" si="396"/>
        <v>0</v>
      </c>
      <c r="CI47" s="799">
        <f t="shared" si="396"/>
        <v>0</v>
      </c>
      <c r="CJ47" s="789">
        <f t="shared" si="396"/>
        <v>0</v>
      </c>
      <c r="CK47" s="789">
        <f t="shared" si="396"/>
        <v>0.11605802355910962</v>
      </c>
      <c r="CL47" s="789">
        <f t="shared" si="396"/>
        <v>2.1515693856718134</v>
      </c>
      <c r="CM47" s="789">
        <f t="shared" si="396"/>
        <v>2.3267649390871821</v>
      </c>
      <c r="CN47" s="789">
        <f t="shared" si="396"/>
        <v>1.2844951095807879</v>
      </c>
      <c r="CO47" s="789">
        <f t="shared" si="396"/>
        <v>0</v>
      </c>
      <c r="CP47" s="789">
        <f t="shared" si="396"/>
        <v>0</v>
      </c>
      <c r="CQ47" s="789">
        <f t="shared" si="396"/>
        <v>0</v>
      </c>
      <c r="CR47" s="789">
        <f t="shared" si="396"/>
        <v>0</v>
      </c>
      <c r="CS47" s="790">
        <f t="shared" si="396"/>
        <v>0.72111129872941349</v>
      </c>
      <c r="CT47" s="787"/>
      <c r="CU47" s="789">
        <f t="shared" si="397"/>
        <v>0</v>
      </c>
      <c r="CV47" s="789">
        <f t="shared" si="397"/>
        <v>1.0131614082298639</v>
      </c>
      <c r="CW47" s="789">
        <f t="shared" si="397"/>
        <v>1.20375334955599</v>
      </c>
      <c r="CX47" s="789">
        <f t="shared" si="397"/>
        <v>0</v>
      </c>
      <c r="DA47" s="799">
        <f t="shared" si="398"/>
        <v>0</v>
      </c>
      <c r="DB47" s="799">
        <f t="shared" si="399"/>
        <v>0</v>
      </c>
      <c r="DC47" s="799">
        <f t="shared" si="400"/>
        <v>0</v>
      </c>
      <c r="DD47" s="789">
        <f t="shared" si="401"/>
        <v>0</v>
      </c>
      <c r="DE47" s="789">
        <f t="shared" si="402"/>
        <v>0.11605802355910962</v>
      </c>
      <c r="DF47" s="789">
        <f t="shared" si="403"/>
        <v>2.1515693856718134</v>
      </c>
      <c r="DG47" s="789">
        <f t="shared" si="404"/>
        <v>2.3267649390871821</v>
      </c>
      <c r="DH47" s="789">
        <f t="shared" si="405"/>
        <v>1.2844951095807879</v>
      </c>
      <c r="DI47" s="789">
        <f t="shared" si="406"/>
        <v>0</v>
      </c>
      <c r="DJ47" s="789">
        <f t="shared" si="407"/>
        <v>0</v>
      </c>
      <c r="DK47" s="789">
        <f t="shared" si="408"/>
        <v>0</v>
      </c>
      <c r="DL47" s="789">
        <f t="shared" si="409"/>
        <v>0</v>
      </c>
      <c r="DM47" s="790">
        <f t="shared" si="410"/>
        <v>0.72111129872941349</v>
      </c>
      <c r="DN47" s="787"/>
      <c r="DO47" s="789">
        <f t="shared" si="411"/>
        <v>0</v>
      </c>
      <c r="DP47" s="789">
        <f t="shared" si="411"/>
        <v>-0.50135242050241202</v>
      </c>
      <c r="DQ47" s="789">
        <f t="shared" si="411"/>
        <v>0</v>
      </c>
      <c r="DR47" s="789">
        <f t="shared" si="411"/>
        <v>0</v>
      </c>
    </row>
    <row r="48" spans="2:122">
      <c r="X48" s="721"/>
      <c r="AR48" s="721"/>
      <c r="CG48" s="633"/>
      <c r="CH48" s="633"/>
      <c r="CI48" s="633"/>
      <c r="CJ48" s="633"/>
      <c r="CK48" s="633"/>
      <c r="CL48" s="633"/>
      <c r="CM48" s="633"/>
      <c r="CN48" s="633"/>
      <c r="CO48" s="633"/>
      <c r="CP48" s="633"/>
      <c r="CQ48" s="633"/>
      <c r="CR48" s="633"/>
      <c r="CS48" s="633"/>
      <c r="CT48" s="633"/>
      <c r="CU48" s="633"/>
      <c r="CV48" s="633"/>
      <c r="CW48" s="633"/>
      <c r="CX48" s="633"/>
      <c r="DA48" s="633"/>
      <c r="DB48" s="633"/>
      <c r="DC48" s="633"/>
      <c r="DD48" s="633"/>
      <c r="DE48" s="633"/>
      <c r="DF48" s="633"/>
      <c r="DG48" s="633"/>
      <c r="DH48" s="633"/>
      <c r="DI48" s="633"/>
      <c r="DJ48" s="633"/>
      <c r="DK48" s="633"/>
      <c r="DL48" s="633"/>
      <c r="DM48" s="633"/>
      <c r="DN48" s="633"/>
      <c r="DO48" s="633"/>
      <c r="DP48" s="633"/>
      <c r="DQ48" s="633"/>
      <c r="DR48" s="633"/>
    </row>
    <row r="49" spans="1:123" hidden="1">
      <c r="C49" s="750" t="s">
        <v>164</v>
      </c>
      <c r="D49" s="751"/>
      <c r="E49" s="767">
        <f>SUBTOTAL(9,E50:E50)</f>
        <v>0</v>
      </c>
      <c r="F49" s="767">
        <f t="shared" ref="F49:G49" si="429">SUBTOTAL(9,F50:F50)</f>
        <v>0</v>
      </c>
      <c r="G49" s="767">
        <f t="shared" si="429"/>
        <v>0</v>
      </c>
      <c r="H49" s="767">
        <f>SUBTOTAL(9,H50:H50)</f>
        <v>0</v>
      </c>
      <c r="I49" s="767">
        <f t="shared" ref="I49:J49" si="430">SUBTOTAL(9,I50:I50)</f>
        <v>0</v>
      </c>
      <c r="J49" s="767">
        <f t="shared" si="430"/>
        <v>0</v>
      </c>
      <c r="K49" s="767">
        <f>SUBTOTAL(9,K50:K50)</f>
        <v>0</v>
      </c>
      <c r="L49" s="767">
        <f t="shared" ref="L49:M49" si="431">SUBTOTAL(9,L50:L50)</f>
        <v>0</v>
      </c>
      <c r="M49" s="767">
        <f t="shared" si="431"/>
        <v>0</v>
      </c>
      <c r="N49" s="767">
        <f>SUBTOTAL(9,N50:N50)</f>
        <v>0</v>
      </c>
      <c r="O49" s="767">
        <f t="shared" ref="O49:Q49" si="432">SUBTOTAL(9,O50:O50)</f>
        <v>0</v>
      </c>
      <c r="P49" s="767">
        <f t="shared" si="432"/>
        <v>0</v>
      </c>
      <c r="Q49" s="767">
        <f t="shared" si="432"/>
        <v>0</v>
      </c>
      <c r="S49" s="759">
        <f t="shared" ref="S49:V49" si="433">SUBTOTAL(9,S50:S50)</f>
        <v>0</v>
      </c>
      <c r="T49" s="759">
        <f t="shared" si="433"/>
        <v>0</v>
      </c>
      <c r="U49" s="759">
        <f t="shared" si="433"/>
        <v>0</v>
      </c>
      <c r="V49" s="759">
        <f t="shared" si="433"/>
        <v>0</v>
      </c>
      <c r="X49" s="721"/>
      <c r="Y49" s="767">
        <f>SUBTOTAL(9,Y50:Y50)</f>
        <v>0</v>
      </c>
      <c r="Z49" s="767">
        <f t="shared" ref="Z49:AA49" si="434">SUBTOTAL(9,Z50:Z50)</f>
        <v>0</v>
      </c>
      <c r="AA49" s="767">
        <f t="shared" si="434"/>
        <v>0</v>
      </c>
      <c r="AB49" s="767">
        <f>SUBTOTAL(9,AB50:AB50)</f>
        <v>0</v>
      </c>
      <c r="AC49" s="767">
        <f t="shared" ref="AC49:AD49" si="435">SUBTOTAL(9,AC50:AC50)</f>
        <v>0</v>
      </c>
      <c r="AD49" s="767">
        <f t="shared" si="435"/>
        <v>0</v>
      </c>
      <c r="AE49" s="767">
        <f>SUBTOTAL(9,AE50:AE50)</f>
        <v>0</v>
      </c>
      <c r="AF49" s="767">
        <f t="shared" ref="AF49:AG49" si="436">SUBTOTAL(9,AF50:AF50)</f>
        <v>0</v>
      </c>
      <c r="AG49" s="767">
        <f t="shared" si="436"/>
        <v>0</v>
      </c>
      <c r="AH49" s="767">
        <f>SUBTOTAL(9,AH50:AH50)</f>
        <v>0</v>
      </c>
      <c r="AI49" s="767">
        <f t="shared" ref="AI49:AK49" si="437">SUBTOTAL(9,AI50:AI50)</f>
        <v>0</v>
      </c>
      <c r="AJ49" s="767">
        <f t="shared" si="437"/>
        <v>0</v>
      </c>
      <c r="AK49" s="767">
        <f t="shared" si="437"/>
        <v>0</v>
      </c>
      <c r="AM49" s="759">
        <f t="shared" ref="AM49:AP49" si="438">SUBTOTAL(9,AM50:AM50)</f>
        <v>0</v>
      </c>
      <c r="AN49" s="759">
        <f t="shared" si="438"/>
        <v>0</v>
      </c>
      <c r="AO49" s="759">
        <f t="shared" si="438"/>
        <v>0</v>
      </c>
      <c r="AP49" s="759">
        <f t="shared" si="438"/>
        <v>0</v>
      </c>
      <c r="AR49" s="721"/>
      <c r="AS49" s="767">
        <f>SUBTOTAL(9,AS50:AS50)</f>
        <v>0</v>
      </c>
      <c r="AT49" s="767">
        <f t="shared" ref="AT49:AU49" si="439">SUBTOTAL(9,AT50:AT50)</f>
        <v>0</v>
      </c>
      <c r="AU49" s="767">
        <f t="shared" si="439"/>
        <v>0</v>
      </c>
      <c r="AV49" s="767">
        <f>SUBTOTAL(9,AV50:AV50)</f>
        <v>0</v>
      </c>
      <c r="AW49" s="767">
        <f t="shared" ref="AW49:AX49" si="440">SUBTOTAL(9,AW50:AW50)</f>
        <v>0</v>
      </c>
      <c r="AX49" s="767">
        <f t="shared" si="440"/>
        <v>0</v>
      </c>
      <c r="AY49" s="767">
        <f>SUBTOTAL(9,AY50:AY50)</f>
        <v>0</v>
      </c>
      <c r="AZ49" s="767">
        <f t="shared" ref="AZ49:BA49" si="441">SUBTOTAL(9,AZ50:AZ50)</f>
        <v>0</v>
      </c>
      <c r="BA49" s="767">
        <f t="shared" si="441"/>
        <v>0</v>
      </c>
      <c r="BB49" s="767">
        <f>SUBTOTAL(9,BB50:BB50)</f>
        <v>0</v>
      </c>
      <c r="BC49" s="767">
        <f t="shared" ref="BC49:BE49" si="442">SUBTOTAL(9,BC50:BC50)</f>
        <v>0</v>
      </c>
      <c r="BD49" s="767">
        <f t="shared" si="442"/>
        <v>0</v>
      </c>
      <c r="BE49" s="767">
        <f t="shared" si="442"/>
        <v>0</v>
      </c>
      <c r="BG49" s="759">
        <f t="shared" ref="BG49:BJ49" si="443">SUBTOTAL(9,BG50:BG50)</f>
        <v>0</v>
      </c>
      <c r="BH49" s="759">
        <f t="shared" si="443"/>
        <v>0</v>
      </c>
      <c r="BI49" s="759">
        <f t="shared" si="443"/>
        <v>0</v>
      </c>
      <c r="BJ49" s="759">
        <f t="shared" si="443"/>
        <v>0</v>
      </c>
      <c r="BM49" s="767">
        <f>SUBTOTAL(9,BM50:BM50)</f>
        <v>0</v>
      </c>
      <c r="BN49" s="767">
        <f t="shared" ref="BN49:BO49" si="444">SUBTOTAL(9,BN50:BN50)</f>
        <v>0</v>
      </c>
      <c r="BO49" s="767">
        <f t="shared" si="444"/>
        <v>0</v>
      </c>
      <c r="BP49" s="767">
        <f>SUBTOTAL(9,BP50:BP50)</f>
        <v>0</v>
      </c>
      <c r="BQ49" s="767">
        <f>SUBTOTAL(9,BQ50:BQ50)</f>
        <v>0</v>
      </c>
      <c r="BR49" s="767">
        <f t="shared" ref="BR49" si="445">SUBTOTAL(9,BR50:BR50)</f>
        <v>0</v>
      </c>
      <c r="BS49" s="767">
        <f>SUBTOTAL(9,BS50:BS50)</f>
        <v>0</v>
      </c>
      <c r="BT49" s="767">
        <f t="shared" ref="BT49:BU49" si="446">SUBTOTAL(9,BT50:BT50)</f>
        <v>0</v>
      </c>
      <c r="BU49" s="767">
        <f t="shared" si="446"/>
        <v>0</v>
      </c>
      <c r="BV49" s="767">
        <f>SUBTOTAL(9,BV50:BV50)</f>
        <v>0</v>
      </c>
      <c r="BW49" s="767">
        <f t="shared" ref="BW49:BY49" si="447">SUBTOTAL(9,BW50:BW50)</f>
        <v>0</v>
      </c>
      <c r="BX49" s="767">
        <f t="shared" si="447"/>
        <v>0</v>
      </c>
      <c r="BY49" s="767">
        <f t="shared" si="447"/>
        <v>0</v>
      </c>
      <c r="CA49" s="759">
        <f t="shared" ref="CA49:CD49" si="448">SUBTOTAL(9,CA50:CA50)</f>
        <v>0</v>
      </c>
      <c r="CB49" s="759">
        <f t="shared" si="448"/>
        <v>0</v>
      </c>
      <c r="CC49" s="759">
        <f t="shared" si="448"/>
        <v>0</v>
      </c>
      <c r="CD49" s="759">
        <f t="shared" si="448"/>
        <v>0</v>
      </c>
      <c r="CG49" s="783">
        <f t="shared" ref="CG49:CS50" si="449">IFERROR(AS49/E49,0)</f>
        <v>0</v>
      </c>
      <c r="CH49" s="783">
        <f t="shared" si="449"/>
        <v>0</v>
      </c>
      <c r="CI49" s="783">
        <f t="shared" si="449"/>
        <v>0</v>
      </c>
      <c r="CJ49" s="783">
        <f t="shared" si="449"/>
        <v>0</v>
      </c>
      <c r="CK49" s="783">
        <f t="shared" si="449"/>
        <v>0</v>
      </c>
      <c r="CL49" s="783">
        <f t="shared" si="449"/>
        <v>0</v>
      </c>
      <c r="CM49" s="783">
        <f t="shared" si="449"/>
        <v>0</v>
      </c>
      <c r="CN49" s="783">
        <f t="shared" si="449"/>
        <v>0</v>
      </c>
      <c r="CO49" s="783">
        <f t="shared" si="449"/>
        <v>0</v>
      </c>
      <c r="CP49" s="783">
        <f t="shared" si="449"/>
        <v>0</v>
      </c>
      <c r="CQ49" s="783">
        <f t="shared" si="449"/>
        <v>0</v>
      </c>
      <c r="CR49" s="783">
        <f t="shared" si="449"/>
        <v>0</v>
      </c>
      <c r="CS49" s="783">
        <f t="shared" si="449"/>
        <v>0</v>
      </c>
      <c r="CT49" s="633"/>
      <c r="CU49" s="780">
        <f t="shared" ref="CU49:CX50" si="450">IFERROR(BG49/S49,0)</f>
        <v>0</v>
      </c>
      <c r="CV49" s="780">
        <f t="shared" si="450"/>
        <v>0</v>
      </c>
      <c r="CW49" s="780">
        <f t="shared" si="450"/>
        <v>0</v>
      </c>
      <c r="CX49" s="780">
        <f t="shared" si="450"/>
        <v>0</v>
      </c>
      <c r="DA49" s="783">
        <f t="shared" ref="DA49:DA50" si="451">IFERROR(AS49/Y49,0)</f>
        <v>0</v>
      </c>
      <c r="DB49" s="783">
        <f t="shared" ref="DB49:DB50" si="452">IFERROR(AT49/Z49,0)</f>
        <v>0</v>
      </c>
      <c r="DC49" s="783">
        <f t="shared" ref="DC49:DC50" si="453">IFERROR(AU49/AA49,0)</f>
        <v>0</v>
      </c>
      <c r="DD49" s="783">
        <f t="shared" ref="DD49:DD50" si="454">IFERROR(AV49/AB49,0)</f>
        <v>0</v>
      </c>
      <c r="DE49" s="783">
        <f t="shared" ref="DE49:DE50" si="455">IFERROR(AW49/AC49,0)</f>
        <v>0</v>
      </c>
      <c r="DF49" s="783">
        <f t="shared" ref="DF49:DF50" si="456">IFERROR(AX49/AD49,0)</f>
        <v>0</v>
      </c>
      <c r="DG49" s="783">
        <f t="shared" ref="DG49:DG50" si="457">IFERROR(AY49/AE49,0)</f>
        <v>0</v>
      </c>
      <c r="DH49" s="783">
        <f t="shared" ref="DH49:DH50" si="458">IFERROR(AZ49/AF49,0)</f>
        <v>0</v>
      </c>
      <c r="DI49" s="783">
        <f t="shared" ref="DI49:DI50" si="459">IFERROR(BA49/AG49,0)</f>
        <v>0</v>
      </c>
      <c r="DJ49" s="783">
        <f t="shared" ref="DJ49:DJ50" si="460">IFERROR(BB49/AH49,0)</f>
        <v>0</v>
      </c>
      <c r="DK49" s="783">
        <f t="shared" ref="DK49:DK50" si="461">IFERROR(BC49/AI49,0)</f>
        <v>0</v>
      </c>
      <c r="DL49" s="783">
        <f t="shared" ref="DL49:DL50" si="462">IFERROR(BD49/AJ49,0)</f>
        <v>0</v>
      </c>
      <c r="DM49" s="783">
        <f t="shared" ref="DM49:DM50" si="463">IFERROR(BE49/AK49,0)</f>
        <v>0</v>
      </c>
      <c r="DN49" s="633"/>
      <c r="DO49" s="780">
        <f t="shared" ref="DO49:DR50" si="464">IFERROR(CA49/AM49,0)</f>
        <v>0</v>
      </c>
      <c r="DP49" s="780">
        <f t="shared" si="464"/>
        <v>0</v>
      </c>
      <c r="DQ49" s="780">
        <f t="shared" si="464"/>
        <v>0</v>
      </c>
      <c r="DR49" s="780">
        <f t="shared" si="464"/>
        <v>0</v>
      </c>
    </row>
    <row r="50" spans="1:123" s="677" customFormat="1" hidden="1">
      <c r="C50" s="754" t="s">
        <v>177</v>
      </c>
      <c r="D50" s="755" t="s">
        <v>89</v>
      </c>
      <c r="E50" s="768">
        <v>0</v>
      </c>
      <c r="F50" s="768">
        <v>0</v>
      </c>
      <c r="G50" s="768">
        <v>0</v>
      </c>
      <c r="H50" s="765">
        <v>0</v>
      </c>
      <c r="I50" s="765">
        <v>0</v>
      </c>
      <c r="J50" s="765">
        <v>0</v>
      </c>
      <c r="K50" s="765">
        <v>0</v>
      </c>
      <c r="L50" s="765">
        <v>0</v>
      </c>
      <c r="M50" s="765">
        <v>0</v>
      </c>
      <c r="N50" s="765">
        <v>0</v>
      </c>
      <c r="O50" s="765">
        <v>0</v>
      </c>
      <c r="P50" s="765">
        <v>0</v>
      </c>
      <c r="Q50" s="766">
        <f>SUM(E50:P50)</f>
        <v>0</v>
      </c>
      <c r="S50" s="765">
        <f>SUM(E50:G50)</f>
        <v>0</v>
      </c>
      <c r="T50" s="765">
        <f>SUM(H50:J50)</f>
        <v>0</v>
      </c>
      <c r="U50" s="765">
        <f>SUM(K50:M50)</f>
        <v>0</v>
      </c>
      <c r="V50" s="765">
        <f>SUM(N50:P50)</f>
        <v>0</v>
      </c>
      <c r="X50" s="721" t="s">
        <v>89</v>
      </c>
      <c r="Y50" s="768">
        <v>0</v>
      </c>
      <c r="Z50" s="768">
        <v>0</v>
      </c>
      <c r="AA50" s="768">
        <v>0</v>
      </c>
      <c r="AB50" s="765">
        <v>0</v>
      </c>
      <c r="AC50" s="765">
        <v>0</v>
      </c>
      <c r="AD50" s="765">
        <v>0</v>
      </c>
      <c r="AE50" s="765">
        <v>0</v>
      </c>
      <c r="AF50" s="765">
        <v>0</v>
      </c>
      <c r="AG50" s="765">
        <v>0</v>
      </c>
      <c r="AH50" s="765">
        <v>0</v>
      </c>
      <c r="AI50" s="765">
        <v>0</v>
      </c>
      <c r="AJ50" s="765">
        <v>0</v>
      </c>
      <c r="AK50" s="766">
        <f>SUM(Y50:AJ50)</f>
        <v>0</v>
      </c>
      <c r="AM50" s="765">
        <f t="shared" ref="AM50" si="465">SUM(Y50:AA50)</f>
        <v>0</v>
      </c>
      <c r="AN50" s="765">
        <f>SUM(AB50:AD50)</f>
        <v>0</v>
      </c>
      <c r="AO50" s="765">
        <f>SUM(AE50:AG50)</f>
        <v>0</v>
      </c>
      <c r="AP50" s="765">
        <f>SUM(AH50:AJ50)</f>
        <v>0</v>
      </c>
      <c r="AR50" s="721" t="s">
        <v>89</v>
      </c>
      <c r="AS50" s="768">
        <v>0</v>
      </c>
      <c r="AT50" s="768">
        <v>0</v>
      </c>
      <c r="AU50" s="768">
        <v>0</v>
      </c>
      <c r="AV50" s="765">
        <v>0</v>
      </c>
      <c r="AW50" s="765">
        <v>0</v>
      </c>
      <c r="AX50" s="765">
        <v>0</v>
      </c>
      <c r="AY50" s="765">
        <v>0</v>
      </c>
      <c r="AZ50" s="765">
        <v>0</v>
      </c>
      <c r="BA50" s="765">
        <v>0</v>
      </c>
      <c r="BB50" s="765">
        <v>0</v>
      </c>
      <c r="BC50" s="765">
        <v>0</v>
      </c>
      <c r="BD50" s="765">
        <v>0</v>
      </c>
      <c r="BE50" s="766">
        <f>SUM(AS50:BD50)</f>
        <v>0</v>
      </c>
      <c r="BG50" s="765">
        <f t="shared" ref="BG50" si="466">SUM(AS50:AU50)</f>
        <v>0</v>
      </c>
      <c r="BH50" s="765">
        <f>SUM(AV50:AX50)</f>
        <v>0</v>
      </c>
      <c r="BI50" s="765">
        <f>SUM(AY50:BA50)</f>
        <v>0</v>
      </c>
      <c r="BJ50" s="765">
        <f>SUM(BB50:BD50)</f>
        <v>0</v>
      </c>
      <c r="BM50" s="768">
        <f>AS50-E50</f>
        <v>0</v>
      </c>
      <c r="BN50" s="768">
        <f>AT50-F50</f>
        <v>0</v>
      </c>
      <c r="BO50" s="768">
        <f>AU50-G50</f>
        <v>0</v>
      </c>
      <c r="BP50" s="765">
        <f>AV50-H50</f>
        <v>0</v>
      </c>
      <c r="BQ50" s="765">
        <f>AW50-I50</f>
        <v>0</v>
      </c>
      <c r="BR50" s="765"/>
      <c r="BS50" s="765"/>
      <c r="BT50" s="765"/>
      <c r="BU50" s="765"/>
      <c r="BV50" s="765"/>
      <c r="BW50" s="765"/>
      <c r="BX50" s="765"/>
      <c r="BY50" s="766">
        <f>SUM(BM50:BX50)</f>
        <v>0</v>
      </c>
      <c r="CA50" s="765">
        <f t="shared" ref="CA50" si="467">SUM(BM50:BO50)</f>
        <v>0</v>
      </c>
      <c r="CB50" s="765">
        <f>SUM(BP50:BR50)</f>
        <v>0</v>
      </c>
      <c r="CC50" s="765">
        <f>SUM(BS50:BU50)</f>
        <v>0</v>
      </c>
      <c r="CD50" s="765">
        <f>SUM(BV50:BX50)</f>
        <v>0</v>
      </c>
      <c r="CG50" s="788">
        <f t="shared" si="449"/>
        <v>0</v>
      </c>
      <c r="CH50" s="788">
        <f t="shared" si="449"/>
        <v>0</v>
      </c>
      <c r="CI50" s="788">
        <f t="shared" si="449"/>
        <v>0</v>
      </c>
      <c r="CJ50" s="789">
        <f t="shared" si="449"/>
        <v>0</v>
      </c>
      <c r="CK50" s="789">
        <f t="shared" si="449"/>
        <v>0</v>
      </c>
      <c r="CL50" s="789">
        <f t="shared" si="449"/>
        <v>0</v>
      </c>
      <c r="CM50" s="789">
        <f t="shared" si="449"/>
        <v>0</v>
      </c>
      <c r="CN50" s="789">
        <f t="shared" si="449"/>
        <v>0</v>
      </c>
      <c r="CO50" s="789">
        <f t="shared" si="449"/>
        <v>0</v>
      </c>
      <c r="CP50" s="789">
        <f t="shared" si="449"/>
        <v>0</v>
      </c>
      <c r="CQ50" s="789">
        <f t="shared" si="449"/>
        <v>0</v>
      </c>
      <c r="CR50" s="789">
        <f t="shared" si="449"/>
        <v>0</v>
      </c>
      <c r="CS50" s="790">
        <f t="shared" si="449"/>
        <v>0</v>
      </c>
      <c r="CT50" s="787"/>
      <c r="CU50" s="789">
        <f t="shared" si="450"/>
        <v>0</v>
      </c>
      <c r="CV50" s="789">
        <f t="shared" si="450"/>
        <v>0</v>
      </c>
      <c r="CW50" s="789">
        <f t="shared" si="450"/>
        <v>0</v>
      </c>
      <c r="CX50" s="789">
        <f t="shared" si="450"/>
        <v>0</v>
      </c>
      <c r="DA50" s="788">
        <f t="shared" si="451"/>
        <v>0</v>
      </c>
      <c r="DB50" s="788">
        <f t="shared" si="452"/>
        <v>0</v>
      </c>
      <c r="DC50" s="788">
        <f t="shared" si="453"/>
        <v>0</v>
      </c>
      <c r="DD50" s="789">
        <f t="shared" si="454"/>
        <v>0</v>
      </c>
      <c r="DE50" s="789">
        <f t="shared" si="455"/>
        <v>0</v>
      </c>
      <c r="DF50" s="789">
        <f t="shared" si="456"/>
        <v>0</v>
      </c>
      <c r="DG50" s="789">
        <f t="shared" si="457"/>
        <v>0</v>
      </c>
      <c r="DH50" s="789">
        <f t="shared" si="458"/>
        <v>0</v>
      </c>
      <c r="DI50" s="789">
        <f t="shared" si="459"/>
        <v>0</v>
      </c>
      <c r="DJ50" s="789">
        <f t="shared" si="460"/>
        <v>0</v>
      </c>
      <c r="DK50" s="789">
        <f t="shared" si="461"/>
        <v>0</v>
      </c>
      <c r="DL50" s="789">
        <f t="shared" si="462"/>
        <v>0</v>
      </c>
      <c r="DM50" s="790">
        <f t="shared" si="463"/>
        <v>0</v>
      </c>
      <c r="DN50" s="787"/>
      <c r="DO50" s="789">
        <f t="shared" si="464"/>
        <v>0</v>
      </c>
      <c r="DP50" s="789">
        <f t="shared" si="464"/>
        <v>0</v>
      </c>
      <c r="DQ50" s="789">
        <f t="shared" si="464"/>
        <v>0</v>
      </c>
      <c r="DR50" s="789">
        <f t="shared" si="464"/>
        <v>0</v>
      </c>
    </row>
    <row r="51" spans="1:123" hidden="1">
      <c r="X51" s="721"/>
      <c r="AR51" s="721"/>
      <c r="CG51" s="633"/>
      <c r="CH51" s="633"/>
      <c r="CI51" s="633"/>
      <c r="CJ51" s="633"/>
      <c r="CK51" s="633"/>
      <c r="CL51" s="633"/>
      <c r="CM51" s="633"/>
      <c r="CN51" s="633"/>
      <c r="CO51" s="633"/>
      <c r="CP51" s="633"/>
      <c r="CQ51" s="633"/>
      <c r="CR51" s="633"/>
      <c r="CS51" s="633"/>
      <c r="CT51" s="633"/>
      <c r="CU51" s="633"/>
      <c r="CV51" s="633"/>
      <c r="CW51" s="633"/>
      <c r="CX51" s="633"/>
      <c r="DA51" s="633"/>
      <c r="DB51" s="633"/>
      <c r="DC51" s="633"/>
      <c r="DD51" s="633"/>
      <c r="DE51" s="633"/>
      <c r="DF51" s="633"/>
      <c r="DG51" s="633"/>
      <c r="DH51" s="633"/>
      <c r="DI51" s="633"/>
      <c r="DJ51" s="633"/>
      <c r="DK51" s="633"/>
      <c r="DL51" s="633"/>
      <c r="DM51" s="633"/>
      <c r="DN51" s="633"/>
      <c r="DO51" s="633"/>
      <c r="DP51" s="633"/>
      <c r="DQ51" s="633"/>
      <c r="DR51" s="633"/>
    </row>
    <row r="52" spans="1:123">
      <c r="C52" s="678" t="s">
        <v>167</v>
      </c>
      <c r="D52" s="715"/>
      <c r="E52" s="684">
        <f>E49+E43+E40+E34</f>
        <v>19865.873233440001</v>
      </c>
      <c r="F52" s="684">
        <f t="shared" ref="F52:G52" si="468">F49+F43+F40+F34</f>
        <v>17457.899464598209</v>
      </c>
      <c r="G52" s="684">
        <f t="shared" si="468"/>
        <v>20949.479357517852</v>
      </c>
      <c r="H52" s="684">
        <f>H49+H43+H40+H34</f>
        <v>39509.099196897318</v>
      </c>
      <c r="I52" s="684">
        <f t="shared" ref="I52:J52" si="469">I49+I43+I40+I34</f>
        <v>81075.275229021427</v>
      </c>
      <c r="J52" s="684">
        <f t="shared" si="469"/>
        <v>81578.062733601852</v>
      </c>
      <c r="K52" s="684">
        <f>K49+K43+K40+K34</f>
        <v>82860.17087028196</v>
      </c>
      <c r="L52" s="684">
        <f t="shared" ref="L52:M52" si="470">L49+L43+L40+L34</f>
        <v>85552.59795731015</v>
      </c>
      <c r="M52" s="684">
        <f t="shared" si="470"/>
        <v>91475.93754877217</v>
      </c>
      <c r="N52" s="684">
        <f>N49+N43+N40+N34</f>
        <v>96806.943181087991</v>
      </c>
      <c r="O52" s="684">
        <f t="shared" ref="O52:Q52" si="471">O49+O43+O40+O34</f>
        <v>109068.25613541438</v>
      </c>
      <c r="P52" s="684">
        <f t="shared" si="471"/>
        <v>125007.96297603872</v>
      </c>
      <c r="Q52" s="684">
        <f t="shared" si="471"/>
        <v>851207.55788398208</v>
      </c>
      <c r="S52" s="684">
        <f t="shared" ref="S52:V52" si="472">S49+S43+S40+S34</f>
        <v>58273.25205555607</v>
      </c>
      <c r="T52" s="684">
        <f t="shared" si="472"/>
        <v>202162.4371595206</v>
      </c>
      <c r="U52" s="684">
        <f t="shared" si="472"/>
        <v>259888.70637636428</v>
      </c>
      <c r="V52" s="684">
        <f t="shared" si="472"/>
        <v>330883.16229254112</v>
      </c>
      <c r="X52" s="721"/>
      <c r="Y52" s="684">
        <f>Y49+Y43+Y40+Y34</f>
        <v>19865.873233440001</v>
      </c>
      <c r="Z52" s="684">
        <f t="shared" ref="Z52:AA52" si="473">Z49+Z43+Z40+Z34</f>
        <v>17457.899464598209</v>
      </c>
      <c r="AA52" s="684">
        <f t="shared" si="473"/>
        <v>20949.479357517852</v>
      </c>
      <c r="AB52" s="684">
        <f>AB49+AB43+AB40+AB34</f>
        <v>39509.099196897318</v>
      </c>
      <c r="AC52" s="684">
        <f t="shared" ref="AC52:AD52" si="474">AC49+AC43+AC40+AC34</f>
        <v>81075.275229021427</v>
      </c>
      <c r="AD52" s="684">
        <f t="shared" si="474"/>
        <v>81578.062733601852</v>
      </c>
      <c r="AE52" s="684">
        <f>AE49+AE43+AE40+AE34</f>
        <v>82860.17087028196</v>
      </c>
      <c r="AF52" s="684">
        <f t="shared" ref="AF52:AG52" si="475">AF49+AF43+AF40+AF34</f>
        <v>85552.59795731015</v>
      </c>
      <c r="AG52" s="684">
        <f t="shared" si="475"/>
        <v>91475.93754877217</v>
      </c>
      <c r="AH52" s="684">
        <f>AH49+AH43+AH40+AH34</f>
        <v>96806.943181087991</v>
      </c>
      <c r="AI52" s="684">
        <f t="shared" ref="AI52:AK52" si="476">AI49+AI43+AI40+AI34</f>
        <v>109068.25613541438</v>
      </c>
      <c r="AJ52" s="684">
        <f t="shared" si="476"/>
        <v>125007.96297603872</v>
      </c>
      <c r="AK52" s="684">
        <f t="shared" si="476"/>
        <v>851207.55788398208</v>
      </c>
      <c r="AM52" s="684">
        <f t="shared" ref="AM52:AP52" si="477">AM49+AM43+AM40+AM34</f>
        <v>58273.25205555607</v>
      </c>
      <c r="AN52" s="684">
        <f t="shared" si="477"/>
        <v>202162.4371595206</v>
      </c>
      <c r="AO52" s="684">
        <f t="shared" si="477"/>
        <v>259888.70637636428</v>
      </c>
      <c r="AP52" s="684">
        <f t="shared" si="477"/>
        <v>330883.16229254112</v>
      </c>
      <c r="AR52" s="721"/>
      <c r="AS52" s="684">
        <f>AS49+AS43+AS40+AS34</f>
        <v>13955.339999999998</v>
      </c>
      <c r="AT52" s="684">
        <f t="shared" ref="AT52:AU52" si="478">AT49+AT43+AT40+AT34</f>
        <v>18716.88</v>
      </c>
      <c r="AU52" s="684">
        <f t="shared" si="478"/>
        <v>38419.549999999996</v>
      </c>
      <c r="AV52" s="684">
        <f>AV49+AV43+AV40+AV34</f>
        <v>36237.040000000001</v>
      </c>
      <c r="AW52" s="684">
        <f t="shared" ref="AW52:AX52" si="479">AW49+AW43+AW40+AW34</f>
        <v>41438.840000000004</v>
      </c>
      <c r="AX52" s="684">
        <f t="shared" si="479"/>
        <v>154254.15</v>
      </c>
      <c r="AY52" s="684">
        <f>AY49+AY43+AY40+AY34</f>
        <v>185093.02095628672</v>
      </c>
      <c r="AZ52" s="684">
        <f t="shared" ref="AZ52:BA52" si="480">AZ49+AZ43+AZ40+AZ34</f>
        <v>150343.29999999999</v>
      </c>
      <c r="BA52" s="684">
        <f t="shared" si="480"/>
        <v>110858.00099999952</v>
      </c>
      <c r="BB52" s="684">
        <f>BB49+BB43+BB40+BB34</f>
        <v>0</v>
      </c>
      <c r="BC52" s="684">
        <f t="shared" ref="BC52:BE52" si="481">BC49+BC43+BC40+BC34</f>
        <v>0</v>
      </c>
      <c r="BD52" s="684">
        <f t="shared" si="481"/>
        <v>0</v>
      </c>
      <c r="BE52" s="684">
        <f t="shared" si="481"/>
        <v>749316.12195628625</v>
      </c>
      <c r="BG52" s="684">
        <f t="shared" ref="BG52:BJ52" si="482">BG49+BG43+BG40+BG34</f>
        <v>71091.77</v>
      </c>
      <c r="BH52" s="684">
        <f t="shared" si="482"/>
        <v>231930.03000000003</v>
      </c>
      <c r="BI52" s="684">
        <f t="shared" si="482"/>
        <v>446294.32195628621</v>
      </c>
      <c r="BJ52" s="684">
        <f t="shared" si="482"/>
        <v>0</v>
      </c>
      <c r="BM52" s="684">
        <f>BM49+BM43+BM40+BM34</f>
        <v>-5910.5332334400009</v>
      </c>
      <c r="BN52" s="684">
        <f t="shared" ref="BN52:BO52" si="483">BN49+BN43+BN40+BN34</f>
        <v>1258.9805354017899</v>
      </c>
      <c r="BO52" s="684">
        <f t="shared" si="483"/>
        <v>17470.070642482147</v>
      </c>
      <c r="BP52" s="684">
        <f>BP49+BP43+BP40+BP34</f>
        <v>-3272.0591968973185</v>
      </c>
      <c r="BQ52" s="684">
        <f t="shared" ref="BQ52:BR52" si="484">BQ49+BQ43+BQ40+BQ34</f>
        <v>-39636.435229021423</v>
      </c>
      <c r="BR52" s="684">
        <f t="shared" si="484"/>
        <v>0</v>
      </c>
      <c r="BS52" s="684">
        <f>BS49+BS43+BS40+BS34</f>
        <v>0</v>
      </c>
      <c r="BT52" s="684">
        <f t="shared" ref="BT52:BU52" si="485">BT49+BT43+BT40+BT34</f>
        <v>0</v>
      </c>
      <c r="BU52" s="684">
        <f t="shared" si="485"/>
        <v>0</v>
      </c>
      <c r="BV52" s="684">
        <f>BV49+BV43+BV40+BV34</f>
        <v>0</v>
      </c>
      <c r="BW52" s="684">
        <f t="shared" ref="BW52:BY52" si="486">BW49+BW43+BW40+BW34</f>
        <v>0</v>
      </c>
      <c r="BX52" s="684">
        <f t="shared" si="486"/>
        <v>0</v>
      </c>
      <c r="BY52" s="684">
        <f t="shared" si="486"/>
        <v>-30089.976481474805</v>
      </c>
      <c r="CA52" s="684">
        <f t="shared" ref="CA52:CD52" si="487">CA49+CA43+CA40+CA34</f>
        <v>12818.517944443935</v>
      </c>
      <c r="CB52" s="684">
        <f t="shared" si="487"/>
        <v>-42908.494425918732</v>
      </c>
      <c r="CC52" s="684">
        <f t="shared" si="487"/>
        <v>0</v>
      </c>
      <c r="CD52" s="684">
        <f t="shared" si="487"/>
        <v>0</v>
      </c>
      <c r="CG52" s="685">
        <f t="shared" ref="CG52:CS57" si="488">IFERROR(AS52/E52,0)</f>
        <v>0.70247805550823361</v>
      </c>
      <c r="CH52" s="685">
        <f t="shared" si="488"/>
        <v>1.0721152357392594</v>
      </c>
      <c r="CI52" s="685">
        <f t="shared" si="488"/>
        <v>1.8339143109164142</v>
      </c>
      <c r="CJ52" s="685">
        <f t="shared" si="488"/>
        <v>0.91718213618106803</v>
      </c>
      <c r="CK52" s="685">
        <f t="shared" si="488"/>
        <v>0.51111562536104349</v>
      </c>
      <c r="CL52" s="685">
        <f t="shared" si="488"/>
        <v>1.8908778270909221</v>
      </c>
      <c r="CM52" s="685">
        <f t="shared" si="488"/>
        <v>2.2337996532260456</v>
      </c>
      <c r="CN52" s="685">
        <f t="shared" si="488"/>
        <v>1.7573201000280521</v>
      </c>
      <c r="CO52" s="685">
        <f t="shared" si="488"/>
        <v>1.2118815501715239</v>
      </c>
      <c r="CP52" s="685">
        <f t="shared" si="488"/>
        <v>0</v>
      </c>
      <c r="CQ52" s="685">
        <f t="shared" si="488"/>
        <v>0</v>
      </c>
      <c r="CR52" s="685">
        <f t="shared" si="488"/>
        <v>0</v>
      </c>
      <c r="CS52" s="685">
        <f t="shared" si="488"/>
        <v>0.88029777815767063</v>
      </c>
      <c r="CT52" s="633"/>
      <c r="CU52" s="685">
        <f t="shared" ref="CU52:CX57" si="489">IFERROR(BG52/S52,0)</f>
        <v>1.2199725859168307</v>
      </c>
      <c r="CV52" s="685">
        <f t="shared" si="489"/>
        <v>1.1472459140220528</v>
      </c>
      <c r="CW52" s="685">
        <f t="shared" si="489"/>
        <v>1.7172516966165279</v>
      </c>
      <c r="CX52" s="685">
        <f t="shared" si="489"/>
        <v>0</v>
      </c>
      <c r="DA52" s="685">
        <f t="shared" ref="DA52:DA57" si="490">IFERROR(AS52/Y52,0)</f>
        <v>0.70247805550823361</v>
      </c>
      <c r="DB52" s="685">
        <f t="shared" ref="DB52:DB57" si="491">IFERROR(AT52/Z52,0)</f>
        <v>1.0721152357392594</v>
      </c>
      <c r="DC52" s="685">
        <f t="shared" ref="DC52:DC57" si="492">IFERROR(AU52/AA52,0)</f>
        <v>1.8339143109164142</v>
      </c>
      <c r="DD52" s="685">
        <f t="shared" ref="DD52:DD57" si="493">IFERROR(AV52/AB52,0)</f>
        <v>0.91718213618106803</v>
      </c>
      <c r="DE52" s="685">
        <f t="shared" ref="DE52:DE57" si="494">IFERROR(AW52/AC52,0)</f>
        <v>0.51111562536104349</v>
      </c>
      <c r="DF52" s="685">
        <f t="shared" ref="DF52:DF57" si="495">IFERROR(AX52/AD52,0)</f>
        <v>1.8908778270909221</v>
      </c>
      <c r="DG52" s="685">
        <f t="shared" ref="DG52:DG57" si="496">IFERROR(AY52/AE52,0)</f>
        <v>2.2337996532260456</v>
      </c>
      <c r="DH52" s="685">
        <f t="shared" ref="DH52:DH57" si="497">IFERROR(AZ52/AF52,0)</f>
        <v>1.7573201000280521</v>
      </c>
      <c r="DI52" s="685">
        <f t="shared" ref="DI52:DI57" si="498">IFERROR(BA52/AG52,0)</f>
        <v>1.2118815501715239</v>
      </c>
      <c r="DJ52" s="685">
        <f t="shared" ref="DJ52:DJ57" si="499">IFERROR(BB52/AH52,0)</f>
        <v>0</v>
      </c>
      <c r="DK52" s="685">
        <f t="shared" ref="DK52:DK57" si="500">IFERROR(BC52/AI52,0)</f>
        <v>0</v>
      </c>
      <c r="DL52" s="685">
        <f t="shared" ref="DL52:DL57" si="501">IFERROR(BD52/AJ52,0)</f>
        <v>0</v>
      </c>
      <c r="DM52" s="685">
        <f t="shared" ref="DM52:DM57" si="502">IFERROR(BE52/AK52,0)</f>
        <v>0.88029777815767063</v>
      </c>
      <c r="DN52" s="633"/>
      <c r="DO52" s="685">
        <f t="shared" ref="DO52:DR57" si="503">IFERROR(CA52/AM52,0)</f>
        <v>0.21997258591683064</v>
      </c>
      <c r="DP52" s="685">
        <f t="shared" si="503"/>
        <v>-0.2122476115187554</v>
      </c>
      <c r="DQ52" s="685">
        <f t="shared" si="503"/>
        <v>0</v>
      </c>
      <c r="DR52" s="685">
        <f t="shared" si="503"/>
        <v>0</v>
      </c>
    </row>
    <row r="53" spans="1:123">
      <c r="C53" s="680" t="s">
        <v>177</v>
      </c>
      <c r="D53" s="719" t="s">
        <v>87</v>
      </c>
      <c r="E53" s="738">
        <f t="shared" ref="E53:P57" si="504">SUMIF($D$35:$D$50,$D53,E$35:E$50)</f>
        <v>5.8416587246432545</v>
      </c>
      <c r="F53" s="738">
        <f t="shared" si="504"/>
        <v>5.1335820742904943</v>
      </c>
      <c r="G53" s="738">
        <f t="shared" si="504"/>
        <v>6.1602984891485937</v>
      </c>
      <c r="H53" s="738">
        <f t="shared" si="504"/>
        <v>7.7003731114357423</v>
      </c>
      <c r="I53" s="738">
        <f t="shared" si="504"/>
        <v>7.3923581869783108</v>
      </c>
      <c r="J53" s="738">
        <f t="shared" si="504"/>
        <v>7.5402053507178772</v>
      </c>
      <c r="K53" s="738">
        <f t="shared" si="504"/>
        <v>7.9172156182537732</v>
      </c>
      <c r="L53" s="738">
        <f t="shared" si="504"/>
        <v>8.7089371800791504</v>
      </c>
      <c r="M53" s="738">
        <f t="shared" si="504"/>
        <v>10.450724616094979</v>
      </c>
      <c r="N53" s="738">
        <f t="shared" si="504"/>
        <v>12.018333308509227</v>
      </c>
      <c r="O53" s="738">
        <f t="shared" si="504"/>
        <v>15.623833301061993</v>
      </c>
      <c r="P53" s="738">
        <f t="shared" si="504"/>
        <v>20.310983291380591</v>
      </c>
      <c r="Q53" s="739">
        <f>SUM(E53:P53)</f>
        <v>114.79850325259397</v>
      </c>
      <c r="S53" s="738">
        <f t="shared" ref="S53:V57" si="505">SUMIF($D$35:$D$50,$D53,S$35:S$50)</f>
        <v>17.135539288082342</v>
      </c>
      <c r="T53" s="738">
        <f t="shared" si="505"/>
        <v>22.632936649131931</v>
      </c>
      <c r="U53" s="738">
        <f t="shared" si="505"/>
        <v>27.076877414427905</v>
      </c>
      <c r="V53" s="738">
        <f t="shared" si="505"/>
        <v>47.953149900951814</v>
      </c>
      <c r="X53" s="721" t="s">
        <v>87</v>
      </c>
      <c r="Y53" s="738">
        <f t="shared" ref="Y53:AJ57" si="506">SUMIF($D$35:$D$50,$D53,Y$35:Y$50)</f>
        <v>5.8416587246432545</v>
      </c>
      <c r="Z53" s="738">
        <f t="shared" si="506"/>
        <v>5.1335820742904943</v>
      </c>
      <c r="AA53" s="738">
        <f t="shared" si="506"/>
        <v>6.1602984891485937</v>
      </c>
      <c r="AB53" s="738">
        <f t="shared" si="506"/>
        <v>7.7003731114357423</v>
      </c>
      <c r="AC53" s="738">
        <f t="shared" si="506"/>
        <v>7.3923581869783108</v>
      </c>
      <c r="AD53" s="738">
        <f t="shared" si="506"/>
        <v>7.5402053507178772</v>
      </c>
      <c r="AE53" s="738">
        <f t="shared" si="506"/>
        <v>7.9172156182537732</v>
      </c>
      <c r="AF53" s="738">
        <f t="shared" si="506"/>
        <v>8.7089371800791504</v>
      </c>
      <c r="AG53" s="738">
        <f t="shared" si="506"/>
        <v>10.450724616094979</v>
      </c>
      <c r="AH53" s="738">
        <f t="shared" si="506"/>
        <v>12.018333308509227</v>
      </c>
      <c r="AI53" s="738">
        <f t="shared" si="506"/>
        <v>15.623833301061993</v>
      </c>
      <c r="AJ53" s="738">
        <f t="shared" si="506"/>
        <v>20.310983291380591</v>
      </c>
      <c r="AK53" s="739">
        <f>SUM(Y53:AJ53)</f>
        <v>114.79850325259397</v>
      </c>
      <c r="AM53" s="738">
        <f t="shared" ref="AM53:AP57" si="507">SUMIF($D$35:$D$50,$D53,AM$35:AM$50)</f>
        <v>17.135539288082342</v>
      </c>
      <c r="AN53" s="738">
        <f t="shared" si="507"/>
        <v>22.632936649131931</v>
      </c>
      <c r="AO53" s="738">
        <f t="shared" si="507"/>
        <v>27.076877414427905</v>
      </c>
      <c r="AP53" s="738">
        <f t="shared" si="507"/>
        <v>47.953149900951814</v>
      </c>
      <c r="AR53" s="721" t="s">
        <v>87</v>
      </c>
      <c r="AS53" s="738">
        <f t="shared" ref="AS53:BD57" si="508">SUMIF($D$35:$D$50,$D53,AS$35:AS$50)</f>
        <v>1.19</v>
      </c>
      <c r="AT53" s="738">
        <f t="shared" si="508"/>
        <v>1.9700000000000002</v>
      </c>
      <c r="AU53" s="738">
        <f t="shared" si="508"/>
        <v>1.27</v>
      </c>
      <c r="AV53" s="738">
        <f t="shared" si="508"/>
        <v>0.59000000000000008</v>
      </c>
      <c r="AW53" s="738">
        <f t="shared" si="508"/>
        <v>0.67999999999999994</v>
      </c>
      <c r="AX53" s="738">
        <f t="shared" si="508"/>
        <v>0.45</v>
      </c>
      <c r="AY53" s="738">
        <f t="shared" si="508"/>
        <v>0.61</v>
      </c>
      <c r="AZ53" s="738">
        <f t="shared" si="508"/>
        <v>287.5</v>
      </c>
      <c r="BA53" s="738">
        <f t="shared" si="508"/>
        <v>3042.4639999999999</v>
      </c>
      <c r="BB53" s="738">
        <f t="shared" si="508"/>
        <v>0</v>
      </c>
      <c r="BC53" s="738">
        <f t="shared" si="508"/>
        <v>0</v>
      </c>
      <c r="BD53" s="738">
        <f t="shared" si="508"/>
        <v>0</v>
      </c>
      <c r="BE53" s="739">
        <f>SUM(AS53:BD53)</f>
        <v>3336.7240000000002</v>
      </c>
      <c r="BG53" s="738">
        <f t="shared" ref="BG53:BJ57" si="509">SUMIF($D$35:$D$50,$D53,BG$35:BG$50)</f>
        <v>4.43</v>
      </c>
      <c r="BH53" s="738">
        <f t="shared" si="509"/>
        <v>1.72</v>
      </c>
      <c r="BI53" s="738">
        <f t="shared" si="509"/>
        <v>3330.5740000000001</v>
      </c>
      <c r="BJ53" s="738">
        <f t="shared" si="509"/>
        <v>0</v>
      </c>
      <c r="BM53" s="738">
        <f t="shared" ref="BM53:BX57" si="510">SUMIF($D$35:$D$50,$D53,BM$35:BM$50)</f>
        <v>-4.651658724643255</v>
      </c>
      <c r="BN53" s="738">
        <f t="shared" si="510"/>
        <v>-3.1635820742904941</v>
      </c>
      <c r="BO53" s="738">
        <f t="shared" si="510"/>
        <v>-4.8902984891485932</v>
      </c>
      <c r="BP53" s="738">
        <f t="shared" si="510"/>
        <v>-7.1103731114357425</v>
      </c>
      <c r="BQ53" s="738">
        <f t="shared" si="510"/>
        <v>-6.7123581869783111</v>
      </c>
      <c r="BR53" s="738">
        <f t="shared" si="510"/>
        <v>0</v>
      </c>
      <c r="BS53" s="738">
        <f t="shared" si="510"/>
        <v>0</v>
      </c>
      <c r="BT53" s="738">
        <f t="shared" si="510"/>
        <v>0</v>
      </c>
      <c r="BU53" s="738">
        <f t="shared" si="510"/>
        <v>0</v>
      </c>
      <c r="BV53" s="738">
        <f t="shared" si="510"/>
        <v>0</v>
      </c>
      <c r="BW53" s="738">
        <f t="shared" si="510"/>
        <v>0</v>
      </c>
      <c r="BX53" s="738">
        <f t="shared" si="510"/>
        <v>0</v>
      </c>
      <c r="BY53" s="739">
        <f>SUM(BM53:BX53)</f>
        <v>-26.528270586496394</v>
      </c>
      <c r="CA53" s="738">
        <f t="shared" ref="CA53:CD57" si="511">SUMIF($D$35:$D$50,$D53,CA$35:CA$50)</f>
        <v>-12.705539288082342</v>
      </c>
      <c r="CB53" s="738">
        <f t="shared" si="511"/>
        <v>-13.822731298414054</v>
      </c>
      <c r="CC53" s="738">
        <f t="shared" si="511"/>
        <v>0</v>
      </c>
      <c r="CD53" s="738">
        <f t="shared" si="511"/>
        <v>0</v>
      </c>
      <c r="CG53" s="743">
        <f t="shared" si="488"/>
        <v>0.2037092641136225</v>
      </c>
      <c r="CH53" s="743">
        <f t="shared" si="488"/>
        <v>0.38374763887889557</v>
      </c>
      <c r="CI53" s="743">
        <f t="shared" si="488"/>
        <v>0.20615884152969427</v>
      </c>
      <c r="CJ53" s="743">
        <f t="shared" si="488"/>
        <v>7.661966393859504E-2</v>
      </c>
      <c r="CK53" s="743">
        <f t="shared" si="488"/>
        <v>9.198688467204208E-2</v>
      </c>
      <c r="CL53" s="743">
        <f t="shared" si="488"/>
        <v>5.9680072235321423E-2</v>
      </c>
      <c r="CM53" s="743">
        <f t="shared" si="488"/>
        <v>7.7047289023377902E-2</v>
      </c>
      <c r="CN53" s="743">
        <f t="shared" si="488"/>
        <v>33.012064969033005</v>
      </c>
      <c r="CO53" s="743">
        <f t="shared" si="488"/>
        <v>291.12469343172188</v>
      </c>
      <c r="CP53" s="743">
        <f t="shared" si="488"/>
        <v>0</v>
      </c>
      <c r="CQ53" s="743">
        <f t="shared" si="488"/>
        <v>0</v>
      </c>
      <c r="CR53" s="743">
        <f t="shared" si="488"/>
        <v>0</v>
      </c>
      <c r="CS53" s="745">
        <f t="shared" si="488"/>
        <v>29.065919027342407</v>
      </c>
      <c r="CT53" s="633"/>
      <c r="CU53" s="743">
        <f t="shared" si="489"/>
        <v>0.25852702535490296</v>
      </c>
      <c r="CV53" s="743">
        <f t="shared" si="489"/>
        <v>7.5995440921537205E-2</v>
      </c>
      <c r="CW53" s="743">
        <f t="shared" si="489"/>
        <v>123.00436084351827</v>
      </c>
      <c r="CX53" s="743">
        <f t="shared" si="489"/>
        <v>0</v>
      </c>
      <c r="DA53" s="743">
        <f t="shared" si="490"/>
        <v>0.2037092641136225</v>
      </c>
      <c r="DB53" s="743">
        <f t="shared" si="491"/>
        <v>0.38374763887889557</v>
      </c>
      <c r="DC53" s="743">
        <f t="shared" si="492"/>
        <v>0.20615884152969427</v>
      </c>
      <c r="DD53" s="743">
        <f t="shared" si="493"/>
        <v>7.661966393859504E-2</v>
      </c>
      <c r="DE53" s="743">
        <f t="shared" si="494"/>
        <v>9.198688467204208E-2</v>
      </c>
      <c r="DF53" s="743">
        <f t="shared" si="495"/>
        <v>5.9680072235321423E-2</v>
      </c>
      <c r="DG53" s="743">
        <f t="shared" si="496"/>
        <v>7.7047289023377902E-2</v>
      </c>
      <c r="DH53" s="743">
        <f t="shared" si="497"/>
        <v>33.012064969033005</v>
      </c>
      <c r="DI53" s="743">
        <f t="shared" si="498"/>
        <v>291.12469343172188</v>
      </c>
      <c r="DJ53" s="743">
        <f t="shared" si="499"/>
        <v>0</v>
      </c>
      <c r="DK53" s="743">
        <f t="shared" si="500"/>
        <v>0</v>
      </c>
      <c r="DL53" s="743">
        <f t="shared" si="501"/>
        <v>0</v>
      </c>
      <c r="DM53" s="745">
        <f t="shared" si="502"/>
        <v>29.065919027342407</v>
      </c>
      <c r="DN53" s="633"/>
      <c r="DO53" s="743">
        <f t="shared" si="503"/>
        <v>-0.74147297464509698</v>
      </c>
      <c r="DP53" s="743">
        <f t="shared" si="503"/>
        <v>-0.61073520916448165</v>
      </c>
      <c r="DQ53" s="743">
        <f t="shared" si="503"/>
        <v>0</v>
      </c>
      <c r="DR53" s="743">
        <f t="shared" si="503"/>
        <v>0</v>
      </c>
    </row>
    <row r="54" spans="1:123">
      <c r="C54" s="680" t="s">
        <v>177</v>
      </c>
      <c r="D54" s="719" t="s">
        <v>88</v>
      </c>
      <c r="E54" s="738">
        <f t="shared" si="504"/>
        <v>18192.2575176719</v>
      </c>
      <c r="F54" s="738">
        <f t="shared" si="504"/>
        <v>15987.145344458702</v>
      </c>
      <c r="G54" s="738">
        <f t="shared" si="504"/>
        <v>19184.574413350445</v>
      </c>
      <c r="H54" s="738">
        <f t="shared" si="504"/>
        <v>23980.718016688057</v>
      </c>
      <c r="I54" s="738">
        <f t="shared" si="504"/>
        <v>23021.489296020529</v>
      </c>
      <c r="J54" s="738">
        <f t="shared" si="504"/>
        <v>23481.919081940941</v>
      </c>
      <c r="K54" s="738">
        <f t="shared" si="504"/>
        <v>24656.015036037996</v>
      </c>
      <c r="L54" s="738">
        <f t="shared" si="504"/>
        <v>27121.616539641793</v>
      </c>
      <c r="M54" s="738">
        <f t="shared" si="504"/>
        <v>32545.939847570153</v>
      </c>
      <c r="N54" s="738">
        <f t="shared" si="504"/>
        <v>37427.830824705663</v>
      </c>
      <c r="O54" s="738">
        <f t="shared" si="504"/>
        <v>48656.180072117357</v>
      </c>
      <c r="P54" s="738">
        <f t="shared" si="504"/>
        <v>63253.034093752583</v>
      </c>
      <c r="Q54" s="739">
        <f t="shared" ref="Q54:Q57" si="512">SUM(E54:P54)</f>
        <v>357508.72008395608</v>
      </c>
      <c r="S54" s="738">
        <f t="shared" si="505"/>
        <v>53363.977275481055</v>
      </c>
      <c r="T54" s="738">
        <f t="shared" si="505"/>
        <v>70484.126394649531</v>
      </c>
      <c r="U54" s="738">
        <f t="shared" si="505"/>
        <v>84323.57142324993</v>
      </c>
      <c r="V54" s="738">
        <f t="shared" si="505"/>
        <v>149337.04499057561</v>
      </c>
      <c r="X54" s="721" t="s">
        <v>88</v>
      </c>
      <c r="Y54" s="738">
        <f t="shared" si="506"/>
        <v>18192.2575176719</v>
      </c>
      <c r="Z54" s="738">
        <f t="shared" si="506"/>
        <v>15987.145344458702</v>
      </c>
      <c r="AA54" s="738">
        <f t="shared" si="506"/>
        <v>19184.574413350445</v>
      </c>
      <c r="AB54" s="738">
        <f t="shared" si="506"/>
        <v>23980.718016688057</v>
      </c>
      <c r="AC54" s="738">
        <f t="shared" si="506"/>
        <v>23021.489296020529</v>
      </c>
      <c r="AD54" s="738">
        <f t="shared" si="506"/>
        <v>23481.919081940941</v>
      </c>
      <c r="AE54" s="738">
        <f t="shared" si="506"/>
        <v>24656.015036037996</v>
      </c>
      <c r="AF54" s="738">
        <f t="shared" si="506"/>
        <v>27121.616539641793</v>
      </c>
      <c r="AG54" s="738">
        <f t="shared" si="506"/>
        <v>32545.939847570153</v>
      </c>
      <c r="AH54" s="738">
        <f t="shared" si="506"/>
        <v>37427.830824705663</v>
      </c>
      <c r="AI54" s="738">
        <f t="shared" si="506"/>
        <v>48656.180072117357</v>
      </c>
      <c r="AJ54" s="738">
        <f t="shared" si="506"/>
        <v>63253.034093752583</v>
      </c>
      <c r="AK54" s="739">
        <f t="shared" ref="AK54:AK57" si="513">SUM(Y54:AJ54)</f>
        <v>357508.72008395608</v>
      </c>
      <c r="AM54" s="738">
        <f t="shared" si="507"/>
        <v>53363.977275481055</v>
      </c>
      <c r="AN54" s="738">
        <f t="shared" si="507"/>
        <v>70484.126394649531</v>
      </c>
      <c r="AO54" s="738">
        <f t="shared" si="507"/>
        <v>84323.57142324993</v>
      </c>
      <c r="AP54" s="738">
        <f t="shared" si="507"/>
        <v>149337.04499057561</v>
      </c>
      <c r="AR54" s="721" t="s">
        <v>88</v>
      </c>
      <c r="AS54" s="738">
        <f t="shared" si="508"/>
        <v>11744.529999999999</v>
      </c>
      <c r="AT54" s="738">
        <f t="shared" si="508"/>
        <v>17888.43</v>
      </c>
      <c r="AU54" s="738">
        <f t="shared" si="508"/>
        <v>34740.6</v>
      </c>
      <c r="AV54" s="738">
        <f t="shared" si="508"/>
        <v>33290.340000000004</v>
      </c>
      <c r="AW54" s="738">
        <f t="shared" si="508"/>
        <v>31940.870000000003</v>
      </c>
      <c r="AX54" s="738">
        <f t="shared" si="508"/>
        <v>30310.83</v>
      </c>
      <c r="AY54" s="738">
        <f t="shared" si="508"/>
        <v>45301.729999999996</v>
      </c>
      <c r="AZ54" s="738">
        <f t="shared" si="508"/>
        <v>54638.97</v>
      </c>
      <c r="BA54" s="738">
        <f t="shared" si="508"/>
        <v>61792.702999999892</v>
      </c>
      <c r="BB54" s="738">
        <f t="shared" si="508"/>
        <v>0</v>
      </c>
      <c r="BC54" s="738">
        <f t="shared" si="508"/>
        <v>0</v>
      </c>
      <c r="BD54" s="738">
        <f t="shared" si="508"/>
        <v>0</v>
      </c>
      <c r="BE54" s="739">
        <f t="shared" ref="BE54:BE57" si="514">SUM(AS54:BD54)</f>
        <v>321649.00299999985</v>
      </c>
      <c r="BG54" s="738">
        <f t="shared" si="509"/>
        <v>64373.56</v>
      </c>
      <c r="BH54" s="738">
        <f t="shared" si="509"/>
        <v>95542.040000000008</v>
      </c>
      <c r="BI54" s="738">
        <f t="shared" si="509"/>
        <v>161733.40299999987</v>
      </c>
      <c r="BJ54" s="738">
        <f t="shared" si="509"/>
        <v>0</v>
      </c>
      <c r="BM54" s="738">
        <f t="shared" si="510"/>
        <v>-6447.7275176719013</v>
      </c>
      <c r="BN54" s="738">
        <f t="shared" si="510"/>
        <v>1901.284655541298</v>
      </c>
      <c r="BO54" s="738">
        <f t="shared" si="510"/>
        <v>15556.025586649554</v>
      </c>
      <c r="BP54" s="738">
        <f t="shared" si="510"/>
        <v>9309.6219833119467</v>
      </c>
      <c r="BQ54" s="738">
        <f t="shared" si="510"/>
        <v>8919.3807039794738</v>
      </c>
      <c r="BR54" s="738">
        <f t="shared" si="510"/>
        <v>0</v>
      </c>
      <c r="BS54" s="738">
        <f t="shared" si="510"/>
        <v>0</v>
      </c>
      <c r="BT54" s="738">
        <f t="shared" si="510"/>
        <v>0</v>
      </c>
      <c r="BU54" s="738">
        <f t="shared" si="510"/>
        <v>0</v>
      </c>
      <c r="BV54" s="738">
        <f t="shared" si="510"/>
        <v>0</v>
      </c>
      <c r="BW54" s="738">
        <f t="shared" si="510"/>
        <v>0</v>
      </c>
      <c r="BX54" s="738">
        <f t="shared" si="510"/>
        <v>0</v>
      </c>
      <c r="BY54" s="739">
        <f t="shared" ref="BY54:BY57" si="515">SUM(BM54:BX54)</f>
        <v>29238.585411810371</v>
      </c>
      <c r="CA54" s="738">
        <f t="shared" si="511"/>
        <v>11009.58272451895</v>
      </c>
      <c r="CB54" s="738">
        <f t="shared" si="511"/>
        <v>18229.00268729142</v>
      </c>
      <c r="CC54" s="738">
        <f t="shared" si="511"/>
        <v>0</v>
      </c>
      <c r="CD54" s="738">
        <f t="shared" si="511"/>
        <v>0</v>
      </c>
      <c r="CG54" s="743">
        <f t="shared" si="488"/>
        <v>0.64557848241711624</v>
      </c>
      <c r="CH54" s="743">
        <f t="shared" si="488"/>
        <v>1.1189258378888951</v>
      </c>
      <c r="CI54" s="743">
        <f t="shared" si="488"/>
        <v>1.8108611247494861</v>
      </c>
      <c r="CJ54" s="743">
        <f t="shared" si="488"/>
        <v>1.3882128123450443</v>
      </c>
      <c r="CK54" s="743">
        <f t="shared" si="488"/>
        <v>1.3874371718219494</v>
      </c>
      <c r="CL54" s="743">
        <f t="shared" si="488"/>
        <v>1.2908157077890161</v>
      </c>
      <c r="CM54" s="743">
        <f t="shared" si="488"/>
        <v>1.8373500313730984</v>
      </c>
      <c r="CN54" s="743">
        <f t="shared" si="488"/>
        <v>2.0145911996114978</v>
      </c>
      <c r="CO54" s="743">
        <f t="shared" si="488"/>
        <v>1.8986301606101343</v>
      </c>
      <c r="CP54" s="743">
        <f t="shared" si="488"/>
        <v>0</v>
      </c>
      <c r="CQ54" s="743">
        <f t="shared" si="488"/>
        <v>0</v>
      </c>
      <c r="CR54" s="743">
        <f t="shared" si="488"/>
        <v>0</v>
      </c>
      <c r="CS54" s="745">
        <f t="shared" si="488"/>
        <v>0.89969554567638221</v>
      </c>
      <c r="CT54" s="633"/>
      <c r="CU54" s="743">
        <f t="shared" si="489"/>
        <v>1.2063111350880789</v>
      </c>
      <c r="CV54" s="743">
        <f t="shared" si="489"/>
        <v>1.3555114447336418</v>
      </c>
      <c r="CW54" s="743">
        <f t="shared" si="489"/>
        <v>1.9180094043716736</v>
      </c>
      <c r="CX54" s="743">
        <f t="shared" si="489"/>
        <v>0</v>
      </c>
      <c r="DA54" s="743">
        <f t="shared" si="490"/>
        <v>0.64557848241711624</v>
      </c>
      <c r="DB54" s="743">
        <f t="shared" si="491"/>
        <v>1.1189258378888951</v>
      </c>
      <c r="DC54" s="743">
        <f t="shared" si="492"/>
        <v>1.8108611247494861</v>
      </c>
      <c r="DD54" s="743">
        <f t="shared" si="493"/>
        <v>1.3882128123450443</v>
      </c>
      <c r="DE54" s="743">
        <f t="shared" si="494"/>
        <v>1.3874371718219494</v>
      </c>
      <c r="DF54" s="743">
        <f t="shared" si="495"/>
        <v>1.2908157077890161</v>
      </c>
      <c r="DG54" s="743">
        <f t="shared" si="496"/>
        <v>1.8373500313730984</v>
      </c>
      <c r="DH54" s="743">
        <f t="shared" si="497"/>
        <v>2.0145911996114978</v>
      </c>
      <c r="DI54" s="743">
        <f t="shared" si="498"/>
        <v>1.8986301606101343</v>
      </c>
      <c r="DJ54" s="743">
        <f t="shared" si="499"/>
        <v>0</v>
      </c>
      <c r="DK54" s="743">
        <f t="shared" si="500"/>
        <v>0</v>
      </c>
      <c r="DL54" s="743">
        <f t="shared" si="501"/>
        <v>0</v>
      </c>
      <c r="DM54" s="745">
        <f t="shared" si="502"/>
        <v>0.89969554567638221</v>
      </c>
      <c r="DN54" s="633"/>
      <c r="DO54" s="743">
        <f t="shared" si="503"/>
        <v>0.206311135088079</v>
      </c>
      <c r="DP54" s="743">
        <f t="shared" si="503"/>
        <v>0.25862564551378464</v>
      </c>
      <c r="DQ54" s="743">
        <f t="shared" si="503"/>
        <v>0</v>
      </c>
      <c r="DR54" s="743">
        <f t="shared" si="503"/>
        <v>0</v>
      </c>
    </row>
    <row r="55" spans="1:123">
      <c r="C55" s="680" t="s">
        <v>177</v>
      </c>
      <c r="D55" s="719" t="s">
        <v>89</v>
      </c>
      <c r="E55" s="738">
        <f t="shared" si="504"/>
        <v>0</v>
      </c>
      <c r="F55" s="738">
        <f t="shared" si="504"/>
        <v>0</v>
      </c>
      <c r="G55" s="738">
        <f t="shared" si="504"/>
        <v>0</v>
      </c>
      <c r="H55" s="738">
        <f t="shared" si="504"/>
        <v>0</v>
      </c>
      <c r="I55" s="738">
        <f t="shared" si="504"/>
        <v>0</v>
      </c>
      <c r="J55" s="738">
        <f t="shared" si="504"/>
        <v>0</v>
      </c>
      <c r="K55" s="738">
        <f t="shared" si="504"/>
        <v>0</v>
      </c>
      <c r="L55" s="738">
        <f t="shared" si="504"/>
        <v>0</v>
      </c>
      <c r="M55" s="738">
        <f t="shared" si="504"/>
        <v>0</v>
      </c>
      <c r="N55" s="738">
        <f t="shared" si="504"/>
        <v>0</v>
      </c>
      <c r="O55" s="738">
        <f t="shared" si="504"/>
        <v>0</v>
      </c>
      <c r="P55" s="738">
        <f t="shared" si="504"/>
        <v>0</v>
      </c>
      <c r="Q55" s="739">
        <f t="shared" si="512"/>
        <v>0</v>
      </c>
      <c r="S55" s="738">
        <f t="shared" si="505"/>
        <v>0</v>
      </c>
      <c r="T55" s="738">
        <f t="shared" si="505"/>
        <v>0</v>
      </c>
      <c r="U55" s="738">
        <f t="shared" si="505"/>
        <v>0</v>
      </c>
      <c r="V55" s="738">
        <f t="shared" si="505"/>
        <v>0</v>
      </c>
      <c r="X55" s="721" t="s">
        <v>89</v>
      </c>
      <c r="Y55" s="738">
        <f t="shared" si="506"/>
        <v>0</v>
      </c>
      <c r="Z55" s="738">
        <f t="shared" si="506"/>
        <v>0</v>
      </c>
      <c r="AA55" s="738">
        <f t="shared" si="506"/>
        <v>0</v>
      </c>
      <c r="AB55" s="738">
        <f t="shared" si="506"/>
        <v>0</v>
      </c>
      <c r="AC55" s="738">
        <f t="shared" si="506"/>
        <v>0</v>
      </c>
      <c r="AD55" s="738">
        <f t="shared" si="506"/>
        <v>0</v>
      </c>
      <c r="AE55" s="738">
        <f t="shared" si="506"/>
        <v>0</v>
      </c>
      <c r="AF55" s="738">
        <f t="shared" si="506"/>
        <v>0</v>
      </c>
      <c r="AG55" s="738">
        <f t="shared" si="506"/>
        <v>0</v>
      </c>
      <c r="AH55" s="738">
        <f t="shared" si="506"/>
        <v>0</v>
      </c>
      <c r="AI55" s="738">
        <f t="shared" si="506"/>
        <v>0</v>
      </c>
      <c r="AJ55" s="738">
        <f t="shared" si="506"/>
        <v>0</v>
      </c>
      <c r="AK55" s="739">
        <f t="shared" si="513"/>
        <v>0</v>
      </c>
      <c r="AM55" s="738">
        <f t="shared" si="507"/>
        <v>0</v>
      </c>
      <c r="AN55" s="738">
        <f t="shared" si="507"/>
        <v>0</v>
      </c>
      <c r="AO55" s="738">
        <f t="shared" si="507"/>
        <v>0</v>
      </c>
      <c r="AP55" s="738">
        <f t="shared" si="507"/>
        <v>0</v>
      </c>
      <c r="AR55" s="721" t="s">
        <v>89</v>
      </c>
      <c r="AS55" s="738">
        <f t="shared" si="508"/>
        <v>0</v>
      </c>
      <c r="AT55" s="738">
        <f t="shared" si="508"/>
        <v>0</v>
      </c>
      <c r="AU55" s="738">
        <f t="shared" si="508"/>
        <v>0</v>
      </c>
      <c r="AV55" s="738">
        <f t="shared" si="508"/>
        <v>0</v>
      </c>
      <c r="AW55" s="738">
        <f t="shared" si="508"/>
        <v>0</v>
      </c>
      <c r="AX55" s="738">
        <f t="shared" si="508"/>
        <v>0</v>
      </c>
      <c r="AY55" s="738">
        <f t="shared" si="508"/>
        <v>0</v>
      </c>
      <c r="AZ55" s="738">
        <f t="shared" si="508"/>
        <v>0</v>
      </c>
      <c r="BA55" s="738">
        <f t="shared" si="508"/>
        <v>0</v>
      </c>
      <c r="BB55" s="738">
        <f t="shared" si="508"/>
        <v>0</v>
      </c>
      <c r="BC55" s="738">
        <f t="shared" si="508"/>
        <v>0</v>
      </c>
      <c r="BD55" s="738">
        <f t="shared" si="508"/>
        <v>0</v>
      </c>
      <c r="BE55" s="739">
        <f t="shared" si="514"/>
        <v>0</v>
      </c>
      <c r="BG55" s="738">
        <f t="shared" si="509"/>
        <v>0</v>
      </c>
      <c r="BH55" s="738">
        <f t="shared" si="509"/>
        <v>0</v>
      </c>
      <c r="BI55" s="738">
        <f t="shared" si="509"/>
        <v>0</v>
      </c>
      <c r="BJ55" s="738">
        <f t="shared" si="509"/>
        <v>0</v>
      </c>
      <c r="BM55" s="738">
        <f t="shared" si="510"/>
        <v>0</v>
      </c>
      <c r="BN55" s="738">
        <f t="shared" si="510"/>
        <v>0</v>
      </c>
      <c r="BO55" s="738">
        <f t="shared" si="510"/>
        <v>0</v>
      </c>
      <c r="BP55" s="738">
        <f t="shared" si="510"/>
        <v>0</v>
      </c>
      <c r="BQ55" s="738">
        <f t="shared" si="510"/>
        <v>0</v>
      </c>
      <c r="BR55" s="738">
        <f t="shared" si="510"/>
        <v>0</v>
      </c>
      <c r="BS55" s="738">
        <f t="shared" si="510"/>
        <v>0</v>
      </c>
      <c r="BT55" s="738">
        <f t="shared" si="510"/>
        <v>0</v>
      </c>
      <c r="BU55" s="738">
        <f t="shared" si="510"/>
        <v>0</v>
      </c>
      <c r="BV55" s="738">
        <f t="shared" si="510"/>
        <v>0</v>
      </c>
      <c r="BW55" s="738">
        <f t="shared" si="510"/>
        <v>0</v>
      </c>
      <c r="BX55" s="738">
        <f t="shared" si="510"/>
        <v>0</v>
      </c>
      <c r="BY55" s="739">
        <f t="shared" si="515"/>
        <v>0</v>
      </c>
      <c r="CA55" s="738">
        <f t="shared" si="511"/>
        <v>0</v>
      </c>
      <c r="CB55" s="738">
        <f t="shared" si="511"/>
        <v>0</v>
      </c>
      <c r="CC55" s="738">
        <f t="shared" si="511"/>
        <v>0</v>
      </c>
      <c r="CD55" s="738">
        <f t="shared" si="511"/>
        <v>0</v>
      </c>
      <c r="CG55" s="743">
        <f t="shared" si="488"/>
        <v>0</v>
      </c>
      <c r="CH55" s="743">
        <f t="shared" si="488"/>
        <v>0</v>
      </c>
      <c r="CI55" s="743">
        <f t="shared" si="488"/>
        <v>0</v>
      </c>
      <c r="CJ55" s="743">
        <f t="shared" si="488"/>
        <v>0</v>
      </c>
      <c r="CK55" s="743">
        <f t="shared" si="488"/>
        <v>0</v>
      </c>
      <c r="CL55" s="743">
        <f t="shared" si="488"/>
        <v>0</v>
      </c>
      <c r="CM55" s="743">
        <f t="shared" si="488"/>
        <v>0</v>
      </c>
      <c r="CN55" s="743">
        <f t="shared" si="488"/>
        <v>0</v>
      </c>
      <c r="CO55" s="743">
        <f t="shared" si="488"/>
        <v>0</v>
      </c>
      <c r="CP55" s="743">
        <f t="shared" si="488"/>
        <v>0</v>
      </c>
      <c r="CQ55" s="743">
        <f t="shared" si="488"/>
        <v>0</v>
      </c>
      <c r="CR55" s="743">
        <f t="shared" si="488"/>
        <v>0</v>
      </c>
      <c r="CS55" s="745">
        <f t="shared" si="488"/>
        <v>0</v>
      </c>
      <c r="CT55" s="633"/>
      <c r="CU55" s="743">
        <f t="shared" si="489"/>
        <v>0</v>
      </c>
      <c r="CV55" s="743">
        <f t="shared" si="489"/>
        <v>0</v>
      </c>
      <c r="CW55" s="743">
        <f t="shared" si="489"/>
        <v>0</v>
      </c>
      <c r="CX55" s="743">
        <f t="shared" si="489"/>
        <v>0</v>
      </c>
      <c r="DA55" s="743">
        <f t="shared" si="490"/>
        <v>0</v>
      </c>
      <c r="DB55" s="743">
        <f t="shared" si="491"/>
        <v>0</v>
      </c>
      <c r="DC55" s="743">
        <f t="shared" si="492"/>
        <v>0</v>
      </c>
      <c r="DD55" s="743">
        <f t="shared" si="493"/>
        <v>0</v>
      </c>
      <c r="DE55" s="743">
        <f t="shared" si="494"/>
        <v>0</v>
      </c>
      <c r="DF55" s="743">
        <f t="shared" si="495"/>
        <v>0</v>
      </c>
      <c r="DG55" s="743">
        <f t="shared" si="496"/>
        <v>0</v>
      </c>
      <c r="DH55" s="743">
        <f t="shared" si="497"/>
        <v>0</v>
      </c>
      <c r="DI55" s="743">
        <f t="shared" si="498"/>
        <v>0</v>
      </c>
      <c r="DJ55" s="743">
        <f t="shared" si="499"/>
        <v>0</v>
      </c>
      <c r="DK55" s="743">
        <f t="shared" si="500"/>
        <v>0</v>
      </c>
      <c r="DL55" s="743">
        <f t="shared" si="501"/>
        <v>0</v>
      </c>
      <c r="DM55" s="745">
        <f t="shared" si="502"/>
        <v>0</v>
      </c>
      <c r="DN55" s="633"/>
      <c r="DO55" s="743">
        <f t="shared" si="503"/>
        <v>0</v>
      </c>
      <c r="DP55" s="743">
        <f t="shared" si="503"/>
        <v>0</v>
      </c>
      <c r="DQ55" s="743">
        <f t="shared" si="503"/>
        <v>0</v>
      </c>
      <c r="DR55" s="743">
        <f t="shared" si="503"/>
        <v>0</v>
      </c>
    </row>
    <row r="56" spans="1:123">
      <c r="C56" s="680" t="s">
        <v>176</v>
      </c>
      <c r="D56" s="719" t="s">
        <v>90</v>
      </c>
      <c r="E56" s="738">
        <f t="shared" si="504"/>
        <v>1667.7740570434564</v>
      </c>
      <c r="F56" s="738">
        <f t="shared" si="504"/>
        <v>1465.6205380652177</v>
      </c>
      <c r="G56" s="738">
        <f t="shared" si="504"/>
        <v>1758.7446456782616</v>
      </c>
      <c r="H56" s="738">
        <f t="shared" si="504"/>
        <v>2198.4308070978263</v>
      </c>
      <c r="I56" s="738">
        <f t="shared" si="504"/>
        <v>2110.4935748139133</v>
      </c>
      <c r="J56" s="738">
        <f t="shared" si="504"/>
        <v>2152.7034463101918</v>
      </c>
      <c r="K56" s="738">
        <f t="shared" si="504"/>
        <v>2260.3386186257012</v>
      </c>
      <c r="L56" s="738">
        <f t="shared" si="504"/>
        <v>2486.3724804882718</v>
      </c>
      <c r="M56" s="738">
        <f t="shared" si="504"/>
        <v>2983.646976585926</v>
      </c>
      <c r="N56" s="738">
        <f t="shared" si="504"/>
        <v>3431.1940230738146</v>
      </c>
      <c r="O56" s="738">
        <f t="shared" si="504"/>
        <v>4460.5522299959584</v>
      </c>
      <c r="P56" s="738">
        <f t="shared" si="504"/>
        <v>5798.717898994747</v>
      </c>
      <c r="Q56" s="739">
        <f t="shared" si="512"/>
        <v>32774.589296773287</v>
      </c>
      <c r="S56" s="738">
        <f t="shared" si="505"/>
        <v>4892.1392407869362</v>
      </c>
      <c r="T56" s="738">
        <f t="shared" si="505"/>
        <v>6461.6278282219318</v>
      </c>
      <c r="U56" s="738">
        <f t="shared" si="505"/>
        <v>7730.3580756998981</v>
      </c>
      <c r="V56" s="738">
        <f t="shared" si="505"/>
        <v>13690.46415206452</v>
      </c>
      <c r="X56" s="721" t="s">
        <v>90</v>
      </c>
      <c r="Y56" s="738">
        <f t="shared" si="506"/>
        <v>1667.7740570434564</v>
      </c>
      <c r="Z56" s="738">
        <f t="shared" si="506"/>
        <v>1465.6205380652177</v>
      </c>
      <c r="AA56" s="738">
        <f t="shared" si="506"/>
        <v>1758.7446456782616</v>
      </c>
      <c r="AB56" s="738">
        <f t="shared" si="506"/>
        <v>2198.4308070978263</v>
      </c>
      <c r="AC56" s="738">
        <f t="shared" si="506"/>
        <v>2110.4935748139133</v>
      </c>
      <c r="AD56" s="738">
        <f t="shared" si="506"/>
        <v>2152.7034463101918</v>
      </c>
      <c r="AE56" s="738">
        <f t="shared" si="506"/>
        <v>2260.3386186257012</v>
      </c>
      <c r="AF56" s="738">
        <f t="shared" si="506"/>
        <v>2486.3724804882718</v>
      </c>
      <c r="AG56" s="738">
        <f t="shared" si="506"/>
        <v>2983.646976585926</v>
      </c>
      <c r="AH56" s="738">
        <f t="shared" si="506"/>
        <v>3431.1940230738146</v>
      </c>
      <c r="AI56" s="738">
        <f t="shared" si="506"/>
        <v>4460.5522299959584</v>
      </c>
      <c r="AJ56" s="738">
        <f t="shared" si="506"/>
        <v>5798.717898994747</v>
      </c>
      <c r="AK56" s="739">
        <f t="shared" si="513"/>
        <v>32774.589296773287</v>
      </c>
      <c r="AM56" s="738">
        <f t="shared" si="507"/>
        <v>4892.1392407869362</v>
      </c>
      <c r="AN56" s="738">
        <f t="shared" si="507"/>
        <v>6461.6278282219318</v>
      </c>
      <c r="AO56" s="738">
        <f t="shared" si="507"/>
        <v>7730.3580756998981</v>
      </c>
      <c r="AP56" s="738">
        <f t="shared" si="507"/>
        <v>13690.46415206452</v>
      </c>
      <c r="AR56" s="721" t="s">
        <v>90</v>
      </c>
      <c r="AS56" s="738">
        <f t="shared" si="508"/>
        <v>571.65</v>
      </c>
      <c r="AT56" s="738">
        <f t="shared" si="508"/>
        <v>826.48</v>
      </c>
      <c r="AU56" s="738">
        <f t="shared" si="508"/>
        <v>1861.61</v>
      </c>
      <c r="AV56" s="738">
        <f t="shared" si="508"/>
        <v>2946.1099999999997</v>
      </c>
      <c r="AW56" s="738">
        <f t="shared" si="508"/>
        <v>3005.48</v>
      </c>
      <c r="AX56" s="738">
        <f t="shared" si="508"/>
        <v>3592.9</v>
      </c>
      <c r="AY56" s="738">
        <f t="shared" si="508"/>
        <v>9640.99</v>
      </c>
      <c r="AZ56" s="738">
        <f t="shared" si="508"/>
        <v>23567.439999999999</v>
      </c>
      <c r="BA56" s="738">
        <f t="shared" si="508"/>
        <v>46022.833999999631</v>
      </c>
      <c r="BB56" s="738">
        <f t="shared" si="508"/>
        <v>0</v>
      </c>
      <c r="BC56" s="738">
        <f t="shared" si="508"/>
        <v>0</v>
      </c>
      <c r="BD56" s="738">
        <f t="shared" si="508"/>
        <v>0</v>
      </c>
      <c r="BE56" s="739">
        <f t="shared" si="514"/>
        <v>92035.493999999628</v>
      </c>
      <c r="BG56" s="738">
        <f t="shared" si="509"/>
        <v>3259.74</v>
      </c>
      <c r="BH56" s="738">
        <f t="shared" si="509"/>
        <v>9544.49</v>
      </c>
      <c r="BI56" s="738">
        <f t="shared" si="509"/>
        <v>79231.263999999632</v>
      </c>
      <c r="BJ56" s="738">
        <f t="shared" si="509"/>
        <v>0</v>
      </c>
      <c r="BM56" s="738">
        <f t="shared" si="510"/>
        <v>-1096.1240570434566</v>
      </c>
      <c r="BN56" s="738">
        <f t="shared" si="510"/>
        <v>-639.1405380652177</v>
      </c>
      <c r="BO56" s="738">
        <f t="shared" si="510"/>
        <v>102.86535432173832</v>
      </c>
      <c r="BP56" s="738">
        <f t="shared" si="510"/>
        <v>747.67919290217333</v>
      </c>
      <c r="BQ56" s="738">
        <f t="shared" si="510"/>
        <v>894.98642518608676</v>
      </c>
      <c r="BR56" s="738">
        <f t="shared" si="510"/>
        <v>0</v>
      </c>
      <c r="BS56" s="738">
        <f t="shared" si="510"/>
        <v>0</v>
      </c>
      <c r="BT56" s="738">
        <f t="shared" si="510"/>
        <v>0</v>
      </c>
      <c r="BU56" s="738">
        <f t="shared" si="510"/>
        <v>0</v>
      </c>
      <c r="BV56" s="738">
        <f t="shared" si="510"/>
        <v>0</v>
      </c>
      <c r="BW56" s="738">
        <f t="shared" si="510"/>
        <v>0</v>
      </c>
      <c r="BX56" s="738">
        <f t="shared" si="510"/>
        <v>0</v>
      </c>
      <c r="BY56" s="739">
        <f t="shared" si="515"/>
        <v>10.266377301324155</v>
      </c>
      <c r="CA56" s="738">
        <f t="shared" si="511"/>
        <v>-1632.3992407869359</v>
      </c>
      <c r="CB56" s="738">
        <f t="shared" si="511"/>
        <v>1642.6656180882601</v>
      </c>
      <c r="CC56" s="738">
        <f t="shared" si="511"/>
        <v>0</v>
      </c>
      <c r="CD56" s="738">
        <f t="shared" si="511"/>
        <v>0</v>
      </c>
      <c r="CG56" s="743">
        <f t="shared" si="488"/>
        <v>0.34276225702502622</v>
      </c>
      <c r="CH56" s="743">
        <f t="shared" si="488"/>
        <v>0.56391131164895225</v>
      </c>
      <c r="CI56" s="743">
        <f t="shared" si="488"/>
        <v>1.0584879417114406</v>
      </c>
      <c r="CJ56" s="743">
        <f t="shared" si="488"/>
        <v>1.340096759237646</v>
      </c>
      <c r="CK56" s="743">
        <f t="shared" si="488"/>
        <v>1.4240649845451434</v>
      </c>
      <c r="CL56" s="743">
        <f t="shared" si="488"/>
        <v>1.6690176281170335</v>
      </c>
      <c r="CM56" s="743">
        <f t="shared" si="488"/>
        <v>4.2652857056708511</v>
      </c>
      <c r="CN56" s="743">
        <f t="shared" si="488"/>
        <v>9.4786441633121061</v>
      </c>
      <c r="CO56" s="743">
        <f t="shared" si="488"/>
        <v>15.425026607089359</v>
      </c>
      <c r="CP56" s="743">
        <f t="shared" si="488"/>
        <v>0</v>
      </c>
      <c r="CQ56" s="743">
        <f t="shared" si="488"/>
        <v>0</v>
      </c>
      <c r="CR56" s="743">
        <f t="shared" si="488"/>
        <v>0</v>
      </c>
      <c r="CS56" s="745">
        <f t="shared" si="488"/>
        <v>2.8081356921552842</v>
      </c>
      <c r="CT56" s="633"/>
      <c r="CU56" s="743">
        <f t="shared" si="489"/>
        <v>0.66632199934596448</v>
      </c>
      <c r="CV56" s="743">
        <f t="shared" si="489"/>
        <v>1.4771030232216871</v>
      </c>
      <c r="CW56" s="743">
        <f t="shared" si="489"/>
        <v>10.249365323588341</v>
      </c>
      <c r="CX56" s="743">
        <f t="shared" si="489"/>
        <v>0</v>
      </c>
      <c r="DA56" s="743">
        <f t="shared" si="490"/>
        <v>0.34276225702502622</v>
      </c>
      <c r="DB56" s="743">
        <f t="shared" si="491"/>
        <v>0.56391131164895225</v>
      </c>
      <c r="DC56" s="743">
        <f t="shared" si="492"/>
        <v>1.0584879417114406</v>
      </c>
      <c r="DD56" s="743">
        <f t="shared" si="493"/>
        <v>1.340096759237646</v>
      </c>
      <c r="DE56" s="743">
        <f t="shared" si="494"/>
        <v>1.4240649845451434</v>
      </c>
      <c r="DF56" s="743">
        <f t="shared" si="495"/>
        <v>1.6690176281170335</v>
      </c>
      <c r="DG56" s="743">
        <f t="shared" si="496"/>
        <v>4.2652857056708511</v>
      </c>
      <c r="DH56" s="743">
        <f t="shared" si="497"/>
        <v>9.4786441633121061</v>
      </c>
      <c r="DI56" s="743">
        <f t="shared" si="498"/>
        <v>15.425026607089359</v>
      </c>
      <c r="DJ56" s="743">
        <f t="shared" si="499"/>
        <v>0</v>
      </c>
      <c r="DK56" s="743">
        <f t="shared" si="500"/>
        <v>0</v>
      </c>
      <c r="DL56" s="743">
        <f t="shared" si="501"/>
        <v>0</v>
      </c>
      <c r="DM56" s="745">
        <f t="shared" si="502"/>
        <v>2.8081356921552842</v>
      </c>
      <c r="DN56" s="633"/>
      <c r="DO56" s="743">
        <f t="shared" si="503"/>
        <v>-0.33367800065403547</v>
      </c>
      <c r="DP56" s="743">
        <f t="shared" si="503"/>
        <v>0.25421854395787413</v>
      </c>
      <c r="DQ56" s="743">
        <f t="shared" si="503"/>
        <v>0</v>
      </c>
      <c r="DR56" s="743">
        <f t="shared" si="503"/>
        <v>0</v>
      </c>
    </row>
    <row r="57" spans="1:123">
      <c r="C57" s="682" t="s">
        <v>161</v>
      </c>
      <c r="D57" s="720" t="s">
        <v>147</v>
      </c>
      <c r="E57" s="740">
        <f t="shared" si="504"/>
        <v>0</v>
      </c>
      <c r="F57" s="740">
        <f t="shared" si="504"/>
        <v>0</v>
      </c>
      <c r="G57" s="740">
        <f t="shared" si="504"/>
        <v>0</v>
      </c>
      <c r="H57" s="740">
        <f t="shared" si="504"/>
        <v>13322.250000000002</v>
      </c>
      <c r="I57" s="740">
        <f t="shared" si="504"/>
        <v>55935.9</v>
      </c>
      <c r="J57" s="740">
        <f t="shared" si="504"/>
        <v>55935.9</v>
      </c>
      <c r="K57" s="740">
        <f t="shared" si="504"/>
        <v>55935.9</v>
      </c>
      <c r="L57" s="740">
        <f t="shared" si="504"/>
        <v>55935.9</v>
      </c>
      <c r="M57" s="740">
        <f t="shared" si="504"/>
        <v>55935.9</v>
      </c>
      <c r="N57" s="740">
        <f t="shared" si="504"/>
        <v>55935.9</v>
      </c>
      <c r="O57" s="740">
        <f t="shared" si="504"/>
        <v>55935.9</v>
      </c>
      <c r="P57" s="740">
        <f t="shared" si="504"/>
        <v>55935.9</v>
      </c>
      <c r="Q57" s="741">
        <f t="shared" si="512"/>
        <v>460809.45000000007</v>
      </c>
      <c r="S57" s="740">
        <f t="shared" si="505"/>
        <v>0</v>
      </c>
      <c r="T57" s="740">
        <f t="shared" si="505"/>
        <v>125194.05000000002</v>
      </c>
      <c r="U57" s="740">
        <f t="shared" si="505"/>
        <v>167807.7</v>
      </c>
      <c r="V57" s="740">
        <f t="shared" si="505"/>
        <v>167807.7</v>
      </c>
      <c r="X57" s="721" t="s">
        <v>147</v>
      </c>
      <c r="Y57" s="740">
        <f t="shared" si="506"/>
        <v>0</v>
      </c>
      <c r="Z57" s="740">
        <f t="shared" si="506"/>
        <v>0</v>
      </c>
      <c r="AA57" s="740">
        <f t="shared" si="506"/>
        <v>0</v>
      </c>
      <c r="AB57" s="740">
        <f t="shared" si="506"/>
        <v>13322.250000000002</v>
      </c>
      <c r="AC57" s="740">
        <f t="shared" si="506"/>
        <v>55935.9</v>
      </c>
      <c r="AD57" s="740">
        <f t="shared" si="506"/>
        <v>55935.9</v>
      </c>
      <c r="AE57" s="740">
        <f t="shared" si="506"/>
        <v>55935.9</v>
      </c>
      <c r="AF57" s="740">
        <f t="shared" si="506"/>
        <v>55935.9</v>
      </c>
      <c r="AG57" s="740">
        <f t="shared" si="506"/>
        <v>55935.9</v>
      </c>
      <c r="AH57" s="740">
        <f t="shared" si="506"/>
        <v>55935.9</v>
      </c>
      <c r="AI57" s="740">
        <f t="shared" si="506"/>
        <v>55935.9</v>
      </c>
      <c r="AJ57" s="740">
        <f t="shared" si="506"/>
        <v>55935.9</v>
      </c>
      <c r="AK57" s="741">
        <f t="shared" si="513"/>
        <v>460809.45000000007</v>
      </c>
      <c r="AM57" s="740">
        <f t="shared" si="507"/>
        <v>0</v>
      </c>
      <c r="AN57" s="740">
        <f t="shared" si="507"/>
        <v>125194.05000000002</v>
      </c>
      <c r="AO57" s="740">
        <f t="shared" si="507"/>
        <v>167807.7</v>
      </c>
      <c r="AP57" s="740">
        <f t="shared" si="507"/>
        <v>167807.7</v>
      </c>
      <c r="AR57" s="721" t="s">
        <v>147</v>
      </c>
      <c r="AS57" s="740">
        <f t="shared" si="508"/>
        <v>1637.97</v>
      </c>
      <c r="AT57" s="740">
        <f t="shared" si="508"/>
        <v>0</v>
      </c>
      <c r="AU57" s="740">
        <f t="shared" si="508"/>
        <v>1816.0700000000015</v>
      </c>
      <c r="AV57" s="740">
        <f t="shared" si="508"/>
        <v>0</v>
      </c>
      <c r="AW57" s="740">
        <f t="shared" si="508"/>
        <v>6491.8099999999995</v>
      </c>
      <c r="AX57" s="740">
        <f t="shared" si="508"/>
        <v>120349.97</v>
      </c>
      <c r="AY57" s="740">
        <f t="shared" si="508"/>
        <v>130149.69095628672</v>
      </c>
      <c r="AZ57" s="740">
        <f t="shared" si="508"/>
        <v>71849.39</v>
      </c>
      <c r="BA57" s="740">
        <f t="shared" si="508"/>
        <v>0</v>
      </c>
      <c r="BB57" s="740">
        <f t="shared" si="508"/>
        <v>0</v>
      </c>
      <c r="BC57" s="740">
        <f t="shared" si="508"/>
        <v>0</v>
      </c>
      <c r="BD57" s="740">
        <f t="shared" si="508"/>
        <v>0</v>
      </c>
      <c r="BE57" s="741">
        <f t="shared" si="514"/>
        <v>332294.90095628676</v>
      </c>
      <c r="BG57" s="740">
        <f t="shared" si="509"/>
        <v>3454.0400000000018</v>
      </c>
      <c r="BH57" s="740">
        <f t="shared" si="509"/>
        <v>126841.78</v>
      </c>
      <c r="BI57" s="740">
        <f t="shared" si="509"/>
        <v>201999.08095628672</v>
      </c>
      <c r="BJ57" s="740">
        <f t="shared" si="509"/>
        <v>0</v>
      </c>
      <c r="BM57" s="740">
        <f t="shared" si="510"/>
        <v>1637.97</v>
      </c>
      <c r="BN57" s="740">
        <f t="shared" si="510"/>
        <v>0</v>
      </c>
      <c r="BO57" s="740">
        <f t="shared" si="510"/>
        <v>1816.0700000000015</v>
      </c>
      <c r="BP57" s="740">
        <f t="shared" si="510"/>
        <v>-13322.250000000002</v>
      </c>
      <c r="BQ57" s="740">
        <f t="shared" si="510"/>
        <v>-49444.090000000004</v>
      </c>
      <c r="BR57" s="740">
        <f t="shared" si="510"/>
        <v>0</v>
      </c>
      <c r="BS57" s="740">
        <f t="shared" si="510"/>
        <v>0</v>
      </c>
      <c r="BT57" s="740">
        <f t="shared" si="510"/>
        <v>0</v>
      </c>
      <c r="BU57" s="740">
        <f t="shared" si="510"/>
        <v>0</v>
      </c>
      <c r="BV57" s="740">
        <f t="shared" si="510"/>
        <v>0</v>
      </c>
      <c r="BW57" s="740">
        <f t="shared" si="510"/>
        <v>0</v>
      </c>
      <c r="BX57" s="740">
        <f t="shared" si="510"/>
        <v>0</v>
      </c>
      <c r="BY57" s="741">
        <f t="shared" si="515"/>
        <v>-59312.3</v>
      </c>
      <c r="CA57" s="740">
        <f t="shared" si="511"/>
        <v>3454.0400000000018</v>
      </c>
      <c r="CB57" s="740">
        <f t="shared" si="511"/>
        <v>-62766.340000000004</v>
      </c>
      <c r="CC57" s="740">
        <f t="shared" si="511"/>
        <v>0</v>
      </c>
      <c r="CD57" s="740">
        <f t="shared" si="511"/>
        <v>0</v>
      </c>
      <c r="CG57" s="744">
        <f t="shared" si="488"/>
        <v>0</v>
      </c>
      <c r="CH57" s="744">
        <f t="shared" si="488"/>
        <v>0</v>
      </c>
      <c r="CI57" s="744">
        <f t="shared" si="488"/>
        <v>0</v>
      </c>
      <c r="CJ57" s="744">
        <f t="shared" si="488"/>
        <v>0</v>
      </c>
      <c r="CK57" s="744">
        <f t="shared" si="488"/>
        <v>0.11605802355910962</v>
      </c>
      <c r="CL57" s="744">
        <f t="shared" si="488"/>
        <v>2.1515693856718134</v>
      </c>
      <c r="CM57" s="744">
        <f t="shared" si="488"/>
        <v>2.3267649390871821</v>
      </c>
      <c r="CN57" s="744">
        <f t="shared" si="488"/>
        <v>1.2844951095807879</v>
      </c>
      <c r="CO57" s="744">
        <f t="shared" si="488"/>
        <v>0</v>
      </c>
      <c r="CP57" s="744">
        <f t="shared" si="488"/>
        <v>0</v>
      </c>
      <c r="CQ57" s="744">
        <f t="shared" si="488"/>
        <v>0</v>
      </c>
      <c r="CR57" s="744">
        <f t="shared" si="488"/>
        <v>0</v>
      </c>
      <c r="CS57" s="746">
        <f t="shared" si="488"/>
        <v>0.72111129872941349</v>
      </c>
      <c r="CT57" s="633"/>
      <c r="CU57" s="744">
        <f t="shared" si="489"/>
        <v>0</v>
      </c>
      <c r="CV57" s="744">
        <f t="shared" si="489"/>
        <v>1.0131614082298639</v>
      </c>
      <c r="CW57" s="744">
        <f t="shared" si="489"/>
        <v>1.20375334955599</v>
      </c>
      <c r="CX57" s="744">
        <f t="shared" si="489"/>
        <v>0</v>
      </c>
      <c r="DA57" s="744">
        <f t="shared" si="490"/>
        <v>0</v>
      </c>
      <c r="DB57" s="744">
        <f t="shared" si="491"/>
        <v>0</v>
      </c>
      <c r="DC57" s="744">
        <f t="shared" si="492"/>
        <v>0</v>
      </c>
      <c r="DD57" s="744">
        <f t="shared" si="493"/>
        <v>0</v>
      </c>
      <c r="DE57" s="744">
        <f t="shared" si="494"/>
        <v>0.11605802355910962</v>
      </c>
      <c r="DF57" s="744">
        <f t="shared" si="495"/>
        <v>2.1515693856718134</v>
      </c>
      <c r="DG57" s="744">
        <f t="shared" si="496"/>
        <v>2.3267649390871821</v>
      </c>
      <c r="DH57" s="744">
        <f t="shared" si="497"/>
        <v>1.2844951095807879</v>
      </c>
      <c r="DI57" s="744">
        <f t="shared" si="498"/>
        <v>0</v>
      </c>
      <c r="DJ57" s="744">
        <f t="shared" si="499"/>
        <v>0</v>
      </c>
      <c r="DK57" s="744">
        <f t="shared" si="500"/>
        <v>0</v>
      </c>
      <c r="DL57" s="744">
        <f t="shared" si="501"/>
        <v>0</v>
      </c>
      <c r="DM57" s="746">
        <f t="shared" si="502"/>
        <v>0.72111129872941349</v>
      </c>
      <c r="DN57" s="633"/>
      <c r="DO57" s="744">
        <f t="shared" si="503"/>
        <v>0</v>
      </c>
      <c r="DP57" s="744">
        <f t="shared" si="503"/>
        <v>-0.50135242050241202</v>
      </c>
      <c r="DQ57" s="744">
        <f t="shared" si="503"/>
        <v>0</v>
      </c>
      <c r="DR57" s="744">
        <f t="shared" si="503"/>
        <v>0</v>
      </c>
    </row>
    <row r="58" spans="1:123">
      <c r="X58" s="721"/>
      <c r="AR58" s="721"/>
      <c r="CG58" s="633"/>
      <c r="CH58" s="633"/>
      <c r="CI58" s="633"/>
      <c r="CJ58" s="633"/>
      <c r="CK58" s="633"/>
      <c r="CL58" s="633"/>
      <c r="CM58" s="633"/>
      <c r="CN58" s="633"/>
      <c r="CO58" s="633"/>
      <c r="CP58" s="633"/>
      <c r="CQ58" s="633"/>
      <c r="CR58" s="633"/>
      <c r="CS58" s="633"/>
      <c r="CT58" s="633"/>
      <c r="CU58" s="633"/>
      <c r="CV58" s="633"/>
      <c r="CW58" s="633"/>
      <c r="CX58" s="633"/>
      <c r="DA58" s="633"/>
      <c r="DB58" s="633"/>
      <c r="DC58" s="633"/>
      <c r="DD58" s="633"/>
      <c r="DE58" s="633"/>
      <c r="DF58" s="633"/>
      <c r="DG58" s="633"/>
      <c r="DH58" s="633"/>
      <c r="DI58" s="633"/>
      <c r="DJ58" s="633"/>
      <c r="DK58" s="633"/>
      <c r="DL58" s="633"/>
      <c r="DM58" s="633"/>
      <c r="DN58" s="633"/>
      <c r="DO58" s="633"/>
      <c r="DP58" s="633"/>
      <c r="DQ58" s="633"/>
      <c r="DR58" s="633"/>
    </row>
    <row r="59" spans="1:123" ht="2.4500000000000002" customHeight="1">
      <c r="A59" s="710"/>
      <c r="B59" s="710"/>
      <c r="C59" s="711"/>
      <c r="D59" s="712"/>
      <c r="E59" s="713"/>
      <c r="F59" s="713"/>
      <c r="G59" s="713"/>
      <c r="H59" s="713"/>
      <c r="I59" s="713"/>
      <c r="J59" s="713"/>
      <c r="K59" s="713"/>
      <c r="L59" s="713"/>
      <c r="M59" s="713"/>
      <c r="N59" s="713"/>
      <c r="O59" s="713"/>
      <c r="P59" s="713"/>
      <c r="Q59" s="714"/>
      <c r="R59" s="710"/>
      <c r="S59" s="713"/>
      <c r="T59" s="713"/>
      <c r="U59" s="713"/>
      <c r="V59" s="713"/>
      <c r="W59" s="710"/>
      <c r="X59" s="722"/>
      <c r="Y59" s="713"/>
      <c r="Z59" s="713"/>
      <c r="AA59" s="713"/>
      <c r="AB59" s="713"/>
      <c r="AC59" s="713"/>
      <c r="AD59" s="713"/>
      <c r="AE59" s="713"/>
      <c r="AF59" s="713"/>
      <c r="AG59" s="713"/>
      <c r="AH59" s="713"/>
      <c r="AI59" s="713"/>
      <c r="AJ59" s="713"/>
      <c r="AK59" s="714"/>
      <c r="AL59" s="710"/>
      <c r="AM59" s="713"/>
      <c r="AN59" s="713"/>
      <c r="AO59" s="713"/>
      <c r="AP59" s="713"/>
      <c r="AQ59" s="710"/>
      <c r="AR59" s="722"/>
      <c r="AS59" s="713"/>
      <c r="AT59" s="713"/>
      <c r="AU59" s="713"/>
      <c r="AV59" s="713"/>
      <c r="AW59" s="713"/>
      <c r="AX59" s="713"/>
      <c r="AY59" s="713"/>
      <c r="AZ59" s="713"/>
      <c r="BA59" s="713"/>
      <c r="BB59" s="713"/>
      <c r="BC59" s="713"/>
      <c r="BD59" s="713"/>
      <c r="BE59" s="714"/>
      <c r="BF59" s="710"/>
      <c r="BG59" s="713"/>
      <c r="BH59" s="713"/>
      <c r="BI59" s="713"/>
      <c r="BJ59" s="713"/>
      <c r="BK59" s="710"/>
      <c r="BL59" s="710"/>
      <c r="BM59" s="713"/>
      <c r="BN59" s="713"/>
      <c r="BO59" s="713"/>
      <c r="BP59" s="713"/>
      <c r="BQ59" s="713"/>
      <c r="BR59" s="713"/>
      <c r="BS59" s="713"/>
      <c r="BT59" s="713"/>
      <c r="BU59" s="713"/>
      <c r="BV59" s="713"/>
      <c r="BW59" s="713"/>
      <c r="BX59" s="713"/>
      <c r="BY59" s="714"/>
      <c r="BZ59" s="710"/>
      <c r="CA59" s="713"/>
      <c r="CB59" s="713"/>
      <c r="CC59" s="713"/>
      <c r="CD59" s="713"/>
      <c r="CE59" s="710"/>
      <c r="CF59" s="710"/>
      <c r="CG59" s="792"/>
      <c r="CH59" s="792"/>
      <c r="CI59" s="792"/>
      <c r="CJ59" s="792"/>
      <c r="CK59" s="792"/>
      <c r="CL59" s="792"/>
      <c r="CM59" s="792"/>
      <c r="CN59" s="792"/>
      <c r="CO59" s="792"/>
      <c r="CP59" s="792"/>
      <c r="CQ59" s="792"/>
      <c r="CR59" s="792"/>
      <c r="CS59" s="793"/>
      <c r="CT59" s="794"/>
      <c r="CU59" s="792"/>
      <c r="CV59" s="792"/>
      <c r="CW59" s="792"/>
      <c r="CX59" s="792"/>
      <c r="CY59" s="710"/>
      <c r="CZ59" s="710"/>
      <c r="DA59" s="792"/>
      <c r="DB59" s="792"/>
      <c r="DC59" s="792"/>
      <c r="DD59" s="792"/>
      <c r="DE59" s="792"/>
      <c r="DF59" s="792"/>
      <c r="DG59" s="792"/>
      <c r="DH59" s="792"/>
      <c r="DI59" s="792"/>
      <c r="DJ59" s="792"/>
      <c r="DK59" s="792"/>
      <c r="DL59" s="792"/>
      <c r="DM59" s="793"/>
      <c r="DN59" s="794"/>
      <c r="DO59" s="792"/>
      <c r="DP59" s="792"/>
      <c r="DQ59" s="792"/>
      <c r="DR59" s="792"/>
      <c r="DS59" s="710"/>
    </row>
    <row r="60" spans="1:123">
      <c r="B60" s="551"/>
      <c r="X60" s="721"/>
      <c r="AR60" s="721"/>
      <c r="CG60" s="633"/>
      <c r="CH60" s="633"/>
      <c r="CI60" s="633"/>
      <c r="CJ60" s="633"/>
      <c r="CK60" s="633"/>
      <c r="CL60" s="633"/>
      <c r="CM60" s="633"/>
      <c r="CN60" s="633"/>
      <c r="CO60" s="633"/>
      <c r="CP60" s="633"/>
      <c r="CQ60" s="633"/>
      <c r="CR60" s="633"/>
      <c r="CS60" s="633"/>
      <c r="CT60" s="633"/>
      <c r="CU60" s="633"/>
      <c r="CV60" s="633"/>
      <c r="CW60" s="633"/>
      <c r="CX60" s="633"/>
      <c r="DA60" s="633"/>
      <c r="DB60" s="633"/>
      <c r="DC60" s="633"/>
      <c r="DD60" s="633"/>
      <c r="DE60" s="633"/>
      <c r="DF60" s="633"/>
      <c r="DG60" s="633"/>
      <c r="DH60" s="633"/>
      <c r="DI60" s="633"/>
      <c r="DJ60" s="633"/>
      <c r="DK60" s="633"/>
      <c r="DL60" s="633"/>
      <c r="DM60" s="633"/>
      <c r="DN60" s="633"/>
      <c r="DO60" s="633"/>
      <c r="DP60" s="633"/>
      <c r="DQ60" s="633"/>
      <c r="DR60" s="633"/>
    </row>
    <row r="61" spans="1:123">
      <c r="B61" s="100" t="s">
        <v>168</v>
      </c>
      <c r="C61" s="686" t="s">
        <v>169</v>
      </c>
      <c r="D61" s="687"/>
      <c r="E61" s="688">
        <f>SUM(E62:E67)</f>
        <v>1022886.1898202833</v>
      </c>
      <c r="F61" s="688">
        <f t="shared" ref="F61:Q61" si="516">SUM(F62:F67)</f>
        <v>939355.90060124965</v>
      </c>
      <c r="G61" s="688">
        <f t="shared" si="516"/>
        <v>1100711.4751053681</v>
      </c>
      <c r="H61" s="688">
        <f t="shared" si="516"/>
        <v>1170556.8317971802</v>
      </c>
      <c r="I61" s="688">
        <f t="shared" si="516"/>
        <v>1286824.6816618196</v>
      </c>
      <c r="J61" s="688">
        <f t="shared" si="516"/>
        <v>1273358.4958323627</v>
      </c>
      <c r="K61" s="688">
        <f t="shared" si="516"/>
        <v>1351687.7953692297</v>
      </c>
      <c r="L61" s="688">
        <f t="shared" si="516"/>
        <v>1348344.7934990593</v>
      </c>
      <c r="M61" s="688">
        <f t="shared" si="516"/>
        <v>1411069.0816695089</v>
      </c>
      <c r="N61" s="688">
        <f t="shared" si="516"/>
        <v>1501713.6177805807</v>
      </c>
      <c r="O61" s="688">
        <f t="shared" si="516"/>
        <v>1538685.6191429796</v>
      </c>
      <c r="P61" s="688">
        <f t="shared" si="516"/>
        <v>1682309.8350700231</v>
      </c>
      <c r="Q61" s="688">
        <f t="shared" si="516"/>
        <v>15627504.317349644</v>
      </c>
      <c r="S61" s="688">
        <f t="shared" ref="S61" si="517">SUM(S62:S67)</f>
        <v>3062953.5655269008</v>
      </c>
      <c r="T61" s="688">
        <f t="shared" ref="T61" si="518">SUM(T62:T67)</f>
        <v>3730740.009291362</v>
      </c>
      <c r="U61" s="688">
        <f t="shared" ref="U61" si="519">SUM(U62:U67)</f>
        <v>4111101.6705377991</v>
      </c>
      <c r="V61" s="688">
        <f t="shared" ref="V61" si="520">SUM(V62:V67)</f>
        <v>4722709.0719935838</v>
      </c>
      <c r="X61" s="721"/>
      <c r="Y61" s="688">
        <f t="shared" ref="Y61" si="521">SUM(Y62:Y66)</f>
        <v>1071312.393761155</v>
      </c>
      <c r="Z61" s="688">
        <f t="shared" ref="Z61" si="522">SUM(Z62:Z66)</f>
        <v>982576.70300855266</v>
      </c>
      <c r="AA61" s="688">
        <f t="shared" ref="AA61" si="523">SUM(AA62:AA66)</f>
        <v>1154054.8475947247</v>
      </c>
      <c r="AB61" s="688">
        <f t="shared" ref="AB61" si="524">SUM(AB62:AB66)</f>
        <v>1226567.4374266195</v>
      </c>
      <c r="AC61" s="688">
        <f t="shared" ref="AC61" si="525">SUM(AC62:AC66)</f>
        <v>1347505.0632999246</v>
      </c>
      <c r="AD61" s="688">
        <f t="shared" ref="AD61" si="526">SUM(AD62:AD66)</f>
        <v>1332909.7636957848</v>
      </c>
      <c r="AE61" s="688">
        <f t="shared" ref="AE61" si="527">SUM(AE62:AE66)</f>
        <v>1415983.800565891</v>
      </c>
      <c r="AF61" s="688">
        <f t="shared" ref="AF61" si="528">SUM(AF62:AF66)</f>
        <v>1412040.6069066506</v>
      </c>
      <c r="AG61" s="688">
        <f t="shared" ref="AG61" si="529">SUM(AG62:AG66)</f>
        <v>1478271.7680179363</v>
      </c>
      <c r="AH61" s="688">
        <f t="shared" ref="AH61" si="530">SUM(AH62:AH66)</f>
        <v>1573821.2788450518</v>
      </c>
      <c r="AI61" s="688">
        <f t="shared" ref="AI61" si="531">SUM(AI62:AI66)</f>
        <v>1533207.7803127442</v>
      </c>
      <c r="AJ61" s="688">
        <f t="shared" ref="AJ61" si="532">SUM(AJ62:AJ66)</f>
        <v>1612891.7463373381</v>
      </c>
      <c r="AK61" s="688">
        <f t="shared" ref="AK61" si="533">SUM(AK62:AK66)</f>
        <v>16141143.189772371</v>
      </c>
      <c r="AM61" s="688">
        <f t="shared" ref="AM61" si="534">SUM(AM62:AM66)</f>
        <v>3207943.9443644322</v>
      </c>
      <c r="AN61" s="688">
        <f t="shared" ref="AN61" si="535">SUM(AN62:AN66)</f>
        <v>3906982.2644223291</v>
      </c>
      <c r="AO61" s="688">
        <f t="shared" ref="AO61" si="536">SUM(AO62:AO66)</f>
        <v>4306296.1754904781</v>
      </c>
      <c r="AP61" s="688">
        <f t="shared" ref="AP61" si="537">SUM(AP62:AP66)</f>
        <v>4719920.8054951336</v>
      </c>
      <c r="AR61" s="721"/>
      <c r="AS61" s="688">
        <f t="shared" ref="AS61:AX61" si="538">SUM(AS62:AS67)</f>
        <v>857676.55048500001</v>
      </c>
      <c r="AT61" s="688">
        <f t="shared" si="538"/>
        <v>766532.47559899988</v>
      </c>
      <c r="AU61" s="688">
        <f t="shared" si="538"/>
        <v>1114343.6615538823</v>
      </c>
      <c r="AV61" s="688">
        <f t="shared" si="538"/>
        <v>1181018.4035667693</v>
      </c>
      <c r="AW61" s="688">
        <f t="shared" si="538"/>
        <v>1309181.5010690289</v>
      </c>
      <c r="AX61" s="688">
        <f t="shared" si="538"/>
        <v>1378507.2173062421</v>
      </c>
      <c r="AY61" s="688">
        <f>SUM(AY62:AY67)</f>
        <v>1353667.6633212864</v>
      </c>
      <c r="AZ61" s="688">
        <f t="shared" ref="AZ61:BE61" si="539">SUM(AZ62:AZ67)</f>
        <v>1383068.41</v>
      </c>
      <c r="BA61" s="688">
        <f t="shared" si="539"/>
        <v>1061968.9980006574</v>
      </c>
      <c r="BB61" s="688">
        <f t="shared" si="539"/>
        <v>0</v>
      </c>
      <c r="BC61" s="688">
        <f t="shared" si="539"/>
        <v>0</v>
      </c>
      <c r="BD61" s="688">
        <f t="shared" si="539"/>
        <v>0</v>
      </c>
      <c r="BE61" s="688">
        <f t="shared" si="539"/>
        <v>10405964.880901866</v>
      </c>
      <c r="BG61" s="688">
        <f t="shared" ref="BG61" si="540">SUM(BG62:BG66)</f>
        <v>2738552.6876378823</v>
      </c>
      <c r="BH61" s="688">
        <f t="shared" ref="BH61" si="541">SUM(BH62:BH66)</f>
        <v>3868707.1219420396</v>
      </c>
      <c r="BI61" s="688">
        <f t="shared" ref="BI61" si="542">SUM(BI62:BI66)</f>
        <v>3798705.0713219442</v>
      </c>
      <c r="BJ61" s="688">
        <f t="shared" ref="BJ61" si="543">SUM(BJ62:BJ66)</f>
        <v>0</v>
      </c>
      <c r="BM61" s="688">
        <f t="shared" ref="BM61" si="544">SUM(BM62:BM66)</f>
        <v>-101240.87370015608</v>
      </c>
      <c r="BN61" s="688">
        <f t="shared" ref="BN61" si="545">SUM(BN62:BN66)</f>
        <v>-143470.92908656676</v>
      </c>
      <c r="BO61" s="688">
        <f t="shared" ref="BO61" si="546">SUM(BO62:BO66)</f>
        <v>48856.29553660081</v>
      </c>
      <c r="BP61" s="688">
        <f t="shared" ref="BP61" si="547">SUM(BP62:BP66)</f>
        <v>37222.314116825983</v>
      </c>
      <c r="BQ61" s="688">
        <f t="shared" ref="BQ61" si="548">SUM(BQ62:BQ66)</f>
        <v>44659.030549175113</v>
      </c>
      <c r="BR61" s="688">
        <f t="shared" ref="BR61" si="549">SUM(BR62:BR66)</f>
        <v>0</v>
      </c>
      <c r="BS61" s="688">
        <f t="shared" ref="BS61" si="550">SUM(BS62:BS66)</f>
        <v>0</v>
      </c>
      <c r="BT61" s="688">
        <f t="shared" ref="BT61" si="551">SUM(BT62:BT66)</f>
        <v>0</v>
      </c>
      <c r="BU61" s="688">
        <f t="shared" ref="BU61" si="552">SUM(BU62:BU66)</f>
        <v>0</v>
      </c>
      <c r="BV61" s="688">
        <f t="shared" ref="BV61" si="553">SUM(BV62:BV66)</f>
        <v>0</v>
      </c>
      <c r="BW61" s="688">
        <f t="shared" ref="BW61" si="554">SUM(BW62:BW66)</f>
        <v>0</v>
      </c>
      <c r="BX61" s="688">
        <f t="shared" ref="BX61" si="555">SUM(BX62:BX66)</f>
        <v>0</v>
      </c>
      <c r="BY61" s="688">
        <f t="shared" ref="BY61" si="556">SUM(BY62:BY66)</f>
        <v>-113974.162584121</v>
      </c>
      <c r="CA61" s="688">
        <f t="shared" ref="CA61" si="557">SUM(CA62:CA66)</f>
        <v>-195855.50725012203</v>
      </c>
      <c r="CB61" s="688">
        <f t="shared" ref="CB61" si="558">SUM(CB62:CB66)</f>
        <v>81881.344666001125</v>
      </c>
      <c r="CC61" s="688">
        <f t="shared" ref="CC61" si="559">SUM(CC62:CC66)</f>
        <v>0</v>
      </c>
      <c r="CD61" s="688">
        <f t="shared" ref="CD61" si="560">SUM(CD62:CD66)</f>
        <v>0</v>
      </c>
      <c r="CG61" s="689">
        <f t="shared" ref="CG61:CS66" si="561">IFERROR(AS61/E61,0)</f>
        <v>0.83848678281177114</v>
      </c>
      <c r="CH61" s="689">
        <f t="shared" si="561"/>
        <v>0.81601922669391713</v>
      </c>
      <c r="CI61" s="689">
        <f t="shared" si="561"/>
        <v>1.0123848862820379</v>
      </c>
      <c r="CJ61" s="689">
        <f t="shared" si="561"/>
        <v>1.0089372608705613</v>
      </c>
      <c r="CK61" s="689">
        <f t="shared" si="561"/>
        <v>1.0173736327300915</v>
      </c>
      <c r="CL61" s="689">
        <f t="shared" si="561"/>
        <v>1.0825758981606719</v>
      </c>
      <c r="CM61" s="689">
        <f t="shared" si="561"/>
        <v>1.0014647376108887</v>
      </c>
      <c r="CN61" s="689">
        <f t="shared" si="561"/>
        <v>1.0257527723386168</v>
      </c>
      <c r="CO61" s="689">
        <f t="shared" si="561"/>
        <v>0.75259887116524926</v>
      </c>
      <c r="CP61" s="689">
        <f t="shared" si="561"/>
        <v>0</v>
      </c>
      <c r="CQ61" s="689">
        <f t="shared" si="561"/>
        <v>0</v>
      </c>
      <c r="CR61" s="689">
        <f t="shared" si="561"/>
        <v>0</v>
      </c>
      <c r="CS61" s="689">
        <f t="shared" si="561"/>
        <v>0.66587502838499757</v>
      </c>
      <c r="CT61" s="633"/>
      <c r="CU61" s="689">
        <f t="shared" ref="CU61:CX66" si="562">IFERROR(BG61/S61,0)</f>
        <v>0.8940888684895183</v>
      </c>
      <c r="CV61" s="689">
        <f t="shared" si="562"/>
        <v>1.0369811652130869</v>
      </c>
      <c r="CW61" s="689">
        <f t="shared" si="562"/>
        <v>0.92401146353186925</v>
      </c>
      <c r="CX61" s="689">
        <f t="shared" si="562"/>
        <v>0</v>
      </c>
      <c r="DA61" s="689">
        <f t="shared" ref="DA61:DA66" si="563">IFERROR(AS61/Y61,0)</f>
        <v>0.80058492320234997</v>
      </c>
      <c r="DB61" s="689">
        <f t="shared" ref="DB61:DB66" si="564">IFERROR(AT61/Z61,0)</f>
        <v>0.78012482206422484</v>
      </c>
      <c r="DC61" s="689">
        <f t="shared" ref="DC61:DC66" si="565">IFERROR(AU61/AA61,0)</f>
        <v>0.96558986245445066</v>
      </c>
      <c r="DD61" s="689">
        <f t="shared" ref="DD61:DD66" si="566">IFERROR(AV61/AB61,0)</f>
        <v>0.96286463143403389</v>
      </c>
      <c r="DE61" s="689">
        <f t="shared" ref="DE61:DE66" si="567">IFERROR(AW61/AC61,0)</f>
        <v>0.97155961541469493</v>
      </c>
      <c r="DF61" s="689">
        <f t="shared" ref="DF61:DF66" si="568">IFERROR(AX61/AD61,0)</f>
        <v>1.0342089576146762</v>
      </c>
      <c r="DG61" s="689">
        <f t="shared" ref="DG61:DG66" si="569">IFERROR(AY61/AE61,0)</f>
        <v>0.95599092502350647</v>
      </c>
      <c r="DH61" s="689">
        <f t="shared" ref="DH61:DH66" si="570">IFERROR(AZ61/AF61,0)</f>
        <v>0.97948203701441705</v>
      </c>
      <c r="DI61" s="689">
        <f t="shared" ref="DI61:DI66" si="571">IFERROR(BA61/AG61,0)</f>
        <v>0.71838549648049033</v>
      </c>
      <c r="DJ61" s="689">
        <f t="shared" ref="DJ61:DJ66" si="572">IFERROR(BB61/AH61,0)</f>
        <v>0</v>
      </c>
      <c r="DK61" s="689">
        <f t="shared" ref="DK61:DK66" si="573">IFERROR(BC61/AI61,0)</f>
        <v>0</v>
      </c>
      <c r="DL61" s="689">
        <f t="shared" ref="DL61:DL66" si="574">IFERROR(BD61/AJ61,0)</f>
        <v>0</v>
      </c>
      <c r="DM61" s="689">
        <f t="shared" ref="DM61:DM66" si="575">IFERROR(BE61/AK61,0)</f>
        <v>0.64468574242594368</v>
      </c>
      <c r="DN61" s="633"/>
      <c r="DO61" s="689">
        <f t="shared" ref="DO61:DR66" si="576">IFERROR(CA61/AM61,0)</f>
        <v>-6.1053282303823272E-2</v>
      </c>
      <c r="DP61" s="689">
        <f t="shared" si="576"/>
        <v>2.0957695511348264E-2</v>
      </c>
      <c r="DQ61" s="689">
        <f t="shared" si="576"/>
        <v>0</v>
      </c>
      <c r="DR61" s="689">
        <f t="shared" si="576"/>
        <v>0</v>
      </c>
    </row>
    <row r="62" spans="1:123">
      <c r="C62" s="690" t="s">
        <v>177</v>
      </c>
      <c r="D62" s="691" t="s">
        <v>87</v>
      </c>
      <c r="E62" s="692">
        <f>E25+E53</f>
        <v>304301.53532539128</v>
      </c>
      <c r="F62" s="692">
        <f t="shared" ref="F62:Q62" si="577">F25+F53</f>
        <v>309362.03024874104</v>
      </c>
      <c r="G62" s="692">
        <f t="shared" si="577"/>
        <v>360965.05696515588</v>
      </c>
      <c r="H62" s="692">
        <f t="shared" si="577"/>
        <v>384573.89703977806</v>
      </c>
      <c r="I62" s="692">
        <f t="shared" si="577"/>
        <v>415546.02902485372</v>
      </c>
      <c r="J62" s="692">
        <f t="shared" si="577"/>
        <v>319824.42707101244</v>
      </c>
      <c r="K62" s="692">
        <f t="shared" si="577"/>
        <v>352182.69268113637</v>
      </c>
      <c r="L62" s="692">
        <f t="shared" si="577"/>
        <v>384541.3730025547</v>
      </c>
      <c r="M62" s="692">
        <f t="shared" si="577"/>
        <v>384543.11478999077</v>
      </c>
      <c r="N62" s="692">
        <f t="shared" si="577"/>
        <v>416902.57099853957</v>
      </c>
      <c r="O62" s="692">
        <f t="shared" si="577"/>
        <v>481621.95369824494</v>
      </c>
      <c r="P62" s="692">
        <f t="shared" si="577"/>
        <v>578700.30664780457</v>
      </c>
      <c r="Q62" s="703">
        <f t="shared" si="577"/>
        <v>4693064.987493203</v>
      </c>
      <c r="S62" s="692">
        <f t="shared" ref="S62:V62" si="578">S25+S53</f>
        <v>974628.62253928813</v>
      </c>
      <c r="T62" s="692">
        <f t="shared" si="578"/>
        <v>1119944.353135644</v>
      </c>
      <c r="U62" s="692">
        <f t="shared" si="578"/>
        <v>1121267.180473682</v>
      </c>
      <c r="V62" s="692">
        <f t="shared" si="578"/>
        <v>1477224.8313445891</v>
      </c>
      <c r="X62" s="721" t="s">
        <v>87</v>
      </c>
      <c r="Y62" s="692">
        <f t="shared" ref="Y62:AK62" si="579">Y25+Y53</f>
        <v>373498.48947864521</v>
      </c>
      <c r="Z62" s="692">
        <f t="shared" si="579"/>
        <v>343380.72926318389</v>
      </c>
      <c r="AA62" s="692">
        <f t="shared" si="579"/>
        <v>401948.22178900742</v>
      </c>
      <c r="AB62" s="692">
        <f t="shared" si="579"/>
        <v>417381.6548748014</v>
      </c>
      <c r="AC62" s="692">
        <f t="shared" si="579"/>
        <v>444399.41388556175</v>
      </c>
      <c r="AD62" s="692">
        <f t="shared" si="579"/>
        <v>437866.81335520255</v>
      </c>
      <c r="AE62" s="692">
        <f t="shared" si="579"/>
        <v>465318.96343784564</v>
      </c>
      <c r="AF62" s="692">
        <f t="shared" si="579"/>
        <v>461847.20702106896</v>
      </c>
      <c r="AG62" s="692">
        <f t="shared" si="579"/>
        <v>482138.77170156018</v>
      </c>
      <c r="AH62" s="692">
        <f t="shared" si="579"/>
        <v>510519.20274854649</v>
      </c>
      <c r="AI62" s="692">
        <f t="shared" si="579"/>
        <v>491517.43801257032</v>
      </c>
      <c r="AJ62" s="692">
        <f t="shared" si="579"/>
        <v>513214.34785024379</v>
      </c>
      <c r="AK62" s="703">
        <f t="shared" si="579"/>
        <v>5343031.2534182379</v>
      </c>
      <c r="AM62" s="692">
        <f t="shared" ref="AM62:AP62" si="580">AM25+AM53</f>
        <v>1118827.4405308366</v>
      </c>
      <c r="AN62" s="692">
        <f t="shared" si="580"/>
        <v>1299647.8821155657</v>
      </c>
      <c r="AO62" s="692">
        <f t="shared" si="580"/>
        <v>1409304.9421604748</v>
      </c>
      <c r="AP62" s="692">
        <f t="shared" si="580"/>
        <v>1515250.9886113605</v>
      </c>
      <c r="AR62" s="721" t="s">
        <v>87</v>
      </c>
      <c r="AS62" s="692">
        <f t="shared" ref="AS62:BE62" si="581">AS25+AS53</f>
        <v>321545.81</v>
      </c>
      <c r="AT62" s="692">
        <f t="shared" si="581"/>
        <v>300417.79966499994</v>
      </c>
      <c r="AU62" s="692">
        <f t="shared" si="581"/>
        <v>324763.18154688226</v>
      </c>
      <c r="AV62" s="692">
        <f t="shared" si="581"/>
        <v>343247.11356676923</v>
      </c>
      <c r="AW62" s="692">
        <f t="shared" si="581"/>
        <v>360184.98106902861</v>
      </c>
      <c r="AX62" s="692">
        <f t="shared" si="581"/>
        <v>350514.46730624227</v>
      </c>
      <c r="AY62" s="692">
        <f t="shared" si="581"/>
        <v>357280.51236499992</v>
      </c>
      <c r="AZ62" s="692">
        <f t="shared" si="581"/>
        <v>400413.36</v>
      </c>
      <c r="BA62" s="692">
        <f t="shared" si="581"/>
        <v>327799.13600029575</v>
      </c>
      <c r="BB62" s="692">
        <f t="shared" si="581"/>
        <v>0</v>
      </c>
      <c r="BC62" s="692">
        <f t="shared" si="581"/>
        <v>0</v>
      </c>
      <c r="BD62" s="692">
        <f t="shared" si="581"/>
        <v>0</v>
      </c>
      <c r="BE62" s="703">
        <f t="shared" si="581"/>
        <v>3086166.361519218</v>
      </c>
      <c r="BG62" s="692">
        <f t="shared" ref="BG62:BJ62" si="582">BG25+BG53</f>
        <v>946726.79121188226</v>
      </c>
      <c r="BH62" s="692">
        <f t="shared" si="582"/>
        <v>1053946.56194204</v>
      </c>
      <c r="BI62" s="692">
        <f t="shared" si="582"/>
        <v>1085493.0083652958</v>
      </c>
      <c r="BJ62" s="692">
        <f t="shared" si="582"/>
        <v>0</v>
      </c>
      <c r="BM62" s="692">
        <f t="shared" ref="BM62:BY62" si="583">BM25+BM53</f>
        <v>17244.274674608736</v>
      </c>
      <c r="BN62" s="692">
        <f t="shared" si="583"/>
        <v>-8944.2305837410804</v>
      </c>
      <c r="BO62" s="692">
        <f t="shared" si="583"/>
        <v>-36201.875418273579</v>
      </c>
      <c r="BP62" s="692">
        <f t="shared" si="583"/>
        <v>-41326.783473008916</v>
      </c>
      <c r="BQ62" s="692">
        <f t="shared" si="583"/>
        <v>-55361.047955825059</v>
      </c>
      <c r="BR62" s="692">
        <f t="shared" si="583"/>
        <v>0</v>
      </c>
      <c r="BS62" s="692">
        <f t="shared" si="583"/>
        <v>0</v>
      </c>
      <c r="BT62" s="692">
        <f t="shared" si="583"/>
        <v>0</v>
      </c>
      <c r="BU62" s="692">
        <f t="shared" si="583"/>
        <v>0</v>
      </c>
      <c r="BV62" s="692">
        <f t="shared" si="583"/>
        <v>0</v>
      </c>
      <c r="BW62" s="692">
        <f t="shared" si="583"/>
        <v>0</v>
      </c>
      <c r="BX62" s="692">
        <f t="shared" si="583"/>
        <v>0</v>
      </c>
      <c r="BY62" s="703">
        <f t="shared" si="583"/>
        <v>-124589.66275623989</v>
      </c>
      <c r="CA62" s="692">
        <f t="shared" ref="CA62:CD62" si="584">CA25+CA53</f>
        <v>-27901.831327405926</v>
      </c>
      <c r="CB62" s="692">
        <f t="shared" si="584"/>
        <v>-96687.831428833975</v>
      </c>
      <c r="CC62" s="692">
        <f t="shared" si="584"/>
        <v>0</v>
      </c>
      <c r="CD62" s="692">
        <f t="shared" si="584"/>
        <v>0</v>
      </c>
      <c r="CG62" s="693">
        <f t="shared" si="561"/>
        <v>1.056668378804495</v>
      </c>
      <c r="CH62" s="693">
        <f t="shared" si="561"/>
        <v>0.97108814363369178</v>
      </c>
      <c r="CI62" s="693">
        <f t="shared" si="561"/>
        <v>0.89970808885867259</v>
      </c>
      <c r="CJ62" s="693">
        <f t="shared" si="561"/>
        <v>0.89253877137497395</v>
      </c>
      <c r="CK62" s="693">
        <f t="shared" si="561"/>
        <v>0.86677517269088389</v>
      </c>
      <c r="CL62" s="693">
        <f t="shared" si="561"/>
        <v>1.0959590251322973</v>
      </c>
      <c r="CM62" s="693">
        <f t="shared" si="561"/>
        <v>1.014474929602742</v>
      </c>
      <c r="CN62" s="693">
        <f t="shared" si="561"/>
        <v>1.0412751087705194</v>
      </c>
      <c r="CO62" s="693">
        <f t="shared" si="561"/>
        <v>0.85243792800533069</v>
      </c>
      <c r="CP62" s="693">
        <f t="shared" si="561"/>
        <v>0</v>
      </c>
      <c r="CQ62" s="693">
        <f t="shared" si="561"/>
        <v>0</v>
      </c>
      <c r="CR62" s="693">
        <f t="shared" si="561"/>
        <v>0</v>
      </c>
      <c r="CS62" s="705">
        <f t="shared" si="561"/>
        <v>0.65760145443195561</v>
      </c>
      <c r="CT62" s="633"/>
      <c r="CU62" s="693">
        <f t="shared" si="562"/>
        <v>0.97137183263229976</v>
      </c>
      <c r="CV62" s="693">
        <f t="shared" si="562"/>
        <v>0.94107047282409884</v>
      </c>
      <c r="CW62" s="693">
        <f t="shared" si="562"/>
        <v>0.96809487271956596</v>
      </c>
      <c r="CX62" s="693">
        <f t="shared" si="562"/>
        <v>0</v>
      </c>
      <c r="DA62" s="693">
        <f t="shared" si="563"/>
        <v>0.86090257138344972</v>
      </c>
      <c r="DB62" s="693">
        <f t="shared" si="564"/>
        <v>0.87488252561414115</v>
      </c>
      <c r="DC62" s="693">
        <f t="shared" si="565"/>
        <v>0.80797267892220825</v>
      </c>
      <c r="DD62" s="693">
        <f t="shared" si="566"/>
        <v>0.8223818885133567</v>
      </c>
      <c r="DE62" s="693">
        <f t="shared" si="567"/>
        <v>0.81049832608865824</v>
      </c>
      <c r="DF62" s="693">
        <f t="shared" si="568"/>
        <v>0.80050475764625018</v>
      </c>
      <c r="DG62" s="693">
        <f t="shared" si="569"/>
        <v>0.76781850824509368</v>
      </c>
      <c r="DH62" s="693">
        <f t="shared" si="570"/>
        <v>0.86698231344231902</v>
      </c>
      <c r="DI62" s="693">
        <f t="shared" si="571"/>
        <v>0.67988545049681393</v>
      </c>
      <c r="DJ62" s="693">
        <f t="shared" si="572"/>
        <v>0</v>
      </c>
      <c r="DK62" s="693">
        <f t="shared" si="573"/>
        <v>0</v>
      </c>
      <c r="DL62" s="693">
        <f t="shared" si="574"/>
        <v>0</v>
      </c>
      <c r="DM62" s="705">
        <f t="shared" si="575"/>
        <v>0.57760589731621415</v>
      </c>
      <c r="DN62" s="633"/>
      <c r="DO62" s="693">
        <f t="shared" si="576"/>
        <v>-2.4938458172037395E-2</v>
      </c>
      <c r="DP62" s="693">
        <f t="shared" si="576"/>
        <v>-7.4395405678225404E-2</v>
      </c>
      <c r="DQ62" s="693">
        <f t="shared" si="576"/>
        <v>0</v>
      </c>
      <c r="DR62" s="693">
        <f t="shared" si="576"/>
        <v>0</v>
      </c>
    </row>
    <row r="63" spans="1:123">
      <c r="C63" s="690" t="s">
        <v>177</v>
      </c>
      <c r="D63" s="691" t="s">
        <v>88</v>
      </c>
      <c r="E63" s="692">
        <f>E26+E54</f>
        <v>452674.40495732962</v>
      </c>
      <c r="F63" s="692">
        <f t="shared" ref="F63:Q63" si="585">F26+F54</f>
        <v>413104.50613738399</v>
      </c>
      <c r="G63" s="692">
        <f t="shared" si="585"/>
        <v>488962.54918455041</v>
      </c>
      <c r="H63" s="692">
        <f t="shared" si="585"/>
        <v>512904.30462466466</v>
      </c>
      <c r="I63" s="692">
        <f t="shared" si="585"/>
        <v>545465.09988804697</v>
      </c>
      <c r="J63" s="692">
        <f t="shared" si="585"/>
        <v>537820.66110257187</v>
      </c>
      <c r="K63" s="692">
        <f t="shared" si="585"/>
        <v>573052.85939670494</v>
      </c>
      <c r="L63" s="692">
        <f t="shared" si="585"/>
        <v>571210.23645285971</v>
      </c>
      <c r="M63" s="692">
        <f t="shared" si="585"/>
        <v>601807.17293702986</v>
      </c>
      <c r="N63" s="692">
        <f t="shared" si="585"/>
        <v>641897.36294560169</v>
      </c>
      <c r="O63" s="692">
        <f t="shared" si="585"/>
        <v>663771.14000032004</v>
      </c>
      <c r="P63" s="692">
        <f t="shared" si="585"/>
        <v>736459.75509752485</v>
      </c>
      <c r="Q63" s="703">
        <f t="shared" si="585"/>
        <v>6739130.0527245868</v>
      </c>
      <c r="S63" s="692">
        <f t="shared" ref="S63:V63" si="586">S26+S54</f>
        <v>1354741.460279264</v>
      </c>
      <c r="T63" s="692">
        <f t="shared" si="586"/>
        <v>1596190.0656152836</v>
      </c>
      <c r="U63" s="692">
        <f t="shared" si="586"/>
        <v>1746070.2687865947</v>
      </c>
      <c r="V63" s="692">
        <f t="shared" si="586"/>
        <v>2042128.2580434466</v>
      </c>
      <c r="X63" s="721" t="s">
        <v>88</v>
      </c>
      <c r="Y63" s="692">
        <f t="shared" ref="Y63:AK63" si="587">Y26+Y54</f>
        <v>459284.10577049595</v>
      </c>
      <c r="Z63" s="692">
        <f t="shared" si="587"/>
        <v>419003.720809797</v>
      </c>
      <c r="AA63" s="692">
        <f t="shared" si="587"/>
        <v>496243.39516930771</v>
      </c>
      <c r="AB63" s="692">
        <f t="shared" si="587"/>
        <v>520549.2017144069</v>
      </c>
      <c r="AC63" s="692">
        <f t="shared" si="587"/>
        <v>553747.37549953908</v>
      </c>
      <c r="AD63" s="692">
        <f t="shared" si="587"/>
        <v>545948.82378289569</v>
      </c>
      <c r="AE63" s="692">
        <f t="shared" si="587"/>
        <v>581828.63208272052</v>
      </c>
      <c r="AF63" s="692">
        <f t="shared" si="587"/>
        <v>579904.08885949256</v>
      </c>
      <c r="AG63" s="692">
        <f t="shared" si="587"/>
        <v>610979.67902787507</v>
      </c>
      <c r="AH63" s="692">
        <f t="shared" si="587"/>
        <v>651739.34986977384</v>
      </c>
      <c r="AI63" s="692">
        <f t="shared" si="587"/>
        <v>638940.29255606502</v>
      </c>
      <c r="AJ63" s="692">
        <f t="shared" si="587"/>
        <v>680961.38758221967</v>
      </c>
      <c r="AK63" s="703">
        <f t="shared" si="587"/>
        <v>6739130.0527245877</v>
      </c>
      <c r="AM63" s="692">
        <f t="shared" ref="AM63:AP63" si="588">AM26+AM54</f>
        <v>1374531.2217496005</v>
      </c>
      <c r="AN63" s="692">
        <f t="shared" si="588"/>
        <v>1620245.4009968417</v>
      </c>
      <c r="AO63" s="692">
        <f t="shared" si="588"/>
        <v>1772712.3999700884</v>
      </c>
      <c r="AP63" s="692">
        <f t="shared" si="588"/>
        <v>1971641.0300080588</v>
      </c>
      <c r="AR63" s="721" t="s">
        <v>88</v>
      </c>
      <c r="AS63" s="692">
        <f t="shared" ref="AS63:BE63" si="589">AS26+AS54</f>
        <v>371856.89600499999</v>
      </c>
      <c r="AT63" s="692">
        <f t="shared" si="589"/>
        <v>332877.08232699992</v>
      </c>
      <c r="AU63" s="692">
        <f t="shared" si="589"/>
        <v>561698.31359899999</v>
      </c>
      <c r="AV63" s="692">
        <f t="shared" si="589"/>
        <v>545611.38</v>
      </c>
      <c r="AW63" s="692">
        <f t="shared" si="589"/>
        <v>560704.11</v>
      </c>
      <c r="AX63" s="692">
        <f t="shared" si="589"/>
        <v>613078.31999999995</v>
      </c>
      <c r="AY63" s="692">
        <f t="shared" si="589"/>
        <v>509993.69</v>
      </c>
      <c r="AZ63" s="692">
        <f t="shared" si="589"/>
        <v>590994.68999999994</v>
      </c>
      <c r="BA63" s="692">
        <f t="shared" si="589"/>
        <v>492619.35400035826</v>
      </c>
      <c r="BB63" s="692">
        <f t="shared" si="589"/>
        <v>0</v>
      </c>
      <c r="BC63" s="692">
        <f t="shared" si="589"/>
        <v>0</v>
      </c>
      <c r="BD63" s="692">
        <f t="shared" si="589"/>
        <v>0</v>
      </c>
      <c r="BE63" s="703">
        <f t="shared" si="589"/>
        <v>4579433.8359313579</v>
      </c>
      <c r="BG63" s="692">
        <f t="shared" ref="BG63:BJ63" si="590">BG26+BG54</f>
        <v>1266432.2919309998</v>
      </c>
      <c r="BH63" s="692">
        <f t="shared" si="590"/>
        <v>1719393.81</v>
      </c>
      <c r="BI63" s="692">
        <f t="shared" si="590"/>
        <v>1593607.7340003583</v>
      </c>
      <c r="BJ63" s="692">
        <f t="shared" si="590"/>
        <v>0</v>
      </c>
      <c r="BM63" s="692">
        <f t="shared" ref="BM63:BY63" si="591">BM26+BM54</f>
        <v>-80817.508952329634</v>
      </c>
      <c r="BN63" s="692">
        <f t="shared" si="591"/>
        <v>-80227.423810384018</v>
      </c>
      <c r="BO63" s="692">
        <f t="shared" si="591"/>
        <v>72735.764414449586</v>
      </c>
      <c r="BP63" s="692">
        <f t="shared" si="591"/>
        <v>32707.075375335393</v>
      </c>
      <c r="BQ63" s="692">
        <f t="shared" si="591"/>
        <v>15239.010111953034</v>
      </c>
      <c r="BR63" s="692">
        <f t="shared" si="591"/>
        <v>0</v>
      </c>
      <c r="BS63" s="692">
        <f t="shared" si="591"/>
        <v>0</v>
      </c>
      <c r="BT63" s="692">
        <f t="shared" si="591"/>
        <v>0</v>
      </c>
      <c r="BU63" s="692">
        <f t="shared" si="591"/>
        <v>0</v>
      </c>
      <c r="BV63" s="692">
        <f t="shared" si="591"/>
        <v>0</v>
      </c>
      <c r="BW63" s="692">
        <f t="shared" si="591"/>
        <v>0</v>
      </c>
      <c r="BX63" s="692">
        <f t="shared" si="591"/>
        <v>0</v>
      </c>
      <c r="BY63" s="703">
        <f t="shared" si="591"/>
        <v>-40363.082860975643</v>
      </c>
      <c r="CA63" s="692">
        <f t="shared" ref="CA63:CD63" si="592">CA26+CA54</f>
        <v>-88309.168348264066</v>
      </c>
      <c r="CB63" s="692">
        <f t="shared" si="592"/>
        <v>47946.085487288423</v>
      </c>
      <c r="CC63" s="692">
        <f t="shared" si="592"/>
        <v>0</v>
      </c>
      <c r="CD63" s="692">
        <f t="shared" si="592"/>
        <v>0</v>
      </c>
      <c r="CG63" s="693">
        <f t="shared" si="561"/>
        <v>0.82146658157103514</v>
      </c>
      <c r="CH63" s="693">
        <f t="shared" si="561"/>
        <v>0.80579387874383712</v>
      </c>
      <c r="CI63" s="693">
        <f t="shared" si="561"/>
        <v>1.1487552871600331</v>
      </c>
      <c r="CJ63" s="693">
        <f t="shared" si="561"/>
        <v>1.0637683776104587</v>
      </c>
      <c r="CK63" s="693">
        <f t="shared" si="561"/>
        <v>1.0279376446175579</v>
      </c>
      <c r="CL63" s="693">
        <f t="shared" si="561"/>
        <v>1.1399307693816454</v>
      </c>
      <c r="CM63" s="693">
        <f t="shared" si="561"/>
        <v>0.88995924483634548</v>
      </c>
      <c r="CN63" s="693">
        <f t="shared" si="561"/>
        <v>1.0346360276559452</v>
      </c>
      <c r="CO63" s="693">
        <f t="shared" si="561"/>
        <v>0.81856677047600346</v>
      </c>
      <c r="CP63" s="693">
        <f t="shared" si="561"/>
        <v>0</v>
      </c>
      <c r="CQ63" s="693">
        <f t="shared" si="561"/>
        <v>0</v>
      </c>
      <c r="CR63" s="693">
        <f t="shared" si="561"/>
        <v>0</v>
      </c>
      <c r="CS63" s="705">
        <f t="shared" si="561"/>
        <v>0.67952893030754358</v>
      </c>
      <c r="CT63" s="633"/>
      <c r="CU63" s="693">
        <f t="shared" si="562"/>
        <v>0.93481474440882595</v>
      </c>
      <c r="CV63" s="693">
        <f t="shared" si="562"/>
        <v>1.0771861365627691</v>
      </c>
      <c r="CW63" s="693">
        <f t="shared" si="562"/>
        <v>0.91268247474817377</v>
      </c>
      <c r="CX63" s="693">
        <f t="shared" si="562"/>
        <v>0</v>
      </c>
      <c r="DA63" s="693">
        <f t="shared" si="563"/>
        <v>0.80964459978681846</v>
      </c>
      <c r="DB63" s="693">
        <f t="shared" si="564"/>
        <v>0.79444898886257509</v>
      </c>
      <c r="DC63" s="693">
        <f t="shared" si="565"/>
        <v>1.1319008354909397</v>
      </c>
      <c r="DD63" s="693">
        <f t="shared" si="566"/>
        <v>1.0481456473337234</v>
      </c>
      <c r="DE63" s="693">
        <f t="shared" si="567"/>
        <v>1.0125630112362793</v>
      </c>
      <c r="DF63" s="693">
        <f t="shared" si="568"/>
        <v>1.1229593201647765</v>
      </c>
      <c r="DG63" s="693">
        <f t="shared" si="569"/>
        <v>0.87653591088224836</v>
      </c>
      <c r="DH63" s="693">
        <f t="shared" si="570"/>
        <v>1.0191248886730899</v>
      </c>
      <c r="DI63" s="693">
        <f t="shared" si="571"/>
        <v>0.8062778041720815</v>
      </c>
      <c r="DJ63" s="693">
        <f t="shared" si="572"/>
        <v>0</v>
      </c>
      <c r="DK63" s="693">
        <f t="shared" si="573"/>
        <v>0</v>
      </c>
      <c r="DL63" s="693">
        <f t="shared" si="574"/>
        <v>0</v>
      </c>
      <c r="DM63" s="705">
        <f t="shared" si="575"/>
        <v>0.67952893030754347</v>
      </c>
      <c r="DN63" s="633"/>
      <c r="DO63" s="693">
        <f t="shared" si="576"/>
        <v>-6.4246753330097453E-2</v>
      </c>
      <c r="DP63" s="693">
        <f t="shared" si="576"/>
        <v>2.9591866428252175E-2</v>
      </c>
      <c r="DQ63" s="693">
        <f t="shared" si="576"/>
        <v>0</v>
      </c>
      <c r="DR63" s="693">
        <f t="shared" si="576"/>
        <v>0</v>
      </c>
    </row>
    <row r="64" spans="1:123">
      <c r="C64" s="690" t="s">
        <v>177</v>
      </c>
      <c r="D64" s="691" t="s">
        <v>89</v>
      </c>
      <c r="E64" s="692">
        <f>E27+E55</f>
        <v>186650.25336105726</v>
      </c>
      <c r="F64" s="692">
        <f t="shared" ref="F64:Q64" si="593">F27+F55</f>
        <v>173912.195989884</v>
      </c>
      <c r="G64" s="692">
        <f t="shared" si="593"/>
        <v>198794.24089938903</v>
      </c>
      <c r="H64" s="692">
        <f t="shared" si="593"/>
        <v>215040.07578997459</v>
      </c>
      <c r="I64" s="692">
        <f t="shared" si="593"/>
        <v>228394.09648017946</v>
      </c>
      <c r="J64" s="692">
        <f t="shared" si="593"/>
        <v>229258.48561982592</v>
      </c>
      <c r="K64" s="692">
        <f t="shared" si="593"/>
        <v>243973.24402306619</v>
      </c>
      <c r="L64" s="692">
        <f t="shared" si="593"/>
        <v>245822.63815510788</v>
      </c>
      <c r="M64" s="692">
        <f t="shared" si="593"/>
        <v>256553.19183949567</v>
      </c>
      <c r="N64" s="692">
        <f t="shared" si="593"/>
        <v>277429.22317627392</v>
      </c>
      <c r="O64" s="692">
        <f t="shared" si="593"/>
        <v>282656.87025403907</v>
      </c>
      <c r="P64" s="692">
        <f t="shared" si="593"/>
        <v>304023.0422597389</v>
      </c>
      <c r="Q64" s="703">
        <f t="shared" si="593"/>
        <v>2842507.5578480316</v>
      </c>
      <c r="S64" s="692">
        <f t="shared" ref="S64:V64" si="594">S27+S55</f>
        <v>559356.69025033026</v>
      </c>
      <c r="T64" s="692">
        <f t="shared" si="594"/>
        <v>672692.65788998001</v>
      </c>
      <c r="U64" s="692">
        <f t="shared" si="594"/>
        <v>746349.07401766977</v>
      </c>
      <c r="V64" s="692">
        <f t="shared" si="594"/>
        <v>864109.13569005183</v>
      </c>
      <c r="X64" s="721" t="s">
        <v>89</v>
      </c>
      <c r="Y64" s="692">
        <f t="shared" ref="Y64:AK64" si="595">Y27+Y55</f>
        <v>222979.51986973843</v>
      </c>
      <c r="Z64" s="692">
        <f t="shared" si="595"/>
        <v>206336.37797390134</v>
      </c>
      <c r="AA64" s="692">
        <f t="shared" si="595"/>
        <v>238812.3599740105</v>
      </c>
      <c r="AB64" s="692">
        <f t="shared" si="595"/>
        <v>257059.14921784558</v>
      </c>
      <c r="AC64" s="692">
        <f t="shared" si="595"/>
        <v>273916.42895684583</v>
      </c>
      <c r="AD64" s="692">
        <f t="shared" si="595"/>
        <v>273933.75861420948</v>
      </c>
      <c r="AE64" s="692">
        <f t="shared" si="595"/>
        <v>292208.01194097078</v>
      </c>
      <c r="AF64" s="692">
        <f t="shared" si="595"/>
        <v>293607.14308134664</v>
      </c>
      <c r="AG64" s="692">
        <f t="shared" si="595"/>
        <v>306968.54765454825</v>
      </c>
      <c r="AH64" s="692">
        <f t="shared" si="595"/>
        <v>331524.28376222</v>
      </c>
      <c r="AI64" s="692">
        <f t="shared" si="595"/>
        <v>322623.93375933345</v>
      </c>
      <c r="AJ64" s="692">
        <f t="shared" si="595"/>
        <v>336176.91546578897</v>
      </c>
      <c r="AK64" s="703">
        <f t="shared" si="595"/>
        <v>3356146.4302707589</v>
      </c>
      <c r="AM64" s="692">
        <f t="shared" ref="AM64:AP64" si="596">AM27+AM55</f>
        <v>668128.25781765021</v>
      </c>
      <c r="AN64" s="692">
        <f t="shared" si="596"/>
        <v>804909.3367889009</v>
      </c>
      <c r="AO64" s="692">
        <f t="shared" si="596"/>
        <v>892783.70267686574</v>
      </c>
      <c r="AP64" s="692">
        <f t="shared" si="596"/>
        <v>990325.13298734231</v>
      </c>
      <c r="AR64" s="721" t="s">
        <v>89</v>
      </c>
      <c r="AS64" s="692">
        <f t="shared" ref="AS64:BE64" si="597">AS27+AS55</f>
        <v>146475.24349300002</v>
      </c>
      <c r="AT64" s="692">
        <f t="shared" si="597"/>
        <v>116315.32551000001</v>
      </c>
      <c r="AU64" s="692">
        <f t="shared" si="597"/>
        <v>187342.43036999996</v>
      </c>
      <c r="AV64" s="692">
        <f t="shared" si="597"/>
        <v>168538.78000000003</v>
      </c>
      <c r="AW64" s="692">
        <f t="shared" si="597"/>
        <v>208563.73</v>
      </c>
      <c r="AX64" s="692">
        <f t="shared" si="597"/>
        <v>239683.63999999998</v>
      </c>
      <c r="AY64" s="692">
        <f t="shared" si="597"/>
        <v>306286.13</v>
      </c>
      <c r="AZ64" s="692">
        <f t="shared" si="597"/>
        <v>253807.22</v>
      </c>
      <c r="BA64" s="692">
        <f t="shared" si="597"/>
        <v>142000.29300000914</v>
      </c>
      <c r="BB64" s="692">
        <f t="shared" si="597"/>
        <v>0</v>
      </c>
      <c r="BC64" s="692">
        <f t="shared" si="597"/>
        <v>0</v>
      </c>
      <c r="BD64" s="692">
        <f t="shared" si="597"/>
        <v>0</v>
      </c>
      <c r="BE64" s="703">
        <f t="shared" si="597"/>
        <v>1769012.792373009</v>
      </c>
      <c r="BG64" s="692">
        <f t="shared" ref="BG64:BJ64" si="598">BG27+BG55</f>
        <v>450132.999373</v>
      </c>
      <c r="BH64" s="692">
        <f t="shared" si="598"/>
        <v>616786.15</v>
      </c>
      <c r="BI64" s="692">
        <f t="shared" si="598"/>
        <v>702093.64300000912</v>
      </c>
      <c r="BJ64" s="692">
        <f t="shared" si="598"/>
        <v>0</v>
      </c>
      <c r="BM64" s="692">
        <f t="shared" ref="BM64:BY64" si="599">BM27+BM55</f>
        <v>-40175.009868057256</v>
      </c>
      <c r="BN64" s="692">
        <f t="shared" si="599"/>
        <v>-57596.870479883983</v>
      </c>
      <c r="BO64" s="692">
        <f t="shared" si="599"/>
        <v>-11451.810529389066</v>
      </c>
      <c r="BP64" s="692">
        <f t="shared" si="599"/>
        <v>-46501.295789974611</v>
      </c>
      <c r="BQ64" s="692">
        <f t="shared" si="599"/>
        <v>-19830.36648017948</v>
      </c>
      <c r="BR64" s="692">
        <f t="shared" si="599"/>
        <v>0</v>
      </c>
      <c r="BS64" s="692">
        <f t="shared" si="599"/>
        <v>0</v>
      </c>
      <c r="BT64" s="692">
        <f t="shared" si="599"/>
        <v>0</v>
      </c>
      <c r="BU64" s="692">
        <f t="shared" si="599"/>
        <v>0</v>
      </c>
      <c r="BV64" s="692">
        <f t="shared" si="599"/>
        <v>0</v>
      </c>
      <c r="BW64" s="692">
        <f t="shared" si="599"/>
        <v>0</v>
      </c>
      <c r="BX64" s="692">
        <f t="shared" si="599"/>
        <v>0</v>
      </c>
      <c r="BY64" s="703">
        <f t="shared" si="599"/>
        <v>-175555.35314748442</v>
      </c>
      <c r="CA64" s="692">
        <f t="shared" ref="CA64:CD64" si="600">CA27+CA55</f>
        <v>-109223.69087733033</v>
      </c>
      <c r="CB64" s="692">
        <f t="shared" si="600"/>
        <v>-66331.662270154076</v>
      </c>
      <c r="CC64" s="692">
        <f t="shared" si="600"/>
        <v>0</v>
      </c>
      <c r="CD64" s="692">
        <f t="shared" si="600"/>
        <v>0</v>
      </c>
      <c r="CG64" s="693">
        <f t="shared" si="561"/>
        <v>0.7847578069431147</v>
      </c>
      <c r="CH64" s="693">
        <f t="shared" si="561"/>
        <v>0.66881638086362705</v>
      </c>
      <c r="CI64" s="693">
        <f t="shared" si="561"/>
        <v>0.942393650451952</v>
      </c>
      <c r="CJ64" s="693">
        <f t="shared" si="561"/>
        <v>0.78375521111984969</v>
      </c>
      <c r="CK64" s="693">
        <f t="shared" si="561"/>
        <v>0.91317478522523732</v>
      </c>
      <c r="CL64" s="693">
        <f t="shared" si="561"/>
        <v>1.0454733631864856</v>
      </c>
      <c r="CM64" s="693">
        <f t="shared" si="561"/>
        <v>1.2554086872372059</v>
      </c>
      <c r="CN64" s="693">
        <f t="shared" si="561"/>
        <v>1.0324810680774406</v>
      </c>
      <c r="CO64" s="693">
        <f t="shared" si="561"/>
        <v>0.55349259926123662</v>
      </c>
      <c r="CP64" s="693">
        <f t="shared" si="561"/>
        <v>0</v>
      </c>
      <c r="CQ64" s="693">
        <f t="shared" si="561"/>
        <v>0</v>
      </c>
      <c r="CR64" s="693">
        <f t="shared" si="561"/>
        <v>0</v>
      </c>
      <c r="CS64" s="705">
        <f t="shared" si="561"/>
        <v>0.62234233555117446</v>
      </c>
      <c r="CT64" s="633"/>
      <c r="CU64" s="693">
        <f t="shared" si="562"/>
        <v>0.80473337893134145</v>
      </c>
      <c r="CV64" s="693">
        <f t="shared" si="562"/>
        <v>0.91689145520728488</v>
      </c>
      <c r="CW64" s="693">
        <f t="shared" si="562"/>
        <v>0.94070411211280891</v>
      </c>
      <c r="CX64" s="693">
        <f t="shared" si="562"/>
        <v>0</v>
      </c>
      <c r="DA64" s="693">
        <f t="shared" si="563"/>
        <v>0.65689998605508182</v>
      </c>
      <c r="DB64" s="693">
        <f t="shared" si="564"/>
        <v>0.56371700740386299</v>
      </c>
      <c r="DC64" s="693">
        <f t="shared" si="565"/>
        <v>0.7844754366582537</v>
      </c>
      <c r="DD64" s="693">
        <f t="shared" si="566"/>
        <v>0.65564202057313781</v>
      </c>
      <c r="DE64" s="693">
        <f t="shared" si="567"/>
        <v>0.76141373043695082</v>
      </c>
      <c r="DF64" s="693">
        <f t="shared" si="568"/>
        <v>0.87496934007887239</v>
      </c>
      <c r="DG64" s="693">
        <f t="shared" si="569"/>
        <v>1.0481784122396793</v>
      </c>
      <c r="DH64" s="693">
        <f t="shared" si="570"/>
        <v>0.86444497683654886</v>
      </c>
      <c r="DI64" s="693">
        <f t="shared" si="571"/>
        <v>0.46258906355387047</v>
      </c>
      <c r="DJ64" s="693">
        <f t="shared" si="572"/>
        <v>0</v>
      </c>
      <c r="DK64" s="693">
        <f t="shared" si="573"/>
        <v>0</v>
      </c>
      <c r="DL64" s="693">
        <f t="shared" si="574"/>
        <v>0</v>
      </c>
      <c r="DM64" s="705">
        <f t="shared" si="575"/>
        <v>0.52709642714555005</v>
      </c>
      <c r="DN64" s="633"/>
      <c r="DO64" s="693">
        <f t="shared" si="576"/>
        <v>-0.163477131223419</v>
      </c>
      <c r="DP64" s="693">
        <f t="shared" si="576"/>
        <v>-8.2408861766689281E-2</v>
      </c>
      <c r="DQ64" s="693">
        <f t="shared" si="576"/>
        <v>0</v>
      </c>
      <c r="DR64" s="693">
        <f t="shared" si="576"/>
        <v>0</v>
      </c>
    </row>
    <row r="65" spans="3:123">
      <c r="C65" s="690" t="s">
        <v>176</v>
      </c>
      <c r="D65" s="691" t="s">
        <v>90</v>
      </c>
      <c r="E65" s="692">
        <f>E28+E56</f>
        <v>15291.23054137792</v>
      </c>
      <c r="F65" s="692">
        <f t="shared" ref="F65:Q65" si="601">F28+F56</f>
        <v>13624.672309557674</v>
      </c>
      <c r="G65" s="692">
        <f t="shared" si="601"/>
        <v>16765.518968186116</v>
      </c>
      <c r="H65" s="692">
        <f t="shared" si="601"/>
        <v>17955.561995525888</v>
      </c>
      <c r="I65" s="692">
        <f t="shared" si="601"/>
        <v>19181.345126773409</v>
      </c>
      <c r="J65" s="692">
        <f t="shared" si="601"/>
        <v>18905.908122746721</v>
      </c>
      <c r="K65" s="692">
        <f t="shared" si="601"/>
        <v>20348.352083046193</v>
      </c>
      <c r="L65" s="692">
        <f t="shared" si="601"/>
        <v>20405.537551781992</v>
      </c>
      <c r="M65" s="692">
        <f t="shared" si="601"/>
        <v>21889.379794629003</v>
      </c>
      <c r="N65" s="692">
        <f t="shared" si="601"/>
        <v>23716.814260795083</v>
      </c>
      <c r="O65" s="692">
        <f t="shared" si="601"/>
        <v>25163.389212419355</v>
      </c>
      <c r="P65" s="692">
        <f t="shared" si="601"/>
        <v>28778.293391948228</v>
      </c>
      <c r="Q65" s="703">
        <f t="shared" si="601"/>
        <v>242026.0033587876</v>
      </c>
      <c r="S65" s="692">
        <f t="shared" ref="S65:V65" si="602">S28+S56</f>
        <v>45681.421819121715</v>
      </c>
      <c r="T65" s="692">
        <f t="shared" si="602"/>
        <v>56042.815245046018</v>
      </c>
      <c r="U65" s="692">
        <f t="shared" si="602"/>
        <v>62643.269429457185</v>
      </c>
      <c r="V65" s="692">
        <f t="shared" si="602"/>
        <v>77658.49686516267</v>
      </c>
      <c r="X65" s="721" t="s">
        <v>90</v>
      </c>
      <c r="Y65" s="692">
        <f t="shared" ref="Y65:AK65" si="603">Y28+Y56</f>
        <v>15550.27864227542</v>
      </c>
      <c r="Z65" s="692">
        <f t="shared" si="603"/>
        <v>13855.874961670334</v>
      </c>
      <c r="AA65" s="692">
        <f t="shared" si="603"/>
        <v>17050.870662399197</v>
      </c>
      <c r="AB65" s="692">
        <f t="shared" si="603"/>
        <v>18255.18161956541</v>
      </c>
      <c r="AC65" s="692">
        <f t="shared" si="603"/>
        <v>19505.944957978012</v>
      </c>
      <c r="AD65" s="692">
        <f t="shared" si="603"/>
        <v>19224.467943477124</v>
      </c>
      <c r="AE65" s="692">
        <f t="shared" si="603"/>
        <v>20692.293104354158</v>
      </c>
      <c r="AF65" s="692">
        <f t="shared" si="603"/>
        <v>20746.267944742482</v>
      </c>
      <c r="AG65" s="692">
        <f t="shared" si="603"/>
        <v>22248.869633952909</v>
      </c>
      <c r="AH65" s="692">
        <f t="shared" si="603"/>
        <v>24102.542464511393</v>
      </c>
      <c r="AI65" s="692">
        <f t="shared" si="603"/>
        <v>24190.215984775412</v>
      </c>
      <c r="AJ65" s="692">
        <f t="shared" si="603"/>
        <v>26603.195439085754</v>
      </c>
      <c r="AK65" s="703">
        <f t="shared" si="603"/>
        <v>242026.00335878762</v>
      </c>
      <c r="AM65" s="692">
        <f t="shared" ref="AM65:AP65" si="604">AM28+AM56</f>
        <v>46457.024266344946</v>
      </c>
      <c r="AN65" s="692">
        <f t="shared" si="604"/>
        <v>56985.594521020539</v>
      </c>
      <c r="AO65" s="692">
        <f t="shared" si="604"/>
        <v>63687.430683049548</v>
      </c>
      <c r="AP65" s="692">
        <f t="shared" si="604"/>
        <v>74895.953888372562</v>
      </c>
      <c r="AR65" s="721" t="s">
        <v>90</v>
      </c>
      <c r="AS65" s="692">
        <f t="shared" ref="AS65:BE65" si="605">AS28+AS56</f>
        <v>16160.630986999999</v>
      </c>
      <c r="AT65" s="692">
        <f t="shared" si="605"/>
        <v>16922.268097</v>
      </c>
      <c r="AU65" s="692">
        <f t="shared" si="605"/>
        <v>38723.666037999988</v>
      </c>
      <c r="AV65" s="692">
        <f t="shared" si="605"/>
        <v>123621.13</v>
      </c>
      <c r="AW65" s="692">
        <f t="shared" si="605"/>
        <v>181215.37000000002</v>
      </c>
      <c r="AX65" s="692">
        <f t="shared" si="605"/>
        <v>54880.82</v>
      </c>
      <c r="AY65" s="692">
        <f t="shared" si="605"/>
        <v>49957.64</v>
      </c>
      <c r="AZ65" s="692">
        <f t="shared" si="605"/>
        <v>66003.75</v>
      </c>
      <c r="BA65" s="692">
        <f t="shared" si="605"/>
        <v>99550.214999994321</v>
      </c>
      <c r="BB65" s="692">
        <f t="shared" si="605"/>
        <v>0</v>
      </c>
      <c r="BC65" s="692">
        <f t="shared" si="605"/>
        <v>0</v>
      </c>
      <c r="BD65" s="692">
        <f t="shared" si="605"/>
        <v>0</v>
      </c>
      <c r="BE65" s="703">
        <f t="shared" si="605"/>
        <v>647035.49012199428</v>
      </c>
      <c r="BG65" s="692">
        <f t="shared" ref="BG65:BJ65" si="606">BG28+BG56</f>
        <v>71806.565121999985</v>
      </c>
      <c r="BH65" s="692">
        <f t="shared" si="606"/>
        <v>359717.32</v>
      </c>
      <c r="BI65" s="692">
        <f t="shared" si="606"/>
        <v>215511.60499999434</v>
      </c>
      <c r="BJ65" s="692">
        <f t="shared" si="606"/>
        <v>0</v>
      </c>
      <c r="BM65" s="692">
        <f t="shared" ref="BM65:BY65" si="607">BM28+BM56</f>
        <v>869.40044562207913</v>
      </c>
      <c r="BN65" s="692">
        <f t="shared" si="607"/>
        <v>3297.5957874423239</v>
      </c>
      <c r="BO65" s="692">
        <f t="shared" si="607"/>
        <v>21958.147069813869</v>
      </c>
      <c r="BP65" s="692">
        <f t="shared" si="607"/>
        <v>105665.56800447412</v>
      </c>
      <c r="BQ65" s="692">
        <f t="shared" si="607"/>
        <v>162034.02487322662</v>
      </c>
      <c r="BR65" s="692">
        <f t="shared" si="607"/>
        <v>0</v>
      </c>
      <c r="BS65" s="692">
        <f t="shared" si="607"/>
        <v>0</v>
      </c>
      <c r="BT65" s="692">
        <f t="shared" si="607"/>
        <v>0</v>
      </c>
      <c r="BU65" s="692">
        <f t="shared" si="607"/>
        <v>0</v>
      </c>
      <c r="BV65" s="692">
        <f t="shared" si="607"/>
        <v>0</v>
      </c>
      <c r="BW65" s="692">
        <f t="shared" si="607"/>
        <v>0</v>
      </c>
      <c r="BX65" s="692">
        <f t="shared" si="607"/>
        <v>0</v>
      </c>
      <c r="BY65" s="703">
        <f t="shared" si="607"/>
        <v>293824.73618057894</v>
      </c>
      <c r="CA65" s="692">
        <f t="shared" ref="CA65:CD65" si="608">CA28+CA56</f>
        <v>26125.14330287827</v>
      </c>
      <c r="CB65" s="692">
        <f t="shared" si="608"/>
        <v>267699.59287770075</v>
      </c>
      <c r="CC65" s="692">
        <f t="shared" si="608"/>
        <v>0</v>
      </c>
      <c r="CD65" s="692">
        <f t="shared" si="608"/>
        <v>0</v>
      </c>
      <c r="CG65" s="693">
        <f t="shared" si="561"/>
        <v>1.0568561466174675</v>
      </c>
      <c r="CH65" s="693">
        <f t="shared" si="561"/>
        <v>1.2420311999084976</v>
      </c>
      <c r="CI65" s="693">
        <f t="shared" si="561"/>
        <v>2.3097206899160816</v>
      </c>
      <c r="CJ65" s="693">
        <f t="shared" si="561"/>
        <v>6.8848376915634022</v>
      </c>
      <c r="CK65" s="693">
        <f t="shared" si="561"/>
        <v>9.4474797675716076</v>
      </c>
      <c r="CL65" s="693">
        <f t="shared" si="561"/>
        <v>2.9028396649177575</v>
      </c>
      <c r="CM65" s="693">
        <f t="shared" si="561"/>
        <v>2.45511969697161</v>
      </c>
      <c r="CN65" s="693">
        <f t="shared" si="561"/>
        <v>3.2345999135041641</v>
      </c>
      <c r="CO65" s="693">
        <f t="shared" si="561"/>
        <v>4.5478773694822072</v>
      </c>
      <c r="CP65" s="693">
        <f t="shared" si="561"/>
        <v>0</v>
      </c>
      <c r="CQ65" s="693">
        <f t="shared" si="561"/>
        <v>0</v>
      </c>
      <c r="CR65" s="693">
        <f t="shared" si="561"/>
        <v>0</v>
      </c>
      <c r="CS65" s="705">
        <f t="shared" si="561"/>
        <v>2.6734131090980617</v>
      </c>
      <c r="CT65" s="633"/>
      <c r="CU65" s="693">
        <f t="shared" si="562"/>
        <v>1.5718986463758138</v>
      </c>
      <c r="CV65" s="693">
        <f t="shared" si="562"/>
        <v>6.4186161674274151</v>
      </c>
      <c r="CW65" s="693">
        <f t="shared" si="562"/>
        <v>3.4402994441834287</v>
      </c>
      <c r="CX65" s="693">
        <f t="shared" si="562"/>
        <v>0</v>
      </c>
      <c r="DA65" s="693">
        <f t="shared" si="563"/>
        <v>1.0392502513148065</v>
      </c>
      <c r="DB65" s="693">
        <f t="shared" si="564"/>
        <v>1.2213063515521225</v>
      </c>
      <c r="DC65" s="693">
        <f t="shared" si="565"/>
        <v>2.2710667862488645</v>
      </c>
      <c r="DD65" s="693">
        <f t="shared" si="566"/>
        <v>6.7718378582169905</v>
      </c>
      <c r="DE65" s="693">
        <f t="shared" si="567"/>
        <v>9.2902635781242786</v>
      </c>
      <c r="DF65" s="693">
        <f t="shared" si="568"/>
        <v>2.8547380432768286</v>
      </c>
      <c r="DG65" s="693">
        <f t="shared" si="569"/>
        <v>2.4143114418521217</v>
      </c>
      <c r="DH65" s="693">
        <f t="shared" si="570"/>
        <v>3.1814758286068829</v>
      </c>
      <c r="DI65" s="693">
        <f t="shared" si="571"/>
        <v>4.4743942788030733</v>
      </c>
      <c r="DJ65" s="693">
        <f t="shared" si="572"/>
        <v>0</v>
      </c>
      <c r="DK65" s="693">
        <f t="shared" si="573"/>
        <v>0</v>
      </c>
      <c r="DL65" s="693">
        <f t="shared" si="574"/>
        <v>0</v>
      </c>
      <c r="DM65" s="705">
        <f t="shared" si="575"/>
        <v>2.6734131090980613</v>
      </c>
      <c r="DN65" s="633"/>
      <c r="DO65" s="693">
        <f t="shared" si="576"/>
        <v>0.56235076859634803</v>
      </c>
      <c r="DP65" s="693">
        <f t="shared" si="576"/>
        <v>4.6976713172476101</v>
      </c>
      <c r="DQ65" s="693">
        <f t="shared" si="576"/>
        <v>0</v>
      </c>
      <c r="DR65" s="693">
        <f t="shared" si="576"/>
        <v>0</v>
      </c>
    </row>
    <row r="66" spans="3:123" s="816" customFormat="1">
      <c r="C66" s="690" t="s">
        <v>161</v>
      </c>
      <c r="D66" s="691" t="s">
        <v>147</v>
      </c>
      <c r="E66" s="692">
        <f>E29+E57</f>
        <v>0</v>
      </c>
      <c r="F66" s="692">
        <f t="shared" ref="F66:Q66" si="609">F29+F57</f>
        <v>0</v>
      </c>
      <c r="G66" s="692">
        <f t="shared" si="609"/>
        <v>0</v>
      </c>
      <c r="H66" s="692">
        <f t="shared" si="609"/>
        <v>13322.250000000002</v>
      </c>
      <c r="I66" s="692">
        <f t="shared" si="609"/>
        <v>55935.9</v>
      </c>
      <c r="J66" s="692">
        <f t="shared" si="609"/>
        <v>55935.9</v>
      </c>
      <c r="K66" s="692">
        <f t="shared" si="609"/>
        <v>55935.9</v>
      </c>
      <c r="L66" s="692">
        <f t="shared" si="609"/>
        <v>55935.9</v>
      </c>
      <c r="M66" s="692">
        <f t="shared" si="609"/>
        <v>55935.9</v>
      </c>
      <c r="N66" s="692">
        <f t="shared" si="609"/>
        <v>55935.9</v>
      </c>
      <c r="O66" s="692">
        <f t="shared" si="609"/>
        <v>55935.9</v>
      </c>
      <c r="P66" s="692">
        <f t="shared" si="609"/>
        <v>55935.9</v>
      </c>
      <c r="Q66" s="703">
        <f t="shared" si="609"/>
        <v>460809.45000000007</v>
      </c>
      <c r="S66" s="692">
        <f t="shared" ref="S66:V66" si="610">S29+S57</f>
        <v>0</v>
      </c>
      <c r="T66" s="692">
        <f t="shared" si="610"/>
        <v>125194.05000000002</v>
      </c>
      <c r="U66" s="692">
        <f t="shared" si="610"/>
        <v>167807.7</v>
      </c>
      <c r="V66" s="692">
        <f t="shared" si="610"/>
        <v>167807.7</v>
      </c>
      <c r="W66" s="677"/>
      <c r="X66" s="721" t="s">
        <v>147</v>
      </c>
      <c r="Y66" s="692">
        <f t="shared" ref="Y66:AK66" si="611">Y29+Y57</f>
        <v>0</v>
      </c>
      <c r="Z66" s="692">
        <f t="shared" si="611"/>
        <v>0</v>
      </c>
      <c r="AA66" s="692">
        <f t="shared" si="611"/>
        <v>0</v>
      </c>
      <c r="AB66" s="692">
        <f t="shared" si="611"/>
        <v>13322.250000000002</v>
      </c>
      <c r="AC66" s="692">
        <f t="shared" si="611"/>
        <v>55935.9</v>
      </c>
      <c r="AD66" s="692">
        <f t="shared" si="611"/>
        <v>55935.9</v>
      </c>
      <c r="AE66" s="692">
        <f t="shared" si="611"/>
        <v>55935.9</v>
      </c>
      <c r="AF66" s="692">
        <f t="shared" si="611"/>
        <v>55935.9</v>
      </c>
      <c r="AG66" s="692">
        <f t="shared" si="611"/>
        <v>55935.9</v>
      </c>
      <c r="AH66" s="692">
        <f t="shared" si="611"/>
        <v>55935.9</v>
      </c>
      <c r="AI66" s="692">
        <f t="shared" si="611"/>
        <v>55935.9</v>
      </c>
      <c r="AJ66" s="692">
        <f t="shared" si="611"/>
        <v>55935.9</v>
      </c>
      <c r="AK66" s="703">
        <f t="shared" si="611"/>
        <v>460809.45000000007</v>
      </c>
      <c r="AM66" s="692">
        <f t="shared" ref="AM66:AP66" si="612">AM29+AM57</f>
        <v>0</v>
      </c>
      <c r="AN66" s="692">
        <f t="shared" si="612"/>
        <v>125194.05000000002</v>
      </c>
      <c r="AO66" s="692">
        <f t="shared" si="612"/>
        <v>167807.7</v>
      </c>
      <c r="AP66" s="692">
        <f t="shared" si="612"/>
        <v>167807.7</v>
      </c>
      <c r="AQ66" s="677"/>
      <c r="AR66" s="721" t="s">
        <v>147</v>
      </c>
      <c r="AS66" s="692">
        <f t="shared" ref="AS66:BE66" si="613">AS29+AS57</f>
        <v>1637.97</v>
      </c>
      <c r="AT66" s="692">
        <f t="shared" si="613"/>
        <v>0</v>
      </c>
      <c r="AU66" s="692">
        <f t="shared" si="613"/>
        <v>1816.0700000000015</v>
      </c>
      <c r="AV66" s="692">
        <f t="shared" si="613"/>
        <v>0</v>
      </c>
      <c r="AW66" s="692">
        <f t="shared" si="613"/>
        <v>-1486.6900000000005</v>
      </c>
      <c r="AX66" s="692">
        <f t="shared" si="613"/>
        <v>120349.97</v>
      </c>
      <c r="AY66" s="692">
        <f t="shared" si="613"/>
        <v>130149.69095628672</v>
      </c>
      <c r="AZ66" s="692">
        <f t="shared" si="613"/>
        <v>71849.39</v>
      </c>
      <c r="BA66" s="692">
        <f t="shared" si="613"/>
        <v>0</v>
      </c>
      <c r="BB66" s="692">
        <f t="shared" si="613"/>
        <v>0</v>
      </c>
      <c r="BC66" s="692">
        <f t="shared" si="613"/>
        <v>0</v>
      </c>
      <c r="BD66" s="692">
        <f t="shared" si="613"/>
        <v>0</v>
      </c>
      <c r="BE66" s="703">
        <f t="shared" si="613"/>
        <v>324316.40095628676</v>
      </c>
      <c r="BG66" s="692">
        <f t="shared" ref="BG66:BJ66" si="614">BG29+BG57</f>
        <v>3454.0400000000018</v>
      </c>
      <c r="BH66" s="692">
        <f t="shared" si="614"/>
        <v>118863.28</v>
      </c>
      <c r="BI66" s="692">
        <f t="shared" si="614"/>
        <v>201999.08095628672</v>
      </c>
      <c r="BJ66" s="692">
        <f t="shared" si="614"/>
        <v>0</v>
      </c>
      <c r="BK66" s="677"/>
      <c r="BL66" s="677"/>
      <c r="BM66" s="692">
        <f t="shared" ref="BM66:BY66" si="615">BM29+BM57</f>
        <v>1637.97</v>
      </c>
      <c r="BN66" s="692">
        <f t="shared" si="615"/>
        <v>0</v>
      </c>
      <c r="BO66" s="692">
        <f t="shared" si="615"/>
        <v>1816.0700000000015</v>
      </c>
      <c r="BP66" s="692">
        <f t="shared" si="615"/>
        <v>-13322.250000000002</v>
      </c>
      <c r="BQ66" s="692">
        <f t="shared" si="615"/>
        <v>-57422.590000000004</v>
      </c>
      <c r="BR66" s="692">
        <f t="shared" si="615"/>
        <v>0</v>
      </c>
      <c r="BS66" s="692">
        <f t="shared" si="615"/>
        <v>0</v>
      </c>
      <c r="BT66" s="692">
        <f t="shared" si="615"/>
        <v>0</v>
      </c>
      <c r="BU66" s="692">
        <f t="shared" si="615"/>
        <v>0</v>
      </c>
      <c r="BV66" s="692">
        <f t="shared" si="615"/>
        <v>0</v>
      </c>
      <c r="BW66" s="692">
        <f t="shared" si="615"/>
        <v>0</v>
      </c>
      <c r="BX66" s="692">
        <f t="shared" si="615"/>
        <v>0</v>
      </c>
      <c r="BY66" s="703">
        <f t="shared" si="615"/>
        <v>-67290.8</v>
      </c>
      <c r="CA66" s="692">
        <f t="shared" ref="CA66:CD66" si="616">CA29+CA57</f>
        <v>3454.0400000000018</v>
      </c>
      <c r="CB66" s="692">
        <f t="shared" si="616"/>
        <v>-70744.84</v>
      </c>
      <c r="CC66" s="692">
        <f t="shared" si="616"/>
        <v>0</v>
      </c>
      <c r="CD66" s="692">
        <f t="shared" si="616"/>
        <v>0</v>
      </c>
      <c r="CE66" s="677"/>
      <c r="CF66" s="677"/>
      <c r="CG66" s="693">
        <f t="shared" si="561"/>
        <v>0</v>
      </c>
      <c r="CH66" s="693">
        <f t="shared" si="561"/>
        <v>0</v>
      </c>
      <c r="CI66" s="693">
        <f t="shared" si="561"/>
        <v>0</v>
      </c>
      <c r="CJ66" s="693">
        <f t="shared" si="561"/>
        <v>0</v>
      </c>
      <c r="CK66" s="693">
        <f t="shared" si="561"/>
        <v>-2.6578458557026893E-2</v>
      </c>
      <c r="CL66" s="693">
        <f t="shared" si="561"/>
        <v>2.1515693856718134</v>
      </c>
      <c r="CM66" s="693">
        <f t="shared" si="561"/>
        <v>2.3267649390871821</v>
      </c>
      <c r="CN66" s="693">
        <f t="shared" si="561"/>
        <v>1.2844951095807879</v>
      </c>
      <c r="CO66" s="693">
        <f t="shared" si="561"/>
        <v>0</v>
      </c>
      <c r="CP66" s="693">
        <f t="shared" si="561"/>
        <v>0</v>
      </c>
      <c r="CQ66" s="693">
        <f t="shared" si="561"/>
        <v>0</v>
      </c>
      <c r="CR66" s="693">
        <f t="shared" si="561"/>
        <v>0</v>
      </c>
      <c r="CS66" s="705">
        <f t="shared" si="561"/>
        <v>0.70379720067868989</v>
      </c>
      <c r="CT66" s="633"/>
      <c r="CU66" s="693">
        <f t="shared" si="562"/>
        <v>0</v>
      </c>
      <c r="CV66" s="693">
        <f t="shared" si="562"/>
        <v>0.94943234123346898</v>
      </c>
      <c r="CW66" s="693">
        <f t="shared" si="562"/>
        <v>1.20375334955599</v>
      </c>
      <c r="CX66" s="693">
        <f t="shared" si="562"/>
        <v>0</v>
      </c>
      <c r="CY66" s="677"/>
      <c r="DA66" s="693">
        <f t="shared" si="563"/>
        <v>0</v>
      </c>
      <c r="DB66" s="693">
        <f t="shared" si="564"/>
        <v>0</v>
      </c>
      <c r="DC66" s="693">
        <f t="shared" si="565"/>
        <v>0</v>
      </c>
      <c r="DD66" s="693">
        <f t="shared" si="566"/>
        <v>0</v>
      </c>
      <c r="DE66" s="693">
        <f t="shared" si="567"/>
        <v>-2.6578458557026893E-2</v>
      </c>
      <c r="DF66" s="693">
        <f t="shared" si="568"/>
        <v>2.1515693856718134</v>
      </c>
      <c r="DG66" s="693">
        <f t="shared" si="569"/>
        <v>2.3267649390871821</v>
      </c>
      <c r="DH66" s="693">
        <f t="shared" si="570"/>
        <v>1.2844951095807879</v>
      </c>
      <c r="DI66" s="693">
        <f t="shared" si="571"/>
        <v>0</v>
      </c>
      <c r="DJ66" s="693">
        <f t="shared" si="572"/>
        <v>0</v>
      </c>
      <c r="DK66" s="693">
        <f t="shared" si="573"/>
        <v>0</v>
      </c>
      <c r="DL66" s="693">
        <f t="shared" si="574"/>
        <v>0</v>
      </c>
      <c r="DM66" s="705">
        <f t="shared" si="575"/>
        <v>0.70379720067868989</v>
      </c>
      <c r="DN66" s="633"/>
      <c r="DO66" s="693">
        <f t="shared" si="576"/>
        <v>0</v>
      </c>
      <c r="DP66" s="693">
        <f t="shared" si="576"/>
        <v>-0.56508148749880671</v>
      </c>
      <c r="DQ66" s="693">
        <f t="shared" si="576"/>
        <v>0</v>
      </c>
      <c r="DR66" s="693">
        <f t="shared" si="576"/>
        <v>0</v>
      </c>
      <c r="DS66" s="677"/>
    </row>
    <row r="67" spans="3:123" s="816" customFormat="1">
      <c r="C67" s="694" t="s">
        <v>161</v>
      </c>
      <c r="D67" s="695" t="s">
        <v>186</v>
      </c>
      <c r="E67" s="696">
        <f>E30</f>
        <v>63968.765635127318</v>
      </c>
      <c r="F67" s="696">
        <f t="shared" ref="F67:V67" si="617">F30</f>
        <v>29352.495915682986</v>
      </c>
      <c r="G67" s="696">
        <f t="shared" si="617"/>
        <v>35224.109088086756</v>
      </c>
      <c r="H67" s="696">
        <f t="shared" si="617"/>
        <v>26760.742347237072</v>
      </c>
      <c r="I67" s="696">
        <f t="shared" si="617"/>
        <v>22302.21114196605</v>
      </c>
      <c r="J67" s="696">
        <f t="shared" si="617"/>
        <v>111613.11391620571</v>
      </c>
      <c r="K67" s="696">
        <f t="shared" si="617"/>
        <v>106194.74718527612</v>
      </c>
      <c r="L67" s="696">
        <f t="shared" si="617"/>
        <v>70429.108336755075</v>
      </c>
      <c r="M67" s="696">
        <f t="shared" si="617"/>
        <v>90340.322308363626</v>
      </c>
      <c r="N67" s="696">
        <f t="shared" si="617"/>
        <v>85831.746399370604</v>
      </c>
      <c r="O67" s="696">
        <f t="shared" si="617"/>
        <v>29536.365977956448</v>
      </c>
      <c r="P67" s="696">
        <f t="shared" si="617"/>
        <v>-21587.462326993234</v>
      </c>
      <c r="Q67" s="704">
        <f t="shared" si="617"/>
        <v>649966.26592503453</v>
      </c>
      <c r="S67" s="696">
        <f t="shared" si="617"/>
        <v>128545.37063889706</v>
      </c>
      <c r="T67" s="696">
        <f t="shared" si="617"/>
        <v>160676.06740540883</v>
      </c>
      <c r="U67" s="696">
        <f t="shared" si="617"/>
        <v>266964.17783039482</v>
      </c>
      <c r="V67" s="696">
        <f t="shared" si="617"/>
        <v>93780.650050333817</v>
      </c>
      <c r="W67" s="677"/>
      <c r="X67" s="721"/>
      <c r="Y67" s="696">
        <f>Y30</f>
        <v>0</v>
      </c>
      <c r="Z67" s="696">
        <f t="shared" ref="Z67:AP67" si="618">Z30</f>
        <v>0</v>
      </c>
      <c r="AA67" s="696">
        <f t="shared" si="618"/>
        <v>0</v>
      </c>
      <c r="AB67" s="696">
        <f t="shared" si="618"/>
        <v>0</v>
      </c>
      <c r="AC67" s="696">
        <f t="shared" si="618"/>
        <v>0</v>
      </c>
      <c r="AD67" s="696">
        <f t="shared" si="618"/>
        <v>0</v>
      </c>
      <c r="AE67" s="696">
        <f t="shared" si="618"/>
        <v>0</v>
      </c>
      <c r="AF67" s="696">
        <f t="shared" si="618"/>
        <v>0</v>
      </c>
      <c r="AG67" s="696">
        <f t="shared" si="618"/>
        <v>0</v>
      </c>
      <c r="AH67" s="696">
        <f t="shared" si="618"/>
        <v>0</v>
      </c>
      <c r="AI67" s="696">
        <f t="shared" si="618"/>
        <v>0</v>
      </c>
      <c r="AJ67" s="696">
        <f t="shared" si="618"/>
        <v>0</v>
      </c>
      <c r="AK67" s="704">
        <f t="shared" si="618"/>
        <v>0</v>
      </c>
      <c r="AM67" s="696">
        <f t="shared" si="618"/>
        <v>0</v>
      </c>
      <c r="AN67" s="696">
        <f t="shared" si="618"/>
        <v>0</v>
      </c>
      <c r="AO67" s="696">
        <f t="shared" si="618"/>
        <v>0</v>
      </c>
      <c r="AP67" s="696">
        <f t="shared" si="618"/>
        <v>0</v>
      </c>
      <c r="AQ67" s="677"/>
      <c r="AR67" s="721"/>
      <c r="AS67" s="696">
        <f>AS30</f>
        <v>0</v>
      </c>
      <c r="AT67" s="696">
        <f t="shared" ref="AT67:BJ67" si="619">AT30</f>
        <v>0</v>
      </c>
      <c r="AU67" s="696">
        <f t="shared" si="619"/>
        <v>0</v>
      </c>
      <c r="AV67" s="696">
        <f t="shared" si="619"/>
        <v>0</v>
      </c>
      <c r="AW67" s="696">
        <f t="shared" si="619"/>
        <v>0</v>
      </c>
      <c r="AX67" s="696">
        <f t="shared" si="619"/>
        <v>0</v>
      </c>
      <c r="AY67" s="696">
        <f t="shared" si="619"/>
        <v>0</v>
      </c>
      <c r="AZ67" s="696">
        <f t="shared" si="619"/>
        <v>0</v>
      </c>
      <c r="BA67" s="696">
        <f t="shared" si="619"/>
        <v>0</v>
      </c>
      <c r="BB67" s="696">
        <f t="shared" si="619"/>
        <v>0</v>
      </c>
      <c r="BC67" s="696">
        <f t="shared" si="619"/>
        <v>0</v>
      </c>
      <c r="BD67" s="696">
        <f t="shared" si="619"/>
        <v>0</v>
      </c>
      <c r="BE67" s="704">
        <f t="shared" si="619"/>
        <v>0</v>
      </c>
      <c r="BG67" s="696">
        <f t="shared" si="619"/>
        <v>0</v>
      </c>
      <c r="BH67" s="696">
        <f t="shared" si="619"/>
        <v>0</v>
      </c>
      <c r="BI67" s="696">
        <f t="shared" si="619"/>
        <v>0</v>
      </c>
      <c r="BJ67" s="696">
        <f t="shared" si="619"/>
        <v>0</v>
      </c>
      <c r="BK67" s="677"/>
      <c r="BL67" s="677"/>
      <c r="BM67" s="696"/>
      <c r="BN67" s="696"/>
      <c r="BO67" s="696"/>
      <c r="BP67" s="696"/>
      <c r="BQ67" s="696"/>
      <c r="BR67" s="696"/>
      <c r="BS67" s="696"/>
      <c r="BT67" s="696"/>
      <c r="BU67" s="696"/>
      <c r="BV67" s="696"/>
      <c r="BW67" s="696"/>
      <c r="BX67" s="696"/>
      <c r="BY67" s="704"/>
      <c r="CA67" s="696"/>
      <c r="CB67" s="696"/>
      <c r="CC67" s="696"/>
      <c r="CD67" s="696"/>
      <c r="CE67" s="677"/>
      <c r="CF67" s="677"/>
      <c r="CG67" s="697"/>
      <c r="CH67" s="697"/>
      <c r="CI67" s="697"/>
      <c r="CJ67" s="697"/>
      <c r="CK67" s="697"/>
      <c r="CL67" s="697"/>
      <c r="CM67" s="697"/>
      <c r="CN67" s="697"/>
      <c r="CO67" s="697"/>
      <c r="CP67" s="697"/>
      <c r="CQ67" s="697"/>
      <c r="CR67" s="697"/>
      <c r="CS67" s="706"/>
      <c r="CT67" s="633"/>
      <c r="CU67" s="697"/>
      <c r="CV67" s="697"/>
      <c r="CW67" s="697"/>
      <c r="CX67" s="697"/>
      <c r="CY67" s="677"/>
      <c r="DA67" s="697"/>
      <c r="DB67" s="697"/>
      <c r="DC67" s="697"/>
      <c r="DD67" s="697"/>
      <c r="DE67" s="697"/>
      <c r="DF67" s="697"/>
      <c r="DG67" s="697"/>
      <c r="DH67" s="697"/>
      <c r="DI67" s="697"/>
      <c r="DJ67" s="697"/>
      <c r="DK67" s="697"/>
      <c r="DL67" s="697"/>
      <c r="DM67" s="706"/>
      <c r="DN67" s="633"/>
      <c r="DO67" s="697"/>
      <c r="DP67" s="697"/>
      <c r="DQ67" s="697"/>
      <c r="DR67" s="697"/>
      <c r="DS67" s="677"/>
    </row>
    <row r="69" spans="3:123">
      <c r="AS69" s="821"/>
      <c r="AT69" s="821"/>
      <c r="AU69" s="821"/>
      <c r="AV69" s="821"/>
      <c r="AW69" s="835"/>
      <c r="AX69" s="821"/>
      <c r="AY69" s="633"/>
      <c r="AZ69" s="801"/>
      <c r="BA69" s="821">
        <v>1073122</v>
      </c>
      <c r="BB69" t="s">
        <v>185</v>
      </c>
    </row>
    <row r="70" spans="3:123">
      <c r="AS70" s="821"/>
      <c r="AT70" s="821"/>
      <c r="AU70" s="821"/>
      <c r="AV70" s="821"/>
      <c r="AW70" s="821"/>
      <c r="AX70" s="821"/>
      <c r="AY70" s="633"/>
      <c r="BA70" s="821">
        <v>15000</v>
      </c>
      <c r="BB70" t="s">
        <v>218</v>
      </c>
    </row>
    <row r="71" spans="3:123" s="816" customFormat="1">
      <c r="W71" s="677"/>
      <c r="X71" s="677"/>
      <c r="AQ71" s="677"/>
      <c r="AR71" s="677"/>
      <c r="AS71" s="821"/>
      <c r="AT71" s="821"/>
      <c r="AU71" s="821"/>
      <c r="AV71" s="821"/>
      <c r="AW71" s="821"/>
      <c r="AX71" s="821"/>
      <c r="AY71" s="633"/>
      <c r="BA71" s="821">
        <v>100000</v>
      </c>
      <c r="BB71" s="816" t="s">
        <v>222</v>
      </c>
      <c r="BK71" s="677"/>
      <c r="BL71" s="677"/>
      <c r="CE71" s="677"/>
      <c r="CF71" s="677"/>
      <c r="CY71" s="677"/>
      <c r="DS71" s="677"/>
    </row>
    <row r="72" spans="3:123">
      <c r="AZ72" s="801"/>
      <c r="BA72" s="821">
        <v>171000</v>
      </c>
      <c r="BB72" t="s">
        <v>219</v>
      </c>
    </row>
    <row r="73" spans="3:123">
      <c r="AW73" s="821"/>
      <c r="BA73" s="823">
        <v>77000</v>
      </c>
      <c r="BB73" t="s">
        <v>220</v>
      </c>
    </row>
    <row r="74" spans="3:123">
      <c r="AW74" s="821"/>
      <c r="BA74" s="821">
        <f>SUM(BA69:BA73)</f>
        <v>1436122</v>
      </c>
    </row>
    <row r="75" spans="3:123" s="816" customFormat="1">
      <c r="W75" s="677"/>
      <c r="X75" s="677"/>
      <c r="AQ75" s="677"/>
      <c r="AR75" s="677"/>
      <c r="AW75" s="821"/>
      <c r="AZ75" s="823">
        <f>BA75-BA74</f>
        <v>-25052.918330491055</v>
      </c>
      <c r="BA75" s="821">
        <f>M61</f>
        <v>1411069.0816695089</v>
      </c>
      <c r="BB75" s="823" t="s">
        <v>100</v>
      </c>
      <c r="BK75" s="677"/>
      <c r="BL75" s="677"/>
      <c r="CE75" s="677"/>
      <c r="CF75" s="677"/>
      <c r="CY75" s="677"/>
      <c r="DS75" s="677"/>
    </row>
    <row r="76" spans="3:123" s="816" customFormat="1">
      <c r="W76" s="677"/>
      <c r="X76" s="677"/>
      <c r="AQ76" s="677"/>
      <c r="AR76" s="677"/>
      <c r="AW76" s="821"/>
      <c r="BA76" s="633">
        <f>BA74/BA75</f>
        <v>1.0177545654255635</v>
      </c>
      <c r="BB76" s="816" t="s">
        <v>221</v>
      </c>
      <c r="BK76" s="677"/>
      <c r="BL76" s="677"/>
      <c r="CE76" s="677"/>
      <c r="CF76" s="677"/>
      <c r="CY76" s="677"/>
      <c r="DS76" s="677"/>
    </row>
    <row r="77" spans="3:123" s="816" customFormat="1">
      <c r="W77" s="677"/>
      <c r="X77" s="677"/>
      <c r="AQ77" s="677"/>
      <c r="AR77" s="677"/>
      <c r="AW77" s="821"/>
      <c r="BK77" s="677"/>
      <c r="BL77" s="677"/>
      <c r="CE77" s="677"/>
      <c r="CF77" s="677"/>
      <c r="CY77" s="677"/>
      <c r="DS77" s="677"/>
    </row>
    <row r="79" spans="3:123">
      <c r="AV79" s="801"/>
      <c r="AW79" s="805"/>
      <c r="AX79" s="801"/>
    </row>
    <row r="81" spans="49:49">
      <c r="AW81" s="821"/>
    </row>
  </sheetData>
  <pageMargins left="0.7" right="0.7" top="0.75" bottom="0.75" header="0.3" footer="0.3"/>
  <pageSetup orientation="portrait" r:id="rId1"/>
  <ignoredErrors>
    <ignoredError sqref="S4:V19 BG24:BJ29 AM10:AP19 S35:V50 AM4:AP7 AM35:AP50 BG37:BJ37 BH44:BH47 BG4:BJ20 S22:V22 AM22:AP22 BG22:BJ22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S2:AA96"/>
  <sheetViews>
    <sheetView workbookViewId="0"/>
  </sheetViews>
  <sheetFormatPr defaultColWidth="8.85546875" defaultRowHeight="15"/>
  <cols>
    <col min="19" max="19" width="11.28515625" customWidth="1"/>
    <col min="20" max="27" width="13.85546875" customWidth="1"/>
  </cols>
  <sheetData>
    <row r="2" spans="19:21">
      <c r="S2" s="813" t="s">
        <v>102</v>
      </c>
      <c r="T2" s="811" t="s">
        <v>182</v>
      </c>
      <c r="U2" s="811" t="s">
        <v>11</v>
      </c>
    </row>
    <row r="3" spans="19:21">
      <c r="S3" s="810">
        <v>43101</v>
      </c>
      <c r="T3" s="815">
        <f t="array" ref="T3:T14">TRANSPOSE('Revenue Summary'!E61:P61)</f>
        <v>1022886.1898202833</v>
      </c>
      <c r="U3" s="815">
        <v>840145.36048500007</v>
      </c>
    </row>
    <row r="4" spans="19:21">
      <c r="S4" s="810">
        <v>43132</v>
      </c>
      <c r="T4" s="815">
        <v>939355.90060124965</v>
      </c>
      <c r="U4" s="815">
        <v>766534.85658499983</v>
      </c>
    </row>
    <row r="5" spans="19:21">
      <c r="S5" s="810">
        <v>43160</v>
      </c>
      <c r="T5" s="815">
        <v>1100711.4751053681</v>
      </c>
      <c r="U5" s="815">
        <v>1114346.59525</v>
      </c>
    </row>
    <row r="6" spans="19:21">
      <c r="S6" s="810">
        <v>43191</v>
      </c>
      <c r="T6" s="815">
        <v>1170556.8317971802</v>
      </c>
      <c r="U6" s="815">
        <v>1181018.4072307693</v>
      </c>
    </row>
    <row r="7" spans="19:21">
      <c r="S7" s="810">
        <v>43221</v>
      </c>
      <c r="T7" s="815">
        <v>1286824.6816618196</v>
      </c>
      <c r="U7" s="815">
        <v>1309181.4980950288</v>
      </c>
    </row>
    <row r="8" spans="19:21">
      <c r="S8" s="810">
        <v>43252</v>
      </c>
      <c r="T8" s="815">
        <v>1273358.4958323627</v>
      </c>
      <c r="U8" s="815">
        <v>1381306.1229651242</v>
      </c>
    </row>
    <row r="9" spans="19:21">
      <c r="S9" s="810">
        <v>43282</v>
      </c>
      <c r="T9" s="815">
        <v>1351687.7953692297</v>
      </c>
      <c r="U9" s="815">
        <v>1353511.9109562866</v>
      </c>
    </row>
    <row r="10" spans="19:21">
      <c r="S10" s="810">
        <v>43313</v>
      </c>
      <c r="T10" s="815">
        <v>1348344.7934990593</v>
      </c>
      <c r="U10" s="815">
        <v>1383068.41</v>
      </c>
    </row>
    <row r="11" spans="19:21">
      <c r="S11" s="810">
        <v>43344</v>
      </c>
      <c r="T11" s="815">
        <v>1411069.0816695089</v>
      </c>
      <c r="U11" s="815"/>
    </row>
    <row r="12" spans="19:21">
      <c r="S12" s="810">
        <v>43374</v>
      </c>
      <c r="T12" s="815">
        <v>1501713.6177805807</v>
      </c>
      <c r="U12" s="815"/>
    </row>
    <row r="13" spans="19:21">
      <c r="S13" s="810">
        <v>43405</v>
      </c>
      <c r="T13" s="815">
        <v>1538685.6191429796</v>
      </c>
      <c r="U13" s="815"/>
    </row>
    <row r="14" spans="19:21">
      <c r="S14" s="810">
        <v>43435</v>
      </c>
      <c r="T14" s="815">
        <v>1682309.8350700231</v>
      </c>
      <c r="U14" s="815"/>
    </row>
    <row r="15" spans="19:21">
      <c r="T15" s="805">
        <f>SUM(T3:T14)</f>
        <v>15627504.317349648</v>
      </c>
      <c r="U15" s="805">
        <f>SUM(U3:U14)</f>
        <v>9329113.1615672093</v>
      </c>
    </row>
    <row r="17" spans="19:21">
      <c r="S17" s="814" t="s">
        <v>193</v>
      </c>
    </row>
    <row r="18" spans="19:21">
      <c r="S18" s="814" t="s">
        <v>194</v>
      </c>
    </row>
    <row r="25" spans="19:21" s="816" customFormat="1"/>
    <row r="26" spans="19:21" s="816" customFormat="1">
      <c r="S26" s="813" t="s">
        <v>101</v>
      </c>
      <c r="T26" s="811" t="s">
        <v>182</v>
      </c>
      <c r="U26" s="811" t="s">
        <v>11</v>
      </c>
    </row>
    <row r="27" spans="19:21" s="816" customFormat="1">
      <c r="S27" s="810">
        <v>43101</v>
      </c>
      <c r="T27" s="817">
        <f t="array" ref="T27:T38">'VN_YouTube Performance'!C66:C77+'TH_YouTube Performance'!C66:C77</f>
        <v>2919503963.1699014</v>
      </c>
      <c r="U27" s="817">
        <f>'VN_YouTube Performance'!C6+'TH_YouTube Performance'!C6</f>
        <v>2939787122</v>
      </c>
    </row>
    <row r="28" spans="19:21" s="816" customFormat="1">
      <c r="S28" s="810">
        <v>43132</v>
      </c>
      <c r="T28" s="817">
        <v>2666881268.2658529</v>
      </c>
      <c r="U28" s="817">
        <f>'VN_YouTube Performance'!C7+'TH_YouTube Performance'!C7</f>
        <v>2928927546</v>
      </c>
    </row>
    <row r="29" spans="19:21" s="816" customFormat="1">
      <c r="S29" s="810">
        <v>43160</v>
      </c>
      <c r="T29" s="817">
        <v>3281217094.89884</v>
      </c>
      <c r="U29" s="817">
        <f>'VN_YouTube Performance'!C8+'TH_YouTube Performance'!C8</f>
        <v>3670828479</v>
      </c>
    </row>
    <row r="30" spans="19:21" s="816" customFormat="1">
      <c r="S30" s="810">
        <v>43191</v>
      </c>
      <c r="T30" s="817">
        <v>3453758257.4913511</v>
      </c>
      <c r="U30" s="817">
        <f>'VN_YouTube Performance'!C9+'TH_YouTube Performance'!C9</f>
        <v>3927300012</v>
      </c>
    </row>
    <row r="31" spans="19:21" s="816" customFormat="1">
      <c r="S31" s="810">
        <v>43221</v>
      </c>
      <c r="T31" s="817">
        <v>3629286516.5117502</v>
      </c>
      <c r="U31" s="817">
        <f>'VN_YouTube Performance'!C10+'TH_YouTube Performance'!C10</f>
        <v>3937798379</v>
      </c>
    </row>
    <row r="32" spans="19:21" s="816" customFormat="1">
      <c r="S32" s="810">
        <v>43252</v>
      </c>
      <c r="T32" s="817">
        <v>3763689314.7223539</v>
      </c>
      <c r="U32" s="817">
        <f>'VN_YouTube Performance'!C11+'TH_YouTube Performance'!C11</f>
        <v>3771619049</v>
      </c>
    </row>
    <row r="33" spans="19:21" s="816" customFormat="1">
      <c r="S33" s="810">
        <v>43282</v>
      </c>
      <c r="T33" s="817">
        <v>4137007303.3605452</v>
      </c>
      <c r="U33" s="817">
        <f>'VN_YouTube Performance'!C12+'TH_YouTube Performance'!C12</f>
        <v>3989865448</v>
      </c>
    </row>
    <row r="34" spans="19:21" s="816" customFormat="1">
      <c r="S34" s="810">
        <v>43313</v>
      </c>
      <c r="T34" s="817">
        <v>4303481999.5861378</v>
      </c>
      <c r="U34" s="817">
        <f>'VN_YouTube Performance'!C13+'TH_YouTube Performance'!C13</f>
        <v>4039487207</v>
      </c>
    </row>
    <row r="35" spans="19:21" s="816" customFormat="1">
      <c r="S35" s="810">
        <v>43344</v>
      </c>
      <c r="T35" s="817">
        <v>4477242546.941865</v>
      </c>
      <c r="U35" s="817"/>
    </row>
    <row r="36" spans="19:21" s="816" customFormat="1">
      <c r="S36" s="810">
        <v>43374</v>
      </c>
      <c r="T36" s="817">
        <v>4879490324.6350622</v>
      </c>
      <c r="U36" s="817"/>
    </row>
    <row r="37" spans="19:21" s="816" customFormat="1">
      <c r="S37" s="810">
        <v>43405</v>
      </c>
      <c r="T37" s="817">
        <v>5358421904.2416687</v>
      </c>
      <c r="U37" s="817"/>
    </row>
    <row r="38" spans="19:21" s="816" customFormat="1">
      <c r="S38" s="810">
        <v>43435</v>
      </c>
      <c r="T38" s="817">
        <v>6298897883.3079033</v>
      </c>
      <c r="U38" s="817"/>
    </row>
    <row r="39" spans="19:21" s="816" customFormat="1">
      <c r="T39" s="818">
        <f>SUM(T27:T38)</f>
        <v>49168878377.13324</v>
      </c>
      <c r="U39" s="818">
        <f>SUM(U27:U38)</f>
        <v>29205613242</v>
      </c>
    </row>
    <row r="40" spans="19:21" s="816" customFormat="1"/>
    <row r="41" spans="19:21" s="816" customFormat="1">
      <c r="S41" s="814" t="s">
        <v>193</v>
      </c>
    </row>
    <row r="42" spans="19:21" s="816" customFormat="1">
      <c r="S42" s="814" t="s">
        <v>203</v>
      </c>
    </row>
    <row r="43" spans="19:21" s="816" customFormat="1"/>
    <row r="44" spans="19:21" s="816" customFormat="1"/>
    <row r="45" spans="19:21" s="816" customFormat="1"/>
    <row r="46" spans="19:21" s="816" customFormat="1"/>
    <row r="47" spans="19:21" s="816" customFormat="1"/>
    <row r="48" spans="19:21" s="816" customFormat="1"/>
    <row r="49" spans="19:27" s="816" customFormat="1"/>
    <row r="50" spans="19:27">
      <c r="S50" s="813"/>
      <c r="T50" s="811" t="s">
        <v>198</v>
      </c>
      <c r="U50" s="556" t="s">
        <v>195</v>
      </c>
      <c r="V50" s="556" t="s">
        <v>196</v>
      </c>
      <c r="W50" s="556" t="s">
        <v>197</v>
      </c>
      <c r="X50" s="811" t="s">
        <v>202</v>
      </c>
      <c r="Y50" s="556" t="s">
        <v>199</v>
      </c>
      <c r="Z50" s="556" t="s">
        <v>200</v>
      </c>
      <c r="AA50" s="556" t="s">
        <v>201</v>
      </c>
    </row>
    <row r="51" spans="19:27">
      <c r="S51" s="810">
        <v>43101</v>
      </c>
      <c r="T51" s="812">
        <f t="shared" ref="T51:T62" si="0">SUM(U51:W51)</f>
        <v>958917.42418515601</v>
      </c>
      <c r="U51" s="561">
        <f t="array" ref="U51:U62">TRANSPOSE('Revenue Summary'!E3:P3)+TRANSPOSE('Revenue Summary'!E34:P34)</f>
        <v>710544.91285182268</v>
      </c>
      <c r="V51" s="561">
        <f t="array" ref="V51:V62">TRANSPOSE('Revenue Summary'!E12:P12)+TRANSPOSE('Revenue Summary'!E43:P43)</f>
        <v>233333.33333333331</v>
      </c>
      <c r="W51" s="561">
        <f t="array" ref="W51:W62">TRANSPOSE('Revenue Summary'!E9:P9)+TRANSPOSE('Revenue Summary'!E18:P18)</f>
        <v>15039.178</v>
      </c>
      <c r="X51" s="812">
        <f t="shared" ref="X51:X58" si="1">SUM(Y51:AA51)</f>
        <v>840145.36048500007</v>
      </c>
      <c r="Y51" s="561">
        <f>'Revenue Summary'!AS3+'Revenue Summary'!AS34</f>
        <v>639863.63048500009</v>
      </c>
      <c r="Z51" s="561">
        <f>'Revenue Summary'!AS12+'Revenue Summary'!AS43</f>
        <v>180734.78000000003</v>
      </c>
      <c r="AA51" s="561">
        <f>'Revenue Summary'!AS9+'Revenue Summary'!AS18</f>
        <v>19546.949999999997</v>
      </c>
    </row>
    <row r="52" spans="19:27">
      <c r="S52" s="810">
        <v>43132</v>
      </c>
      <c r="T52" s="812">
        <f t="shared" si="0"/>
        <v>910003.40468556643</v>
      </c>
      <c r="U52" s="561">
        <v>661635.04295223323</v>
      </c>
      <c r="V52" s="561">
        <v>233333.33333333331</v>
      </c>
      <c r="W52" s="561">
        <v>15035.028399999999</v>
      </c>
      <c r="X52" s="812">
        <f t="shared" si="1"/>
        <v>766532.475599</v>
      </c>
      <c r="Y52" s="561">
        <f>'Revenue Summary'!AT3+'Revenue Summary'!AT34</f>
        <v>636452.81658499991</v>
      </c>
      <c r="Z52" s="561">
        <f>'Revenue Summary'!AT12+'Revenue Summary'!AT43</f>
        <v>111137.33000000005</v>
      </c>
      <c r="AA52" s="561">
        <f>'Revenue Summary'!AT9+'Revenue Summary'!AT18</f>
        <v>18942.329013999984</v>
      </c>
    </row>
    <row r="53" spans="19:27">
      <c r="S53" s="810">
        <v>43160</v>
      </c>
      <c r="T53" s="812">
        <f t="shared" si="0"/>
        <v>1065487.3660172815</v>
      </c>
      <c r="U53" s="561">
        <v>816999.67421994812</v>
      </c>
      <c r="V53" s="561">
        <v>233333.33333333331</v>
      </c>
      <c r="W53" s="561">
        <v>15154.358464000001</v>
      </c>
      <c r="X53" s="812">
        <f t="shared" si="1"/>
        <v>1114343.6615538823</v>
      </c>
      <c r="Y53" s="561">
        <f>'Revenue Summary'!AU3+'Revenue Summary'!AU34</f>
        <v>1023382.03525</v>
      </c>
      <c r="Z53" s="561">
        <f>'Revenue Summary'!AU12+'Revenue Summary'!AU43</f>
        <v>67786.320000000022</v>
      </c>
      <c r="AA53" s="561">
        <f>'Revenue Summary'!AU9+'Revenue Summary'!AU18</f>
        <v>23175.306303882266</v>
      </c>
    </row>
    <row r="54" spans="19:27">
      <c r="S54" s="810">
        <v>43191</v>
      </c>
      <c r="T54" s="812">
        <f t="shared" si="0"/>
        <v>1143796.0894499433</v>
      </c>
      <c r="U54" s="561">
        <v>872265.13137418998</v>
      </c>
      <c r="V54" s="561">
        <v>246655.58333333331</v>
      </c>
      <c r="W54" s="561">
        <v>24875.374742419997</v>
      </c>
      <c r="X54" s="812">
        <f t="shared" si="1"/>
        <v>1181018.4035667693</v>
      </c>
      <c r="Y54" s="561">
        <f>'Revenue Summary'!AV3+'Revenue Summary'!AV34</f>
        <v>1078497.3600000001</v>
      </c>
      <c r="Z54" s="561">
        <f>'Revenue Summary'!AV12+'Revenue Summary'!AV43</f>
        <v>83942.349999999991</v>
      </c>
      <c r="AA54" s="561">
        <f>'Revenue Summary'!AV9+'Revenue Summary'!AV18</f>
        <v>18578.693566769194</v>
      </c>
    </row>
    <row r="55" spans="19:27">
      <c r="S55" s="810">
        <v>43221</v>
      </c>
      <c r="T55" s="812">
        <f t="shared" si="0"/>
        <v>1264522.4705198538</v>
      </c>
      <c r="U55" s="561">
        <v>948447.45559480926</v>
      </c>
      <c r="V55" s="561">
        <v>289269.23333333334</v>
      </c>
      <c r="W55" s="561">
        <v>26805.781591710998</v>
      </c>
      <c r="X55" s="812">
        <f t="shared" si="1"/>
        <v>1309181.5010690284</v>
      </c>
      <c r="Y55" s="561">
        <f>'Revenue Summary'!AW3+'Revenue Summary'!AW34</f>
        <v>1222750.0199999998</v>
      </c>
      <c r="Z55" s="561">
        <f>'Revenue Summary'!AW12+'Revenue Summary'!AW43</f>
        <v>68588.53</v>
      </c>
      <c r="AA55" s="561">
        <f>'Revenue Summary'!AW9+'Revenue Summary'!AW18</f>
        <v>17842.951069028619</v>
      </c>
    </row>
    <row r="56" spans="19:27">
      <c r="S56" s="810">
        <v>43252</v>
      </c>
      <c r="T56" s="812">
        <f t="shared" si="0"/>
        <v>1161745.381916157</v>
      </c>
      <c r="U56" s="561">
        <v>842043.84114073357</v>
      </c>
      <c r="V56" s="561">
        <v>289269.23333333334</v>
      </c>
      <c r="W56" s="561">
        <v>30432.307442090048</v>
      </c>
      <c r="X56" s="812">
        <f t="shared" si="1"/>
        <v>1378507.2173062421</v>
      </c>
      <c r="Y56" s="561">
        <f>'Revenue Summary'!AX3+'Revenue Summary'!AX34</f>
        <v>1088091.1499999999</v>
      </c>
      <c r="Z56" s="561">
        <f>'Revenue Summary'!AX12+'Revenue Summary'!AX43</f>
        <v>275424.42</v>
      </c>
      <c r="AA56" s="561">
        <f>'Revenue Summary'!AX9+'Revenue Summary'!AX18</f>
        <v>14991.647306242259</v>
      </c>
    </row>
    <row r="57" spans="19:27">
      <c r="S57" s="810">
        <v>43282</v>
      </c>
      <c r="T57" s="812">
        <f t="shared" si="0"/>
        <v>1245493.0481839539</v>
      </c>
      <c r="U57" s="561">
        <v>922683.73978405667</v>
      </c>
      <c r="V57" s="561">
        <v>289269.23333333334</v>
      </c>
      <c r="W57" s="561">
        <v>33540.075066563848</v>
      </c>
      <c r="X57" s="812">
        <f t="shared" si="1"/>
        <v>1353667.6633212869</v>
      </c>
      <c r="Y57" s="561">
        <f>'Revenue Summary'!AY3+'Revenue Summary'!AY34</f>
        <v>968622.41</v>
      </c>
      <c r="Z57" s="561">
        <f>'Revenue Summary'!AY12+'Revenue Summary'!AY43</f>
        <v>368779.77095628675</v>
      </c>
      <c r="AA57" s="561">
        <f>'Revenue Summary'!AY9+'Revenue Summary'!AY18</f>
        <v>16265.482364999965</v>
      </c>
    </row>
    <row r="58" spans="19:27">
      <c r="S58" s="810">
        <v>43313</v>
      </c>
      <c r="T58" s="812">
        <f t="shared" si="0"/>
        <v>1277915.6851623042</v>
      </c>
      <c r="U58" s="561">
        <v>951788.74106672383</v>
      </c>
      <c r="V58" s="561">
        <v>289269.23333333334</v>
      </c>
      <c r="W58" s="561">
        <v>36857.710762247058</v>
      </c>
      <c r="X58" s="812">
        <f t="shared" si="1"/>
        <v>1383068.41</v>
      </c>
      <c r="Y58" s="561">
        <f>'Revenue Summary'!AZ3+'Revenue Summary'!AZ34</f>
        <v>1137483.5799999998</v>
      </c>
      <c r="Z58" s="561">
        <f>'Revenue Summary'!AZ12+'Revenue Summary'!AZ43</f>
        <v>229642.97000000003</v>
      </c>
      <c r="AA58" s="561">
        <f>'Revenue Summary'!AZ9+'Revenue Summary'!AZ18</f>
        <v>15941.859999999999</v>
      </c>
    </row>
    <row r="59" spans="19:27">
      <c r="S59" s="810">
        <v>43344</v>
      </c>
      <c r="T59" s="812">
        <f t="shared" si="0"/>
        <v>1320728.7593611456</v>
      </c>
      <c r="U59" s="561">
        <v>992450.08039195486</v>
      </c>
      <c r="V59" s="561">
        <v>289269.23333333334</v>
      </c>
      <c r="W59" s="561">
        <v>39009.445635857184</v>
      </c>
      <c r="X59" s="812"/>
      <c r="Y59" s="561"/>
      <c r="Z59" s="561"/>
      <c r="AA59" s="561"/>
    </row>
    <row r="60" spans="19:27">
      <c r="S60" s="810">
        <v>43374</v>
      </c>
      <c r="T60" s="812">
        <f t="shared" si="0"/>
        <v>1415881.8713812104</v>
      </c>
      <c r="U60" s="561">
        <v>1078726.1385318786</v>
      </c>
      <c r="V60" s="561">
        <v>289269.23333333334</v>
      </c>
      <c r="W60" s="561">
        <v>47886.499515998366</v>
      </c>
      <c r="X60" s="812"/>
      <c r="Y60" s="561"/>
      <c r="Z60" s="561"/>
      <c r="AA60" s="561"/>
    </row>
    <row r="61" spans="19:27">
      <c r="S61" s="810">
        <v>43405</v>
      </c>
      <c r="T61" s="812">
        <f t="shared" si="0"/>
        <v>1509149.2531650236</v>
      </c>
      <c r="U61" s="561">
        <v>1170393.8317531075</v>
      </c>
      <c r="V61" s="561">
        <v>289269.23333333334</v>
      </c>
      <c r="W61" s="561">
        <v>49486.188078582723</v>
      </c>
      <c r="X61" s="812"/>
      <c r="Y61" s="561"/>
      <c r="Z61" s="561"/>
      <c r="AA61" s="561"/>
    </row>
    <row r="62" spans="19:27">
      <c r="S62" s="810">
        <v>43435</v>
      </c>
      <c r="T62" s="812">
        <f t="shared" si="0"/>
        <v>1703897.2973970163</v>
      </c>
      <c r="U62" s="561">
        <v>1363573.3582466443</v>
      </c>
      <c r="V62" s="561">
        <v>289269.23333333334</v>
      </c>
      <c r="W62" s="561">
        <v>51054.705817038754</v>
      </c>
      <c r="X62" s="812"/>
      <c r="Y62" s="561"/>
      <c r="Z62" s="561"/>
      <c r="AA62" s="561"/>
    </row>
    <row r="63" spans="19:27">
      <c r="T63" s="805">
        <f>SUM(T51:T62)</f>
        <v>14977538.051424611</v>
      </c>
      <c r="X63" s="805">
        <f>SUM(X51:X62)</f>
        <v>9326464.692901209</v>
      </c>
    </row>
    <row r="65" spans="19:27">
      <c r="S65" s="814" t="s">
        <v>193</v>
      </c>
      <c r="AA65" s="816"/>
    </row>
    <row r="66" spans="19:27">
      <c r="S66" s="814" t="s">
        <v>194</v>
      </c>
      <c r="AA66" s="816"/>
    </row>
    <row r="67" spans="19:27">
      <c r="AA67" s="816"/>
    </row>
    <row r="68" spans="19:27">
      <c r="AA68" s="816"/>
    </row>
    <row r="79" spans="19:27">
      <c r="S79" s="708"/>
      <c r="T79" s="837" t="s">
        <v>29</v>
      </c>
      <c r="U79" s="837" t="s">
        <v>29</v>
      </c>
      <c r="V79" s="838" t="s">
        <v>213</v>
      </c>
      <c r="W79" s="838" t="s">
        <v>213</v>
      </c>
    </row>
    <row r="80" spans="19:27">
      <c r="S80" s="116"/>
      <c r="T80" s="556" t="s">
        <v>9</v>
      </c>
      <c r="U80" s="556" t="s">
        <v>8</v>
      </c>
      <c r="V80" s="556" t="s">
        <v>9</v>
      </c>
      <c r="W80" s="556" t="s">
        <v>8</v>
      </c>
    </row>
    <row r="81" spans="19:23">
      <c r="S81" s="839">
        <v>43101</v>
      </c>
      <c r="T81" s="561">
        <f>U3</f>
        <v>840145.36048500007</v>
      </c>
      <c r="U81" s="555">
        <f>U27</f>
        <v>2939787122</v>
      </c>
      <c r="V81" s="561">
        <f>T81</f>
        <v>840145.36048500007</v>
      </c>
      <c r="W81" s="555">
        <f>U81</f>
        <v>2939787122</v>
      </c>
    </row>
    <row r="82" spans="19:23">
      <c r="S82" s="839">
        <v>43132</v>
      </c>
      <c r="T82" s="561">
        <f t="shared" ref="T82:T92" si="2">U4</f>
        <v>766534.85658499983</v>
      </c>
      <c r="U82" s="555">
        <f t="shared" ref="U82:U92" si="3">U28</f>
        <v>2928927546</v>
      </c>
      <c r="V82" s="561">
        <f t="shared" ref="V82:W87" si="4">V81+T82</f>
        <v>1606680.2170699998</v>
      </c>
      <c r="W82" s="555">
        <f t="shared" si="4"/>
        <v>5868714668</v>
      </c>
    </row>
    <row r="83" spans="19:23">
      <c r="S83" s="839">
        <v>43160</v>
      </c>
      <c r="T83" s="561">
        <f t="shared" si="2"/>
        <v>1114346.59525</v>
      </c>
      <c r="U83" s="555">
        <f t="shared" si="3"/>
        <v>3670828479</v>
      </c>
      <c r="V83" s="561">
        <f t="shared" si="4"/>
        <v>2721026.8123199996</v>
      </c>
      <c r="W83" s="555">
        <f t="shared" si="4"/>
        <v>9539543147</v>
      </c>
    </row>
    <row r="84" spans="19:23">
      <c r="S84" s="839">
        <v>43191</v>
      </c>
      <c r="T84" s="561">
        <f t="shared" si="2"/>
        <v>1181018.4072307693</v>
      </c>
      <c r="U84" s="555">
        <f t="shared" si="3"/>
        <v>3927300012</v>
      </c>
      <c r="V84" s="561">
        <f t="shared" si="4"/>
        <v>3902045.2195507688</v>
      </c>
      <c r="W84" s="555">
        <f t="shared" si="4"/>
        <v>13466843159</v>
      </c>
    </row>
    <row r="85" spans="19:23">
      <c r="S85" s="839">
        <v>43221</v>
      </c>
      <c r="T85" s="561">
        <f t="shared" si="2"/>
        <v>1309181.4980950288</v>
      </c>
      <c r="U85" s="555">
        <f t="shared" si="3"/>
        <v>3937798379</v>
      </c>
      <c r="V85" s="561">
        <f t="shared" si="4"/>
        <v>5211226.7176457979</v>
      </c>
      <c r="W85" s="555">
        <f t="shared" si="4"/>
        <v>17404641538</v>
      </c>
    </row>
    <row r="86" spans="19:23">
      <c r="S86" s="839">
        <v>43252</v>
      </c>
      <c r="T86" s="561">
        <f t="shared" si="2"/>
        <v>1381306.1229651242</v>
      </c>
      <c r="U86" s="555">
        <f t="shared" si="3"/>
        <v>3771619049</v>
      </c>
      <c r="V86" s="561">
        <f t="shared" si="4"/>
        <v>6592532.8406109223</v>
      </c>
      <c r="W86" s="555">
        <f t="shared" si="4"/>
        <v>21176260587</v>
      </c>
    </row>
    <row r="87" spans="19:23">
      <c r="S87" s="839">
        <v>43282</v>
      </c>
      <c r="T87" s="561">
        <f t="shared" si="2"/>
        <v>1353511.9109562866</v>
      </c>
      <c r="U87" s="555">
        <f t="shared" si="3"/>
        <v>3989865448</v>
      </c>
      <c r="V87" s="561">
        <f t="shared" si="4"/>
        <v>7946044.7515672091</v>
      </c>
      <c r="W87" s="555">
        <f t="shared" si="4"/>
        <v>25166126035</v>
      </c>
    </row>
    <row r="88" spans="19:23">
      <c r="S88" s="839">
        <v>43313</v>
      </c>
      <c r="T88" s="561">
        <f t="shared" si="2"/>
        <v>1383068.41</v>
      </c>
      <c r="U88" s="555">
        <f>U34</f>
        <v>4039487207</v>
      </c>
      <c r="V88" s="561">
        <f t="shared" ref="V88" si="5">V87+T88</f>
        <v>9329113.1615672093</v>
      </c>
      <c r="W88" s="555">
        <f t="shared" ref="W88" si="6">W87+U88</f>
        <v>29205613242</v>
      </c>
    </row>
    <row r="89" spans="19:23">
      <c r="S89" s="839">
        <v>43344</v>
      </c>
      <c r="T89" s="561">
        <f t="shared" si="2"/>
        <v>0</v>
      </c>
      <c r="U89" s="555">
        <f t="shared" si="3"/>
        <v>0</v>
      </c>
      <c r="V89" s="561"/>
      <c r="W89" s="555"/>
    </row>
    <row r="90" spans="19:23">
      <c r="S90" s="839">
        <v>43374</v>
      </c>
      <c r="T90" s="561">
        <f t="shared" si="2"/>
        <v>0</v>
      </c>
      <c r="U90" s="555">
        <f t="shared" si="3"/>
        <v>0</v>
      </c>
      <c r="V90" s="561"/>
      <c r="W90" s="555"/>
    </row>
    <row r="91" spans="19:23">
      <c r="S91" s="839">
        <v>43405</v>
      </c>
      <c r="T91" s="561">
        <f t="shared" si="2"/>
        <v>0</v>
      </c>
      <c r="U91" s="555">
        <f t="shared" si="3"/>
        <v>0</v>
      </c>
      <c r="V91" s="561"/>
      <c r="W91" s="555"/>
    </row>
    <row r="92" spans="19:23">
      <c r="S92" s="839">
        <v>43435</v>
      </c>
      <c r="T92" s="561">
        <f t="shared" si="2"/>
        <v>0</v>
      </c>
      <c r="U92" s="555">
        <f t="shared" si="3"/>
        <v>0</v>
      </c>
      <c r="V92" s="561"/>
      <c r="W92" s="555"/>
    </row>
    <row r="93" spans="19:23">
      <c r="S93" s="708"/>
      <c r="T93" s="708"/>
      <c r="U93" s="708"/>
      <c r="V93" s="708"/>
      <c r="W93" s="708"/>
    </row>
    <row r="94" spans="19:23">
      <c r="S94" s="840" t="s">
        <v>193</v>
      </c>
      <c r="T94" s="708"/>
      <c r="U94" s="708"/>
      <c r="V94" s="708"/>
      <c r="W94" s="708"/>
    </row>
    <row r="95" spans="19:23">
      <c r="S95" s="840" t="s">
        <v>214</v>
      </c>
      <c r="T95" s="708"/>
      <c r="U95" s="708"/>
      <c r="V95" s="708"/>
      <c r="W95" s="708"/>
    </row>
    <row r="96" spans="19:23">
      <c r="S96" s="840" t="s">
        <v>215</v>
      </c>
      <c r="T96" s="708"/>
      <c r="U96" s="708"/>
      <c r="V96" s="708"/>
      <c r="W96" s="70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B050"/>
  </sheetPr>
  <dimension ref="A1:DA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85546875" defaultRowHeight="15"/>
  <cols>
    <col min="1" max="1" width="15.85546875" bestFit="1" customWidth="1"/>
    <col min="2" max="2" width="9.140625" bestFit="1" customWidth="1"/>
    <col min="8" max="8" width="8.85546875" customWidth="1"/>
    <col min="9" max="9" width="2.140625" customWidth="1"/>
    <col min="17" max="17" width="2.140625" customWidth="1"/>
    <col min="18" max="23" width="9.42578125" customWidth="1"/>
    <col min="24" max="24" width="2.140625" customWidth="1"/>
    <col min="25" max="25" width="1" customWidth="1"/>
    <col min="26" max="26" width="2.140625" customWidth="1"/>
    <col min="29" max="30" width="13.85546875" customWidth="1"/>
    <col min="32" max="32" width="13.42578125" bestFit="1" customWidth="1"/>
    <col min="33" max="33" width="14.42578125" customWidth="1"/>
    <col min="34" max="34" width="13.42578125" customWidth="1"/>
    <col min="35" max="35" width="2.140625" customWidth="1"/>
    <col min="38" max="39" width="13.85546875" customWidth="1"/>
    <col min="41" max="41" width="13.42578125" bestFit="1" customWidth="1"/>
    <col min="42" max="42" width="14.42578125" customWidth="1"/>
    <col min="43" max="43" width="13.42578125" customWidth="1"/>
    <col min="44" max="44" width="2.140625" customWidth="1"/>
    <col min="45" max="45" width="1" customWidth="1"/>
    <col min="46" max="46" width="2.140625" customWidth="1"/>
    <col min="49" max="50" width="13.85546875" customWidth="1"/>
    <col min="52" max="52" width="13.42578125" bestFit="1" customWidth="1"/>
    <col min="53" max="53" width="14.42578125" customWidth="1"/>
    <col min="54" max="54" width="13.42578125" customWidth="1"/>
    <col min="55" max="55" width="2.140625" customWidth="1"/>
    <col min="58" max="59" width="13.85546875" customWidth="1"/>
    <col min="61" max="61" width="13.42578125" bestFit="1" customWidth="1"/>
    <col min="62" max="62" width="14.42578125" customWidth="1"/>
    <col min="63" max="63" width="13.42578125" customWidth="1"/>
    <col min="64" max="64" width="2.140625" customWidth="1"/>
    <col min="65" max="65" width="1" customWidth="1"/>
    <col min="66" max="66" width="2.140625" customWidth="1"/>
    <col min="69" max="70" width="13.85546875" customWidth="1"/>
    <col min="72" max="72" width="13.42578125" bestFit="1" customWidth="1"/>
    <col min="73" max="73" width="14.42578125" customWidth="1"/>
    <col min="74" max="74" width="13.42578125" customWidth="1"/>
    <col min="75" max="75" width="2.140625" customWidth="1"/>
    <col min="78" max="79" width="13.85546875" customWidth="1"/>
    <col min="81" max="81" width="13.42578125" bestFit="1" customWidth="1"/>
    <col min="82" max="82" width="14.42578125" customWidth="1"/>
    <col min="83" max="83" width="13.42578125" customWidth="1"/>
    <col min="84" max="84" width="2.140625" customWidth="1"/>
    <col min="85" max="85" width="1" customWidth="1"/>
    <col min="86" max="86" width="2.140625" customWidth="1"/>
    <col min="89" max="90" width="13.85546875" customWidth="1"/>
    <col min="92" max="92" width="13.42578125" bestFit="1" customWidth="1"/>
    <col min="93" max="93" width="14.42578125" customWidth="1"/>
    <col min="94" max="94" width="13.42578125" customWidth="1"/>
    <col min="95" max="95" width="2.140625" customWidth="1"/>
    <col min="98" max="99" width="13.85546875" customWidth="1"/>
    <col min="101" max="101" width="13.42578125" bestFit="1" customWidth="1"/>
    <col min="102" max="102" width="14.42578125" customWidth="1"/>
    <col min="103" max="103" width="13.42578125" customWidth="1"/>
    <col min="104" max="104" width="2.140625" customWidth="1"/>
    <col min="105" max="105" width="1" customWidth="1"/>
  </cols>
  <sheetData>
    <row r="1" spans="1:105" ht="14.45" customHeight="1">
      <c r="A1" s="673" t="s">
        <v>153</v>
      </c>
      <c r="Y1" s="101"/>
      <c r="AS1" s="101"/>
      <c r="BM1" s="101"/>
      <c r="CG1" s="101"/>
      <c r="DA1" s="101"/>
    </row>
    <row r="2" spans="1:105" ht="14.45" customHeight="1">
      <c r="A2" s="847">
        <f ca="1">TODAY()-3</f>
        <v>43372</v>
      </c>
      <c r="B2" s="100" t="s">
        <v>0</v>
      </c>
      <c r="Y2" s="101"/>
      <c r="AA2" s="553" t="s">
        <v>1</v>
      </c>
      <c r="AC2" s="560" t="s">
        <v>105</v>
      </c>
      <c r="AD2" s="555">
        <f ca="1">VLOOKUP(MONTH($A$2),'VN_YouTube Performance'!$A$6:$L$17,5,0)</f>
        <v>1116087537</v>
      </c>
      <c r="AF2" s="100" t="s">
        <v>105</v>
      </c>
      <c r="AG2" s="116" t="s">
        <v>107</v>
      </c>
      <c r="AH2" s="558">
        <f ca="1">VLOOKUP(MONTH($A$2),'VN_YouTube Performance'!$A$26:$L$37,5,0)</f>
        <v>0.70611165730407155</v>
      </c>
      <c r="AJ2" s="553"/>
      <c r="AL2" s="560" t="s">
        <v>105</v>
      </c>
      <c r="AM2" s="561">
        <f ca="1">VLOOKUP(MONTH($A$2),'VN_YouTube Performance'!$A$6:$L$17,6,0)</f>
        <v>324756.67200029577</v>
      </c>
      <c r="AO2" s="100" t="s">
        <v>105</v>
      </c>
      <c r="AP2" s="116" t="s">
        <v>107</v>
      </c>
      <c r="AQ2" s="558">
        <f ca="1">VLOOKUP(MONTH($A$2),'VN_YouTube Performance'!$A$26:$L$37,6,0)</f>
        <v>1.115155414276926</v>
      </c>
      <c r="AS2" s="101"/>
      <c r="AU2" s="553" t="s">
        <v>2</v>
      </c>
      <c r="AW2" s="560" t="s">
        <v>105</v>
      </c>
      <c r="AX2" s="555">
        <f ca="1">VLOOKUP(MONTH($A$2),'VN_YouTube Performance'!$A$6:$L$17,7,0)</f>
        <v>571225224</v>
      </c>
      <c r="AZ2" s="100" t="s">
        <v>105</v>
      </c>
      <c r="BA2" s="116" t="s">
        <v>107</v>
      </c>
      <c r="BB2" s="558">
        <f ca="1">VLOOKUP(MONTH($A$2),'VN_YouTube Performance'!$A$26:$L$37,7,0)</f>
        <v>0.72256048784050919</v>
      </c>
      <c r="BD2" s="553"/>
      <c r="BF2" s="560" t="s">
        <v>105</v>
      </c>
      <c r="BG2" s="561">
        <f ca="1">VLOOKUP(MONTH($A$2),'VN_YouTube Performance'!$A$6:$L$17,8,0)</f>
        <v>142000.29300000914</v>
      </c>
      <c r="BI2" s="100" t="s">
        <v>105</v>
      </c>
      <c r="BJ2" s="116" t="s">
        <v>107</v>
      </c>
      <c r="BK2" s="558">
        <f ca="1">VLOOKUP(MONTH($A$2),'VN_YouTube Performance'!$A$26:$L$37,8,0)</f>
        <v>0.86376408510392177</v>
      </c>
      <c r="BM2" s="101"/>
      <c r="BO2" s="553" t="s">
        <v>3</v>
      </c>
      <c r="BQ2" s="560" t="s">
        <v>105</v>
      </c>
      <c r="BR2" s="555">
        <f ca="1">VLOOKUP(MONTH($A$2),'VN_YouTube Performance'!$A$6:$L$17,9,0)</f>
        <v>1323587099</v>
      </c>
      <c r="BT2" s="100" t="s">
        <v>105</v>
      </c>
      <c r="BU2" s="116" t="s">
        <v>107</v>
      </c>
      <c r="BV2" s="558">
        <f ca="1">VLOOKUP(MONTH($A$2),'VN_YouTube Performance'!$A$26:$L$37,9,0)</f>
        <v>0.7370895831508143</v>
      </c>
      <c r="BX2" s="553"/>
      <c r="BZ2" s="560" t="s">
        <v>105</v>
      </c>
      <c r="CA2" s="561">
        <f ca="1">VLOOKUP(MONTH($A$2),'VN_YouTube Performance'!$A$6:$L$17,10,0)</f>
        <v>430826.6510003584</v>
      </c>
      <c r="CC2" s="100" t="s">
        <v>105</v>
      </c>
      <c r="CD2" s="116" t="s">
        <v>107</v>
      </c>
      <c r="CE2" s="558">
        <f ca="1">VLOOKUP(MONTH($A$2),'VN_YouTube Performance'!$A$26:$L$37,10,0)</f>
        <v>0.89311556061853958</v>
      </c>
      <c r="CG2" s="101"/>
      <c r="CI2" s="553" t="s">
        <v>4</v>
      </c>
      <c r="CK2" s="560" t="s">
        <v>105</v>
      </c>
      <c r="CL2" s="555">
        <f ca="1">VLOOKUP(MONTH($A$2),'VN_YouTube Performance'!$A$6:$L$17,11,0)</f>
        <v>164611396</v>
      </c>
      <c r="CN2" s="100" t="s">
        <v>105</v>
      </c>
      <c r="CO2" s="116" t="s">
        <v>107</v>
      </c>
      <c r="CP2" s="558">
        <f ca="1">VLOOKUP(MONTH($A$2),'VN_YouTube Performance'!$A$26:$L$37,11,0)</f>
        <v>1.4575543922147782</v>
      </c>
      <c r="CR2" s="553"/>
      <c r="CT2" s="560" t="s">
        <v>105</v>
      </c>
      <c r="CU2" s="561">
        <f ca="1">VLOOKUP(MONTH($A$2),'VN_YouTube Performance'!$A$6:$L$17,12,0)</f>
        <v>53527.380999994697</v>
      </c>
      <c r="CW2" s="100" t="s">
        <v>105</v>
      </c>
      <c r="CX2" s="116" t="s">
        <v>107</v>
      </c>
      <c r="CY2" s="558">
        <f ca="1">VLOOKUP(MONTH($A$2),'VN_YouTube Performance'!$A$26:$L$37,12,0)</f>
        <v>2.8312777671812719</v>
      </c>
      <c r="DA2" s="101"/>
    </row>
    <row r="3" spans="1:105" ht="14.45" customHeight="1">
      <c r="A3" s="847"/>
      <c r="B3" s="100"/>
      <c r="Y3" s="101"/>
      <c r="AA3" s="553"/>
      <c r="AC3" s="560" t="s">
        <v>104</v>
      </c>
      <c r="AD3" s="555">
        <f>'VN_YouTube Performance'!E5</f>
        <v>9184330736</v>
      </c>
      <c r="AG3" s="116" t="s">
        <v>106</v>
      </c>
      <c r="AH3" s="555">
        <f ca="1">IF(AH6&gt;0,AH6,0)</f>
        <v>464523015.81428576</v>
      </c>
      <c r="AJ3" s="553"/>
      <c r="AL3" s="560" t="s">
        <v>104</v>
      </c>
      <c r="AM3" s="561">
        <f>'VN_YouTube Performance'!F5</f>
        <v>2573050.0920004728</v>
      </c>
      <c r="AP3" s="116" t="s">
        <v>106</v>
      </c>
      <c r="AQ3" s="561">
        <f ca="1">IF(AQ6&gt;0,AQ6,0)</f>
        <v>0</v>
      </c>
      <c r="AS3" s="101"/>
      <c r="AU3" s="553"/>
      <c r="AW3" s="560" t="s">
        <v>104</v>
      </c>
      <c r="AX3" s="555">
        <f>'VN_YouTube Performance'!G5</f>
        <v>6708899268</v>
      </c>
      <c r="BA3" s="116" t="s">
        <v>106</v>
      </c>
      <c r="BB3" s="555">
        <f ca="1">IF(BB6&gt;0,BB6,0)</f>
        <v>219331737.82225585</v>
      </c>
      <c r="BD3" s="553"/>
      <c r="BF3" s="560" t="s">
        <v>104</v>
      </c>
      <c r="BG3" s="561">
        <f>'VN_YouTube Performance'!H5</f>
        <v>1624104.6040000271</v>
      </c>
      <c r="BJ3" s="116" t="s">
        <v>106</v>
      </c>
      <c r="BK3" s="561">
        <f ca="1">IF(BK6&gt;0,BK6,0)</f>
        <v>22396.786536962696</v>
      </c>
      <c r="BM3" s="101"/>
      <c r="BO3" s="553"/>
      <c r="BQ3" s="560" t="s">
        <v>104</v>
      </c>
      <c r="BR3" s="555">
        <f>'VN_YouTube Performance'!I5</f>
        <v>13542050372</v>
      </c>
      <c r="BU3" s="116" t="s">
        <v>106</v>
      </c>
      <c r="BV3" s="555">
        <f ca="1">IF(BV6&gt;0,BV6,0)</f>
        <v>472106571.42483854</v>
      </c>
      <c r="BX3" s="553"/>
      <c r="BZ3" s="560" t="s">
        <v>104</v>
      </c>
      <c r="CA3" s="561">
        <f>'VN_YouTube Performance'!J5</f>
        <v>3725794.9710005699</v>
      </c>
      <c r="CD3" s="116" t="s">
        <v>106</v>
      </c>
      <c r="CE3" s="561">
        <f ca="1">IF(CE6&gt;0,CE6,0)</f>
        <v>51559.582089101372</v>
      </c>
      <c r="CG3" s="101"/>
      <c r="CI3" s="553"/>
      <c r="CK3" s="560" t="s">
        <v>104</v>
      </c>
      <c r="CL3" s="555">
        <f>'VN_YouTube Performance'!K5</f>
        <v>1892286259</v>
      </c>
      <c r="CO3" s="116" t="s">
        <v>106</v>
      </c>
      <c r="CP3" s="555">
        <f ca="1">IF(CP6&gt;0,CP6,0)</f>
        <v>0</v>
      </c>
      <c r="CR3" s="553"/>
      <c r="CT3" s="560" t="s">
        <v>104</v>
      </c>
      <c r="CU3" s="561">
        <f>'VN_YouTube Performance'!L5</f>
        <v>557012.58799999196</v>
      </c>
      <c r="CX3" s="116" t="s">
        <v>106</v>
      </c>
      <c r="CY3" s="561">
        <f ca="1">IF(CY6&gt;0,CY6,0)</f>
        <v>0</v>
      </c>
      <c r="DA3" s="101"/>
    </row>
    <row r="4" spans="1:105" ht="14.45" customHeight="1">
      <c r="A4" s="847"/>
      <c r="B4" s="100"/>
      <c r="Y4" s="101"/>
      <c r="AA4" s="553"/>
      <c r="AC4" s="562"/>
      <c r="AD4" s="563"/>
      <c r="AG4" s="116" t="s">
        <v>110</v>
      </c>
      <c r="AH4" s="555">
        <f ca="1">VLOOKUP(MONTH($A$2),VN_Data!$AG$6:$AH$17,2,0)-DAY($A$2)</f>
        <v>1</v>
      </c>
      <c r="AJ4" s="553"/>
      <c r="AL4" s="562"/>
      <c r="AM4" s="564"/>
      <c r="AP4" s="116" t="s">
        <v>110</v>
      </c>
      <c r="AQ4" s="555">
        <f ca="1">VLOOKUP(MONTH($A$2),VN_Data!$AG$6:$AH$17,2,0)-DAY($A$2)</f>
        <v>1</v>
      </c>
      <c r="AS4" s="101"/>
      <c r="AU4" s="553"/>
      <c r="AW4" s="562"/>
      <c r="AX4" s="563"/>
      <c r="BA4" s="116" t="s">
        <v>110</v>
      </c>
      <c r="BB4" s="555">
        <f ca="1">VLOOKUP(MONTH($A$2),VN_Data!$AG$6:$AH$17,2,0)-DAY($A$2)</f>
        <v>1</v>
      </c>
      <c r="BD4" s="553"/>
      <c r="BF4" s="562"/>
      <c r="BG4" s="564"/>
      <c r="BJ4" s="116" t="s">
        <v>110</v>
      </c>
      <c r="BK4" s="555">
        <f ca="1">VLOOKUP(MONTH($A$2),VN_Data!$AG$6:$AH$17,2,0)-DAY($A$2)</f>
        <v>1</v>
      </c>
      <c r="BM4" s="101"/>
      <c r="BO4" s="553"/>
      <c r="BQ4" s="562"/>
      <c r="BR4" s="563"/>
      <c r="BU4" s="116" t="s">
        <v>110</v>
      </c>
      <c r="BV4" s="555">
        <f ca="1">VLOOKUP(MONTH($A$2),VN_Data!$AG$6:$AH$17,2,0)-DAY($A$2)</f>
        <v>1</v>
      </c>
      <c r="BX4" s="553"/>
      <c r="BZ4" s="562"/>
      <c r="CA4" s="564"/>
      <c r="CD4" s="116" t="s">
        <v>110</v>
      </c>
      <c r="CE4" s="555">
        <f ca="1">VLOOKUP(MONTH($A$2),VN_Data!$AG$6:$AH$17,2,0)-DAY($A$2)</f>
        <v>1</v>
      </c>
      <c r="CG4" s="101"/>
      <c r="CI4" s="553"/>
      <c r="CK4" s="562"/>
      <c r="CL4" s="563"/>
      <c r="CO4" s="116" t="s">
        <v>110</v>
      </c>
      <c r="CP4" s="555">
        <f ca="1">VLOOKUP(MONTH($A$2),VN_Data!$AG$6:$AH$17,2,0)-DAY($A$2)</f>
        <v>1</v>
      </c>
      <c r="CR4" s="553"/>
      <c r="CT4" s="562"/>
      <c r="CU4" s="564"/>
      <c r="CX4" s="116" t="s">
        <v>110</v>
      </c>
      <c r="CY4" s="555">
        <f ca="1">VLOOKUP(MONTH($A$2),VN_Data!$AG$6:$AH$17,2,0)-DAY($A$2)</f>
        <v>1</v>
      </c>
      <c r="DA4" s="101"/>
    </row>
    <row r="5" spans="1:105" ht="14.45" customHeight="1">
      <c r="A5" s="847"/>
      <c r="Y5" s="101"/>
      <c r="AG5" s="116" t="s">
        <v>108</v>
      </c>
      <c r="AH5" s="555">
        <f ca="1">IFERROR(AH3/AH4,0)</f>
        <v>464523015.81428576</v>
      </c>
      <c r="AP5" s="116" t="s">
        <v>108</v>
      </c>
      <c r="AQ5" s="565">
        <f ca="1">IFERROR(AQ3/AQ4,0)</f>
        <v>0</v>
      </c>
      <c r="AS5" s="101"/>
      <c r="BA5" s="116" t="s">
        <v>108</v>
      </c>
      <c r="BB5" s="555">
        <f ca="1">IFERROR(BB3/BB4,0)</f>
        <v>219331737.82225585</v>
      </c>
      <c r="BJ5" s="116" t="s">
        <v>108</v>
      </c>
      <c r="BK5" s="565">
        <f ca="1">IFERROR(BK3/BK4,0)</f>
        <v>22396.786536962696</v>
      </c>
      <c r="BM5" s="101"/>
      <c r="BU5" s="116" t="s">
        <v>108</v>
      </c>
      <c r="BV5" s="555">
        <f ca="1">IFERROR(BV3/BV4,0)</f>
        <v>472106571.42483854</v>
      </c>
      <c r="CD5" s="116" t="s">
        <v>108</v>
      </c>
      <c r="CE5" s="565">
        <f ca="1">IFERROR(CE3/CE4,0)</f>
        <v>51559.582089101372</v>
      </c>
      <c r="CG5" s="101"/>
      <c r="CO5" s="116" t="s">
        <v>108</v>
      </c>
      <c r="CP5" s="555">
        <f ca="1">IFERROR(CP3/CP4,0)</f>
        <v>0</v>
      </c>
      <c r="CX5" s="116" t="s">
        <v>108</v>
      </c>
      <c r="CY5" s="565">
        <f ca="1">IFERROR(CY3/CY4,0)</f>
        <v>0</v>
      </c>
      <c r="DA5" s="101"/>
    </row>
    <row r="6" spans="1:105">
      <c r="A6" s="551" t="s">
        <v>103</v>
      </c>
      <c r="R6" s="116"/>
      <c r="S6" s="128" t="s">
        <v>0</v>
      </c>
      <c r="T6" s="1" t="s">
        <v>1</v>
      </c>
      <c r="U6" s="2" t="s">
        <v>2</v>
      </c>
      <c r="V6" s="3" t="s">
        <v>26</v>
      </c>
      <c r="W6" s="4" t="s">
        <v>27</v>
      </c>
      <c r="Y6" s="101"/>
      <c r="AH6" s="555">
        <f ca="1">VLOOKUP(MONTH($A$2),'VN_YouTube Performance'!$A$46:$L$57,5,0)*-1</f>
        <v>464523015.81428576</v>
      </c>
      <c r="AQ6" s="561">
        <f ca="1">VLOOKUP(MONTH($A$2),'VN_YouTube Performance'!$A$46:$L$57,6,0)*-1</f>
        <v>-33535.674601587816</v>
      </c>
      <c r="AS6" s="101"/>
      <c r="BB6" s="555">
        <f ca="1">VLOOKUP(MONTH($A$2),'VN_YouTube Performance'!$A$46:$L$57,7,0)*-1</f>
        <v>219331737.82225585</v>
      </c>
      <c r="BK6" s="561">
        <f ca="1">VLOOKUP(MONTH($A$2),'VN_YouTube Performance'!$A$46:$L$57,8,0)*-1</f>
        <v>22396.786536962696</v>
      </c>
      <c r="BM6" s="101"/>
      <c r="BV6" s="555">
        <f ca="1">VLOOKUP(MONTH($A$2),'VN_YouTube Performance'!$A$46:$L$57,9,0)*-1</f>
        <v>472106571.42483854</v>
      </c>
      <c r="CE6" s="561">
        <f ca="1">VLOOKUP(MONTH($A$2),'VN_YouTube Performance'!$A$46:$L$57,10,0)*-1</f>
        <v>51559.582089101372</v>
      </c>
      <c r="CG6" s="101"/>
      <c r="CP6" s="555">
        <f ca="1">VLOOKUP(MONTH($A$2),'VN_YouTube Performance'!$A$46:$L$57,11,0)*-1</f>
        <v>-51674687.168249145</v>
      </c>
      <c r="CY6" s="561">
        <f ca="1">VLOOKUP(MONTH($A$2),'VN_YouTube Performance'!$A$46:$L$57,12,0)*-1</f>
        <v>-34621.648181951619</v>
      </c>
      <c r="DA6" s="101"/>
    </row>
    <row r="7" spans="1:105">
      <c r="R7" s="127" t="s">
        <v>8</v>
      </c>
      <c r="S7" s="667">
        <f>'VN_YouTube Performance'!C25</f>
        <v>0.66654397095744689</v>
      </c>
      <c r="T7" s="667">
        <f>'VN_YouTube Performance'!E25</f>
        <v>0.53631128385401461</v>
      </c>
      <c r="U7" s="667">
        <f>'VN_YouTube Performance'!G25</f>
        <v>0.76673134491428574</v>
      </c>
      <c r="V7" s="667">
        <f>'VN_YouTube Performance'!I25</f>
        <v>0.68136102500628926</v>
      </c>
      <c r="W7" s="667">
        <f>'VN_YouTube Performance'!K25</f>
        <v>1.5138290071999998</v>
      </c>
      <c r="Y7" s="101"/>
      <c r="AS7" s="101"/>
      <c r="BM7" s="101"/>
      <c r="CG7" s="101"/>
      <c r="DA7" s="101"/>
    </row>
    <row r="8" spans="1:105">
      <c r="R8" s="127" t="s">
        <v>9</v>
      </c>
      <c r="S8" s="667">
        <f>'VN_YouTube Performance'!D25</f>
        <v>0.77505191673480456</v>
      </c>
      <c r="T8" s="667">
        <f>'VN_YouTube Performance'!F25</f>
        <v>0.72009480436632356</v>
      </c>
      <c r="U8" s="667">
        <f>'VN_YouTube Performance'!H25</f>
        <v>0.89257560677290215</v>
      </c>
      <c r="V8" s="667">
        <f>'VN_YouTube Performance'!J25</f>
        <v>0.69782923797273189</v>
      </c>
      <c r="W8" s="667">
        <f>'VN_YouTube Performance'!L25</f>
        <v>2.6619298631593198</v>
      </c>
      <c r="Y8" s="101"/>
      <c r="AS8" s="101"/>
      <c r="BM8" s="101"/>
      <c r="CG8" s="101"/>
      <c r="DA8" s="101"/>
    </row>
    <row r="9" spans="1:105">
      <c r="Y9" s="101"/>
      <c r="AS9" s="101"/>
      <c r="BM9" s="101"/>
      <c r="CG9" s="101"/>
      <c r="DA9" s="101"/>
    </row>
    <row r="10" spans="1:105">
      <c r="Y10" s="101"/>
      <c r="AS10" s="101"/>
      <c r="BM10" s="101"/>
      <c r="CG10" s="101"/>
      <c r="DA10" s="101"/>
    </row>
    <row r="11" spans="1:105">
      <c r="Y11" s="101"/>
      <c r="AS11" s="101"/>
      <c r="BM11" s="101"/>
      <c r="CG11" s="101"/>
      <c r="DA11" s="101"/>
    </row>
    <row r="12" spans="1:105">
      <c r="Y12" s="101"/>
      <c r="AS12" s="101"/>
      <c r="BM12" s="101"/>
      <c r="CG12" s="101"/>
      <c r="DA12" s="101"/>
    </row>
    <row r="13" spans="1:105">
      <c r="Y13" s="101"/>
      <c r="AS13" s="101"/>
      <c r="BM13" s="101"/>
      <c r="CG13" s="101"/>
      <c r="DA13" s="101"/>
    </row>
    <row r="14" spans="1:105">
      <c r="Y14" s="101"/>
      <c r="AS14" s="101"/>
      <c r="BM14" s="101"/>
      <c r="CG14" s="101"/>
      <c r="DA14" s="101"/>
    </row>
    <row r="15" spans="1:105">
      <c r="Y15" s="101"/>
      <c r="AS15" s="101"/>
      <c r="BM15" s="101"/>
      <c r="CG15" s="101"/>
      <c r="DA15" s="101"/>
    </row>
    <row r="16" spans="1:105">
      <c r="Y16" s="101"/>
      <c r="AS16" s="101"/>
      <c r="BM16" s="101"/>
      <c r="CG16" s="101"/>
      <c r="DA16" s="101"/>
    </row>
    <row r="17" spans="1:105">
      <c r="Y17" s="101"/>
      <c r="AS17" s="101"/>
      <c r="BM17" s="101"/>
      <c r="CG17" s="101"/>
      <c r="DA17" s="101"/>
    </row>
    <row r="18" spans="1:105">
      <c r="Y18" s="101"/>
      <c r="AS18" s="101"/>
      <c r="BM18" s="101"/>
      <c r="CG18" s="101"/>
      <c r="DA18" s="101"/>
    </row>
    <row r="19" spans="1:105">
      <c r="Y19" s="101"/>
      <c r="AS19" s="101"/>
      <c r="BM19" s="101"/>
      <c r="CG19" s="101"/>
      <c r="DA19" s="101"/>
    </row>
    <row r="20" spans="1:105">
      <c r="Y20" s="101"/>
      <c r="AS20" s="101"/>
      <c r="BM20" s="101"/>
      <c r="CG20" s="101"/>
      <c r="DA20" s="101"/>
    </row>
    <row r="21" spans="1:105">
      <c r="Y21" s="101"/>
      <c r="AS21" s="101"/>
      <c r="BM21" s="101"/>
      <c r="CG21" s="101"/>
      <c r="DA21" s="101"/>
    </row>
    <row r="22" spans="1:105">
      <c r="Y22" s="101"/>
      <c r="AS22" s="101"/>
      <c r="BM22" s="101"/>
      <c r="CG22" s="101"/>
      <c r="DA22" s="101"/>
    </row>
    <row r="23" spans="1:105">
      <c r="Y23" s="101"/>
      <c r="AS23" s="101"/>
      <c r="BM23" s="101"/>
      <c r="CG23" s="101"/>
      <c r="DA23" s="101"/>
    </row>
    <row r="24" spans="1:105">
      <c r="Y24" s="101"/>
      <c r="AS24" s="101"/>
      <c r="BM24" s="101"/>
      <c r="CG24" s="101"/>
      <c r="DA24" s="101"/>
    </row>
    <row r="25" spans="1:105">
      <c r="Y25" s="101"/>
      <c r="AS25" s="101"/>
      <c r="BM25" s="101"/>
      <c r="CG25" s="101"/>
      <c r="DA25" s="101"/>
    </row>
    <row r="26" spans="1:105">
      <c r="Y26" s="101"/>
      <c r="AS26" s="101"/>
      <c r="BM26" s="101"/>
      <c r="CG26" s="101"/>
      <c r="DA26" s="101"/>
    </row>
    <row r="27" spans="1:105" ht="4.7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</row>
    <row r="28" spans="1:105">
      <c r="Y28" s="101"/>
      <c r="AS28" s="101"/>
      <c r="BM28" s="101"/>
      <c r="CG28" s="101"/>
      <c r="DA28" s="101"/>
    </row>
    <row r="29" spans="1:105">
      <c r="Y29" s="101"/>
      <c r="AC29" s="560" t="s">
        <v>105</v>
      </c>
      <c r="AD29" s="555">
        <f ca="1">VLOOKUP(MONTH($A$2),'VN_YouTube Performance'!$M$6:$W$17,4,0)</f>
        <v>1010441081</v>
      </c>
      <c r="AL29" s="560" t="s">
        <v>105</v>
      </c>
      <c r="AM29" s="561">
        <f ca="1">VLOOKUP(MONTH($A$2),'VN_YouTube Performance'!$M$6:$W$17,5,0)</f>
        <v>183136.0120001497</v>
      </c>
      <c r="AS29" s="101"/>
      <c r="AW29" s="560" t="s">
        <v>105</v>
      </c>
      <c r="AX29" s="555">
        <f ca="1">VLOOKUP(MONTH($A$2),'VN_YouTube Performance'!$M$6:$W$17,6,0)</f>
        <v>476542281</v>
      </c>
      <c r="BF29" s="560" t="s">
        <v>105</v>
      </c>
      <c r="BG29" s="561">
        <f ca="1">VLOOKUP(MONTH($A$2),'VN_YouTube Performance'!$M$6:$W$17,7,0)</f>
        <v>98883.385000009774</v>
      </c>
      <c r="BM29" s="101"/>
      <c r="BQ29" s="560" t="s">
        <v>105</v>
      </c>
      <c r="BR29" s="555">
        <f ca="1">VLOOKUP(MONTH($A$2),'VN_YouTube Performance'!$M$6:$W$17,8,0)</f>
        <v>1010653051</v>
      </c>
      <c r="BZ29" s="560" t="s">
        <v>105</v>
      </c>
      <c r="CA29" s="561">
        <f ca="1">VLOOKUP(MONTH($A$2),'VN_YouTube Performance'!$M$6:$W$17,9,0)</f>
        <v>208122.49200016231</v>
      </c>
      <c r="CG29" s="101"/>
      <c r="CK29" s="560" t="s">
        <v>105</v>
      </c>
      <c r="CL29" s="555">
        <f ca="1">VLOOKUP(MONTH($A$2),'VN_YouTube Performance'!$M$6:$W$17,10,0)</f>
        <v>96677191</v>
      </c>
      <c r="CT29" s="560" t="s">
        <v>105</v>
      </c>
      <c r="CU29" s="561">
        <f ca="1">VLOOKUP(MONTH($A$2),'VN_YouTube Performance'!$M$6:$W$17,11,0)</f>
        <v>7556.8399999997064</v>
      </c>
      <c r="DA29" s="101"/>
    </row>
    <row r="30" spans="1:105">
      <c r="Y30" s="101"/>
      <c r="AC30" s="560" t="s">
        <v>104</v>
      </c>
      <c r="AD30" s="555">
        <f>'VN_YouTube Performance'!P5</f>
        <v>8446701059</v>
      </c>
      <c r="AL30" s="560" t="s">
        <v>104</v>
      </c>
      <c r="AM30" s="561">
        <f>'VN_YouTube Performance'!Q5</f>
        <v>1453348.1670002444</v>
      </c>
      <c r="AS30" s="101"/>
      <c r="AW30" s="560" t="s">
        <v>104</v>
      </c>
      <c r="AX30" s="555">
        <f>'VN_YouTube Performance'!R5</f>
        <v>5299958450</v>
      </c>
      <c r="BF30" s="560" t="s">
        <v>104</v>
      </c>
      <c r="BG30" s="561">
        <f>'VN_YouTube Performance'!S5</f>
        <v>1070209.4180000171</v>
      </c>
      <c r="BM30" s="101"/>
      <c r="BQ30" s="560" t="s">
        <v>104</v>
      </c>
      <c r="BR30" s="555">
        <f>'VN_YouTube Performance'!T5</f>
        <v>9479248692</v>
      </c>
      <c r="BZ30" s="560" t="s">
        <v>104</v>
      </c>
      <c r="CA30" s="561">
        <f>'VN_YouTube Performance'!U5</f>
        <v>1627944.7230002643</v>
      </c>
      <c r="CG30" s="101"/>
      <c r="CK30" s="560" t="s">
        <v>104</v>
      </c>
      <c r="CL30" s="555">
        <f>'VN_YouTube Performance'!V5</f>
        <v>1182540818</v>
      </c>
      <c r="CT30" s="560" t="s">
        <v>104</v>
      </c>
      <c r="CU30" s="561">
        <f>'VN_YouTube Performance'!W5</f>
        <v>132217.7579999993</v>
      </c>
      <c r="DA30" s="101"/>
    </row>
    <row r="31" spans="1:105">
      <c r="A31" s="551" t="s">
        <v>5</v>
      </c>
      <c r="R31" s="116"/>
      <c r="S31" s="128" t="s">
        <v>0</v>
      </c>
      <c r="T31" s="1" t="s">
        <v>1</v>
      </c>
      <c r="U31" s="2" t="s">
        <v>2</v>
      </c>
      <c r="V31" s="3" t="s">
        <v>26</v>
      </c>
      <c r="W31" s="4" t="s">
        <v>27</v>
      </c>
      <c r="Y31" s="101"/>
      <c r="AS31" s="101"/>
      <c r="BM31" s="101"/>
      <c r="CG31" s="101"/>
      <c r="DA31" s="101"/>
    </row>
    <row r="32" spans="1:105">
      <c r="R32" s="127" t="s">
        <v>8</v>
      </c>
      <c r="S32" s="667">
        <f>'VN_YouTube Performance'!N25</f>
        <v>0.56398718537460424</v>
      </c>
      <c r="T32" s="667">
        <f>'VN_YouTube Performance'!P25</f>
        <v>0.53680119155322481</v>
      </c>
      <c r="U32" s="667">
        <f>'VN_YouTube Performance'!R25</f>
        <v>0.64232188456294503</v>
      </c>
      <c r="V32" s="667">
        <f>'VN_YouTube Performance'!T25</f>
        <v>0.52124954143726154</v>
      </c>
      <c r="W32" s="667">
        <f>'VN_YouTube Performance'!V25</f>
        <v>1.068963451299435</v>
      </c>
      <c r="Y32" s="101"/>
      <c r="AS32" s="101"/>
      <c r="BM32" s="101"/>
      <c r="CG32" s="101"/>
      <c r="DA32" s="101"/>
    </row>
    <row r="33" spans="18:105">
      <c r="R33" s="127" t="s">
        <v>9</v>
      </c>
      <c r="S33" s="667">
        <f>'VN_YouTube Performance'!O25</f>
        <v>0.76529688515984773</v>
      </c>
      <c r="T33" s="667">
        <f>'VN_YouTube Performance'!Q25</f>
        <v>0.79377912690240449</v>
      </c>
      <c r="U33" s="667">
        <f>'VN_YouTube Performance'!S25</f>
        <v>0.68145622428263186</v>
      </c>
      <c r="V33" s="667">
        <f>'VN_YouTube Performance'!U25</f>
        <v>0.77201248097422326</v>
      </c>
      <c r="W33" s="667">
        <f>'VN_YouTube Performance'!W25</f>
        <v>1.5134408545204234</v>
      </c>
      <c r="Y33" s="101"/>
      <c r="AS33" s="101"/>
      <c r="BM33" s="101"/>
      <c r="CG33" s="101"/>
      <c r="DA33" s="101"/>
    </row>
    <row r="34" spans="18:105">
      <c r="Y34" s="101"/>
      <c r="AS34" s="101"/>
      <c r="BM34" s="101"/>
      <c r="CG34" s="101"/>
      <c r="DA34" s="101"/>
    </row>
    <row r="35" spans="18:105">
      <c r="Y35" s="101"/>
      <c r="AS35" s="101"/>
      <c r="BM35" s="101"/>
      <c r="CG35" s="101"/>
      <c r="DA35" s="101"/>
    </row>
    <row r="36" spans="18:105">
      <c r="Y36" s="101"/>
      <c r="AS36" s="101"/>
      <c r="BM36" s="101"/>
      <c r="CG36" s="101"/>
      <c r="DA36" s="101"/>
    </row>
    <row r="37" spans="18:105">
      <c r="Y37" s="101"/>
      <c r="AS37" s="101"/>
      <c r="BM37" s="101"/>
      <c r="CG37" s="101"/>
      <c r="DA37" s="101"/>
    </row>
    <row r="38" spans="18:105">
      <c r="Y38" s="101"/>
      <c r="AS38" s="101"/>
      <c r="BM38" s="101"/>
      <c r="CG38" s="101"/>
      <c r="DA38" s="101"/>
    </row>
    <row r="39" spans="18:105">
      <c r="Y39" s="101"/>
      <c r="AS39" s="101"/>
      <c r="BM39" s="101"/>
      <c r="CG39" s="101"/>
      <c r="DA39" s="101"/>
    </row>
    <row r="40" spans="18:105">
      <c r="Y40" s="101"/>
      <c r="AS40" s="101"/>
      <c r="BM40" s="101"/>
      <c r="CG40" s="101"/>
      <c r="DA40" s="101"/>
    </row>
    <row r="41" spans="18:105">
      <c r="Y41" s="101"/>
      <c r="AS41" s="101"/>
      <c r="BM41" s="101"/>
      <c r="CG41" s="101"/>
      <c r="DA41" s="101"/>
    </row>
    <row r="42" spans="18:105">
      <c r="Y42" s="101"/>
      <c r="AS42" s="101"/>
      <c r="BM42" s="101"/>
      <c r="CG42" s="101"/>
      <c r="DA42" s="101"/>
    </row>
    <row r="43" spans="18:105">
      <c r="Y43" s="101"/>
      <c r="AS43" s="101"/>
      <c r="BM43" s="101"/>
      <c r="CG43" s="101"/>
      <c r="DA43" s="101"/>
    </row>
    <row r="44" spans="18:105">
      <c r="Y44" s="101"/>
      <c r="AS44" s="101"/>
      <c r="BM44" s="101"/>
      <c r="CG44" s="101"/>
      <c r="DA44" s="101"/>
    </row>
    <row r="45" spans="18:105">
      <c r="Y45" s="101"/>
      <c r="AS45" s="101"/>
      <c r="BM45" s="101"/>
      <c r="CG45" s="101"/>
      <c r="DA45" s="101"/>
    </row>
    <row r="46" spans="18:105">
      <c r="Y46" s="101"/>
      <c r="AS46" s="101"/>
      <c r="BM46" s="101"/>
      <c r="CG46" s="101"/>
      <c r="DA46" s="101"/>
    </row>
    <row r="47" spans="18:105">
      <c r="Y47" s="101"/>
      <c r="AS47" s="101"/>
      <c r="BM47" s="101"/>
      <c r="CG47" s="101"/>
      <c r="DA47" s="101"/>
    </row>
    <row r="48" spans="18:105">
      <c r="Y48" s="101"/>
      <c r="AS48" s="101"/>
      <c r="BM48" s="101"/>
      <c r="CG48" s="101"/>
      <c r="DA48" s="101"/>
    </row>
    <row r="49" spans="1:105">
      <c r="Y49" s="101"/>
      <c r="AS49" s="101"/>
      <c r="BM49" s="101"/>
      <c r="CG49" s="101"/>
      <c r="DA49" s="101"/>
    </row>
    <row r="50" spans="1:105">
      <c r="Y50" s="101"/>
      <c r="AS50" s="101"/>
      <c r="BM50" s="101"/>
      <c r="CG50" s="101"/>
      <c r="DA50" s="101"/>
    </row>
    <row r="51" spans="1:105">
      <c r="Y51" s="101"/>
      <c r="AS51" s="101"/>
      <c r="BM51" s="101"/>
      <c r="CG51" s="101"/>
      <c r="DA51" s="101"/>
    </row>
    <row r="52" spans="1:105" ht="4.7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</row>
    <row r="53" spans="1:105">
      <c r="Y53" s="101"/>
      <c r="AS53" s="101"/>
      <c r="BM53" s="101"/>
      <c r="CG53" s="101"/>
      <c r="DA53" s="101"/>
    </row>
    <row r="54" spans="1:105">
      <c r="Y54" s="101"/>
      <c r="AC54" s="560" t="s">
        <v>105</v>
      </c>
      <c r="AD54" s="555">
        <f ca="1">VLOOKUP(MONTH($A$2),'VN_YouTube Performance'!$X$6:$AH$17,4,0)</f>
        <v>105646456</v>
      </c>
      <c r="AL54" s="560" t="s">
        <v>105</v>
      </c>
      <c r="AM54" s="561">
        <f ca="1">VLOOKUP(MONTH($A$2),'VN_YouTube Performance'!$X$6:$AH$17,5,0)</f>
        <v>141620.66000014605</v>
      </c>
      <c r="AS54" s="101"/>
      <c r="AW54" s="560" t="s">
        <v>105</v>
      </c>
      <c r="AX54" s="555">
        <f ca="1">VLOOKUP(MONTH($A$2),'VN_YouTube Performance'!$X$6:$AH$17,6,0)</f>
        <v>94682943</v>
      </c>
      <c r="BF54" s="560" t="s">
        <v>105</v>
      </c>
      <c r="BG54" s="561">
        <f ca="1">VLOOKUP(MONTH($A$2),'VN_YouTube Performance'!$X$6:$AH$17,7,0)</f>
        <v>43116.907999999341</v>
      </c>
      <c r="BM54" s="101"/>
      <c r="BQ54" s="560" t="s">
        <v>105</v>
      </c>
      <c r="BR54" s="555">
        <f ca="1">VLOOKUP(MONTH($A$2),'VN_YouTube Performance'!$X$6:$AH$17,8,0)</f>
        <v>312934048</v>
      </c>
      <c r="BZ54" s="560" t="s">
        <v>105</v>
      </c>
      <c r="CA54" s="561">
        <f ca="1">VLOOKUP(MONTH($A$2),'VN_YouTube Performance'!$X$6:$AH$17,9,0)</f>
        <v>222704.15900019614</v>
      </c>
      <c r="CG54" s="101"/>
      <c r="CK54" s="560" t="s">
        <v>105</v>
      </c>
      <c r="CL54" s="555">
        <f ca="1">VLOOKUP(MONTH($A$2),'VN_YouTube Performance'!$X$6:$AH$17,10,0)</f>
        <v>67934205</v>
      </c>
      <c r="CT54" s="560" t="s">
        <v>105</v>
      </c>
      <c r="CU54" s="561">
        <f ca="1">VLOOKUP(MONTH($A$2),'VN_YouTube Performance'!$X$6:$AH$17,11,0)</f>
        <v>45970.540999994992</v>
      </c>
      <c r="DA54" s="101"/>
    </row>
    <row r="55" spans="1:105">
      <c r="Y55" s="101"/>
      <c r="AC55" s="560" t="s">
        <v>104</v>
      </c>
      <c r="AD55" s="555">
        <f>'VN_YouTube Performance'!AA5</f>
        <v>737629677</v>
      </c>
      <c r="AL55" s="560" t="s">
        <v>104</v>
      </c>
      <c r="AM55" s="561">
        <f>'VN_YouTube Performance'!AB5</f>
        <v>1119701.925000228</v>
      </c>
      <c r="AS55" s="101"/>
      <c r="AW55" s="560" t="s">
        <v>104</v>
      </c>
      <c r="AX55" s="555">
        <f>'VN_YouTube Performance'!AC5</f>
        <v>1408940818</v>
      </c>
      <c r="BF55" s="560" t="s">
        <v>104</v>
      </c>
      <c r="BG55" s="561">
        <f>'VN_YouTube Performance'!AD5</f>
        <v>553895.18600000988</v>
      </c>
      <c r="BM55" s="101"/>
      <c r="BQ55" s="560" t="s">
        <v>104</v>
      </c>
      <c r="BR55" s="555">
        <f>'VN_YouTube Performance'!AE5</f>
        <v>4062801680</v>
      </c>
      <c r="BZ55" s="560" t="s">
        <v>104</v>
      </c>
      <c r="CA55" s="561">
        <f>'VN_YouTube Performance'!AF5</f>
        <v>2097850.2480003061</v>
      </c>
      <c r="CG55" s="101"/>
      <c r="CK55" s="560" t="s">
        <v>104</v>
      </c>
      <c r="CL55" s="555">
        <f>'VN_YouTube Performance'!AG5</f>
        <v>709745441</v>
      </c>
      <c r="CT55" s="560" t="s">
        <v>104</v>
      </c>
      <c r="CU55" s="561">
        <f>'VN_YouTube Performance'!AH5</f>
        <v>424794.82999999251</v>
      </c>
      <c r="DA55" s="101"/>
    </row>
    <row r="56" spans="1:105">
      <c r="A56" s="551" t="s">
        <v>6</v>
      </c>
      <c r="R56" s="116"/>
      <c r="S56" s="128" t="s">
        <v>0</v>
      </c>
      <c r="T56" s="1" t="s">
        <v>1</v>
      </c>
      <c r="U56" s="2" t="s">
        <v>2</v>
      </c>
      <c r="V56" s="3" t="s">
        <v>26</v>
      </c>
      <c r="W56" s="4" t="s">
        <v>27</v>
      </c>
      <c r="Y56" s="101"/>
      <c r="AS56" s="101"/>
      <c r="BM56" s="101"/>
      <c r="CG56" s="101"/>
      <c r="DA56" s="101"/>
    </row>
    <row r="57" spans="1:105">
      <c r="R57" s="127" t="s">
        <v>8</v>
      </c>
      <c r="S57" s="667">
        <f>'VN_YouTube Performance'!Y25</f>
        <v>1.8591658202082058</v>
      </c>
      <c r="T57" s="667">
        <f>'VN_YouTube Performance'!AA25</f>
        <v>0.53076437156282108</v>
      </c>
      <c r="U57" s="667">
        <f>'VN_YouTube Performance'!AC25</f>
        <v>2.8249439959899734</v>
      </c>
      <c r="V57" s="667">
        <f>'VN_YouTube Performance'!AE25</f>
        <v>2.4049140540140597</v>
      </c>
      <c r="W57" s="667">
        <f>'VN_YouTube Performance'!AG25</f>
        <v>4.9373595895652187</v>
      </c>
      <c r="Y57" s="101"/>
      <c r="AS57" s="101"/>
      <c r="BM57" s="101"/>
      <c r="CG57" s="101"/>
      <c r="DA57" s="101"/>
    </row>
    <row r="58" spans="1:105">
      <c r="R58" s="127" t="s">
        <v>9</v>
      </c>
      <c r="S58" s="667">
        <f>'VN_YouTube Performance'!Z25</f>
        <v>0.78527021071869441</v>
      </c>
      <c r="T58" s="667">
        <f>'VN_YouTube Performance'!AB25</f>
        <v>0.64266195295508222</v>
      </c>
      <c r="U58" s="667">
        <f>'VN_YouTube Performance'!AD25</f>
        <v>2.2236150627349613</v>
      </c>
      <c r="V58" s="667">
        <f>'VN_YouTube Performance'!AF25</f>
        <v>0.64940505216719957</v>
      </c>
      <c r="W58" s="667">
        <f>'VN_YouTube Performance'!AH25</f>
        <v>3.4850940281407481</v>
      </c>
      <c r="Y58" s="101"/>
      <c r="AS58" s="101"/>
      <c r="BM58" s="101"/>
      <c r="CG58" s="101"/>
      <c r="DA58" s="101"/>
    </row>
    <row r="59" spans="1:105">
      <c r="Y59" s="101"/>
      <c r="AS59" s="101"/>
      <c r="BM59" s="101"/>
      <c r="CG59" s="101"/>
      <c r="DA59" s="101"/>
    </row>
    <row r="60" spans="1:105">
      <c r="Y60" s="101"/>
      <c r="AS60" s="101"/>
      <c r="BM60" s="101"/>
      <c r="CG60" s="101"/>
      <c r="DA60" s="101"/>
    </row>
    <row r="61" spans="1:105">
      <c r="Y61" s="101"/>
      <c r="AS61" s="101"/>
      <c r="BM61" s="101"/>
      <c r="CG61" s="101"/>
      <c r="DA61" s="101"/>
    </row>
    <row r="62" spans="1:105">
      <c r="Y62" s="101"/>
      <c r="AS62" s="101"/>
      <c r="BM62" s="101"/>
      <c r="CG62" s="101"/>
      <c r="DA62" s="101"/>
    </row>
    <row r="63" spans="1:105">
      <c r="Y63" s="101"/>
      <c r="AS63" s="101"/>
      <c r="BM63" s="101"/>
      <c r="CG63" s="101"/>
      <c r="DA63" s="101"/>
    </row>
    <row r="64" spans="1:105">
      <c r="Y64" s="101"/>
      <c r="AS64" s="101"/>
      <c r="BM64" s="101"/>
      <c r="CG64" s="101"/>
      <c r="DA64" s="101"/>
    </row>
    <row r="65" spans="1:105">
      <c r="Y65" s="101"/>
      <c r="AS65" s="101"/>
      <c r="BM65" s="101"/>
      <c r="CG65" s="101"/>
      <c r="DA65" s="101"/>
    </row>
    <row r="66" spans="1:105">
      <c r="Y66" s="101"/>
      <c r="AS66" s="101"/>
      <c r="BM66" s="101"/>
      <c r="CG66" s="101"/>
      <c r="DA66" s="101"/>
    </row>
    <row r="67" spans="1:105">
      <c r="Y67" s="101"/>
      <c r="AS67" s="101"/>
      <c r="BM67" s="101"/>
      <c r="CG67" s="101"/>
      <c r="DA67" s="101"/>
    </row>
    <row r="68" spans="1:105">
      <c r="Y68" s="101"/>
      <c r="AS68" s="101"/>
      <c r="BM68" s="101"/>
      <c r="CG68" s="101"/>
      <c r="DA68" s="101"/>
    </row>
    <row r="69" spans="1:105">
      <c r="Y69" s="101"/>
      <c r="AS69" s="101"/>
      <c r="BM69" s="101"/>
      <c r="CG69" s="101"/>
      <c r="DA69" s="101"/>
    </row>
    <row r="70" spans="1:105">
      <c r="Y70" s="101"/>
      <c r="AS70" s="101"/>
      <c r="BM70" s="101"/>
      <c r="CG70" s="101"/>
      <c r="DA70" s="101"/>
    </row>
    <row r="71" spans="1:105">
      <c r="Y71" s="101"/>
      <c r="AS71" s="101"/>
      <c r="BM71" s="101"/>
      <c r="CG71" s="101"/>
      <c r="DA71" s="101"/>
    </row>
    <row r="72" spans="1:105">
      <c r="Y72" s="101"/>
      <c r="AS72" s="101"/>
      <c r="BM72" s="101"/>
      <c r="CG72" s="101"/>
      <c r="DA72" s="101"/>
    </row>
    <row r="73" spans="1:105">
      <c r="Y73" s="101"/>
      <c r="AS73" s="101"/>
      <c r="BM73" s="101"/>
      <c r="CG73" s="101"/>
      <c r="DA73" s="101"/>
    </row>
    <row r="74" spans="1:105">
      <c r="Y74" s="101"/>
      <c r="AS74" s="101"/>
      <c r="BM74" s="101"/>
      <c r="CG74" s="101"/>
      <c r="DA74" s="101"/>
    </row>
    <row r="75" spans="1:105">
      <c r="Y75" s="101"/>
      <c r="AS75" s="101"/>
      <c r="BM75" s="101"/>
      <c r="CG75" s="101"/>
      <c r="DA75" s="101"/>
    </row>
    <row r="76" spans="1:105">
      <c r="Y76" s="101"/>
      <c r="AS76" s="101"/>
      <c r="BM76" s="101"/>
      <c r="CG76" s="101"/>
      <c r="DA76" s="101"/>
    </row>
    <row r="77" spans="1:105" ht="4.7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8.85546875" defaultRowHeight="15"/>
  <cols>
    <col min="1" max="1" width="15.85546875" bestFit="1" customWidth="1"/>
    <col min="2" max="2" width="9.140625" bestFit="1" customWidth="1"/>
    <col min="8" max="8" width="8.85546875" customWidth="1"/>
    <col min="9" max="9" width="2.140625" customWidth="1"/>
    <col min="17" max="17" width="2.140625" customWidth="1"/>
    <col min="18" max="22" width="9.42578125" customWidth="1"/>
    <col min="23" max="23" width="2.140625" customWidth="1"/>
    <col min="24" max="24" width="1" customWidth="1"/>
    <col min="25" max="25" width="2.140625" customWidth="1"/>
    <col min="28" max="29" width="13.85546875" customWidth="1"/>
    <col min="31" max="31" width="13.42578125" bestFit="1" customWidth="1"/>
    <col min="32" max="32" width="14.42578125" customWidth="1"/>
    <col min="33" max="33" width="13.42578125" customWidth="1"/>
    <col min="34" max="34" width="2.140625" customWidth="1"/>
    <col min="37" max="38" width="13.85546875" customWidth="1"/>
    <col min="40" max="40" width="13.42578125" bestFit="1" customWidth="1"/>
    <col min="41" max="41" width="14.42578125" customWidth="1"/>
    <col min="42" max="42" width="13.42578125" customWidth="1"/>
    <col min="43" max="43" width="2.140625" customWidth="1"/>
    <col min="44" max="44" width="1" customWidth="1"/>
    <col min="45" max="45" width="2.140625" customWidth="1"/>
    <col min="48" max="49" width="13.85546875" customWidth="1"/>
    <col min="51" max="51" width="13.42578125" bestFit="1" customWidth="1"/>
    <col min="52" max="52" width="14.42578125" customWidth="1"/>
    <col min="53" max="53" width="13.42578125" customWidth="1"/>
    <col min="54" max="54" width="2.140625" customWidth="1"/>
    <col min="57" max="58" width="13.85546875" customWidth="1"/>
    <col min="60" max="60" width="13.42578125" bestFit="1" customWidth="1"/>
    <col min="61" max="61" width="14.42578125" customWidth="1"/>
    <col min="62" max="62" width="13.42578125" customWidth="1"/>
    <col min="63" max="63" width="2.140625" customWidth="1"/>
    <col min="64" max="64" width="1" customWidth="1"/>
    <col min="65" max="65" width="2.140625" customWidth="1"/>
    <col min="68" max="69" width="13.85546875" customWidth="1"/>
    <col min="71" max="71" width="13.42578125" bestFit="1" customWidth="1"/>
    <col min="72" max="72" width="14.42578125" customWidth="1"/>
    <col min="73" max="73" width="13.42578125" customWidth="1"/>
    <col min="74" max="74" width="2.140625" customWidth="1"/>
    <col min="77" max="78" width="13.85546875" customWidth="1"/>
    <col min="80" max="80" width="13.42578125" bestFit="1" customWidth="1"/>
    <col min="81" max="81" width="14.42578125" customWidth="1"/>
    <col min="82" max="82" width="13.42578125" customWidth="1"/>
    <col min="83" max="83" width="2.140625" customWidth="1"/>
    <col min="84" max="84" width="1" customWidth="1"/>
  </cols>
  <sheetData>
    <row r="1" spans="1:84" ht="14.45" customHeight="1">
      <c r="A1" s="673" t="s">
        <v>151</v>
      </c>
      <c r="X1" s="101"/>
      <c r="AR1" s="101"/>
      <c r="BL1" s="101"/>
      <c r="CF1" s="101"/>
    </row>
    <row r="2" spans="1:84" ht="14.45" customHeight="1">
      <c r="A2" s="847">
        <f ca="1">TODAY()-3</f>
        <v>43372</v>
      </c>
      <c r="B2" s="100" t="s">
        <v>0</v>
      </c>
      <c r="X2" s="101"/>
      <c r="Z2" s="553" t="s">
        <v>1</v>
      </c>
      <c r="AB2" s="560" t="s">
        <v>105</v>
      </c>
      <c r="AC2" s="555">
        <f ca="1">VLOOKUP(MONTH($A$2),'TH_YouTube Performance'!$A$6:$L$17,5,0)</f>
        <v>5951333</v>
      </c>
      <c r="AE2" s="100" t="s">
        <v>105</v>
      </c>
      <c r="AF2" s="116" t="s">
        <v>107</v>
      </c>
      <c r="AG2" s="558">
        <f ca="1">VLOOKUP(MONTH($A$2),'TH_YouTube Performance'!$A$26:$J$37,5,0)</f>
        <v>102.50389129479137</v>
      </c>
      <c r="AI2" s="553"/>
      <c r="AK2" s="560" t="s">
        <v>105</v>
      </c>
      <c r="AL2" s="561">
        <f ca="1">VLOOKUP(MONTH($A$2),'TH_YouTube Performance'!$A$6:$J$17,6,0)</f>
        <v>3042.4639999999999</v>
      </c>
      <c r="AN2" s="100" t="s">
        <v>105</v>
      </c>
      <c r="AO2" s="116" t="s">
        <v>107</v>
      </c>
      <c r="AP2" s="558">
        <f ca="1">VLOOKUP(MONTH($A$2),'TH_YouTube Performance'!$A$26:$J$37,6,0)</f>
        <v>291.12469343172188</v>
      </c>
      <c r="AR2" s="101"/>
      <c r="AT2" s="553" t="s">
        <v>3</v>
      </c>
      <c r="AV2" s="560" t="s">
        <v>105</v>
      </c>
      <c r="AW2" s="555">
        <f ca="1">VLOOKUP(MONTH($A$2),'TH_YouTube Performance'!$A$6:$J$17,7,0)</f>
        <v>154215658</v>
      </c>
      <c r="AY2" s="100" t="s">
        <v>105</v>
      </c>
      <c r="AZ2" s="116" t="s">
        <v>107</v>
      </c>
      <c r="BA2" s="558">
        <f ca="1">VLOOKUP(MONTH($A$2),'TH_YouTube Performance'!$A$26:$J$37,7,0)</f>
        <v>0.85291187072824537</v>
      </c>
      <c r="BC2" s="553"/>
      <c r="BE2" s="560" t="s">
        <v>105</v>
      </c>
      <c r="BF2" s="561">
        <f ca="1">VLOOKUP(MONTH($A$2),'TH_YouTube Performance'!$A$6:$J$17,8,0)</f>
        <v>61792.702999999892</v>
      </c>
      <c r="BH2" s="100" t="s">
        <v>105</v>
      </c>
      <c r="BI2" s="116" t="s">
        <v>107</v>
      </c>
      <c r="BJ2" s="558">
        <f ca="1">VLOOKUP(MONTH($A$2),'TH_YouTube Performance'!$A$26:$J$37,8,0)</f>
        <v>1.8986301606101343</v>
      </c>
      <c r="BL2" s="101"/>
      <c r="BN2" s="553" t="s">
        <v>4</v>
      </c>
      <c r="BP2" s="560" t="s">
        <v>105</v>
      </c>
      <c r="BQ2" s="555">
        <f ca="1">VLOOKUP(MONTH($A$2),'TH_YouTube Performance'!$A$6:$J$17,9,0)</f>
        <v>89849762</v>
      </c>
      <c r="BS2" s="100" t="s">
        <v>105</v>
      </c>
      <c r="BT2" s="116" t="s">
        <v>107</v>
      </c>
      <c r="BU2" s="558">
        <f ca="1">VLOOKUP(MONTH($A$2),'TH_YouTube Performance'!$A$26:$J$37,9,0)</f>
        <v>5.420533088169198</v>
      </c>
      <c r="BW2" s="553"/>
      <c r="BY2" s="560" t="s">
        <v>105</v>
      </c>
      <c r="BZ2" s="561">
        <f ca="1">VLOOKUP(MONTH($A$2),'TH_YouTube Performance'!$A$6:$J$17,10,0)</f>
        <v>46022.833999999631</v>
      </c>
      <c r="CB2" s="100" t="s">
        <v>105</v>
      </c>
      <c r="CC2" s="116" t="s">
        <v>107</v>
      </c>
      <c r="CD2" s="558">
        <f ca="1">VLOOKUP(MONTH($A$2),'TH_YouTube Performance'!$A$26:$J$37,10,0)</f>
        <v>15.425026607089359</v>
      </c>
      <c r="CF2" s="101"/>
    </row>
    <row r="3" spans="1:84" ht="14.45" customHeight="1">
      <c r="A3" s="847"/>
      <c r="B3" s="100"/>
      <c r="X3" s="101"/>
      <c r="Z3" s="553"/>
      <c r="AB3" s="560" t="s">
        <v>104</v>
      </c>
      <c r="AC3" s="555">
        <f>'TH_YouTube Performance'!E5</f>
        <v>6593353</v>
      </c>
      <c r="AF3" s="116" t="s">
        <v>106</v>
      </c>
      <c r="AG3" s="555">
        <f ca="1">IF(AG6&gt;0,AG6,0)</f>
        <v>0</v>
      </c>
      <c r="AI3" s="553"/>
      <c r="AK3" s="560" t="s">
        <v>104</v>
      </c>
      <c r="AL3" s="561">
        <f>'TH_YouTube Performance'!F5</f>
        <v>3334.7979999999998</v>
      </c>
      <c r="AO3" s="116" t="s">
        <v>106</v>
      </c>
      <c r="AP3" s="561">
        <f ca="1">IF(AP6&gt;0,AP6,0)</f>
        <v>0</v>
      </c>
      <c r="AR3" s="101"/>
      <c r="AT3" s="553"/>
      <c r="AV3" s="560" t="s">
        <v>104</v>
      </c>
      <c r="AW3" s="555">
        <f>'TH_YouTube Performance'!G5</f>
        <v>1047183464</v>
      </c>
      <c r="AZ3" s="116" t="s">
        <v>106</v>
      </c>
      <c r="BA3" s="555">
        <f ca="1">IF(BA6&gt;0,BA6,0)</f>
        <v>26595118.930945277</v>
      </c>
      <c r="BC3" s="553"/>
      <c r="BE3" s="560" t="s">
        <v>104</v>
      </c>
      <c r="BF3" s="561">
        <f>'TH_YouTube Performance'!H5</f>
        <v>321971.31699999957</v>
      </c>
      <c r="BI3" s="116" t="s">
        <v>106</v>
      </c>
      <c r="BJ3" s="561">
        <f ca="1">IF(BJ6&gt;0,BJ6,0)</f>
        <v>0</v>
      </c>
      <c r="BL3" s="101"/>
      <c r="BN3" s="553"/>
      <c r="BP3" s="560" t="s">
        <v>104</v>
      </c>
      <c r="BQ3" s="555">
        <f>'TH_YouTube Performance'!I5</f>
        <v>249797799</v>
      </c>
      <c r="BT3" s="116" t="s">
        <v>106</v>
      </c>
      <c r="BU3" s="555">
        <f ca="1">IF(BU6&gt;0,BU6,0)</f>
        <v>0</v>
      </c>
      <c r="BW3" s="553"/>
      <c r="BY3" s="560" t="s">
        <v>104</v>
      </c>
      <c r="BZ3" s="561">
        <f>'TH_YouTube Performance'!J5</f>
        <v>92208.191999999282</v>
      </c>
      <c r="CC3" s="116" t="s">
        <v>106</v>
      </c>
      <c r="CD3" s="561">
        <f ca="1">IF(CD6&gt;0,CD6,0)</f>
        <v>0</v>
      </c>
      <c r="CF3" s="101"/>
    </row>
    <row r="4" spans="1:84" ht="14.45" customHeight="1">
      <c r="A4" s="847"/>
      <c r="B4" s="100"/>
      <c r="X4" s="101"/>
      <c r="Z4" s="553"/>
      <c r="AB4" s="562"/>
      <c r="AC4" s="563"/>
      <c r="AF4" s="116" t="s">
        <v>110</v>
      </c>
      <c r="AG4" s="555">
        <f ca="1">VLOOKUP(MONTH($A$2),VN_Data!$AG$6:$AH$17,2,0)-DAY($A$2)</f>
        <v>1</v>
      </c>
      <c r="AI4" s="553"/>
      <c r="AK4" s="562"/>
      <c r="AL4" s="564"/>
      <c r="AO4" s="116" t="s">
        <v>110</v>
      </c>
      <c r="AP4" s="555">
        <f ca="1">VLOOKUP(MONTH($A$2),VN_Data!$AG$6:$AH$17,2,0)-DAY($A$2)</f>
        <v>1</v>
      </c>
      <c r="AR4" s="101"/>
      <c r="AT4" s="553"/>
      <c r="AV4" s="562"/>
      <c r="AW4" s="563"/>
      <c r="AZ4" s="116" t="s">
        <v>110</v>
      </c>
      <c r="BA4" s="555">
        <f ca="1">VLOOKUP(MONTH($A$2),VN_Data!$AG$6:$AH$17,2,0)-DAY($A$2)</f>
        <v>1</v>
      </c>
      <c r="BC4" s="553"/>
      <c r="BE4" s="562"/>
      <c r="BF4" s="564"/>
      <c r="BI4" s="116" t="s">
        <v>110</v>
      </c>
      <c r="BJ4" s="555">
        <f ca="1">VLOOKUP(MONTH($A$2),VN_Data!$AG$6:$AH$17,2,0)-DAY($A$2)</f>
        <v>1</v>
      </c>
      <c r="BL4" s="101"/>
      <c r="BN4" s="553"/>
      <c r="BP4" s="562"/>
      <c r="BQ4" s="563"/>
      <c r="BT4" s="116" t="s">
        <v>110</v>
      </c>
      <c r="BU4" s="555">
        <f ca="1">VLOOKUP(MONTH($A$2),VN_Data!$AG$6:$AH$17,2,0)-DAY($A$2)</f>
        <v>1</v>
      </c>
      <c r="BW4" s="553"/>
      <c r="BY4" s="562"/>
      <c r="BZ4" s="564"/>
      <c r="CC4" s="116" t="s">
        <v>110</v>
      </c>
      <c r="CD4" s="555">
        <f ca="1">VLOOKUP(MONTH($A$2),VN_Data!$AG$6:$AH$17,2,0)-DAY($A$2)</f>
        <v>1</v>
      </c>
      <c r="CF4" s="101"/>
    </row>
    <row r="5" spans="1:84" ht="14.45" customHeight="1">
      <c r="A5" s="847"/>
      <c r="X5" s="101"/>
      <c r="AF5" s="116" t="s">
        <v>108</v>
      </c>
      <c r="AG5" s="555">
        <f ca="1">IFERROR(AG3/AG4,0)</f>
        <v>0</v>
      </c>
      <c r="AO5" s="116" t="s">
        <v>108</v>
      </c>
      <c r="AP5" s="565">
        <f ca="1">IFERROR(AP3/AP4,0)</f>
        <v>0</v>
      </c>
      <c r="AR5" s="101"/>
      <c r="AZ5" s="116" t="s">
        <v>108</v>
      </c>
      <c r="BA5" s="555">
        <f ca="1">IFERROR(BA3/BA4,0)</f>
        <v>26595118.930945277</v>
      </c>
      <c r="BI5" s="116" t="s">
        <v>108</v>
      </c>
      <c r="BJ5" s="565">
        <f ca="1">IFERROR(BJ3/BJ4,0)</f>
        <v>0</v>
      </c>
      <c r="BL5" s="101"/>
      <c r="BT5" s="116" t="s">
        <v>108</v>
      </c>
      <c r="BU5" s="555">
        <f ca="1">IFERROR(BU3/BU4,0)</f>
        <v>0</v>
      </c>
      <c r="CC5" s="116" t="s">
        <v>108</v>
      </c>
      <c r="CD5" s="565">
        <f ca="1">IFERROR(CD3/CD4,0)</f>
        <v>0</v>
      </c>
      <c r="CF5" s="101"/>
    </row>
    <row r="6" spans="1:84">
      <c r="A6" s="551" t="s">
        <v>103</v>
      </c>
      <c r="R6" s="116"/>
      <c r="S6" s="128" t="s">
        <v>0</v>
      </c>
      <c r="T6" s="670" t="s">
        <v>1</v>
      </c>
      <c r="U6" s="672" t="s">
        <v>26</v>
      </c>
      <c r="V6" s="671" t="s">
        <v>27</v>
      </c>
      <c r="X6" s="101"/>
      <c r="AG6" s="555">
        <f ca="1">VLOOKUP(MONTH($A$2),'TH_YouTube Performance'!$A$46:$J$57,5,0)*-1</f>
        <v>-5893273.418799472</v>
      </c>
      <c r="AP6" s="561">
        <f ca="1">VLOOKUP(MONTH($A$2),'TH_YouTube Performance'!$A$46:$J$57,6,0)*-1</f>
        <v>-3032.0132753839048</v>
      </c>
      <c r="AR6" s="101"/>
      <c r="BA6" s="555">
        <f ca="1">VLOOKUP(MONTH($A$2),'TH_YouTube Performance'!$A$46:$J$57,7,0)*-1</f>
        <v>26595118.930945277</v>
      </c>
      <c r="BJ6" s="561">
        <f ca="1">VLOOKUP(MONTH($A$2),'TH_YouTube Performance'!$A$46:$J$57,8,0)*-1</f>
        <v>-29246.763152429739</v>
      </c>
      <c r="BL6" s="101"/>
      <c r="BU6" s="555">
        <f ca="1">VLOOKUP(MONTH($A$2),'TH_YouTube Performance'!$A$46:$J$57,9,0)*-1</f>
        <v>-73273945.463411525</v>
      </c>
      <c r="CD6" s="561">
        <f ca="1">VLOOKUP(MONTH($A$2),'TH_YouTube Performance'!$A$46:$J$57,10,0)*-1</f>
        <v>-43039.187023413702</v>
      </c>
      <c r="CF6" s="101"/>
    </row>
    <row r="7" spans="1:84">
      <c r="R7" s="127" t="s">
        <v>8</v>
      </c>
      <c r="S7" s="667">
        <f>'TH_YouTube Performance'!C25</f>
        <v>0.60103629126637836</v>
      </c>
      <c r="T7" s="667">
        <f>'TH_YouTube Performance'!E25</f>
        <v>10.338144717694156</v>
      </c>
      <c r="U7" s="667">
        <f>'TH_YouTube Performance'!G25</f>
        <v>0.5272403522793373</v>
      </c>
      <c r="V7" s="667">
        <f>'TH_YouTube Performance'!I25</f>
        <v>1.3719044169510537</v>
      </c>
      <c r="X7" s="101"/>
      <c r="AR7" s="101"/>
      <c r="BL7" s="101"/>
      <c r="CF7" s="101"/>
    </row>
    <row r="8" spans="1:84">
      <c r="R8" s="127" t="s">
        <v>9</v>
      </c>
      <c r="S8" s="667">
        <f>'TH_YouTube Performance'!D25</f>
        <v>1.0694578138787374</v>
      </c>
      <c r="T8" s="667">
        <f>'TH_YouTube Performance'!F25</f>
        <v>29.04914180511885</v>
      </c>
      <c r="U8" s="667">
        <f>'TH_YouTube Performance'!H25</f>
        <v>0.9005971013081554</v>
      </c>
      <c r="V8" s="667">
        <f>'TH_YouTube Performance'!J25</f>
        <v>2.8134049572690554</v>
      </c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7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FF5050"/>
  </sheetPr>
  <dimension ref="A1:AI90"/>
  <sheetViews>
    <sheetView showGridLines="0" workbookViewId="0">
      <pane xSplit="2" ySplit="3" topLeftCell="C16" activePane="bottomRight" state="frozen"/>
      <selection activeCell="U3" sqref="U3:Y3"/>
      <selection pane="topRight" activeCell="U3" sqref="U3:Y3"/>
      <selection pane="bottomLeft" activeCell="U3" sqref="U3:Y3"/>
      <selection pane="bottomRight" activeCell="H13" sqref="H13"/>
    </sheetView>
  </sheetViews>
  <sheetFormatPr defaultColWidth="8.85546875" defaultRowHeight="15"/>
  <cols>
    <col min="1" max="1" width="3" bestFit="1" customWidth="1"/>
    <col min="2" max="2" width="14.140625" bestFit="1" customWidth="1"/>
    <col min="3" max="12" width="14.42578125" customWidth="1"/>
    <col min="13" max="13" width="0.85546875" customWidth="1"/>
    <col min="14" max="23" width="14.42578125" customWidth="1"/>
    <col min="24" max="24" width="0.85546875" customWidth="1"/>
    <col min="25" max="34" width="14.42578125" customWidth="1"/>
    <col min="35" max="35" width="0.85546875" customWidth="1"/>
  </cols>
  <sheetData>
    <row r="1" spans="1:35" ht="15.75" thickBot="1">
      <c r="B1" s="673" t="s">
        <v>153</v>
      </c>
      <c r="C1" s="100" t="s">
        <v>13</v>
      </c>
      <c r="M1" s="101"/>
      <c r="N1" s="100" t="s">
        <v>5</v>
      </c>
      <c r="X1" s="101"/>
      <c r="Y1" s="100" t="s">
        <v>6</v>
      </c>
      <c r="AI1" s="101"/>
    </row>
    <row r="2" spans="1:35">
      <c r="B2" s="126">
        <f ca="1">VN_Graphs!A2</f>
        <v>43372</v>
      </c>
      <c r="C2" s="852" t="s">
        <v>0</v>
      </c>
      <c r="D2" s="853"/>
      <c r="E2" s="854" t="s">
        <v>1</v>
      </c>
      <c r="F2" s="855"/>
      <c r="G2" s="856" t="s">
        <v>2</v>
      </c>
      <c r="H2" s="857"/>
      <c r="I2" s="848" t="s">
        <v>3</v>
      </c>
      <c r="J2" s="849"/>
      <c r="K2" s="850" t="s">
        <v>4</v>
      </c>
      <c r="L2" s="851"/>
      <c r="M2" s="101"/>
      <c r="N2" s="852" t="s">
        <v>0</v>
      </c>
      <c r="O2" s="853"/>
      <c r="P2" s="854" t="s">
        <v>1</v>
      </c>
      <c r="Q2" s="855"/>
      <c r="R2" s="856" t="s">
        <v>2</v>
      </c>
      <c r="S2" s="857"/>
      <c r="T2" s="848" t="s">
        <v>3</v>
      </c>
      <c r="U2" s="849"/>
      <c r="V2" s="850" t="s">
        <v>4</v>
      </c>
      <c r="W2" s="851"/>
      <c r="X2" s="101"/>
      <c r="Y2" s="852" t="s">
        <v>0</v>
      </c>
      <c r="Z2" s="853"/>
      <c r="AA2" s="854" t="s">
        <v>1</v>
      </c>
      <c r="AB2" s="855"/>
      <c r="AC2" s="856" t="s">
        <v>2</v>
      </c>
      <c r="AD2" s="857"/>
      <c r="AE2" s="848" t="s">
        <v>3</v>
      </c>
      <c r="AF2" s="849"/>
      <c r="AG2" s="850" t="s">
        <v>4</v>
      </c>
      <c r="AH2" s="851"/>
      <c r="AI2" s="101"/>
    </row>
    <row r="3" spans="1:35" ht="15.75" thickBot="1">
      <c r="C3" s="112" t="s">
        <v>8</v>
      </c>
      <c r="D3" s="112" t="s">
        <v>9</v>
      </c>
      <c r="E3" s="5" t="s">
        <v>8</v>
      </c>
      <c r="F3" s="5" t="s">
        <v>9</v>
      </c>
      <c r="G3" s="6" t="s">
        <v>8</v>
      </c>
      <c r="H3" s="6" t="s">
        <v>9</v>
      </c>
      <c r="I3" s="7" t="s">
        <v>8</v>
      </c>
      <c r="J3" s="7" t="s">
        <v>9</v>
      </c>
      <c r="K3" s="8" t="s">
        <v>8</v>
      </c>
      <c r="L3" s="9" t="s">
        <v>9</v>
      </c>
      <c r="M3" s="101"/>
      <c r="N3" s="112" t="s">
        <v>8</v>
      </c>
      <c r="O3" s="112" t="s">
        <v>9</v>
      </c>
      <c r="P3" s="5" t="s">
        <v>8</v>
      </c>
      <c r="Q3" s="5" t="s">
        <v>9</v>
      </c>
      <c r="R3" s="6" t="s">
        <v>8</v>
      </c>
      <c r="S3" s="6" t="s">
        <v>9</v>
      </c>
      <c r="T3" s="7" t="s">
        <v>8</v>
      </c>
      <c r="U3" s="7" t="s">
        <v>9</v>
      </c>
      <c r="V3" s="8" t="s">
        <v>8</v>
      </c>
      <c r="W3" s="9" t="s">
        <v>9</v>
      </c>
      <c r="X3" s="101"/>
      <c r="Y3" s="112" t="s">
        <v>8</v>
      </c>
      <c r="Z3" s="112" t="s">
        <v>9</v>
      </c>
      <c r="AA3" s="5" t="s">
        <v>8</v>
      </c>
      <c r="AB3" s="5" t="s">
        <v>9</v>
      </c>
      <c r="AC3" s="6" t="s">
        <v>8</v>
      </c>
      <c r="AD3" s="6" t="s">
        <v>9</v>
      </c>
      <c r="AE3" s="7" t="s">
        <v>8</v>
      </c>
      <c r="AF3" s="7" t="s">
        <v>9</v>
      </c>
      <c r="AG3" s="8" t="s">
        <v>8</v>
      </c>
      <c r="AH3" s="9" t="s">
        <v>9</v>
      </c>
      <c r="AI3" s="101"/>
    </row>
    <row r="4" spans="1:35" ht="15.75" thickBot="1">
      <c r="B4" s="20" t="s">
        <v>11</v>
      </c>
      <c r="M4" s="101"/>
      <c r="X4" s="101"/>
      <c r="AI4" s="101"/>
    </row>
    <row r="5" spans="1:35" ht="15.75" thickBot="1">
      <c r="B5" s="21" t="s">
        <v>7</v>
      </c>
      <c r="C5" s="25">
        <f t="shared" ref="C5" si="0">SUM(C6:C17)</f>
        <v>31327566635</v>
      </c>
      <c r="D5" s="26">
        <f t="shared" ref="D5" si="1">SUM(D6:D17)</f>
        <v>8479962.2550010607</v>
      </c>
      <c r="E5" s="33">
        <f t="shared" ref="E5" si="2">SUM(E6:E17)</f>
        <v>9184330736</v>
      </c>
      <c r="F5" s="34">
        <f t="shared" ref="F5" si="3">SUM(F6:F17)</f>
        <v>2573050.0920004728</v>
      </c>
      <c r="G5" s="41">
        <f t="shared" ref="G5" si="4">SUM(G6:G17)</f>
        <v>6708899268</v>
      </c>
      <c r="H5" s="42">
        <f t="shared" ref="H5" si="5">SUM(H6:H17)</f>
        <v>1624104.6040000271</v>
      </c>
      <c r="I5" s="49">
        <f t="shared" ref="I5" si="6">SUM(I6:I17)</f>
        <v>13542050372</v>
      </c>
      <c r="J5" s="50">
        <f t="shared" ref="J5" si="7">SUM(J6:J17)</f>
        <v>3725794.9710005699</v>
      </c>
      <c r="K5" s="57">
        <f t="shared" ref="K5" si="8">SUM(K6:K17)</f>
        <v>1892286259</v>
      </c>
      <c r="L5" s="18">
        <f t="shared" ref="L5" si="9">SUM(L6:L17)</f>
        <v>557012.58799999196</v>
      </c>
      <c r="M5" s="101"/>
      <c r="N5" s="25">
        <f t="shared" ref="N5" si="10">SUM(N6:N17)</f>
        <v>24408449019</v>
      </c>
      <c r="O5" s="26">
        <f t="shared" ref="O5" si="11">SUM(O6:O17)</f>
        <v>4283720.0660005249</v>
      </c>
      <c r="P5" s="33">
        <f t="shared" ref="P5" si="12">SUM(P6:P17)</f>
        <v>8446701059</v>
      </c>
      <c r="Q5" s="34">
        <f t="shared" ref="Q5" si="13">SUM(Q6:Q17)</f>
        <v>1453348.1670002444</v>
      </c>
      <c r="R5" s="41">
        <f t="shared" ref="R5" si="14">SUM(R6:R17)</f>
        <v>5299958450</v>
      </c>
      <c r="S5" s="42">
        <f t="shared" ref="S5" si="15">SUM(S6:S17)</f>
        <v>1070209.4180000171</v>
      </c>
      <c r="T5" s="49">
        <f t="shared" ref="T5" si="16">SUM(T6:T17)</f>
        <v>9479248692</v>
      </c>
      <c r="U5" s="50">
        <f t="shared" ref="U5" si="17">SUM(U6:U17)</f>
        <v>1627944.7230002643</v>
      </c>
      <c r="V5" s="57">
        <f t="shared" ref="V5" si="18">SUM(V6:V17)</f>
        <v>1182540818</v>
      </c>
      <c r="W5" s="18">
        <f t="shared" ref="W5" si="19">SUM(W6:W17)</f>
        <v>132217.7579999993</v>
      </c>
      <c r="X5" s="101"/>
      <c r="Y5" s="25">
        <f t="shared" ref="Y5" si="20">SUM(Y6:Y17)</f>
        <v>6919117616</v>
      </c>
      <c r="Z5" s="26">
        <f t="shared" ref="Z5" si="21">SUM(Z6:Z17)</f>
        <v>4196242.1890005358</v>
      </c>
      <c r="AA5" s="33">
        <f t="shared" ref="AA5" si="22">SUM(AA6:AA17)</f>
        <v>737629677</v>
      </c>
      <c r="AB5" s="34">
        <f t="shared" ref="AB5" si="23">SUM(AB6:AB17)</f>
        <v>1119701.925000228</v>
      </c>
      <c r="AC5" s="41">
        <f t="shared" ref="AC5" si="24">SUM(AC6:AC17)</f>
        <v>1408940818</v>
      </c>
      <c r="AD5" s="42">
        <f t="shared" ref="AD5" si="25">SUM(AD6:AD17)</f>
        <v>553895.18600000988</v>
      </c>
      <c r="AE5" s="49">
        <f t="shared" ref="AE5" si="26">SUM(AE6:AE17)</f>
        <v>4062801680</v>
      </c>
      <c r="AF5" s="50">
        <f t="shared" ref="AF5" si="27">SUM(AF6:AF17)</f>
        <v>2097850.2480003061</v>
      </c>
      <c r="AG5" s="57">
        <f t="shared" ref="AG5" si="28">SUM(AG6:AG17)</f>
        <v>709745441</v>
      </c>
      <c r="AH5" s="18">
        <f t="shared" ref="AH5" si="29">SUM(AH6:AH17)</f>
        <v>424794.82999999251</v>
      </c>
      <c r="AI5" s="101"/>
    </row>
    <row r="6" spans="1:35">
      <c r="A6" s="557">
        <v>1</v>
      </c>
      <c r="B6" s="22">
        <v>43101</v>
      </c>
      <c r="C6" s="27">
        <f>SUM(E6,G6,I6,K6)</f>
        <v>2849609620</v>
      </c>
      <c r="D6" s="28">
        <f>SUM(F6,H6,J6,L6)</f>
        <v>651485.32799999986</v>
      </c>
      <c r="E6" s="35">
        <f>SUMIF(VN_Data!$B$6:$B$381,MONTH($B6),VN_Data!C$6:C$381)</f>
        <v>864105685</v>
      </c>
      <c r="F6" s="36">
        <f>SUMIF(VN_Data!$B$6:$B$381,MONTH($B6),VN_Data!D$6:D$381)</f>
        <v>210984.02699999997</v>
      </c>
      <c r="G6" s="43">
        <f>SUMIF(VN_Data!$B$6:$B$381,MONTH($B6),VN_Data!E$6:E$381)</f>
        <v>712243496</v>
      </c>
      <c r="H6" s="44">
        <f>SUMIF(VN_Data!$B$6:$B$381,MONTH($B6),VN_Data!F$6:F$381)</f>
        <v>148369.26999999999</v>
      </c>
      <c r="I6" s="51">
        <f>SUMIF(VN_Data!$B$6:$B$381,MONTH($B6),VN_Data!G$6:G$381)</f>
        <v>1147271340</v>
      </c>
      <c r="J6" s="52">
        <f>SUMIF(VN_Data!$B$6:$B$381,MONTH($B6),VN_Data!H$6:H$381)</f>
        <v>274892.22499999998</v>
      </c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>
        <f>SUM(P6,R6,T6,V6)</f>
        <v>2364379778</v>
      </c>
      <c r="O6" s="28">
        <f>SUM(Q6,S6,U6,W6)</f>
        <v>371034.18300000002</v>
      </c>
      <c r="P6" s="35">
        <f>SUMIF(VN_Data!$B$6:$B$381,MONTH($B6),VN_Data!L$6:L$381)</f>
        <v>795091225</v>
      </c>
      <c r="Q6" s="36">
        <f>SUMIF(VN_Data!$B$6:$B$381,MONTH($B6),VN_Data!M$6:M$381)</f>
        <v>112045.99700000002</v>
      </c>
      <c r="R6" s="43">
        <f>SUMIF(VN_Data!$B$6:$B$381,MONTH($B6),VN_Data!N$6:N$381)</f>
        <v>600131253</v>
      </c>
      <c r="S6" s="44">
        <f>SUMIF(VN_Data!$B$6:$B$381,MONTH($B6),VN_Data!O$6:O$381)</f>
        <v>115656.79299999999</v>
      </c>
      <c r="T6" s="51">
        <f>SUMIF(VN_Data!$B$6:$B$381,MONTH($B6),VN_Data!P$6:P$381)</f>
        <v>868466034</v>
      </c>
      <c r="U6" s="52">
        <f>SUMIF(VN_Data!$B$6:$B$381,MONTH($B6),VN_Data!Q$6:Q$381)</f>
        <v>134480.26200000002</v>
      </c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>
        <f>SUM(AA6,AC6,AE6,AG6)</f>
        <v>485229842</v>
      </c>
      <c r="Z6" s="28">
        <f>SUM(AB6,AD6,AF6,AH6)</f>
        <v>280451.14499999996</v>
      </c>
      <c r="AA6" s="35">
        <f>SUMIF(VN_Data!$B$6:$B$381,MONTH($B6),VN_Data!U$6:U$381)</f>
        <v>69014460</v>
      </c>
      <c r="AB6" s="36">
        <f>SUMIF(VN_Data!$B$6:$B$381,MONTH($B6),VN_Data!V$6:V$381)</f>
        <v>98938.030000000013</v>
      </c>
      <c r="AC6" s="43">
        <f>SUMIF(VN_Data!$B$6:$B$381,MONTH($B6),VN_Data!W$6:W$381)</f>
        <v>112112243</v>
      </c>
      <c r="AD6" s="44">
        <f>SUMIF(VN_Data!$B$6:$B$381,MONTH($B6),VN_Data!X$6:X$381)</f>
        <v>32712.477000000003</v>
      </c>
      <c r="AE6" s="51">
        <f>SUMIF(VN_Data!$B$6:$B$381,MONTH($B6),VN_Data!Y$6:Y$381)</f>
        <v>278805306</v>
      </c>
      <c r="AF6" s="52">
        <f>SUMIF(VN_Data!$B$6:$B$381,MONTH($B6),VN_Data!Z$6:Z$381)</f>
        <v>140411.96299999999</v>
      </c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557">
        <v>2</v>
      </c>
      <c r="B7" s="23">
        <v>43132</v>
      </c>
      <c r="C7" s="29">
        <f t="shared" ref="C7:C17" si="30">SUM(E7,G7,I7,K7)</f>
        <v>2841911507</v>
      </c>
      <c r="D7" s="30">
        <f t="shared" ref="D7:D17" si="31">SUM(F7,H7,J7,L7)</f>
        <v>618223.33000000007</v>
      </c>
      <c r="E7" s="35">
        <f>SUMIF(VN_Data!$B$6:$B$381,MONTH($B7),VN_Data!C$6:C$381)</f>
        <v>833934912</v>
      </c>
      <c r="F7" s="38">
        <f>SUMIF(VN_Data!$B$6:$B$381,MONTH($B7),VN_Data!D$6:D$381)</f>
        <v>216045.23000000007</v>
      </c>
      <c r="G7" s="45">
        <f>SUMIF(VN_Data!$B$6:$B$381,MONTH($B7),VN_Data!E$6:E$381)</f>
        <v>640353919</v>
      </c>
      <c r="H7" s="46">
        <f>SUMIF(VN_Data!$B$6:$B$381,MONTH($B7),VN_Data!F$6:F$381)</f>
        <v>118213.66</v>
      </c>
      <c r="I7" s="53">
        <f>SUMIF(VN_Data!$B$6:$B$381,MONTH($B7),VN_Data!G$6:G$381)</f>
        <v>1266919294</v>
      </c>
      <c r="J7" s="54">
        <f>SUMIF(VN_Data!$B$6:$B$381,MONTH($B7),VN_Data!H$6:H$381)</f>
        <v>267740.78999999998</v>
      </c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>
        <f t="shared" ref="N7:N17" si="32">SUM(P7,R7,T7,V7)</f>
        <v>2278775129</v>
      </c>
      <c r="O7" s="30">
        <f t="shared" ref="O7:O17" si="33">SUM(Q7,S7,U7,W7)</f>
        <v>316665.95999999996</v>
      </c>
      <c r="P7" s="35">
        <f>SUMIF(VN_Data!$B$6:$B$381,MONTH($B7),VN_Data!L$6:L$381)</f>
        <v>776784349</v>
      </c>
      <c r="Q7" s="38">
        <f>SUMIF(VN_Data!$B$6:$B$381,MONTH($B7),VN_Data!M$6:M$381)</f>
        <v>99888.500000000015</v>
      </c>
      <c r="R7" s="45">
        <f>SUMIF(VN_Data!$B$6:$B$381,MONTH($B7),VN_Data!N$6:N$381)</f>
        <v>559835027</v>
      </c>
      <c r="S7" s="46">
        <f>SUMIF(VN_Data!$B$6:$B$381,MONTH($B7),VN_Data!O$6:O$381)</f>
        <v>94450.7</v>
      </c>
      <c r="T7" s="53">
        <f>SUMIF(VN_Data!$B$6:$B$381,MONTH($B7),VN_Data!P$6:P$381)</f>
        <v>854430643</v>
      </c>
      <c r="U7" s="54">
        <f>SUMIF(VN_Data!$B$6:$B$381,MONTH($B7),VN_Data!Q$6:Q$381)</f>
        <v>114441.33999999997</v>
      </c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>
        <f t="shared" ref="Y7:Y17" si="34">SUM(AA7,AC7,AE7,AG7)</f>
        <v>563136378</v>
      </c>
      <c r="Z7" s="30">
        <f t="shared" ref="Z7:Z17" si="35">SUM(AB7,AD7,AF7,AH7)</f>
        <v>301557.37</v>
      </c>
      <c r="AA7" s="35">
        <f>SUMIF(VN_Data!$B$6:$B$381,MONTH($B7),VN_Data!U$6:U$381)</f>
        <v>57150563</v>
      </c>
      <c r="AB7" s="38">
        <f>SUMIF(VN_Data!$B$6:$B$381,MONTH($B7),VN_Data!V$6:V$381)</f>
        <v>116156.72999999998</v>
      </c>
      <c r="AC7" s="45">
        <f>SUMIF(VN_Data!$B$6:$B$381,MONTH($B7),VN_Data!W$6:W$381)</f>
        <v>80518892</v>
      </c>
      <c r="AD7" s="46">
        <f>SUMIF(VN_Data!$B$6:$B$381,MONTH($B7),VN_Data!X$6:X$381)</f>
        <v>23762.960000000003</v>
      </c>
      <c r="AE7" s="53">
        <f>SUMIF(VN_Data!$B$6:$B$381,MONTH($B7),VN_Data!Y$6:Y$381)</f>
        <v>412488651</v>
      </c>
      <c r="AF7" s="54">
        <f>SUMIF(VN_Data!$B$6:$B$381,MONTH($B7),VN_Data!Z$6:Z$381)</f>
        <v>153299.45000000001</v>
      </c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557">
        <v>3</v>
      </c>
      <c r="B8" s="23">
        <v>43160</v>
      </c>
      <c r="C8" s="29">
        <f t="shared" si="30"/>
        <v>3557895447</v>
      </c>
      <c r="D8" s="30">
        <f t="shared" si="31"/>
        <v>990127.49</v>
      </c>
      <c r="E8" s="37">
        <f>SUMIF(VN_Data!$B$6:$B$381,MONTH($B8),VN_Data!C$6:C$381)</f>
        <v>1022301334</v>
      </c>
      <c r="F8" s="38">
        <f>SUMIF(VN_Data!$B$6:$B$381,MONTH($B8),VN_Data!D$6:D$381)</f>
        <v>267647.23000000004</v>
      </c>
      <c r="G8" s="45">
        <f>SUMIF(VN_Data!$B$6:$B$381,MONTH($B8),VN_Data!E$6:E$381)</f>
        <v>663392460</v>
      </c>
      <c r="H8" s="46">
        <f>SUMIF(VN_Data!$B$6:$B$381,MONTH($B8),VN_Data!F$6:F$381)</f>
        <v>168146.83</v>
      </c>
      <c r="I8" s="53">
        <f>SUMIF(VN_Data!$B$6:$B$381,MONTH($B8),VN_Data!G$6:G$381)</f>
        <v>1702385218</v>
      </c>
      <c r="J8" s="54">
        <f>SUMIF(VN_Data!$B$6:$B$381,MONTH($B8),VN_Data!H$6:H$381)</f>
        <v>516133.7</v>
      </c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>
        <f t="shared" si="32"/>
        <v>2663068760</v>
      </c>
      <c r="O8" s="30">
        <f t="shared" si="33"/>
        <v>427462.08999999997</v>
      </c>
      <c r="P8" s="37">
        <f>SUMIF(VN_Data!$B$6:$B$381,MONTH($B8),VN_Data!L$6:L$381)</f>
        <v>953219469</v>
      </c>
      <c r="Q8" s="38">
        <f>SUMIF(VN_Data!$B$6:$B$381,MONTH($B8),VN_Data!M$6:M$381)</f>
        <v>130016.65</v>
      </c>
      <c r="R8" s="45">
        <f>SUMIF(VN_Data!$B$6:$B$381,MONTH($B8),VN_Data!N$6:N$381)</f>
        <v>551862891</v>
      </c>
      <c r="S8" s="46">
        <f>SUMIF(VN_Data!$B$6:$B$381,MONTH($B8),VN_Data!O$6:O$381)</f>
        <v>125455.74999999999</v>
      </c>
      <c r="T8" s="53">
        <f>SUMIF(VN_Data!$B$6:$B$381,MONTH($B8),VN_Data!P$6:P$381)</f>
        <v>1004359740</v>
      </c>
      <c r="U8" s="54">
        <f>SUMIF(VN_Data!$B$6:$B$381,MONTH($B8),VN_Data!Q$6:Q$381)</f>
        <v>153972.35000000003</v>
      </c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>
        <f t="shared" si="34"/>
        <v>894826687</v>
      </c>
      <c r="Z8" s="30">
        <f t="shared" si="35"/>
        <v>562665.4</v>
      </c>
      <c r="AA8" s="37">
        <f>SUMIF(VN_Data!$B$6:$B$381,MONTH($B8),VN_Data!U$6:U$381)</f>
        <v>69081865</v>
      </c>
      <c r="AB8" s="38">
        <f>SUMIF(VN_Data!$B$6:$B$381,MONTH($B8),VN_Data!V$6:V$381)</f>
        <v>137630.57999999999</v>
      </c>
      <c r="AC8" s="45">
        <f>SUMIF(VN_Data!$B$6:$B$381,MONTH($B8),VN_Data!W$6:W$381)</f>
        <v>111529569</v>
      </c>
      <c r="AD8" s="46">
        <f>SUMIF(VN_Data!$B$6:$B$381,MONTH($B8),VN_Data!X$6:X$381)</f>
        <v>42691.080000000009</v>
      </c>
      <c r="AE8" s="53">
        <f>SUMIF(VN_Data!$B$6:$B$381,MONTH($B8),VN_Data!Y$6:Y$381)</f>
        <v>698025478</v>
      </c>
      <c r="AF8" s="54">
        <f>SUMIF(VN_Data!$B$6:$B$381,MONTH($B8),VN_Data!Z$6:Z$381)</f>
        <v>362161.35</v>
      </c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557">
        <v>4</v>
      </c>
      <c r="B9" s="23">
        <v>43191</v>
      </c>
      <c r="C9" s="29">
        <f t="shared" si="30"/>
        <v>3803032679</v>
      </c>
      <c r="D9" s="30">
        <f t="shared" si="31"/>
        <v>1048994.3599999999</v>
      </c>
      <c r="E9" s="37">
        <f>SUMIF(VN_Data!$B$6:$B$381,MONTH($B9),VN_Data!C$6:C$381)</f>
        <v>1058616918</v>
      </c>
      <c r="F9" s="38">
        <f>SUMIF(VN_Data!$B$6:$B$381,MONTH($B9),VN_Data!D$6:D$381)</f>
        <v>291254.53000000003</v>
      </c>
      <c r="G9" s="45">
        <f>SUMIF(VN_Data!$B$6:$B$381,MONTH($B9),VN_Data!E$6:E$381)</f>
        <v>693831478</v>
      </c>
      <c r="H9" s="46">
        <f>SUMIF(VN_Data!$B$6:$B$381,MONTH($B9),VN_Data!F$6:F$381)</f>
        <v>170290.55</v>
      </c>
      <c r="I9" s="53">
        <f>SUMIF(VN_Data!$B$6:$B$381,MONTH($B9),VN_Data!G$6:G$381)</f>
        <v>1691880706</v>
      </c>
      <c r="J9" s="54">
        <f>SUMIF(VN_Data!$B$6:$B$381,MONTH($B9),VN_Data!H$6:H$381)</f>
        <v>465833.50999999989</v>
      </c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>
        <f t="shared" si="32"/>
        <v>2701034428</v>
      </c>
      <c r="O9" s="30">
        <f t="shared" si="33"/>
        <v>480192.80000000005</v>
      </c>
      <c r="P9" s="37">
        <f>SUMIF(VN_Data!$B$6:$B$381,MONTH($B9),VN_Data!L$6:L$381)</f>
        <v>986462798</v>
      </c>
      <c r="Q9" s="38">
        <f>SUMIF(VN_Data!$B$6:$B$381,MONTH($B9),VN_Data!M$6:M$381)</f>
        <v>175528.19000000003</v>
      </c>
      <c r="R9" s="45">
        <f>SUMIF(VN_Data!$B$6:$B$381,MONTH($B9),VN_Data!N$6:N$381)</f>
        <v>547962867</v>
      </c>
      <c r="S9" s="46">
        <f>SUMIF(VN_Data!$B$6:$B$381,MONTH($B9),VN_Data!O$6:O$381)</f>
        <v>116613.42000000001</v>
      </c>
      <c r="T9" s="53">
        <f>SUMIF(VN_Data!$B$6:$B$381,MONTH($B9),VN_Data!P$6:P$381)</f>
        <v>981894209</v>
      </c>
      <c r="U9" s="54">
        <f>SUMIF(VN_Data!$B$6:$B$381,MONTH($B9),VN_Data!Q$6:Q$381)</f>
        <v>164250.47999999998</v>
      </c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>
        <f t="shared" si="34"/>
        <v>1101998251</v>
      </c>
      <c r="Z9" s="30">
        <f t="shared" si="35"/>
        <v>568801.55999999994</v>
      </c>
      <c r="AA9" s="37">
        <f>SUMIF(VN_Data!$B$6:$B$381,MONTH($B9),VN_Data!U$6:U$381)</f>
        <v>72154120</v>
      </c>
      <c r="AB9" s="38">
        <f>SUMIF(VN_Data!$B$6:$B$381,MONTH($B9),VN_Data!V$6:V$381)</f>
        <v>115726.34</v>
      </c>
      <c r="AC9" s="45">
        <f>SUMIF(VN_Data!$B$6:$B$381,MONTH($B9),VN_Data!W$6:W$381)</f>
        <v>145868611</v>
      </c>
      <c r="AD9" s="46">
        <f>SUMIF(VN_Data!$B$6:$B$381,MONTH($B9),VN_Data!X$6:X$381)</f>
        <v>53677.130000000005</v>
      </c>
      <c r="AE9" s="53">
        <f>SUMIF(VN_Data!$B$6:$B$381,MONTH($B9),VN_Data!Y$6:Y$381)</f>
        <v>709986497</v>
      </c>
      <c r="AF9" s="54">
        <f>SUMIF(VN_Data!$B$6:$B$381,MONTH($B9),VN_Data!Z$6:Z$381)</f>
        <v>301583.03000000003</v>
      </c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557">
        <v>5</v>
      </c>
      <c r="B10" s="23">
        <v>43221</v>
      </c>
      <c r="C10" s="29">
        <f t="shared" si="30"/>
        <v>3816548741</v>
      </c>
      <c r="D10" s="30">
        <f t="shared" si="31"/>
        <v>1189260.25</v>
      </c>
      <c r="E10" s="37">
        <f>SUMIF(VN_Data!$B$6:$B$381,MONTH($B10),VN_Data!C$6:C$381)</f>
        <v>1052403518</v>
      </c>
      <c r="F10" s="38">
        <f>SUMIF(VN_Data!$B$6:$B$381,MONTH($B10),VN_Data!D$6:D$381)</f>
        <v>322226.97000000003</v>
      </c>
      <c r="G10" s="45">
        <f>SUMIF(VN_Data!$B$6:$B$381,MONTH($B10),VN_Data!E$6:E$381)</f>
        <v>796396532</v>
      </c>
      <c r="H10" s="46">
        <f>SUMIF(VN_Data!$B$6:$B$381,MONTH($B10),VN_Data!F$6:F$381)</f>
        <v>206786.54000000004</v>
      </c>
      <c r="I10" s="53">
        <f>SUMIF(VN_Data!$B$6:$B$381,MONTH($B10),VN_Data!G$6:G$381)</f>
        <v>1566549832</v>
      </c>
      <c r="J10" s="54">
        <f>SUMIF(VN_Data!$B$6:$B$381,MONTH($B10),VN_Data!H$6:H$381)</f>
        <v>484218.78</v>
      </c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>
        <f t="shared" si="32"/>
        <v>2836862346</v>
      </c>
      <c r="O10" s="30">
        <f t="shared" si="33"/>
        <v>540852.77999999991</v>
      </c>
      <c r="P10" s="37">
        <f>SUMIF(VN_Data!$B$6:$B$381,MONTH($B10),VN_Data!L$6:L$381)</f>
        <v>975013929</v>
      </c>
      <c r="Q10" s="38">
        <f>SUMIF(VN_Data!$B$6:$B$381,MONTH($B10),VN_Data!M$6:M$381)</f>
        <v>188575.44999999992</v>
      </c>
      <c r="R10" s="45">
        <f>SUMIF(VN_Data!$B$6:$B$381,MONTH($B10),VN_Data!N$6:N$381)</f>
        <v>579917316</v>
      </c>
      <c r="S10" s="46">
        <f>SUMIF(VN_Data!$B$6:$B$381,MONTH($B10),VN_Data!O$6:O$381)</f>
        <v>122478.54000000001</v>
      </c>
      <c r="T10" s="53">
        <f>SUMIF(VN_Data!$B$6:$B$381,MONTH($B10),VN_Data!P$6:P$381)</f>
        <v>1125171537</v>
      </c>
      <c r="U10" s="54">
        <f>SUMIF(VN_Data!$B$6:$B$381,MONTH($B10),VN_Data!Q$6:Q$381)</f>
        <v>207233.73999999996</v>
      </c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>
        <f t="shared" si="34"/>
        <v>979686395</v>
      </c>
      <c r="Z10" s="30">
        <f t="shared" si="35"/>
        <v>648407.47000000009</v>
      </c>
      <c r="AA10" s="37">
        <f>SUMIF(VN_Data!$B$6:$B$381,MONTH($B10),VN_Data!U$6:U$381)</f>
        <v>77389589</v>
      </c>
      <c r="AB10" s="38">
        <f>SUMIF(VN_Data!$B$6:$B$381,MONTH($B10),VN_Data!V$6:V$381)</f>
        <v>133651.52000000002</v>
      </c>
      <c r="AC10" s="45">
        <f>SUMIF(VN_Data!$B$6:$B$381,MONTH($B10),VN_Data!W$6:W$381)</f>
        <v>216479216</v>
      </c>
      <c r="AD10" s="46">
        <f>SUMIF(VN_Data!$B$6:$B$381,MONTH($B10),VN_Data!X$6:X$381)</f>
        <v>84308.000000000015</v>
      </c>
      <c r="AE10" s="53">
        <f>SUMIF(VN_Data!$B$6:$B$381,MONTH($B10),VN_Data!Y$6:Y$381)</f>
        <v>441378295</v>
      </c>
      <c r="AF10" s="54">
        <f>SUMIF(VN_Data!$B$6:$B$381,MONTH($B10),VN_Data!Z$6:Z$381)</f>
        <v>276985.04000000004</v>
      </c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557">
        <v>6</v>
      </c>
      <c r="B11" s="23">
        <v>43252</v>
      </c>
      <c r="C11" s="29">
        <f t="shared" si="30"/>
        <v>3658861350</v>
      </c>
      <c r="D11" s="30">
        <f t="shared" si="31"/>
        <v>1058579.74</v>
      </c>
      <c r="E11" s="37">
        <f>SUMIF(VN_Data!$B$6:$B$381,MONTH($B11),VN_Data!C$6:C$381)</f>
        <v>948155811</v>
      </c>
      <c r="F11" s="38">
        <f>SUMIF(VN_Data!$B$6:$B$381,MONTH($B11),VN_Data!D$6:D$381)</f>
        <v>300283.6399999999</v>
      </c>
      <c r="G11" s="45">
        <f>SUMIF(VN_Data!$B$6:$B$381,MONTH($B11),VN_Data!E$6:E$381)</f>
        <v>913021074</v>
      </c>
      <c r="H11" s="46">
        <f>SUMIF(VN_Data!$B$6:$B$381,MONTH($B11),VN_Data!F$6:F$381)</f>
        <v>232102.97999999998</v>
      </c>
      <c r="I11" s="53">
        <f>SUMIF(VN_Data!$B$6:$B$381,MONTH($B11),VN_Data!G$6:G$381)</f>
        <v>1633168605</v>
      </c>
      <c r="J11" s="54">
        <f>SUMIF(VN_Data!$B$6:$B$381,MONTH($B11),VN_Data!H$6:H$381)</f>
        <v>474496.89000000007</v>
      </c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>
        <f t="shared" si="32"/>
        <v>2871556426</v>
      </c>
      <c r="O11" s="30">
        <f t="shared" si="33"/>
        <v>491889.52</v>
      </c>
      <c r="P11" s="37">
        <f>SUMIF(VN_Data!$B$6:$B$381,MONTH($B11),VN_Data!L$6:L$381)</f>
        <v>871337365</v>
      </c>
      <c r="Q11" s="38">
        <f>SUMIF(VN_Data!$B$6:$B$381,MONTH($B11),VN_Data!M$6:M$381)</f>
        <v>163293.01999999999</v>
      </c>
      <c r="R11" s="45">
        <f>SUMIF(VN_Data!$B$6:$B$381,MONTH($B11),VN_Data!N$6:N$381)</f>
        <v>684471205</v>
      </c>
      <c r="S11" s="46">
        <f>SUMIF(VN_Data!$B$6:$B$381,MONTH($B11),VN_Data!O$6:O$381)</f>
        <v>123175.16000000003</v>
      </c>
      <c r="T11" s="53">
        <f>SUMIF(VN_Data!$B$6:$B$381,MONTH($B11),VN_Data!P$6:P$381)</f>
        <v>1192784173</v>
      </c>
      <c r="U11" s="54">
        <f>SUMIF(VN_Data!$B$6:$B$381,MONTH($B11),VN_Data!Q$6:Q$381)</f>
        <v>189982.19999999995</v>
      </c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>
        <f t="shared" si="34"/>
        <v>787304924</v>
      </c>
      <c r="Z11" s="30">
        <f t="shared" si="35"/>
        <v>566690.22</v>
      </c>
      <c r="AA11" s="37">
        <f>SUMIF(VN_Data!$B$6:$B$381,MONTH($B11),VN_Data!U$6:U$381)</f>
        <v>76818446</v>
      </c>
      <c r="AB11" s="38">
        <f>SUMIF(VN_Data!$B$6:$B$381,MONTH($B11),VN_Data!V$6:V$381)</f>
        <v>136990.62</v>
      </c>
      <c r="AC11" s="45">
        <f>SUMIF(VN_Data!$B$6:$B$381,MONTH($B11),VN_Data!W$6:W$381)</f>
        <v>228549869</v>
      </c>
      <c r="AD11" s="46">
        <f>SUMIF(VN_Data!$B$6:$B$381,MONTH($B11),VN_Data!X$6:X$381)</f>
        <v>108927.82</v>
      </c>
      <c r="AE11" s="53">
        <f>SUMIF(VN_Data!$B$6:$B$381,MONTH($B11),VN_Data!Y$6:Y$381)</f>
        <v>440384432</v>
      </c>
      <c r="AF11" s="54">
        <f>SUMIF(VN_Data!$B$6:$B$381,MONTH($B11),VN_Data!Z$6:Z$381)</f>
        <v>284514.69</v>
      </c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557">
        <v>7</v>
      </c>
      <c r="B12" s="23">
        <v>43282</v>
      </c>
      <c r="C12" s="29">
        <f t="shared" si="30"/>
        <v>3821015594</v>
      </c>
      <c r="D12" s="30">
        <f t="shared" si="31"/>
        <v>916590.28999999992</v>
      </c>
      <c r="E12" s="37">
        <f>SUMIF(VN_Data!$B$6:$B$381,MONTH($B12),VN_Data!C$6:C$381)</f>
        <v>1119435530</v>
      </c>
      <c r="F12" s="38">
        <f>SUMIF(VN_Data!$B$6:$B$381,MONTH($B12),VN_Data!D$6:D$381)</f>
        <v>300910.12999999989</v>
      </c>
      <c r="G12" s="45">
        <f>SUMIF(VN_Data!$B$6:$B$381,MONTH($B12),VN_Data!E$6:E$381)</f>
        <v>907602165</v>
      </c>
      <c r="H12" s="46">
        <f>SUMIF(VN_Data!$B$6:$B$381,MONTH($B12),VN_Data!F$6:F$381)</f>
        <v>204887.84000000003</v>
      </c>
      <c r="I12" s="53">
        <f>SUMIF(VN_Data!$B$6:$B$381,MONTH($B12),VN_Data!G$6:G$381)</f>
        <v>1579239144</v>
      </c>
      <c r="J12" s="54">
        <f>SUMIF(VN_Data!$B$6:$B$381,MONTH($B12),VN_Data!H$6:H$381)</f>
        <v>370588.48</v>
      </c>
      <c r="K12" s="59">
        <f>SUMIF(VN_Data!$B$6:$B$381,MONTH($B12),VN_Data!I$6:I$381)</f>
        <v>214738755</v>
      </c>
      <c r="L12" s="15">
        <f>SUMIF(VN_Data!$B$6:$B$381,MONTH($B12),VN_Data!J$6:J$381)</f>
        <v>40203.839999999997</v>
      </c>
      <c r="M12" s="101">
        <v>7</v>
      </c>
      <c r="N12" s="29">
        <f t="shared" si="32"/>
        <v>3081376033</v>
      </c>
      <c r="O12" s="30">
        <f t="shared" si="33"/>
        <v>520418.02999999991</v>
      </c>
      <c r="P12" s="37">
        <f>SUMIF(VN_Data!$B$6:$B$381,MONTH($B12),VN_Data!L$6:L$381)</f>
        <v>1020957380</v>
      </c>
      <c r="Q12" s="38">
        <f>SUMIF(VN_Data!$B$6:$B$381,MONTH($B12),VN_Data!M$6:M$381)</f>
        <v>182824.15</v>
      </c>
      <c r="R12" s="45">
        <f>SUMIF(VN_Data!$B$6:$B$381,MONTH($B12),VN_Data!N$6:N$381)</f>
        <v>680408129</v>
      </c>
      <c r="S12" s="46">
        <f>SUMIF(VN_Data!$B$6:$B$381,MONTH($B12),VN_Data!O$6:O$381)</f>
        <v>121549.84</v>
      </c>
      <c r="T12" s="53">
        <f>SUMIF(VN_Data!$B$6:$B$381,MONTH($B12),VN_Data!P$6:P$381)</f>
        <v>1226568567</v>
      </c>
      <c r="U12" s="54">
        <f>SUMIF(VN_Data!$B$6:$B$381,MONTH($B12),VN_Data!Q$6:Q$381)</f>
        <v>201595.1699999999</v>
      </c>
      <c r="V12" s="59">
        <f>SUMIF(VN_Data!$B$6:$B$381,MONTH($B12),VN_Data!R$6:R$381)</f>
        <v>153441957</v>
      </c>
      <c r="W12" s="15">
        <f>SUMIF(VN_Data!$B$6:$B$381,MONTH($B12),VN_Data!S$6:S$381)</f>
        <v>14448.869999999999</v>
      </c>
      <c r="X12" s="101">
        <v>7</v>
      </c>
      <c r="Y12" s="29">
        <f t="shared" si="34"/>
        <v>739639561</v>
      </c>
      <c r="Z12" s="30">
        <f t="shared" si="35"/>
        <v>396172.26</v>
      </c>
      <c r="AA12" s="37">
        <f>SUMIF(VN_Data!$B$6:$B$381,MONTH($B12),VN_Data!U$6:U$381)</f>
        <v>98478150</v>
      </c>
      <c r="AB12" s="38">
        <f>SUMIF(VN_Data!$B$6:$B$381,MONTH($B12),VN_Data!V$6:V$381)</f>
        <v>118085.97999999998</v>
      </c>
      <c r="AC12" s="45">
        <f>SUMIF(VN_Data!$B$6:$B$381,MONTH($B12),VN_Data!W$6:W$381)</f>
        <v>227194036</v>
      </c>
      <c r="AD12" s="46">
        <f>SUMIF(VN_Data!$B$6:$B$381,MONTH($B12),VN_Data!X$6:X$381)</f>
        <v>83338</v>
      </c>
      <c r="AE12" s="53">
        <f>SUMIF(VN_Data!$B$6:$B$381,MONTH($B12),VN_Data!Y$6:Y$381)</f>
        <v>352670577</v>
      </c>
      <c r="AF12" s="54">
        <f>SUMIF(VN_Data!$B$6:$B$381,MONTH($B12),VN_Data!Z$6:Z$381)</f>
        <v>168993.31000000006</v>
      </c>
      <c r="AG12" s="59">
        <f>SUMIF(VN_Data!$B$6:$B$381,MONTH($B12),VN_Data!AA$6:AA$381)</f>
        <v>61296798</v>
      </c>
      <c r="AH12" s="15">
        <f>SUMIF(VN_Data!$B$6:$B$381,MONTH($B12),VN_Data!AB$6:AB$381)</f>
        <v>25754.969999999994</v>
      </c>
      <c r="AI12" s="101"/>
    </row>
    <row r="13" spans="1:35">
      <c r="A13" s="557">
        <v>8</v>
      </c>
      <c r="B13" s="23">
        <v>43313</v>
      </c>
      <c r="C13" s="29">
        <f t="shared" si="30"/>
        <v>3803180441</v>
      </c>
      <c r="D13" s="30">
        <f t="shared" si="31"/>
        <v>1055590.4700004035</v>
      </c>
      <c r="E13" s="37">
        <f>SUMIF(VN_Data!$B$6:$B$381,MONTH($B13),VN_Data!C$6:C$381)</f>
        <v>1169289491</v>
      </c>
      <c r="F13" s="38">
        <f>SUMIF(VN_Data!$B$6:$B$381,MONTH($B13),VN_Data!D$6:D$381)</f>
        <v>338941.66300017678</v>
      </c>
      <c r="G13" s="45">
        <f>SUMIF(VN_Data!$B$6:$B$381,MONTH($B13),VN_Data!E$6:E$381)</f>
        <v>810832920</v>
      </c>
      <c r="H13" s="46">
        <f>SUMIF(VN_Data!$B$6:$B$381,MONTH($B13),VN_Data!F$6:F$381)</f>
        <v>233306.64100001781</v>
      </c>
      <c r="I13" s="53">
        <f>SUMIF(VN_Data!$B$6:$B$381,MONTH($B13),VN_Data!G$6:G$381)</f>
        <v>1631049134</v>
      </c>
      <c r="J13" s="54">
        <f>SUMIF(VN_Data!$B$6:$B$381,MONTH($B13),VN_Data!H$6:H$381)</f>
        <v>441063.94500021177</v>
      </c>
      <c r="K13" s="59">
        <f>SUMIF(VN_Data!$B$6:$B$381,MONTH($B13),VN_Data!I$6:I$381)</f>
        <v>192008896</v>
      </c>
      <c r="L13" s="15">
        <f>SUMIF(VN_Data!$B$6:$B$381,MONTH($B13),VN_Data!J$6:J$381)</f>
        <v>42278.220999997204</v>
      </c>
      <c r="M13" s="101">
        <v>8</v>
      </c>
      <c r="N13" s="29">
        <f t="shared" si="32"/>
        <v>3017082515</v>
      </c>
      <c r="O13" s="30">
        <f t="shared" si="33"/>
        <v>637505.97400020389</v>
      </c>
      <c r="P13" s="37">
        <f>SUMIF(VN_Data!$B$6:$B$381,MONTH($B13),VN_Data!L$6:L$381)</f>
        <v>1057393463</v>
      </c>
      <c r="Q13" s="38">
        <f>SUMIF(VN_Data!$B$6:$B$381,MONTH($B13),VN_Data!M$6:M$381)</f>
        <v>218040.19800009488</v>
      </c>
      <c r="R13" s="45">
        <f>SUMIF(VN_Data!$B$6:$B$381,MONTH($B13),VN_Data!N$6:N$381)</f>
        <v>618827481</v>
      </c>
      <c r="S13" s="46">
        <f>SUMIF(VN_Data!$B$6:$B$381,MONTH($B13),VN_Data!O$6:O$381)</f>
        <v>151945.83000000729</v>
      </c>
      <c r="T13" s="53">
        <f>SUMIF(VN_Data!$B$6:$B$381,MONTH($B13),VN_Data!P$6:P$381)</f>
        <v>1214920738</v>
      </c>
      <c r="U13" s="54">
        <f>SUMIF(VN_Data!$B$6:$B$381,MONTH($B13),VN_Data!Q$6:Q$381)</f>
        <v>253866.68900010208</v>
      </c>
      <c r="V13" s="59">
        <f>SUMIF(VN_Data!$B$6:$B$381,MONTH($B13),VN_Data!R$6:R$381)</f>
        <v>125940833</v>
      </c>
      <c r="W13" s="15">
        <f>SUMIF(VN_Data!$B$6:$B$381,MONTH($B13),VN_Data!S$6:S$381)</f>
        <v>13653.256999999603</v>
      </c>
      <c r="X13" s="101">
        <v>8</v>
      </c>
      <c r="Y13" s="29">
        <f t="shared" si="34"/>
        <v>786097926</v>
      </c>
      <c r="Z13" s="30">
        <f t="shared" si="35"/>
        <v>418084.4960001997</v>
      </c>
      <c r="AA13" s="37">
        <f>SUMIF(VN_Data!$B$6:$B$381,MONTH($B13),VN_Data!U$6:U$381)</f>
        <v>111896028</v>
      </c>
      <c r="AB13" s="38">
        <f>SUMIF(VN_Data!$B$6:$B$381,MONTH($B13),VN_Data!V$6:V$381)</f>
        <v>120901.46500008198</v>
      </c>
      <c r="AC13" s="45">
        <f>SUMIF(VN_Data!$B$6:$B$381,MONTH($B13),VN_Data!W$6:W$381)</f>
        <v>192005439</v>
      </c>
      <c r="AD13" s="46">
        <f>SUMIF(VN_Data!$B$6:$B$381,MONTH($B13),VN_Data!X$6:X$381)</f>
        <v>81360.811000010523</v>
      </c>
      <c r="AE13" s="53">
        <f>SUMIF(VN_Data!$B$6:$B$381,MONTH($B13),VN_Data!Y$6:Y$381)</f>
        <v>416128396</v>
      </c>
      <c r="AF13" s="54">
        <f>SUMIF(VN_Data!$B$6:$B$381,MONTH($B13),VN_Data!Z$6:Z$381)</f>
        <v>187197.25600010963</v>
      </c>
      <c r="AG13" s="59">
        <f>SUMIF(VN_Data!$B$6:$B$381,MONTH($B13),VN_Data!AA$6:AA$381)</f>
        <v>66068063</v>
      </c>
      <c r="AH13" s="15">
        <f>SUMIF(VN_Data!$B$6:$B$381,MONTH($B13),VN_Data!AB$6:AB$381)</f>
        <v>28624.963999997599</v>
      </c>
      <c r="AI13" s="101"/>
    </row>
    <row r="14" spans="1:35">
      <c r="A14" s="557">
        <v>9</v>
      </c>
      <c r="B14" s="23">
        <v>43344</v>
      </c>
      <c r="C14" s="29">
        <f t="shared" si="30"/>
        <v>3175511256</v>
      </c>
      <c r="D14" s="30">
        <f t="shared" si="31"/>
        <v>951110.99700065795</v>
      </c>
      <c r="E14" s="37">
        <f>SUMIF(VN_Data!$B$6:$B$381,MONTH($B14),VN_Data!C$6:C$381)</f>
        <v>1116087537</v>
      </c>
      <c r="F14" s="38">
        <f>SUMIF(VN_Data!$B$6:$B$381,MONTH($B14),VN_Data!D$6:D$381)</f>
        <v>324756.67200029577</v>
      </c>
      <c r="G14" s="45">
        <f>SUMIF(VN_Data!$B$6:$B$381,MONTH($B14),VN_Data!E$6:E$381)</f>
        <v>571225224</v>
      </c>
      <c r="H14" s="46">
        <f>SUMIF(VN_Data!$B$6:$B$381,MONTH($B14),VN_Data!F$6:F$381)</f>
        <v>142000.29300000914</v>
      </c>
      <c r="I14" s="53">
        <f>SUMIF(VN_Data!$B$6:$B$381,MONTH($B14),VN_Data!G$6:G$381)</f>
        <v>1323587099</v>
      </c>
      <c r="J14" s="54">
        <f>SUMIF(VN_Data!$B$6:$B$381,MONTH($B14),VN_Data!H$6:H$381)</f>
        <v>430826.6510003584</v>
      </c>
      <c r="K14" s="59">
        <f>SUMIF(VN_Data!$B$6:$B$381,MONTH($B14),VN_Data!I$6:I$381)</f>
        <v>164611396</v>
      </c>
      <c r="L14" s="15">
        <f>SUMIF(VN_Data!$B$6:$B$381,MONTH($B14),VN_Data!J$6:J$381)</f>
        <v>53527.380999994697</v>
      </c>
      <c r="M14" s="101">
        <v>9</v>
      </c>
      <c r="N14" s="29">
        <f t="shared" si="32"/>
        <v>2594313604</v>
      </c>
      <c r="O14" s="30">
        <f t="shared" si="33"/>
        <v>497698.72900032153</v>
      </c>
      <c r="P14" s="37">
        <f>SUMIF(VN_Data!$B$6:$B$381,MONTH($B14),VN_Data!L$6:L$381)</f>
        <v>1010441081</v>
      </c>
      <c r="Q14" s="38">
        <f>SUMIF(VN_Data!$B$6:$B$381,MONTH($B14),VN_Data!M$6:M$381)</f>
        <v>183136.0120001497</v>
      </c>
      <c r="R14" s="45">
        <f>SUMIF(VN_Data!$B$6:$B$381,MONTH($B14),VN_Data!N$6:N$381)</f>
        <v>476542281</v>
      </c>
      <c r="S14" s="46">
        <f>SUMIF(VN_Data!$B$6:$B$381,MONTH($B14),VN_Data!O$6:O$381)</f>
        <v>98883.385000009774</v>
      </c>
      <c r="T14" s="53">
        <f>SUMIF(VN_Data!$B$6:$B$381,MONTH($B14),VN_Data!P$6:P$381)</f>
        <v>1010653051</v>
      </c>
      <c r="U14" s="54">
        <f>SUMIF(VN_Data!$B$6:$B$381,MONTH($B14),VN_Data!Q$6:Q$381)</f>
        <v>208122.49200016231</v>
      </c>
      <c r="V14" s="59">
        <f>SUMIF(VN_Data!$B$6:$B$381,MONTH($B14),VN_Data!R$6:R$381)</f>
        <v>96677191</v>
      </c>
      <c r="W14" s="15">
        <f>SUMIF(VN_Data!$B$6:$B$381,MONTH($B14),VN_Data!S$6:S$381)</f>
        <v>7556.8399999997064</v>
      </c>
      <c r="X14" s="101">
        <v>9</v>
      </c>
      <c r="Y14" s="29">
        <f t="shared" si="34"/>
        <v>581197652</v>
      </c>
      <c r="Z14" s="30">
        <f t="shared" si="35"/>
        <v>453412.26800033648</v>
      </c>
      <c r="AA14" s="37">
        <f>SUMIF(VN_Data!$B$6:$B$381,MONTH($B14),VN_Data!U$6:U$381)</f>
        <v>105646456</v>
      </c>
      <c r="AB14" s="38">
        <f>SUMIF(VN_Data!$B$6:$B$381,MONTH($B14),VN_Data!V$6:V$381)</f>
        <v>141620.66000014605</v>
      </c>
      <c r="AC14" s="45">
        <f>SUMIF(VN_Data!$B$6:$B$381,MONTH($B14),VN_Data!W$6:W$381)</f>
        <v>94682943</v>
      </c>
      <c r="AD14" s="46">
        <f>SUMIF(VN_Data!$B$6:$B$381,MONTH($B14),VN_Data!X$6:X$381)</f>
        <v>43116.907999999341</v>
      </c>
      <c r="AE14" s="53">
        <f>SUMIF(VN_Data!$B$6:$B$381,MONTH($B14),VN_Data!Y$6:Y$381)</f>
        <v>312934048</v>
      </c>
      <c r="AF14" s="54">
        <f>SUMIF(VN_Data!$B$6:$B$381,MONTH($B14),VN_Data!Z$6:Z$381)</f>
        <v>222704.15900019614</v>
      </c>
      <c r="AG14" s="59">
        <f>SUMIF(VN_Data!$B$6:$B$381,MONTH($B14),VN_Data!AA$6:AA$381)</f>
        <v>67934205</v>
      </c>
      <c r="AH14" s="15">
        <f>SUMIF(VN_Data!$B$6:$B$381,MONTH($B14),VN_Data!AB$6:AB$381)</f>
        <v>45970.540999994992</v>
      </c>
      <c r="AI14" s="101"/>
    </row>
    <row r="15" spans="1:35">
      <c r="A15" s="557">
        <v>10</v>
      </c>
      <c r="B15" s="23">
        <v>43374</v>
      </c>
      <c r="C15" s="29">
        <f t="shared" si="30"/>
        <v>0</v>
      </c>
      <c r="D15" s="30">
        <f t="shared" si="31"/>
        <v>0</v>
      </c>
      <c r="E15" s="37">
        <f>SUMIF(VN_Data!$B$6:$B$381,MONTH($B15),VN_Data!C$6:C$381)</f>
        <v>0</v>
      </c>
      <c r="F15" s="38">
        <f>SUMIF(VN_Data!$B$6:$B$381,MONTH($B15),VN_Data!D$6:D$381)</f>
        <v>0</v>
      </c>
      <c r="G15" s="45">
        <f>SUMIF(VN_Data!$B$6:$B$381,MONTH($B15),VN_Data!E$6:E$381)</f>
        <v>0</v>
      </c>
      <c r="H15" s="46">
        <f>SUMIF(VN_Data!$B$6:$B$381,MONTH($B15),VN_Data!F$6:F$381)</f>
        <v>0</v>
      </c>
      <c r="I15" s="53">
        <f>SUMIF(VN_Data!$B$6:$B$381,MONTH($B15),VN_Data!G$6:G$381)</f>
        <v>0</v>
      </c>
      <c r="J15" s="54">
        <f>SUMIF(VN_Data!$B$6:$B$381,MONTH($B15),VN_Data!H$6:H$381)</f>
        <v>0</v>
      </c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>
        <f t="shared" si="32"/>
        <v>0</v>
      </c>
      <c r="O15" s="30">
        <f t="shared" si="33"/>
        <v>0</v>
      </c>
      <c r="P15" s="37">
        <f>SUMIF(VN_Data!$B$6:$B$381,MONTH($B15),VN_Data!L$6:L$381)</f>
        <v>0</v>
      </c>
      <c r="Q15" s="38">
        <f>SUMIF(VN_Data!$B$6:$B$381,MONTH($B15),VN_Data!M$6:M$381)</f>
        <v>0</v>
      </c>
      <c r="R15" s="45">
        <f>SUMIF(VN_Data!$B$6:$B$381,MONTH($B15),VN_Data!N$6:N$381)</f>
        <v>0</v>
      </c>
      <c r="S15" s="46">
        <f>SUMIF(VN_Data!$B$6:$B$381,MONTH($B15),VN_Data!O$6:O$381)</f>
        <v>0</v>
      </c>
      <c r="T15" s="53">
        <f>SUMIF(VN_Data!$B$6:$B$381,MONTH($B15),VN_Data!P$6:P$381)</f>
        <v>0</v>
      </c>
      <c r="U15" s="54">
        <f>SUMIF(VN_Data!$B$6:$B$381,MONTH($B15),VN_Data!Q$6:Q$381)</f>
        <v>0</v>
      </c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>
        <f t="shared" si="34"/>
        <v>0</v>
      </c>
      <c r="Z15" s="30">
        <f t="shared" si="35"/>
        <v>0</v>
      </c>
      <c r="AA15" s="37">
        <f>SUMIF(VN_Data!$B$6:$B$381,MONTH($B15),VN_Data!U$6:U$381)</f>
        <v>0</v>
      </c>
      <c r="AB15" s="38">
        <f>SUMIF(VN_Data!$B$6:$B$381,MONTH($B15),VN_Data!V$6:V$381)</f>
        <v>0</v>
      </c>
      <c r="AC15" s="45">
        <f>SUMIF(VN_Data!$B$6:$B$381,MONTH($B15),VN_Data!W$6:W$381)</f>
        <v>0</v>
      </c>
      <c r="AD15" s="46">
        <f>SUMIF(VN_Data!$B$6:$B$381,MONTH($B15),VN_Data!X$6:X$381)</f>
        <v>0</v>
      </c>
      <c r="AE15" s="53">
        <f>SUMIF(VN_Data!$B$6:$B$381,MONTH($B15),VN_Data!Y$6:Y$381)</f>
        <v>0</v>
      </c>
      <c r="AF15" s="54">
        <f>SUMIF(VN_Data!$B$6:$B$381,MONTH($B15),VN_Data!Z$6:Z$381)</f>
        <v>0</v>
      </c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557">
        <v>11</v>
      </c>
      <c r="B16" s="23">
        <v>43405</v>
      </c>
      <c r="C16" s="29">
        <f t="shared" si="30"/>
        <v>0</v>
      </c>
      <c r="D16" s="30">
        <f t="shared" si="31"/>
        <v>0</v>
      </c>
      <c r="E16" s="37">
        <f>SUMIF(VN_Data!$B$6:$B$381,MONTH($B16),VN_Data!C$6:C$381)</f>
        <v>0</v>
      </c>
      <c r="F16" s="38">
        <f>SUMIF(VN_Data!$B$6:$B$381,MONTH($B16),VN_Data!D$6:D$381)</f>
        <v>0</v>
      </c>
      <c r="G16" s="45">
        <f>SUMIF(VN_Data!$B$6:$B$381,MONTH($B16),VN_Data!E$6:E$381)</f>
        <v>0</v>
      </c>
      <c r="H16" s="46">
        <f>SUMIF(VN_Data!$B$6:$B$381,MONTH($B16),VN_Data!F$6:F$381)</f>
        <v>0</v>
      </c>
      <c r="I16" s="53">
        <f>SUMIF(VN_Data!$B$6:$B$381,MONTH($B16),VN_Data!G$6:G$381)</f>
        <v>0</v>
      </c>
      <c r="J16" s="54">
        <f>SUMIF(VN_Data!$B$6:$B$381,MONTH($B16),VN_Data!H$6:H$381)</f>
        <v>0</v>
      </c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>
        <f t="shared" si="32"/>
        <v>0</v>
      </c>
      <c r="O16" s="30">
        <f t="shared" si="33"/>
        <v>0</v>
      </c>
      <c r="P16" s="37">
        <f>SUMIF(VN_Data!$B$6:$B$381,MONTH($B16),VN_Data!L$6:L$381)</f>
        <v>0</v>
      </c>
      <c r="Q16" s="38">
        <f>SUMIF(VN_Data!$B$6:$B$381,MONTH($B16),VN_Data!M$6:M$381)</f>
        <v>0</v>
      </c>
      <c r="R16" s="45">
        <f>SUMIF(VN_Data!$B$6:$B$381,MONTH($B16),VN_Data!N$6:N$381)</f>
        <v>0</v>
      </c>
      <c r="S16" s="46">
        <f>SUMIF(VN_Data!$B$6:$B$381,MONTH($B16),VN_Data!O$6:O$381)</f>
        <v>0</v>
      </c>
      <c r="T16" s="53">
        <f>SUMIF(VN_Data!$B$6:$B$381,MONTH($B16),VN_Data!P$6:P$381)</f>
        <v>0</v>
      </c>
      <c r="U16" s="54">
        <f>SUMIF(VN_Data!$B$6:$B$381,MONTH($B16),VN_Data!Q$6:Q$381)</f>
        <v>0</v>
      </c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>
        <f t="shared" si="34"/>
        <v>0</v>
      </c>
      <c r="Z16" s="30">
        <f t="shared" si="35"/>
        <v>0</v>
      </c>
      <c r="AA16" s="37">
        <f>SUMIF(VN_Data!$B$6:$B$381,MONTH($B16),VN_Data!U$6:U$381)</f>
        <v>0</v>
      </c>
      <c r="AB16" s="38">
        <f>SUMIF(VN_Data!$B$6:$B$381,MONTH($B16),VN_Data!V$6:V$381)</f>
        <v>0</v>
      </c>
      <c r="AC16" s="45">
        <f>SUMIF(VN_Data!$B$6:$B$381,MONTH($B16),VN_Data!W$6:W$381)</f>
        <v>0</v>
      </c>
      <c r="AD16" s="46">
        <f>SUMIF(VN_Data!$B$6:$B$381,MONTH($B16),VN_Data!X$6:X$381)</f>
        <v>0</v>
      </c>
      <c r="AE16" s="53">
        <f>SUMIF(VN_Data!$B$6:$B$381,MONTH($B16),VN_Data!Y$6:Y$381)</f>
        <v>0</v>
      </c>
      <c r="AF16" s="54">
        <f>SUMIF(VN_Data!$B$6:$B$381,MONTH($B16),VN_Data!Z$6:Z$381)</f>
        <v>0</v>
      </c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.75" thickBot="1">
      <c r="A17" s="557">
        <v>12</v>
      </c>
      <c r="B17" s="24">
        <v>43435</v>
      </c>
      <c r="C17" s="31">
        <f t="shared" si="30"/>
        <v>0</v>
      </c>
      <c r="D17" s="32">
        <f t="shared" si="31"/>
        <v>0</v>
      </c>
      <c r="E17" s="39">
        <f>SUMIF(VN_Data!$B$6:$B$381,MONTH($B17),VN_Data!C$6:C$381)</f>
        <v>0</v>
      </c>
      <c r="F17" s="40">
        <f>SUMIF(VN_Data!$B$6:$B$381,MONTH($B17),VN_Data!D$6:D$381)</f>
        <v>0</v>
      </c>
      <c r="G17" s="47">
        <f>SUMIF(VN_Data!$B$6:$B$381,MONTH($B17),VN_Data!E$6:E$381)</f>
        <v>0</v>
      </c>
      <c r="H17" s="48">
        <f>SUMIF(VN_Data!$B$6:$B$381,MONTH($B17),VN_Data!F$6:F$381)</f>
        <v>0</v>
      </c>
      <c r="I17" s="55">
        <f>SUMIF(VN_Data!$B$6:$B$381,MONTH($B17),VN_Data!G$6:G$381)</f>
        <v>0</v>
      </c>
      <c r="J17" s="56">
        <f>SUMIF(VN_Data!$B$6:$B$381,MONTH($B17),VN_Data!H$6:H$381)</f>
        <v>0</v>
      </c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>
        <f t="shared" si="32"/>
        <v>0</v>
      </c>
      <c r="O17" s="32">
        <f t="shared" si="33"/>
        <v>0</v>
      </c>
      <c r="P17" s="39">
        <f>SUMIF(VN_Data!$B$6:$B$381,MONTH($B17),VN_Data!L$6:L$381)</f>
        <v>0</v>
      </c>
      <c r="Q17" s="40">
        <f>SUMIF(VN_Data!$B$6:$B$381,MONTH($B17),VN_Data!M$6:M$381)</f>
        <v>0</v>
      </c>
      <c r="R17" s="47">
        <f>SUMIF(VN_Data!$B$6:$B$381,MONTH($B17),VN_Data!N$6:N$381)</f>
        <v>0</v>
      </c>
      <c r="S17" s="48">
        <f>SUMIF(VN_Data!$B$6:$B$381,MONTH($B17),VN_Data!O$6:O$381)</f>
        <v>0</v>
      </c>
      <c r="T17" s="55">
        <f>SUMIF(VN_Data!$B$6:$B$381,MONTH($B17),VN_Data!P$6:P$381)</f>
        <v>0</v>
      </c>
      <c r="U17" s="56">
        <f>SUMIF(VN_Data!$B$6:$B$381,MONTH($B17),VN_Data!Q$6:Q$381)</f>
        <v>0</v>
      </c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>
        <f t="shared" si="34"/>
        <v>0</v>
      </c>
      <c r="Z17" s="32">
        <f t="shared" si="35"/>
        <v>0</v>
      </c>
      <c r="AA17" s="39">
        <f>SUMIF(VN_Data!$B$6:$B$381,MONTH($B17),VN_Data!U$6:U$381)</f>
        <v>0</v>
      </c>
      <c r="AB17" s="40">
        <f>SUMIF(VN_Data!$B$6:$B$381,MONTH($B17),VN_Data!V$6:V$381)</f>
        <v>0</v>
      </c>
      <c r="AC17" s="47">
        <f>SUMIF(VN_Data!$B$6:$B$381,MONTH($B17),VN_Data!W$6:W$381)</f>
        <v>0</v>
      </c>
      <c r="AD17" s="48">
        <f>SUMIF(VN_Data!$B$6:$B$381,MONTH($B17),VN_Data!X$6:X$381)</f>
        <v>0</v>
      </c>
      <c r="AE17" s="55">
        <f>SUMIF(VN_Data!$B$6:$B$381,MONTH($B17),VN_Data!Y$6:Y$381)</f>
        <v>0</v>
      </c>
      <c r="AF17" s="56">
        <f>SUMIF(VN_Data!$B$6:$B$381,MONTH($B17),VN_Data!Z$6:Z$381)</f>
        <v>0</v>
      </c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.75" thickBot="1">
      <c r="M18" s="101"/>
      <c r="X18" s="101"/>
      <c r="AI18" s="101"/>
    </row>
    <row r="19" spans="1:35">
      <c r="A19" s="557"/>
      <c r="B19" s="641" t="s">
        <v>149</v>
      </c>
      <c r="C19" s="657">
        <f t="shared" ref="C19:L19" si="36">SUM(C6:C8)</f>
        <v>9249416574</v>
      </c>
      <c r="D19" s="658">
        <f t="shared" si="36"/>
        <v>2259836.148</v>
      </c>
      <c r="E19" s="659">
        <f t="shared" si="36"/>
        <v>2720341931</v>
      </c>
      <c r="F19" s="660">
        <f t="shared" si="36"/>
        <v>694676.48700000008</v>
      </c>
      <c r="G19" s="661">
        <f t="shared" si="36"/>
        <v>2015989875</v>
      </c>
      <c r="H19" s="662">
        <f t="shared" si="36"/>
        <v>434729.76</v>
      </c>
      <c r="I19" s="663">
        <f t="shared" si="36"/>
        <v>4116575852</v>
      </c>
      <c r="J19" s="664">
        <f t="shared" si="36"/>
        <v>1058766.7149999999</v>
      </c>
      <c r="K19" s="665">
        <f t="shared" si="36"/>
        <v>396508916</v>
      </c>
      <c r="L19" s="666">
        <f t="shared" si="36"/>
        <v>71663.186000000002</v>
      </c>
      <c r="M19" s="652"/>
      <c r="N19" s="657">
        <f t="shared" ref="N19:W19" si="37">SUM(N6:N8)</f>
        <v>7306223667</v>
      </c>
      <c r="O19" s="658">
        <f t="shared" si="37"/>
        <v>1115162.233</v>
      </c>
      <c r="P19" s="659">
        <f t="shared" si="37"/>
        <v>2525095043</v>
      </c>
      <c r="Q19" s="660">
        <f t="shared" si="37"/>
        <v>341951.147</v>
      </c>
      <c r="R19" s="661">
        <f t="shared" si="37"/>
        <v>1711829171</v>
      </c>
      <c r="S19" s="662">
        <f t="shared" si="37"/>
        <v>335563.24299999996</v>
      </c>
      <c r="T19" s="663">
        <f t="shared" si="37"/>
        <v>2727256417</v>
      </c>
      <c r="U19" s="664">
        <f t="shared" si="37"/>
        <v>402893.95200000005</v>
      </c>
      <c r="V19" s="665">
        <f t="shared" si="37"/>
        <v>342043036</v>
      </c>
      <c r="W19" s="666">
        <f t="shared" si="37"/>
        <v>34753.890999999996</v>
      </c>
      <c r="X19" s="652"/>
      <c r="Y19" s="657">
        <f t="shared" ref="Y19:AH19" si="38">SUM(Y6:Y8)</f>
        <v>1943192907</v>
      </c>
      <c r="Z19" s="658">
        <f t="shared" si="38"/>
        <v>1144673.915</v>
      </c>
      <c r="AA19" s="659">
        <f t="shared" si="38"/>
        <v>195246888</v>
      </c>
      <c r="AB19" s="660">
        <f t="shared" si="38"/>
        <v>352725.33999999997</v>
      </c>
      <c r="AC19" s="661">
        <f t="shared" si="38"/>
        <v>304160704</v>
      </c>
      <c r="AD19" s="662">
        <f t="shared" si="38"/>
        <v>99166.517000000022</v>
      </c>
      <c r="AE19" s="663">
        <f t="shared" si="38"/>
        <v>1389319435</v>
      </c>
      <c r="AF19" s="664">
        <f t="shared" si="38"/>
        <v>655872.76300000004</v>
      </c>
      <c r="AG19" s="665">
        <f t="shared" si="38"/>
        <v>54465880</v>
      </c>
      <c r="AH19" s="666">
        <f t="shared" si="38"/>
        <v>36909.294999999998</v>
      </c>
      <c r="AI19" s="101"/>
    </row>
    <row r="20" spans="1:35">
      <c r="A20" s="557"/>
      <c r="B20" s="653" t="s">
        <v>150</v>
      </c>
      <c r="C20" s="29">
        <f t="shared" ref="C20:L20" si="39">SUM(C9:C11)</f>
        <v>11278442770</v>
      </c>
      <c r="D20" s="30">
        <f t="shared" si="39"/>
        <v>3296834.3499999996</v>
      </c>
      <c r="E20" s="37">
        <f t="shared" si="39"/>
        <v>3059176247</v>
      </c>
      <c r="F20" s="38">
        <f t="shared" si="39"/>
        <v>913765.1399999999</v>
      </c>
      <c r="G20" s="45">
        <f t="shared" si="39"/>
        <v>2403249084</v>
      </c>
      <c r="H20" s="46">
        <f t="shared" si="39"/>
        <v>609180.07000000007</v>
      </c>
      <c r="I20" s="53">
        <f t="shared" si="39"/>
        <v>4891599143</v>
      </c>
      <c r="J20" s="54">
        <f t="shared" si="39"/>
        <v>1424549.18</v>
      </c>
      <c r="K20" s="59">
        <f t="shared" si="39"/>
        <v>924418296</v>
      </c>
      <c r="L20" s="15">
        <f t="shared" si="39"/>
        <v>349339.96</v>
      </c>
      <c r="M20" s="654"/>
      <c r="N20" s="29">
        <f t="shared" ref="N20:W20" si="40">SUM(N9:N11)</f>
        <v>8409453200</v>
      </c>
      <c r="O20" s="30">
        <f t="shared" si="40"/>
        <v>1512935.1</v>
      </c>
      <c r="P20" s="37">
        <f t="shared" si="40"/>
        <v>2832814092</v>
      </c>
      <c r="Q20" s="38">
        <f t="shared" si="40"/>
        <v>527396.65999999992</v>
      </c>
      <c r="R20" s="45">
        <f t="shared" si="40"/>
        <v>1812351388</v>
      </c>
      <c r="S20" s="46">
        <f t="shared" si="40"/>
        <v>362267.12000000005</v>
      </c>
      <c r="T20" s="53">
        <f t="shared" si="40"/>
        <v>3299849919</v>
      </c>
      <c r="U20" s="54">
        <f t="shared" si="40"/>
        <v>561466.41999999993</v>
      </c>
      <c r="V20" s="59">
        <f t="shared" si="40"/>
        <v>464437801</v>
      </c>
      <c r="W20" s="15">
        <f t="shared" si="40"/>
        <v>61804.900000000009</v>
      </c>
      <c r="X20" s="654"/>
      <c r="Y20" s="29">
        <f t="shared" ref="Y20:AH20" si="41">SUM(Y9:Y11)</f>
        <v>2868989570</v>
      </c>
      <c r="Z20" s="30">
        <f t="shared" si="41"/>
        <v>1783899.25</v>
      </c>
      <c r="AA20" s="37">
        <f t="shared" si="41"/>
        <v>226362155</v>
      </c>
      <c r="AB20" s="38">
        <f t="shared" si="41"/>
        <v>386368.48</v>
      </c>
      <c r="AC20" s="45">
        <f t="shared" si="41"/>
        <v>590897696</v>
      </c>
      <c r="AD20" s="46">
        <f t="shared" si="41"/>
        <v>246912.95</v>
      </c>
      <c r="AE20" s="53">
        <f t="shared" si="41"/>
        <v>1591749224</v>
      </c>
      <c r="AF20" s="54">
        <f t="shared" si="41"/>
        <v>863082.76</v>
      </c>
      <c r="AG20" s="59">
        <f t="shared" si="41"/>
        <v>459980495</v>
      </c>
      <c r="AH20" s="15">
        <f t="shared" si="41"/>
        <v>287535.06000000006</v>
      </c>
      <c r="AI20" s="101"/>
    </row>
    <row r="21" spans="1:35">
      <c r="A21" s="557"/>
      <c r="B21" s="653" t="s">
        <v>216</v>
      </c>
      <c r="C21" s="29">
        <f t="shared" ref="C21:L21" si="42">SUM(C12:C14)</f>
        <v>10799707291</v>
      </c>
      <c r="D21" s="30">
        <f t="shared" si="42"/>
        <v>2923291.7570010615</v>
      </c>
      <c r="E21" s="37">
        <f t="shared" si="42"/>
        <v>3404812558</v>
      </c>
      <c r="F21" s="38">
        <f t="shared" si="42"/>
        <v>964608.4650004725</v>
      </c>
      <c r="G21" s="45">
        <f t="shared" si="42"/>
        <v>2289660309</v>
      </c>
      <c r="H21" s="46">
        <f t="shared" si="42"/>
        <v>580194.77400002698</v>
      </c>
      <c r="I21" s="53">
        <f t="shared" si="42"/>
        <v>4533875377</v>
      </c>
      <c r="J21" s="54">
        <f t="shared" si="42"/>
        <v>1242479.0760005701</v>
      </c>
      <c r="K21" s="59">
        <f t="shared" si="42"/>
        <v>571359047</v>
      </c>
      <c r="L21" s="15">
        <f t="shared" si="42"/>
        <v>136009.44199999189</v>
      </c>
      <c r="M21" s="654"/>
      <c r="N21" s="29">
        <f t="shared" ref="N21:W21" si="43">SUM(N12:N14)</f>
        <v>8692772152</v>
      </c>
      <c r="O21" s="30">
        <f t="shared" si="43"/>
        <v>1655622.7330005253</v>
      </c>
      <c r="P21" s="37">
        <f t="shared" si="43"/>
        <v>3088791924</v>
      </c>
      <c r="Q21" s="38">
        <f t="shared" si="43"/>
        <v>584000.36000024457</v>
      </c>
      <c r="R21" s="45">
        <f t="shared" si="43"/>
        <v>1775777891</v>
      </c>
      <c r="S21" s="46">
        <f t="shared" si="43"/>
        <v>372379.05500001705</v>
      </c>
      <c r="T21" s="53">
        <f t="shared" si="43"/>
        <v>3452142356</v>
      </c>
      <c r="U21" s="54">
        <f t="shared" si="43"/>
        <v>663584.35100026429</v>
      </c>
      <c r="V21" s="59">
        <f t="shared" si="43"/>
        <v>376059981</v>
      </c>
      <c r="W21" s="15">
        <f t="shared" si="43"/>
        <v>35658.966999999306</v>
      </c>
      <c r="X21" s="654"/>
      <c r="Y21" s="29">
        <f t="shared" ref="Y21:AH21" si="44">SUM(Y12:Y14)</f>
        <v>2106935139</v>
      </c>
      <c r="Z21" s="30">
        <f t="shared" si="44"/>
        <v>1267669.0240005362</v>
      </c>
      <c r="AA21" s="37">
        <f t="shared" si="44"/>
        <v>316020634</v>
      </c>
      <c r="AB21" s="38">
        <f t="shared" si="44"/>
        <v>380608.10500022804</v>
      </c>
      <c r="AC21" s="45">
        <f t="shared" si="44"/>
        <v>513882418</v>
      </c>
      <c r="AD21" s="46">
        <f t="shared" si="44"/>
        <v>207815.71900000988</v>
      </c>
      <c r="AE21" s="53">
        <f t="shared" si="44"/>
        <v>1081733021</v>
      </c>
      <c r="AF21" s="54">
        <f t="shared" si="44"/>
        <v>578894.7250003058</v>
      </c>
      <c r="AG21" s="59">
        <f t="shared" si="44"/>
        <v>195299066</v>
      </c>
      <c r="AH21" s="15">
        <f t="shared" si="44"/>
        <v>100350.47499999258</v>
      </c>
      <c r="AI21" s="101"/>
    </row>
    <row r="22" spans="1:35" ht="15.75" thickBot="1">
      <c r="A22" s="557"/>
      <c r="B22" s="655" t="s">
        <v>217</v>
      </c>
      <c r="C22" s="31">
        <f t="shared" ref="C22:L22" si="45">SUM(C15:C17)</f>
        <v>0</v>
      </c>
      <c r="D22" s="32">
        <f t="shared" si="45"/>
        <v>0</v>
      </c>
      <c r="E22" s="39">
        <f t="shared" si="45"/>
        <v>0</v>
      </c>
      <c r="F22" s="40">
        <f t="shared" si="45"/>
        <v>0</v>
      </c>
      <c r="G22" s="47">
        <f t="shared" si="45"/>
        <v>0</v>
      </c>
      <c r="H22" s="48">
        <f t="shared" si="45"/>
        <v>0</v>
      </c>
      <c r="I22" s="55">
        <f t="shared" si="45"/>
        <v>0</v>
      </c>
      <c r="J22" s="56">
        <f t="shared" si="45"/>
        <v>0</v>
      </c>
      <c r="K22" s="60">
        <f t="shared" si="45"/>
        <v>0</v>
      </c>
      <c r="L22" s="16">
        <f t="shared" si="45"/>
        <v>0</v>
      </c>
      <c r="M22" s="656"/>
      <c r="N22" s="31">
        <f t="shared" ref="N22:W22" si="46">SUM(N15:N17)</f>
        <v>0</v>
      </c>
      <c r="O22" s="32">
        <f t="shared" si="46"/>
        <v>0</v>
      </c>
      <c r="P22" s="39">
        <f t="shared" si="46"/>
        <v>0</v>
      </c>
      <c r="Q22" s="40">
        <f t="shared" si="46"/>
        <v>0</v>
      </c>
      <c r="R22" s="47">
        <f t="shared" si="46"/>
        <v>0</v>
      </c>
      <c r="S22" s="48">
        <f t="shared" si="46"/>
        <v>0</v>
      </c>
      <c r="T22" s="55">
        <f t="shared" si="46"/>
        <v>0</v>
      </c>
      <c r="U22" s="56">
        <f t="shared" si="46"/>
        <v>0</v>
      </c>
      <c r="V22" s="60">
        <f t="shared" si="46"/>
        <v>0</v>
      </c>
      <c r="W22" s="16">
        <f t="shared" si="46"/>
        <v>0</v>
      </c>
      <c r="X22" s="656"/>
      <c r="Y22" s="31">
        <f t="shared" ref="Y22:AH22" si="47">SUM(Y15:Y17)</f>
        <v>0</v>
      </c>
      <c r="Z22" s="32">
        <f t="shared" si="47"/>
        <v>0</v>
      </c>
      <c r="AA22" s="39">
        <f t="shared" si="47"/>
        <v>0</v>
      </c>
      <c r="AB22" s="40">
        <f t="shared" si="47"/>
        <v>0</v>
      </c>
      <c r="AC22" s="47">
        <f t="shared" si="47"/>
        <v>0</v>
      </c>
      <c r="AD22" s="48">
        <f t="shared" si="47"/>
        <v>0</v>
      </c>
      <c r="AE22" s="55">
        <f t="shared" si="47"/>
        <v>0</v>
      </c>
      <c r="AF22" s="56">
        <f t="shared" si="47"/>
        <v>0</v>
      </c>
      <c r="AG22" s="60">
        <f t="shared" si="47"/>
        <v>0</v>
      </c>
      <c r="AH22" s="16">
        <f t="shared" si="47"/>
        <v>0</v>
      </c>
      <c r="AI22" s="101"/>
    </row>
    <row r="23" spans="1:35" ht="15.75" thickBot="1">
      <c r="M23" s="101"/>
      <c r="X23" s="101"/>
      <c r="AI23" s="101"/>
    </row>
    <row r="24" spans="1:35" ht="15.75" thickBot="1">
      <c r="B24" s="19" t="s">
        <v>10</v>
      </c>
      <c r="C24" s="113">
        <v>1</v>
      </c>
      <c r="D24" s="113">
        <v>1</v>
      </c>
      <c r="E24" s="113">
        <v>1</v>
      </c>
      <c r="F24" s="113">
        <v>1</v>
      </c>
      <c r="G24" s="113">
        <v>1</v>
      </c>
      <c r="H24" s="113">
        <v>1</v>
      </c>
      <c r="I24" s="113">
        <v>1</v>
      </c>
      <c r="J24" s="113">
        <v>1</v>
      </c>
      <c r="K24" s="113">
        <v>1</v>
      </c>
      <c r="L24" s="113">
        <v>1</v>
      </c>
      <c r="M24" s="103"/>
      <c r="N24" s="113">
        <v>1</v>
      </c>
      <c r="O24" s="113">
        <v>1</v>
      </c>
      <c r="P24" s="113">
        <v>1</v>
      </c>
      <c r="Q24" s="113">
        <v>1</v>
      </c>
      <c r="R24" s="113">
        <v>1</v>
      </c>
      <c r="S24" s="113">
        <v>1</v>
      </c>
      <c r="T24" s="113">
        <v>1</v>
      </c>
      <c r="U24" s="113">
        <v>1</v>
      </c>
      <c r="V24" s="113">
        <v>1</v>
      </c>
      <c r="W24" s="113">
        <v>1</v>
      </c>
      <c r="X24" s="103"/>
      <c r="Y24" s="113">
        <v>1</v>
      </c>
      <c r="Z24" s="113">
        <v>1</v>
      </c>
      <c r="AA24" s="113">
        <v>1</v>
      </c>
      <c r="AB24" s="113">
        <v>1</v>
      </c>
      <c r="AC24" s="113">
        <v>1</v>
      </c>
      <c r="AD24" s="113">
        <v>1</v>
      </c>
      <c r="AE24" s="113">
        <v>1</v>
      </c>
      <c r="AF24" s="113">
        <v>1</v>
      </c>
      <c r="AG24" s="113">
        <v>1</v>
      </c>
      <c r="AH24" s="113">
        <v>1</v>
      </c>
      <c r="AI24" s="103"/>
    </row>
    <row r="25" spans="1:35" ht="15.75" thickBot="1">
      <c r="B25" s="21" t="s">
        <v>7</v>
      </c>
      <c r="C25" s="61">
        <f t="shared" ref="C25:L25" si="48">C5/C65</f>
        <v>0.66654397095744689</v>
      </c>
      <c r="D25" s="62">
        <f t="shared" si="48"/>
        <v>0.77505191673480456</v>
      </c>
      <c r="E25" s="69">
        <f t="shared" si="48"/>
        <v>0.53631128385401461</v>
      </c>
      <c r="F25" s="70">
        <f t="shared" si="48"/>
        <v>0.72009480436632356</v>
      </c>
      <c r="G25" s="77">
        <f t="shared" si="48"/>
        <v>0.76673134491428574</v>
      </c>
      <c r="H25" s="78">
        <f t="shared" si="48"/>
        <v>0.89257560677290215</v>
      </c>
      <c r="I25" s="85">
        <f t="shared" si="48"/>
        <v>0.68136102500628926</v>
      </c>
      <c r="J25" s="86">
        <f t="shared" si="48"/>
        <v>0.69782923797273189</v>
      </c>
      <c r="K25" s="93">
        <f t="shared" si="48"/>
        <v>1.5138290071999998</v>
      </c>
      <c r="L25" s="13">
        <f t="shared" si="48"/>
        <v>2.6619298631593198</v>
      </c>
      <c r="M25" s="103"/>
      <c r="N25" s="61">
        <f t="shared" ref="N25:W25" si="49">N5/N65</f>
        <v>0.56398718537460424</v>
      </c>
      <c r="O25" s="62">
        <f t="shared" si="49"/>
        <v>0.76529688515984773</v>
      </c>
      <c r="P25" s="69">
        <f t="shared" si="49"/>
        <v>0.53680119155322481</v>
      </c>
      <c r="Q25" s="70">
        <f t="shared" si="49"/>
        <v>0.79377912690240449</v>
      </c>
      <c r="R25" s="77">
        <f t="shared" si="49"/>
        <v>0.64232188456294503</v>
      </c>
      <c r="S25" s="78">
        <f t="shared" si="49"/>
        <v>0.68145622428263186</v>
      </c>
      <c r="T25" s="85">
        <f t="shared" si="49"/>
        <v>0.52124954143726154</v>
      </c>
      <c r="U25" s="86">
        <f t="shared" si="49"/>
        <v>0.77201248097422326</v>
      </c>
      <c r="V25" s="93">
        <f t="shared" si="49"/>
        <v>1.068963451299435</v>
      </c>
      <c r="W25" s="13">
        <f t="shared" si="49"/>
        <v>1.5134408545204234</v>
      </c>
      <c r="X25" s="103"/>
      <c r="Y25" s="61">
        <f t="shared" ref="Y25:AH25" si="50">Y5/Y65</f>
        <v>1.8591658202082058</v>
      </c>
      <c r="Z25" s="62">
        <f t="shared" si="50"/>
        <v>0.78527021071869441</v>
      </c>
      <c r="AA25" s="69">
        <f t="shared" si="50"/>
        <v>0.53076437156282108</v>
      </c>
      <c r="AB25" s="70">
        <f t="shared" si="50"/>
        <v>0.64266195295508222</v>
      </c>
      <c r="AC25" s="77">
        <f t="shared" si="50"/>
        <v>2.8249439959899734</v>
      </c>
      <c r="AD25" s="78">
        <f t="shared" si="50"/>
        <v>2.2236150627349613</v>
      </c>
      <c r="AE25" s="85">
        <f t="shared" si="50"/>
        <v>2.4049140540140597</v>
      </c>
      <c r="AF25" s="86">
        <f t="shared" si="50"/>
        <v>0.64940505216719957</v>
      </c>
      <c r="AG25" s="93">
        <f t="shared" si="50"/>
        <v>4.9373595895652187</v>
      </c>
      <c r="AH25" s="13">
        <f t="shared" si="50"/>
        <v>3.4850940281407481</v>
      </c>
      <c r="AI25" s="103"/>
    </row>
    <row r="26" spans="1:35">
      <c r="A26" s="557">
        <v>1</v>
      </c>
      <c r="B26" s="22">
        <v>43101</v>
      </c>
      <c r="C26" s="63">
        <f t="shared" ref="C26:L26" si="51">C6/C66</f>
        <v>1.0144071310227984</v>
      </c>
      <c r="D26" s="64">
        <f t="shared" si="51"/>
        <v>0.94325336463078668</v>
      </c>
      <c r="E26" s="71">
        <f t="shared" si="51"/>
        <v>1</v>
      </c>
      <c r="F26" s="72">
        <f t="shared" si="51"/>
        <v>1</v>
      </c>
      <c r="G26" s="79">
        <f t="shared" si="51"/>
        <v>1.2502634397275489</v>
      </c>
      <c r="H26" s="80">
        <f t="shared" si="51"/>
        <v>1.2524375180292056</v>
      </c>
      <c r="I26" s="87">
        <f t="shared" si="51"/>
        <v>0.88662525940290793</v>
      </c>
      <c r="J26" s="88">
        <f t="shared" si="51"/>
        <v>0.79081292494918975</v>
      </c>
      <c r="K26" s="94">
        <f t="shared" si="51"/>
        <v>1.5481179627190345</v>
      </c>
      <c r="L26" s="12">
        <f t="shared" si="51"/>
        <v>1.2654502196137931</v>
      </c>
      <c r="M26" s="101"/>
      <c r="N26" s="63">
        <f t="shared" ref="N26:W26" si="52">N6/N66</f>
        <v>0.91348568809753394</v>
      </c>
      <c r="O26" s="64">
        <f t="shared" si="52"/>
        <v>1.0385285972663072</v>
      </c>
      <c r="P26" s="71">
        <f t="shared" si="52"/>
        <v>1</v>
      </c>
      <c r="Q26" s="72">
        <f t="shared" si="52"/>
        <v>1</v>
      </c>
      <c r="R26" s="79">
        <f t="shared" si="52"/>
        <v>1.1171399708064291</v>
      </c>
      <c r="S26" s="80">
        <f t="shared" si="52"/>
        <v>1.1311532106458324</v>
      </c>
      <c r="T26" s="87">
        <f t="shared" si="52"/>
        <v>0.7335094256991046</v>
      </c>
      <c r="U26" s="88">
        <f t="shared" si="52"/>
        <v>0.97954480667999289</v>
      </c>
      <c r="V26" s="94">
        <f t="shared" si="52"/>
        <v>1.3980400413778582</v>
      </c>
      <c r="W26" s="12">
        <f t="shared" si="52"/>
        <v>1.5561645793075574</v>
      </c>
      <c r="X26" s="101"/>
      <c r="Y26" s="63">
        <f t="shared" ref="Y26:AH26" si="53">Y6/Y66</f>
        <v>2.1972727408812482</v>
      </c>
      <c r="Z26" s="64">
        <f t="shared" si="53"/>
        <v>0.8411601344649875</v>
      </c>
      <c r="AA26" s="71">
        <f t="shared" si="53"/>
        <v>1</v>
      </c>
      <c r="AB26" s="72">
        <f t="shared" si="53"/>
        <v>1.0000000000000007</v>
      </c>
      <c r="AC26" s="79">
        <f t="shared" si="53"/>
        <v>3.4526394255629138</v>
      </c>
      <c r="AD26" s="80">
        <f t="shared" si="53"/>
        <v>2.0170958673105193</v>
      </c>
      <c r="AE26" s="87">
        <f t="shared" si="53"/>
        <v>2.5348721751556162</v>
      </c>
      <c r="AF26" s="88">
        <f t="shared" si="53"/>
        <v>0.66761545691484603</v>
      </c>
      <c r="AG26" s="94">
        <f t="shared" si="53"/>
        <v>2.7030654443446105</v>
      </c>
      <c r="AH26" s="12">
        <f t="shared" si="53"/>
        <v>1.0570845832468976</v>
      </c>
      <c r="AI26" s="101"/>
    </row>
    <row r="27" spans="1:35">
      <c r="A27" s="557">
        <v>2</v>
      </c>
      <c r="B27" s="23">
        <v>43132</v>
      </c>
      <c r="C27" s="65">
        <f t="shared" ref="C27:L27" si="54">C7/C67</f>
        <v>1.1058482106708185</v>
      </c>
      <c r="D27" s="66">
        <f t="shared" si="54"/>
        <v>0.95971012981441928</v>
      </c>
      <c r="E27" s="73">
        <f t="shared" si="54"/>
        <v>1</v>
      </c>
      <c r="F27" s="74">
        <f t="shared" si="54"/>
        <v>1</v>
      </c>
      <c r="G27" s="81">
        <f t="shared" si="54"/>
        <v>1.2594493674962468</v>
      </c>
      <c r="H27" s="82">
        <f t="shared" si="54"/>
        <v>1.11806582743657</v>
      </c>
      <c r="I27" s="89">
        <f t="shared" si="54"/>
        <v>1.0970097983458715</v>
      </c>
      <c r="J27" s="90">
        <f t="shared" si="54"/>
        <v>0.86300526245255893</v>
      </c>
      <c r="K27" s="95">
        <f t="shared" si="54"/>
        <v>1.3864452906587592</v>
      </c>
      <c r="L27" s="10">
        <f t="shared" si="54"/>
        <v>1.3342857901170555</v>
      </c>
      <c r="M27" s="101"/>
      <c r="N27" s="65">
        <f t="shared" ref="N27:W27" si="55">N7/N67</f>
        <v>0.95857887220760996</v>
      </c>
      <c r="O27" s="66">
        <f t="shared" si="55"/>
        <v>0.99345489178206892</v>
      </c>
      <c r="P27" s="73">
        <f t="shared" si="55"/>
        <v>1</v>
      </c>
      <c r="Q27" s="74">
        <f t="shared" si="55"/>
        <v>1</v>
      </c>
      <c r="R27" s="81">
        <f t="shared" si="55"/>
        <v>1.1676401376577707</v>
      </c>
      <c r="S27" s="82">
        <f t="shared" si="55"/>
        <v>1.035006480289193</v>
      </c>
      <c r="T27" s="89">
        <f t="shared" si="55"/>
        <v>0.80856935576273992</v>
      </c>
      <c r="U27" s="90">
        <f t="shared" si="55"/>
        <v>0.93397724515308578</v>
      </c>
      <c r="V27" s="95">
        <f t="shared" si="55"/>
        <v>1.364706724894827</v>
      </c>
      <c r="W27" s="10">
        <f t="shared" si="55"/>
        <v>1.5533495239382138</v>
      </c>
      <c r="X27" s="101"/>
      <c r="Y27" s="65">
        <f t="shared" ref="Y27:AH27" si="56">Y7/Y67</f>
        <v>2.9231103837254868</v>
      </c>
      <c r="Z27" s="66">
        <f t="shared" si="56"/>
        <v>0.92665728863055974</v>
      </c>
      <c r="AA27" s="73">
        <f t="shared" si="56"/>
        <v>1</v>
      </c>
      <c r="AB27" s="74">
        <f t="shared" si="56"/>
        <v>0.99999999999999933</v>
      </c>
      <c r="AC27" s="81">
        <f t="shared" si="56"/>
        <v>2.7783283804380554</v>
      </c>
      <c r="AD27" s="82">
        <f t="shared" si="56"/>
        <v>1.6417281597887585</v>
      </c>
      <c r="AE27" s="89">
        <f t="shared" si="56"/>
        <v>4.2019863273289975</v>
      </c>
      <c r="AF27" s="90">
        <f t="shared" si="56"/>
        <v>0.8166772732972688</v>
      </c>
      <c r="AG27" s="95">
        <f t="shared" si="56"/>
        <v>1.5537377315377146</v>
      </c>
      <c r="AH27" s="10">
        <f t="shared" si="56"/>
        <v>1.1772747833314396</v>
      </c>
      <c r="AI27" s="101"/>
    </row>
    <row r="28" spans="1:35">
      <c r="A28" s="557">
        <v>3</v>
      </c>
      <c r="B28" s="23">
        <v>43160</v>
      </c>
      <c r="C28" s="65">
        <f t="shared" ref="C28:L28" si="57">C8/C68</f>
        <v>1.1241975752583013</v>
      </c>
      <c r="D28" s="66">
        <f t="shared" si="57"/>
        <v>1.2438003236355082</v>
      </c>
      <c r="E28" s="73">
        <f t="shared" si="57"/>
        <v>1</v>
      </c>
      <c r="F28" s="74">
        <f t="shared" si="57"/>
        <v>1</v>
      </c>
      <c r="G28" s="81">
        <f t="shared" si="57"/>
        <v>1.0571668299343671</v>
      </c>
      <c r="H28" s="82">
        <f t="shared" si="57"/>
        <v>1.2885484429934844</v>
      </c>
      <c r="I28" s="89">
        <f t="shared" si="57"/>
        <v>1.1943503805980467</v>
      </c>
      <c r="J28" s="90">
        <f t="shared" si="57"/>
        <v>1.3479490471663502</v>
      </c>
      <c r="K28" s="95">
        <f t="shared" si="57"/>
        <v>1.8943087110425376</v>
      </c>
      <c r="L28" s="10">
        <f t="shared" si="57"/>
        <v>2.5454990645595488</v>
      </c>
      <c r="M28" s="101"/>
      <c r="N28" s="65">
        <f t="shared" ref="N28:W28" si="58">N8/N68</f>
        <v>0.90935795828471633</v>
      </c>
      <c r="O28" s="66">
        <f t="shared" si="58"/>
        <v>1.0682824741163806</v>
      </c>
      <c r="P28" s="73">
        <f t="shared" si="58"/>
        <v>1</v>
      </c>
      <c r="Q28" s="74">
        <f t="shared" si="58"/>
        <v>1</v>
      </c>
      <c r="R28" s="81">
        <f t="shared" si="58"/>
        <v>0.93259374005300555</v>
      </c>
      <c r="S28" s="82">
        <f t="shared" si="58"/>
        <v>1.1138861788278553</v>
      </c>
      <c r="T28" s="89">
        <f t="shared" si="58"/>
        <v>0.77009111766151395</v>
      </c>
      <c r="U28" s="90">
        <f t="shared" si="58"/>
        <v>1.0181422398982991</v>
      </c>
      <c r="V28" s="95">
        <f t="shared" si="58"/>
        <v>1.9363967941240912</v>
      </c>
      <c r="W28" s="10">
        <f t="shared" si="58"/>
        <v>2.8757252373547781</v>
      </c>
      <c r="X28" s="101"/>
      <c r="Y28" s="65">
        <f t="shared" ref="Y28:AH28" si="59">Y8/Y68</f>
        <v>3.7865727453193645</v>
      </c>
      <c r="Z28" s="66">
        <f t="shared" si="59"/>
        <v>1.4211929786418964</v>
      </c>
      <c r="AA28" s="73">
        <f t="shared" si="59"/>
        <v>1</v>
      </c>
      <c r="AB28" s="74">
        <f t="shared" si="59"/>
        <v>0.99999999999999956</v>
      </c>
      <c r="AC28" s="81">
        <f t="shared" si="59"/>
        <v>3.1180865449891746</v>
      </c>
      <c r="AD28" s="82">
        <f t="shared" si="59"/>
        <v>2.3897375537698728</v>
      </c>
      <c r="AE28" s="89">
        <f t="shared" si="59"/>
        <v>5.7613765639736645</v>
      </c>
      <c r="AF28" s="90">
        <f t="shared" si="59"/>
        <v>1.563235215159255</v>
      </c>
      <c r="AG28" s="95">
        <f t="shared" si="59"/>
        <v>1.5704134629801481</v>
      </c>
      <c r="AH28" s="10">
        <f t="shared" si="59"/>
        <v>2.3088138636222308</v>
      </c>
      <c r="AI28" s="101"/>
    </row>
    <row r="29" spans="1:35">
      <c r="A29" s="557">
        <v>4</v>
      </c>
      <c r="B29" s="23">
        <v>43191</v>
      </c>
      <c r="C29" s="65">
        <f t="shared" ref="C29:L29" si="60">C9/C69</f>
        <v>1.1495512927721869</v>
      </c>
      <c r="D29" s="66">
        <f t="shared" si="60"/>
        <v>1.2398313277827251</v>
      </c>
      <c r="E29" s="73">
        <f t="shared" si="60"/>
        <v>1</v>
      </c>
      <c r="F29" s="74">
        <f t="shared" si="60"/>
        <v>1</v>
      </c>
      <c r="G29" s="81">
        <f t="shared" si="60"/>
        <v>1.0530213991444657</v>
      </c>
      <c r="H29" s="82">
        <f t="shared" si="60"/>
        <v>1.2428331114911475</v>
      </c>
      <c r="I29" s="89">
        <f t="shared" si="60"/>
        <v>1.130456489175881</v>
      </c>
      <c r="J29" s="90">
        <f t="shared" si="60"/>
        <v>1.1586497888978222</v>
      </c>
      <c r="K29" s="95">
        <f t="shared" si="60"/>
        <v>3.8108069200553794</v>
      </c>
      <c r="L29" s="10">
        <f t="shared" si="60"/>
        <v>7.7181416176387403</v>
      </c>
      <c r="M29" s="101"/>
      <c r="N29" s="65">
        <f t="shared" ref="N29:W29" si="61">N9/N69</f>
        <v>0.88253931802420804</v>
      </c>
      <c r="O29" s="66">
        <f t="shared" si="61"/>
        <v>1.0458126314841321</v>
      </c>
      <c r="P29" s="73">
        <f t="shared" si="61"/>
        <v>1</v>
      </c>
      <c r="Q29" s="74">
        <f t="shared" si="61"/>
        <v>1</v>
      </c>
      <c r="R29" s="81">
        <f t="shared" si="61"/>
        <v>0.88190668414789974</v>
      </c>
      <c r="S29" s="82">
        <f t="shared" si="61"/>
        <v>0.98607279524243752</v>
      </c>
      <c r="T29" s="89">
        <f t="shared" si="61"/>
        <v>0.71701413609299303</v>
      </c>
      <c r="U29" s="90">
        <f t="shared" si="61"/>
        <v>1.0343858367018957</v>
      </c>
      <c r="V29" s="95">
        <f t="shared" si="61"/>
        <v>2.2173746728128312</v>
      </c>
      <c r="W29" s="10">
        <f t="shared" si="61"/>
        <v>3.6179022449981137</v>
      </c>
      <c r="X29" s="101"/>
      <c r="Y29" s="65">
        <f t="shared" ref="Y29:AH29" si="62">Y9/Y69</f>
        <v>4.4480274535858744</v>
      </c>
      <c r="Z29" s="66">
        <f t="shared" si="62"/>
        <v>1.470072707426235</v>
      </c>
      <c r="AA29" s="73">
        <f t="shared" si="62"/>
        <v>1</v>
      </c>
      <c r="AB29" s="74">
        <f t="shared" si="62"/>
        <v>1</v>
      </c>
      <c r="AC29" s="81">
        <f t="shared" si="62"/>
        <v>3.8839192279472989</v>
      </c>
      <c r="AD29" s="82">
        <f t="shared" si="62"/>
        <v>2.8616239000066459</v>
      </c>
      <c r="AE29" s="89">
        <f t="shared" si="62"/>
        <v>5.5810418194210909</v>
      </c>
      <c r="AF29" s="90">
        <f t="shared" si="62"/>
        <v>1.2397648826386611</v>
      </c>
      <c r="AG29" s="95">
        <f t="shared" si="62"/>
        <v>16.073307257530644</v>
      </c>
      <c r="AH29" s="10">
        <f t="shared" si="62"/>
        <v>10.656933451096247</v>
      </c>
      <c r="AI29" s="101"/>
    </row>
    <row r="30" spans="1:35">
      <c r="A30" s="557">
        <v>5</v>
      </c>
      <c r="B30" s="23">
        <v>43221</v>
      </c>
      <c r="C30" s="65">
        <f t="shared" ref="C30:L30" si="63">C10/C70</f>
        <v>1.0936850170208512</v>
      </c>
      <c r="D30" s="66">
        <f t="shared" si="63"/>
        <v>1.2880427186653125</v>
      </c>
      <c r="E30" s="73">
        <f t="shared" si="63"/>
        <v>1</v>
      </c>
      <c r="F30" s="74">
        <f t="shared" si="63"/>
        <v>1</v>
      </c>
      <c r="G30" s="81">
        <f t="shared" si="63"/>
        <v>1.1156668343971425</v>
      </c>
      <c r="H30" s="82">
        <f t="shared" si="63"/>
        <v>1.3930493394348409</v>
      </c>
      <c r="I30" s="89">
        <f t="shared" si="63"/>
        <v>0.96616275751286074</v>
      </c>
      <c r="J30" s="90">
        <f t="shared" si="63"/>
        <v>1.1116934696966527</v>
      </c>
      <c r="K30" s="95">
        <f t="shared" si="63"/>
        <v>3.9342585018814829</v>
      </c>
      <c r="L30" s="10">
        <f t="shared" si="63"/>
        <v>10.31160979077195</v>
      </c>
      <c r="M30" s="101"/>
      <c r="N30" s="65">
        <f t="shared" ref="N30:W30" si="64">N10/N70</f>
        <v>0.88046681888187039</v>
      </c>
      <c r="O30" s="66">
        <f t="shared" si="64"/>
        <v>1.0907546890785143</v>
      </c>
      <c r="P30" s="73">
        <f t="shared" si="64"/>
        <v>1</v>
      </c>
      <c r="Q30" s="74">
        <f t="shared" si="64"/>
        <v>1</v>
      </c>
      <c r="R30" s="81">
        <f t="shared" si="64"/>
        <v>0.86150846034834572</v>
      </c>
      <c r="S30" s="82">
        <f t="shared" si="64"/>
        <v>0.95596592134077607</v>
      </c>
      <c r="T30" s="89">
        <f t="shared" si="64"/>
        <v>0.75840942563780078</v>
      </c>
      <c r="U30" s="90">
        <f t="shared" si="64"/>
        <v>1.204642962740724</v>
      </c>
      <c r="V30" s="95">
        <f t="shared" si="64"/>
        <v>1.7369766446175472</v>
      </c>
      <c r="W30" s="10">
        <f t="shared" si="64"/>
        <v>3.166104030888143</v>
      </c>
      <c r="X30" s="101"/>
      <c r="Y30" s="65">
        <f t="shared" ref="Y30:AH30" si="65">Y10/Y70</f>
        <v>3.6606643223271278</v>
      </c>
      <c r="Z30" s="66">
        <f t="shared" si="65"/>
        <v>1.5168980887653614</v>
      </c>
      <c r="AA30" s="73">
        <f t="shared" si="65"/>
        <v>1</v>
      </c>
      <c r="AB30" s="74">
        <f t="shared" si="65"/>
        <v>0.99999999999999933</v>
      </c>
      <c r="AC30" s="81">
        <f t="shared" si="65"/>
        <v>5.3204273033096943</v>
      </c>
      <c r="AD30" s="82">
        <f t="shared" si="65"/>
        <v>4.1487189902627266</v>
      </c>
      <c r="AE30" s="89">
        <f t="shared" si="65"/>
        <v>3.2025662712267424</v>
      </c>
      <c r="AF30" s="90">
        <f t="shared" si="65"/>
        <v>1.0510193425004921</v>
      </c>
      <c r="AG30" s="95">
        <f t="shared" si="65"/>
        <v>20.843775403434368</v>
      </c>
      <c r="AH30" s="10">
        <f t="shared" si="65"/>
        <v>15.433055653954881</v>
      </c>
      <c r="AI30" s="101"/>
    </row>
    <row r="31" spans="1:35">
      <c r="A31" s="557">
        <v>6</v>
      </c>
      <c r="B31" s="23">
        <v>43252</v>
      </c>
      <c r="C31" s="65">
        <f t="shared" ref="C31:L31" si="66">C11/C71</f>
        <v>1.0103910729893726</v>
      </c>
      <c r="D31" s="66">
        <f t="shared" si="66"/>
        <v>1.2966408178696767</v>
      </c>
      <c r="E31" s="73">
        <f t="shared" si="66"/>
        <v>0.77125732781878231</v>
      </c>
      <c r="F31" s="74">
        <f t="shared" si="66"/>
        <v>1.3257250306910682</v>
      </c>
      <c r="G31" s="81">
        <f t="shared" si="66"/>
        <v>1.3032965811124271</v>
      </c>
      <c r="H31" s="82">
        <f t="shared" si="66"/>
        <v>1.5932438102825739</v>
      </c>
      <c r="I31" s="89">
        <f t="shared" si="66"/>
        <v>1.0263474143527485</v>
      </c>
      <c r="J31" s="90">
        <f t="shared" si="66"/>
        <v>1.1100283915474149</v>
      </c>
      <c r="K31" s="95">
        <f t="shared" si="66"/>
        <v>1.6438730144112697</v>
      </c>
      <c r="L31" s="10">
        <f t="shared" si="66"/>
        <v>3.0857517112956314</v>
      </c>
      <c r="M31" s="101"/>
      <c r="N31" s="65">
        <f t="shared" ref="N31:W31" si="67">N11/N71</f>
        <v>0.86231862842711038</v>
      </c>
      <c r="O31" s="66">
        <f t="shared" si="67"/>
        <v>1.1880081840048669</v>
      </c>
      <c r="P31" s="73">
        <f t="shared" si="67"/>
        <v>0.77461309797176758</v>
      </c>
      <c r="Q31" s="74">
        <f t="shared" si="67"/>
        <v>1.4516640417384807</v>
      </c>
      <c r="R31" s="81">
        <f t="shared" si="67"/>
        <v>1.0361101875403105</v>
      </c>
      <c r="S31" s="82">
        <f t="shared" si="67"/>
        <v>0.97963171421912532</v>
      </c>
      <c r="T31" s="89">
        <f t="shared" si="67"/>
        <v>0.81922678552296913</v>
      </c>
      <c r="U31" s="90">
        <f t="shared" si="67"/>
        <v>1.1252993989576696</v>
      </c>
      <c r="V31" s="95">
        <f t="shared" si="67"/>
        <v>1.3883344044496246</v>
      </c>
      <c r="W31" s="10">
        <f t="shared" si="67"/>
        <v>2.2073402228930821</v>
      </c>
      <c r="X31" s="101"/>
      <c r="Y31" s="65">
        <f t="shared" ref="Y31:AH31" si="68">Y11/Y71</f>
        <v>2.703733055165122</v>
      </c>
      <c r="Z31" s="66">
        <f t="shared" si="68"/>
        <v>1.4084295015996635</v>
      </c>
      <c r="AA31" s="73">
        <f t="shared" si="68"/>
        <v>0.7351334491131174</v>
      </c>
      <c r="AB31" s="74">
        <f t="shared" si="68"/>
        <v>1.2014778046223786</v>
      </c>
      <c r="AC31" s="81">
        <f t="shared" si="68"/>
        <v>5.7235907765248077</v>
      </c>
      <c r="AD31" s="82">
        <f t="shared" si="68"/>
        <v>5.4618697075455804</v>
      </c>
      <c r="AE31" s="89">
        <f t="shared" si="68"/>
        <v>3.2559400658733137</v>
      </c>
      <c r="AF31" s="90">
        <f t="shared" si="68"/>
        <v>1.1000600203849813</v>
      </c>
      <c r="AG31" s="95">
        <f t="shared" si="68"/>
        <v>3.6104092736813214</v>
      </c>
      <c r="AH31" s="10">
        <f t="shared" si="68"/>
        <v>3.7153414190960707</v>
      </c>
      <c r="AI31" s="101"/>
    </row>
    <row r="32" spans="1:35">
      <c r="A32" s="557">
        <v>7</v>
      </c>
      <c r="B32" s="23">
        <v>43282</v>
      </c>
      <c r="C32" s="65">
        <f t="shared" ref="C32:L32" si="69">C12/C72</f>
        <v>0.95826572269594079</v>
      </c>
      <c r="D32" s="66">
        <f t="shared" si="69"/>
        <v>1.0232549270302276</v>
      </c>
      <c r="E32" s="73">
        <f t="shared" si="69"/>
        <v>0.79675854941477753</v>
      </c>
      <c r="F32" s="74">
        <f t="shared" si="69"/>
        <v>1.1624295613084861</v>
      </c>
      <c r="G32" s="81">
        <f t="shared" si="69"/>
        <v>1.1999551087437244</v>
      </c>
      <c r="H32" s="82">
        <f t="shared" si="69"/>
        <v>1.3026409578518581</v>
      </c>
      <c r="I32" s="89">
        <f t="shared" si="69"/>
        <v>0.91921751670116747</v>
      </c>
      <c r="J32" s="90">
        <f t="shared" si="69"/>
        <v>0.80297061672858761</v>
      </c>
      <c r="K32" s="95">
        <f t="shared" si="69"/>
        <v>1.9873664170387018</v>
      </c>
      <c r="L32" s="10">
        <f t="shared" si="69"/>
        <v>2.2226785754600309</v>
      </c>
      <c r="M32" s="101"/>
      <c r="N32" s="65">
        <f t="shared" ref="N32:W32" si="70">N12/N72</f>
        <v>0.8404287809338471</v>
      </c>
      <c r="O32" s="66">
        <f t="shared" si="70"/>
        <v>1.1459374268611799</v>
      </c>
      <c r="P32" s="73">
        <f t="shared" si="70"/>
        <v>0.7941712555177427</v>
      </c>
      <c r="Q32" s="74">
        <f t="shared" si="70"/>
        <v>1.4221326726142487</v>
      </c>
      <c r="R32" s="81">
        <f t="shared" si="70"/>
        <v>0.95395365591619508</v>
      </c>
      <c r="S32" s="82">
        <f t="shared" si="70"/>
        <v>0.8953670633379226</v>
      </c>
      <c r="T32" s="89">
        <f t="shared" si="70"/>
        <v>0.78026320702010477</v>
      </c>
      <c r="U32" s="90">
        <f t="shared" si="70"/>
        <v>1.1059673824942844</v>
      </c>
      <c r="V32" s="95">
        <f t="shared" si="70"/>
        <v>1.6046058605169031</v>
      </c>
      <c r="W32" s="10">
        <f t="shared" si="70"/>
        <v>1.9133176475572844</v>
      </c>
      <c r="X32" s="101"/>
      <c r="Y32" s="65">
        <f t="shared" ref="Y32:AH32" si="71">Y12/Y72</f>
        <v>2.3042106780245368</v>
      </c>
      <c r="Z32" s="66">
        <f t="shared" si="71"/>
        <v>0.89709321946421461</v>
      </c>
      <c r="AA32" s="73">
        <f t="shared" si="71"/>
        <v>0.82461000724756439</v>
      </c>
      <c r="AB32" s="74">
        <f t="shared" si="71"/>
        <v>0.90621513725681968</v>
      </c>
      <c r="AC32" s="81">
        <f t="shared" si="71"/>
        <v>5.269768617802665</v>
      </c>
      <c r="AD32" s="82">
        <f t="shared" si="71"/>
        <v>3.8703711993248819</v>
      </c>
      <c r="AE32" s="89">
        <f t="shared" si="71"/>
        <v>2.4150197915031977</v>
      </c>
      <c r="AF32" s="90">
        <f t="shared" si="71"/>
        <v>0.60518509145007482</v>
      </c>
      <c r="AG32" s="95">
        <f t="shared" si="71"/>
        <v>4.9329585259238513</v>
      </c>
      <c r="AH32" s="10">
        <f t="shared" si="71"/>
        <v>2.4444088906649992</v>
      </c>
      <c r="AI32" s="101"/>
    </row>
    <row r="33" spans="1:35">
      <c r="A33" s="557">
        <v>8</v>
      </c>
      <c r="B33" s="23">
        <v>43313</v>
      </c>
      <c r="C33" s="65">
        <f t="shared" ref="C33:L33" si="72">C13/C73</f>
        <v>0.91887682371895962</v>
      </c>
      <c r="D33" s="66">
        <f t="shared" si="72"/>
        <v>1.1446784554876817</v>
      </c>
      <c r="E33" s="73">
        <f t="shared" si="72"/>
        <v>0.73977077333697006</v>
      </c>
      <c r="F33" s="74">
        <f t="shared" si="72"/>
        <v>1.1638640964344165</v>
      </c>
      <c r="G33" s="81">
        <f t="shared" si="72"/>
        <v>1.082116330455521</v>
      </c>
      <c r="H33" s="82">
        <f t="shared" si="72"/>
        <v>1.4972997382507514</v>
      </c>
      <c r="I33" s="89">
        <f t="shared" si="72"/>
        <v>0.95831996926959861</v>
      </c>
      <c r="J33" s="90">
        <f t="shared" si="72"/>
        <v>0.96467805373761284</v>
      </c>
      <c r="K33" s="95">
        <f t="shared" si="72"/>
        <v>1.7937502262245963</v>
      </c>
      <c r="L33" s="10">
        <f t="shared" si="72"/>
        <v>2.3593856539513882</v>
      </c>
      <c r="M33" s="101"/>
      <c r="N33" s="65">
        <f t="shared" ref="N33:W33" si="73">N13/N73</f>
        <v>0.79294583531762819</v>
      </c>
      <c r="O33" s="66">
        <f t="shared" si="73"/>
        <v>1.3646065272275707</v>
      </c>
      <c r="P33" s="73">
        <f t="shared" si="73"/>
        <v>0.73112334279981961</v>
      </c>
      <c r="Q33" s="74">
        <f t="shared" si="73"/>
        <v>1.5076155093136216</v>
      </c>
      <c r="R33" s="81">
        <f t="shared" si="73"/>
        <v>0.8757909986841721</v>
      </c>
      <c r="S33" s="82">
        <f t="shared" si="73"/>
        <v>1.1298183166457509</v>
      </c>
      <c r="T33" s="89">
        <f t="shared" si="73"/>
        <v>0.78013604664611269</v>
      </c>
      <c r="U33" s="90">
        <f t="shared" si="73"/>
        <v>1.4058565783989032</v>
      </c>
      <c r="V33" s="95">
        <f t="shared" si="73"/>
        <v>1.3294252069985075</v>
      </c>
      <c r="W33" s="10">
        <f t="shared" si="73"/>
        <v>1.8249987074898624</v>
      </c>
      <c r="X33" s="101"/>
      <c r="Y33" s="65">
        <f t="shared" ref="Y33:AH33" si="74">Y13/Y73</f>
        <v>2.3532968558565401</v>
      </c>
      <c r="Z33" s="66">
        <f t="shared" si="74"/>
        <v>0.91886695704016907</v>
      </c>
      <c r="AA33" s="73">
        <f t="shared" si="74"/>
        <v>0.83285781970747208</v>
      </c>
      <c r="AB33" s="74">
        <f t="shared" si="74"/>
        <v>0.82473042250589024</v>
      </c>
      <c r="AC33" s="81">
        <f t="shared" si="74"/>
        <v>4.4955336613394108</v>
      </c>
      <c r="AD33" s="82">
        <f t="shared" si="74"/>
        <v>3.814151302137013</v>
      </c>
      <c r="AE33" s="89">
        <f t="shared" si="74"/>
        <v>2.8764174892753593</v>
      </c>
      <c r="AF33" s="90">
        <f t="shared" si="74"/>
        <v>0.67669238490968686</v>
      </c>
      <c r="AG33" s="95">
        <f t="shared" si="74"/>
        <v>5.3670340698340642</v>
      </c>
      <c r="AH33" s="10">
        <f t="shared" si="74"/>
        <v>2.7424003639330707</v>
      </c>
      <c r="AI33" s="101"/>
    </row>
    <row r="34" spans="1:35">
      <c r="A34" s="557">
        <v>9</v>
      </c>
      <c r="B34" s="23">
        <v>43344</v>
      </c>
      <c r="C34" s="65">
        <f t="shared" ref="C34:L34" si="75">C14/C74</f>
        <v>0.74197691917442088</v>
      </c>
      <c r="D34" s="66">
        <f t="shared" si="75"/>
        <v>0.9939398213176921</v>
      </c>
      <c r="E34" s="73">
        <f t="shared" si="75"/>
        <v>0.70611165730407155</v>
      </c>
      <c r="F34" s="74">
        <f t="shared" si="75"/>
        <v>1.115155414276926</v>
      </c>
      <c r="G34" s="81">
        <f t="shared" si="75"/>
        <v>0.72256048784050919</v>
      </c>
      <c r="H34" s="82">
        <f t="shared" si="75"/>
        <v>0.86376408510392177</v>
      </c>
      <c r="I34" s="89">
        <f t="shared" si="75"/>
        <v>0.7370895831508143</v>
      </c>
      <c r="J34" s="90">
        <f t="shared" si="75"/>
        <v>0.89311556061853958</v>
      </c>
      <c r="K34" s="95">
        <f t="shared" si="75"/>
        <v>1.4575543922147782</v>
      </c>
      <c r="L34" s="10">
        <f t="shared" si="75"/>
        <v>2.8312777671812719</v>
      </c>
      <c r="M34" s="101"/>
      <c r="N34" s="65">
        <f t="shared" ref="N34:W34" si="76">N14/N74</f>
        <v>0.65933167760514821</v>
      </c>
      <c r="O34" s="66">
        <f t="shared" si="76"/>
        <v>1.0263304546511933</v>
      </c>
      <c r="P34" s="73">
        <f t="shared" si="76"/>
        <v>0.69865862301343107</v>
      </c>
      <c r="Q34" s="74">
        <f t="shared" si="76"/>
        <v>1.2662742674869112</v>
      </c>
      <c r="R34" s="81">
        <f t="shared" si="76"/>
        <v>0.63922916125092899</v>
      </c>
      <c r="S34" s="82">
        <f t="shared" si="76"/>
        <v>0.69689508971183167</v>
      </c>
      <c r="T34" s="89">
        <f t="shared" si="76"/>
        <v>0.61510427515768462</v>
      </c>
      <c r="U34" s="90">
        <f t="shared" si="76"/>
        <v>1.0923921487845123</v>
      </c>
      <c r="V34" s="95">
        <f t="shared" si="76"/>
        <v>0.96726533800935777</v>
      </c>
      <c r="W34" s="10">
        <f t="shared" si="76"/>
        <v>0.95739416722764414</v>
      </c>
      <c r="X34" s="101"/>
      <c r="Y34" s="65">
        <f t="shared" ref="Y34:AH34" si="77">Y14/Y74</f>
        <v>1.684458390168424</v>
      </c>
      <c r="Z34" s="66">
        <f t="shared" si="77"/>
        <v>0.96066042876661029</v>
      </c>
      <c r="AA34" s="73">
        <f t="shared" si="77"/>
        <v>0.78634137937390747</v>
      </c>
      <c r="AB34" s="74">
        <f t="shared" si="77"/>
        <v>0.9660665961111744</v>
      </c>
      <c r="AC34" s="81">
        <f t="shared" si="77"/>
        <v>2.101182259313739</v>
      </c>
      <c r="AD34" s="82">
        <f t="shared" si="77"/>
        <v>1.915819155669785</v>
      </c>
      <c r="AE34" s="89">
        <f t="shared" si="77"/>
        <v>2.0502255456650942</v>
      </c>
      <c r="AF34" s="90">
        <f t="shared" si="77"/>
        <v>0.76303488280498499</v>
      </c>
      <c r="AG34" s="95">
        <f t="shared" si="77"/>
        <v>5.2306484180564938</v>
      </c>
      <c r="AH34" s="10">
        <f t="shared" si="77"/>
        <v>4.1743588217020235</v>
      </c>
      <c r="AI34" s="101"/>
    </row>
    <row r="35" spans="1:35">
      <c r="A35" s="557">
        <v>10</v>
      </c>
      <c r="B35" s="23">
        <v>43374</v>
      </c>
      <c r="C35" s="65">
        <f t="shared" ref="C35:L35" si="78">C15/C75</f>
        <v>0</v>
      </c>
      <c r="D35" s="66">
        <f t="shared" si="78"/>
        <v>0</v>
      </c>
      <c r="E35" s="73">
        <f t="shared" si="78"/>
        <v>0</v>
      </c>
      <c r="F35" s="74">
        <f t="shared" si="78"/>
        <v>0</v>
      </c>
      <c r="G35" s="81">
        <f t="shared" si="78"/>
        <v>0</v>
      </c>
      <c r="H35" s="82">
        <f t="shared" si="78"/>
        <v>0</v>
      </c>
      <c r="I35" s="89">
        <f t="shared" si="78"/>
        <v>0</v>
      </c>
      <c r="J35" s="90">
        <f t="shared" si="78"/>
        <v>0</v>
      </c>
      <c r="K35" s="95">
        <f t="shared" si="78"/>
        <v>0</v>
      </c>
      <c r="L35" s="10">
        <f t="shared" si="78"/>
        <v>0</v>
      </c>
      <c r="M35" s="101"/>
      <c r="N35" s="65">
        <f t="shared" ref="N35:W35" si="79">N15/N75</f>
        <v>0</v>
      </c>
      <c r="O35" s="66">
        <f t="shared" si="79"/>
        <v>0</v>
      </c>
      <c r="P35" s="73">
        <f t="shared" si="79"/>
        <v>0</v>
      </c>
      <c r="Q35" s="74">
        <f t="shared" si="79"/>
        <v>0</v>
      </c>
      <c r="R35" s="81">
        <f t="shared" si="79"/>
        <v>0</v>
      </c>
      <c r="S35" s="82">
        <f t="shared" si="79"/>
        <v>0</v>
      </c>
      <c r="T35" s="89">
        <f t="shared" si="79"/>
        <v>0</v>
      </c>
      <c r="U35" s="90">
        <f t="shared" si="79"/>
        <v>0</v>
      </c>
      <c r="V35" s="95">
        <f t="shared" si="79"/>
        <v>0</v>
      </c>
      <c r="W35" s="10">
        <f t="shared" si="79"/>
        <v>0</v>
      </c>
      <c r="X35" s="101"/>
      <c r="Y35" s="65">
        <f t="shared" ref="Y35:AH35" si="80">Y15/Y75</f>
        <v>0</v>
      </c>
      <c r="Z35" s="66">
        <f t="shared" si="80"/>
        <v>0</v>
      </c>
      <c r="AA35" s="73">
        <f t="shared" si="80"/>
        <v>0</v>
      </c>
      <c r="AB35" s="74">
        <f t="shared" si="80"/>
        <v>0</v>
      </c>
      <c r="AC35" s="81">
        <f t="shared" si="80"/>
        <v>0</v>
      </c>
      <c r="AD35" s="82">
        <f t="shared" si="80"/>
        <v>0</v>
      </c>
      <c r="AE35" s="89">
        <f t="shared" si="80"/>
        <v>0</v>
      </c>
      <c r="AF35" s="90">
        <f t="shared" si="80"/>
        <v>0</v>
      </c>
      <c r="AG35" s="95">
        <f t="shared" si="80"/>
        <v>0</v>
      </c>
      <c r="AH35" s="10">
        <f t="shared" si="80"/>
        <v>0</v>
      </c>
      <c r="AI35" s="101"/>
    </row>
    <row r="36" spans="1:35">
      <c r="A36" s="557">
        <v>11</v>
      </c>
      <c r="B36" s="23">
        <v>43405</v>
      </c>
      <c r="C36" s="65">
        <f t="shared" ref="C36:L36" si="81">C16/C76</f>
        <v>0</v>
      </c>
      <c r="D36" s="66">
        <f t="shared" si="81"/>
        <v>0</v>
      </c>
      <c r="E36" s="73">
        <f t="shared" si="81"/>
        <v>0</v>
      </c>
      <c r="F36" s="74">
        <f t="shared" si="81"/>
        <v>0</v>
      </c>
      <c r="G36" s="81">
        <f t="shared" si="81"/>
        <v>0</v>
      </c>
      <c r="H36" s="82">
        <f t="shared" si="81"/>
        <v>0</v>
      </c>
      <c r="I36" s="89">
        <f t="shared" si="81"/>
        <v>0</v>
      </c>
      <c r="J36" s="90">
        <f t="shared" si="81"/>
        <v>0</v>
      </c>
      <c r="K36" s="95">
        <f t="shared" si="81"/>
        <v>0</v>
      </c>
      <c r="L36" s="10">
        <f t="shared" si="81"/>
        <v>0</v>
      </c>
      <c r="M36" s="101"/>
      <c r="N36" s="65">
        <f t="shared" ref="N36:W36" si="82">N16/N76</f>
        <v>0</v>
      </c>
      <c r="O36" s="66">
        <f t="shared" si="82"/>
        <v>0</v>
      </c>
      <c r="P36" s="73">
        <f t="shared" si="82"/>
        <v>0</v>
      </c>
      <c r="Q36" s="74">
        <f t="shared" si="82"/>
        <v>0</v>
      </c>
      <c r="R36" s="81">
        <f t="shared" si="82"/>
        <v>0</v>
      </c>
      <c r="S36" s="82">
        <f t="shared" si="82"/>
        <v>0</v>
      </c>
      <c r="T36" s="89">
        <f t="shared" si="82"/>
        <v>0</v>
      </c>
      <c r="U36" s="90">
        <f t="shared" si="82"/>
        <v>0</v>
      </c>
      <c r="V36" s="95">
        <f t="shared" si="82"/>
        <v>0</v>
      </c>
      <c r="W36" s="10">
        <f t="shared" si="82"/>
        <v>0</v>
      </c>
      <c r="X36" s="101"/>
      <c r="Y36" s="65">
        <f t="shared" ref="Y36:AH36" si="83">Y16/Y76</f>
        <v>0</v>
      </c>
      <c r="Z36" s="66">
        <f t="shared" si="83"/>
        <v>0</v>
      </c>
      <c r="AA36" s="73">
        <f t="shared" si="83"/>
        <v>0</v>
      </c>
      <c r="AB36" s="74">
        <f t="shared" si="83"/>
        <v>0</v>
      </c>
      <c r="AC36" s="81">
        <f t="shared" si="83"/>
        <v>0</v>
      </c>
      <c r="AD36" s="82">
        <f t="shared" si="83"/>
        <v>0</v>
      </c>
      <c r="AE36" s="89">
        <f t="shared" si="83"/>
        <v>0</v>
      </c>
      <c r="AF36" s="90">
        <f t="shared" si="83"/>
        <v>0</v>
      </c>
      <c r="AG36" s="95">
        <f t="shared" si="83"/>
        <v>0</v>
      </c>
      <c r="AH36" s="10">
        <f t="shared" si="83"/>
        <v>0</v>
      </c>
      <c r="AI36" s="101"/>
    </row>
    <row r="37" spans="1:35" ht="15.75" thickBot="1">
      <c r="A37" s="557">
        <v>12</v>
      </c>
      <c r="B37" s="24">
        <v>43435</v>
      </c>
      <c r="C37" s="67">
        <f t="shared" ref="C37:L37" si="84">C17/C77</f>
        <v>0</v>
      </c>
      <c r="D37" s="68">
        <f t="shared" si="84"/>
        <v>0</v>
      </c>
      <c r="E37" s="75">
        <f t="shared" si="84"/>
        <v>0</v>
      </c>
      <c r="F37" s="76">
        <f t="shared" si="84"/>
        <v>0</v>
      </c>
      <c r="G37" s="83">
        <f t="shared" si="84"/>
        <v>0</v>
      </c>
      <c r="H37" s="84">
        <f t="shared" si="84"/>
        <v>0</v>
      </c>
      <c r="I37" s="91">
        <f t="shared" si="84"/>
        <v>0</v>
      </c>
      <c r="J37" s="92">
        <f t="shared" si="84"/>
        <v>0</v>
      </c>
      <c r="K37" s="96">
        <f t="shared" si="84"/>
        <v>0</v>
      </c>
      <c r="L37" s="11">
        <f t="shared" si="84"/>
        <v>0</v>
      </c>
      <c r="M37" s="101"/>
      <c r="N37" s="67">
        <f t="shared" ref="N37:W37" si="85">N17/N77</f>
        <v>0</v>
      </c>
      <c r="O37" s="68">
        <f t="shared" si="85"/>
        <v>0</v>
      </c>
      <c r="P37" s="75">
        <f t="shared" si="85"/>
        <v>0</v>
      </c>
      <c r="Q37" s="76">
        <f t="shared" si="85"/>
        <v>0</v>
      </c>
      <c r="R37" s="83">
        <f t="shared" si="85"/>
        <v>0</v>
      </c>
      <c r="S37" s="84">
        <f t="shared" si="85"/>
        <v>0</v>
      </c>
      <c r="T37" s="91">
        <f t="shared" si="85"/>
        <v>0</v>
      </c>
      <c r="U37" s="92">
        <f t="shared" si="85"/>
        <v>0</v>
      </c>
      <c r="V37" s="96">
        <f t="shared" si="85"/>
        <v>0</v>
      </c>
      <c r="W37" s="11">
        <f t="shared" si="85"/>
        <v>0</v>
      </c>
      <c r="X37" s="101"/>
      <c r="Y37" s="67">
        <f t="shared" ref="Y37:AH37" si="86">Y17/Y77</f>
        <v>0</v>
      </c>
      <c r="Z37" s="68">
        <f t="shared" si="86"/>
        <v>0</v>
      </c>
      <c r="AA37" s="75">
        <f t="shared" si="86"/>
        <v>0</v>
      </c>
      <c r="AB37" s="76">
        <f t="shared" si="86"/>
        <v>0</v>
      </c>
      <c r="AC37" s="83">
        <f t="shared" si="86"/>
        <v>0</v>
      </c>
      <c r="AD37" s="84">
        <f t="shared" si="86"/>
        <v>0</v>
      </c>
      <c r="AE37" s="91">
        <f t="shared" si="86"/>
        <v>0</v>
      </c>
      <c r="AF37" s="92">
        <f t="shared" si="86"/>
        <v>0</v>
      </c>
      <c r="AG37" s="96">
        <f t="shared" si="86"/>
        <v>0</v>
      </c>
      <c r="AH37" s="11">
        <f t="shared" si="86"/>
        <v>0</v>
      </c>
      <c r="AI37" s="101"/>
    </row>
    <row r="38" spans="1:35" ht="15.75" thickBot="1">
      <c r="M38" s="101"/>
      <c r="X38" s="101"/>
      <c r="AI38" s="101"/>
    </row>
    <row r="39" spans="1:35">
      <c r="A39" s="557"/>
      <c r="B39" s="641" t="s">
        <v>149</v>
      </c>
      <c r="C39" s="642">
        <f t="shared" ref="C39:L39" si="87">C19/C79</f>
        <v>1.0825802820546671</v>
      </c>
      <c r="D39" s="643">
        <f t="shared" si="87"/>
        <v>1.0605046619431822</v>
      </c>
      <c r="E39" s="644">
        <f t="shared" si="87"/>
        <v>1</v>
      </c>
      <c r="F39" s="645">
        <f t="shared" si="87"/>
        <v>1</v>
      </c>
      <c r="G39" s="646">
        <f t="shared" si="87"/>
        <v>1.1819595888581866</v>
      </c>
      <c r="H39" s="647">
        <f t="shared" si="87"/>
        <v>1.2256676468277237</v>
      </c>
      <c r="I39" s="648">
        <f t="shared" si="87"/>
        <v>1.0625547559389035</v>
      </c>
      <c r="J39" s="649">
        <f t="shared" si="87"/>
        <v>1.0173088532483965</v>
      </c>
      <c r="K39" s="650">
        <f t="shared" si="87"/>
        <v>1.6272912121335712</v>
      </c>
      <c r="L39" s="651">
        <f t="shared" si="87"/>
        <v>1.7569121462818738</v>
      </c>
      <c r="M39" s="652"/>
      <c r="N39" s="642">
        <f t="shared" ref="N39:W39" si="88">N19/N79</f>
        <v>0.92553389905018491</v>
      </c>
      <c r="O39" s="643">
        <f t="shared" si="88"/>
        <v>1.0362411693007108</v>
      </c>
      <c r="P39" s="644">
        <f t="shared" si="88"/>
        <v>1</v>
      </c>
      <c r="Q39" s="645">
        <f t="shared" si="88"/>
        <v>1</v>
      </c>
      <c r="R39" s="646">
        <f t="shared" si="88"/>
        <v>1.064297425963131</v>
      </c>
      <c r="S39" s="647">
        <f t="shared" si="88"/>
        <v>1.0961397112287914</v>
      </c>
      <c r="T39" s="648">
        <f t="shared" si="88"/>
        <v>0.7693431221711301</v>
      </c>
      <c r="U39" s="649">
        <f t="shared" si="88"/>
        <v>0.98016174888731256</v>
      </c>
      <c r="V39" s="650">
        <f t="shared" si="88"/>
        <v>1.5861702630332899</v>
      </c>
      <c r="W39" s="651">
        <f t="shared" si="88"/>
        <v>2.0408046451933686</v>
      </c>
      <c r="X39" s="652"/>
      <c r="Y39" s="642">
        <f t="shared" ref="Y39:AH39" si="89">Y19/Y79</f>
        <v>2.990455893538249</v>
      </c>
      <c r="Z39" s="643">
        <f t="shared" si="89"/>
        <v>1.0852607977089372</v>
      </c>
      <c r="AA39" s="644">
        <f t="shared" si="89"/>
        <v>1</v>
      </c>
      <c r="AB39" s="645">
        <f t="shared" si="89"/>
        <v>0.99999999999999967</v>
      </c>
      <c r="AC39" s="646">
        <f t="shared" si="89"/>
        <v>3.1285458978062155</v>
      </c>
      <c r="AD39" s="647">
        <f t="shared" si="89"/>
        <v>2.0422994070093705</v>
      </c>
      <c r="AE39" s="648">
        <f t="shared" si="89"/>
        <v>4.218891754733173</v>
      </c>
      <c r="AF39" s="649">
        <f t="shared" si="89"/>
        <v>1.0415571633914638</v>
      </c>
      <c r="AG39" s="650">
        <f t="shared" si="89"/>
        <v>1.943743733470519</v>
      </c>
      <c r="AH39" s="651">
        <f t="shared" si="89"/>
        <v>1.5534359875610133</v>
      </c>
      <c r="AI39" s="101"/>
    </row>
    <row r="40" spans="1:35">
      <c r="A40" s="557"/>
      <c r="B40" s="653" t="s">
        <v>150</v>
      </c>
      <c r="C40" s="65">
        <f t="shared" ref="C40:L40" si="90">C20/C80</f>
        <v>1.0824743210170902</v>
      </c>
      <c r="D40" s="66">
        <f t="shared" si="90"/>
        <v>1.274982441634503</v>
      </c>
      <c r="E40" s="73">
        <f t="shared" si="90"/>
        <v>0.91581568600434371</v>
      </c>
      <c r="F40" s="74">
        <f t="shared" si="90"/>
        <v>1.0878328407186324</v>
      </c>
      <c r="G40" s="81">
        <f t="shared" si="90"/>
        <v>1.1591568619825816</v>
      </c>
      <c r="H40" s="82">
        <f t="shared" si="90"/>
        <v>1.4129545128742431</v>
      </c>
      <c r="I40" s="89">
        <f t="shared" si="90"/>
        <v>1.0387121244215234</v>
      </c>
      <c r="J40" s="90">
        <f t="shared" si="90"/>
        <v>1.1260537850468348</v>
      </c>
      <c r="K40" s="95">
        <f t="shared" si="90"/>
        <v>3.1211166283147183</v>
      </c>
      <c r="L40" s="10">
        <f t="shared" si="90"/>
        <v>7.0458167341401872</v>
      </c>
      <c r="M40" s="654"/>
      <c r="N40" s="65">
        <f t="shared" ref="N40:W40" si="91">N20/N80</f>
        <v>0.87483967543887631</v>
      </c>
      <c r="O40" s="66">
        <f t="shared" si="91"/>
        <v>1.1050944278885892</v>
      </c>
      <c r="P40" s="73">
        <f t="shared" si="91"/>
        <v>0.91785412398556665</v>
      </c>
      <c r="Q40" s="74">
        <f t="shared" si="91"/>
        <v>1.1066035594991241</v>
      </c>
      <c r="R40" s="81">
        <f t="shared" si="91"/>
        <v>0.92698805311471766</v>
      </c>
      <c r="S40" s="82">
        <f t="shared" si="91"/>
        <v>0.97353056388032877</v>
      </c>
      <c r="T40" s="89">
        <f t="shared" si="91"/>
        <v>0.76580365496543135</v>
      </c>
      <c r="U40" s="90">
        <f t="shared" si="91"/>
        <v>1.1237247144372842</v>
      </c>
      <c r="V40" s="95">
        <f t="shared" si="91"/>
        <v>1.7718451105543689</v>
      </c>
      <c r="W40" s="10">
        <f t="shared" si="91"/>
        <v>2.9857266932885609</v>
      </c>
      <c r="X40" s="654"/>
      <c r="Y40" s="65">
        <f t="shared" ref="Y40:AH40" si="92">Y20/Y80</f>
        <v>3.5570381744087882</v>
      </c>
      <c r="Z40" s="66">
        <f t="shared" si="92"/>
        <v>1.4661386299863197</v>
      </c>
      <c r="AA40" s="73">
        <f t="shared" si="92"/>
        <v>0.8910505656047879</v>
      </c>
      <c r="AB40" s="74">
        <f t="shared" si="92"/>
        <v>1.0632152402345667</v>
      </c>
      <c r="AC40" s="81">
        <f t="shared" si="92"/>
        <v>5.0001250507965374</v>
      </c>
      <c r="AD40" s="82">
        <f t="shared" si="92"/>
        <v>4.1833804543792397</v>
      </c>
      <c r="AE40" s="89">
        <f t="shared" si="92"/>
        <v>3.9764915309194584</v>
      </c>
      <c r="AF40" s="90">
        <f t="shared" si="92"/>
        <v>1.1275741196047193</v>
      </c>
      <c r="AG40" s="95">
        <f t="shared" si="92"/>
        <v>13.504640917166107</v>
      </c>
      <c r="AH40" s="10">
        <f t="shared" si="92"/>
        <v>9.9558320700186549</v>
      </c>
      <c r="AI40" s="101"/>
    </row>
    <row r="41" spans="1:35">
      <c r="A41" s="557"/>
      <c r="B41" s="653" t="s">
        <v>216</v>
      </c>
      <c r="C41" s="65">
        <f t="shared" ref="C41:L41" si="93">C21/C81</f>
        <v>0.87051093759986797</v>
      </c>
      <c r="D41" s="66">
        <f t="shared" si="93"/>
        <v>1.0534986229661822</v>
      </c>
      <c r="E41" s="73">
        <f t="shared" si="93"/>
        <v>0.74565424119567669</v>
      </c>
      <c r="F41" s="74">
        <f t="shared" si="93"/>
        <v>1.1465620033411528</v>
      </c>
      <c r="G41" s="81">
        <f t="shared" si="93"/>
        <v>0.99714182864341494</v>
      </c>
      <c r="H41" s="82">
        <f t="shared" si="93"/>
        <v>1.2150629009051972</v>
      </c>
      <c r="I41" s="89">
        <f t="shared" si="93"/>
        <v>0.86927336548924172</v>
      </c>
      <c r="J41" s="90">
        <f t="shared" si="93"/>
        <v>0.88677455951091821</v>
      </c>
      <c r="K41" s="95">
        <f t="shared" si="93"/>
        <v>1.7417789088131372</v>
      </c>
      <c r="L41" s="10">
        <f t="shared" si="93"/>
        <v>2.476820817672523</v>
      </c>
      <c r="M41" s="654"/>
      <c r="N41" s="65">
        <f t="shared" ref="N41:W41" si="94">N21/N81</f>
        <v>0.7621161081621719</v>
      </c>
      <c r="O41" s="66">
        <f t="shared" si="94"/>
        <v>1.1773366983942706</v>
      </c>
      <c r="P41" s="73">
        <f t="shared" si="94"/>
        <v>0.73928491294081533</v>
      </c>
      <c r="Q41" s="74">
        <f t="shared" si="94"/>
        <v>1.3977718989276455</v>
      </c>
      <c r="R41" s="81">
        <f t="shared" si="94"/>
        <v>0.82009248222186393</v>
      </c>
      <c r="S41" s="82">
        <f t="shared" si="94"/>
        <v>0.90354205520929032</v>
      </c>
      <c r="T41" s="89">
        <f t="shared" si="94"/>
        <v>0.7233598455154413</v>
      </c>
      <c r="U41" s="90">
        <f t="shared" si="94"/>
        <v>1.1991533771338281</v>
      </c>
      <c r="V41" s="95">
        <f t="shared" si="94"/>
        <v>1.2953817314578564</v>
      </c>
      <c r="W41" s="10">
        <f t="shared" si="94"/>
        <v>1.5553866055665373</v>
      </c>
      <c r="X41" s="654"/>
      <c r="Y41" s="65">
        <f t="shared" ref="Y41:AH41" si="95">Y21/Y81</f>
        <v>2.1067851060284233</v>
      </c>
      <c r="Z41" s="66">
        <f t="shared" si="95"/>
        <v>0.92625408437653955</v>
      </c>
      <c r="AA41" s="73">
        <f t="shared" si="95"/>
        <v>0.8142181865274204</v>
      </c>
      <c r="AB41" s="74">
        <f t="shared" si="95"/>
        <v>0.89872670252339015</v>
      </c>
      <c r="AC41" s="81">
        <f t="shared" si="95"/>
        <v>3.9262213668104713</v>
      </c>
      <c r="AD41" s="82">
        <f t="shared" si="95"/>
        <v>3.1791011246103569</v>
      </c>
      <c r="AE41" s="89">
        <f t="shared" si="95"/>
        <v>2.4399894922660352</v>
      </c>
      <c r="AF41" s="90">
        <f t="shared" si="95"/>
        <v>0.68286476406047891</v>
      </c>
      <c r="AG41" s="95">
        <f t="shared" si="95"/>
        <v>5.1770963171559536</v>
      </c>
      <c r="AH41" s="10">
        <f t="shared" si="95"/>
        <v>3.1372464883478144</v>
      </c>
      <c r="AI41" s="101"/>
    </row>
    <row r="42" spans="1:35" ht="15.75" thickBot="1">
      <c r="A42" s="557"/>
      <c r="B42" s="655" t="s">
        <v>217</v>
      </c>
      <c r="C42" s="67">
        <f t="shared" ref="C42:L42" si="96">C22/C82</f>
        <v>0</v>
      </c>
      <c r="D42" s="68">
        <f t="shared" si="96"/>
        <v>0</v>
      </c>
      <c r="E42" s="75">
        <f t="shared" si="96"/>
        <v>0</v>
      </c>
      <c r="F42" s="76">
        <f t="shared" si="96"/>
        <v>0</v>
      </c>
      <c r="G42" s="83">
        <f t="shared" si="96"/>
        <v>0</v>
      </c>
      <c r="H42" s="84">
        <f t="shared" si="96"/>
        <v>0</v>
      </c>
      <c r="I42" s="91">
        <f t="shared" si="96"/>
        <v>0</v>
      </c>
      <c r="J42" s="92">
        <f t="shared" si="96"/>
        <v>0</v>
      </c>
      <c r="K42" s="96">
        <f t="shared" si="96"/>
        <v>0</v>
      </c>
      <c r="L42" s="11">
        <f t="shared" si="96"/>
        <v>0</v>
      </c>
      <c r="M42" s="656"/>
      <c r="N42" s="67">
        <f t="shared" ref="N42:W42" si="97">N22/N82</f>
        <v>0</v>
      </c>
      <c r="O42" s="68">
        <f t="shared" si="97"/>
        <v>0</v>
      </c>
      <c r="P42" s="75">
        <f t="shared" si="97"/>
        <v>0</v>
      </c>
      <c r="Q42" s="76">
        <f t="shared" si="97"/>
        <v>0</v>
      </c>
      <c r="R42" s="83">
        <f t="shared" si="97"/>
        <v>0</v>
      </c>
      <c r="S42" s="84">
        <f t="shared" si="97"/>
        <v>0</v>
      </c>
      <c r="T42" s="91">
        <f t="shared" si="97"/>
        <v>0</v>
      </c>
      <c r="U42" s="92">
        <f t="shared" si="97"/>
        <v>0</v>
      </c>
      <c r="V42" s="96">
        <f t="shared" si="97"/>
        <v>0</v>
      </c>
      <c r="W42" s="11">
        <f t="shared" si="97"/>
        <v>0</v>
      </c>
      <c r="X42" s="656"/>
      <c r="Y42" s="67">
        <f t="shared" ref="Y42:AH42" si="98">Y22/Y82</f>
        <v>0</v>
      </c>
      <c r="Z42" s="68">
        <f t="shared" si="98"/>
        <v>0</v>
      </c>
      <c r="AA42" s="75">
        <f t="shared" si="98"/>
        <v>0</v>
      </c>
      <c r="AB42" s="76">
        <f t="shared" si="98"/>
        <v>0</v>
      </c>
      <c r="AC42" s="83">
        <f t="shared" si="98"/>
        <v>0</v>
      </c>
      <c r="AD42" s="84">
        <f t="shared" si="98"/>
        <v>0</v>
      </c>
      <c r="AE42" s="91">
        <f t="shared" si="98"/>
        <v>0</v>
      </c>
      <c r="AF42" s="92">
        <f t="shared" si="98"/>
        <v>0</v>
      </c>
      <c r="AG42" s="96">
        <f t="shared" si="98"/>
        <v>0</v>
      </c>
      <c r="AH42" s="11">
        <f t="shared" si="98"/>
        <v>0</v>
      </c>
      <c r="AI42" s="101"/>
    </row>
    <row r="43" spans="1:35" ht="15.75" thickBot="1">
      <c r="M43" s="101"/>
      <c r="X43" s="101"/>
      <c r="AI43" s="101"/>
    </row>
    <row r="44" spans="1:35" ht="15.75" thickBot="1">
      <c r="B44" s="20" t="s">
        <v>109</v>
      </c>
      <c r="M44" s="101"/>
      <c r="R44">
        <f>R47/2</f>
        <v>40188247.202679217</v>
      </c>
      <c r="X44" s="101"/>
      <c r="AI44" s="101"/>
    </row>
    <row r="45" spans="1:35" ht="15.75" thickBot="1">
      <c r="B45" s="21" t="s">
        <v>7</v>
      </c>
      <c r="C45" s="25">
        <f t="shared" ref="C45:D45" si="99">SUM(C46:C57)</f>
        <v>-15672433364.999996</v>
      </c>
      <c r="D45" s="26">
        <f t="shared" si="99"/>
        <v>-2461191.585023059</v>
      </c>
      <c r="E45" s="33">
        <f>SUM(E46:E57)</f>
        <v>-7940669264</v>
      </c>
      <c r="F45" s="34">
        <f t="shared" ref="F45:L45" si="100">SUM(F46:F57)</f>
        <v>-1000160.0969894782</v>
      </c>
      <c r="G45" s="41">
        <f t="shared" si="100"/>
        <v>-2041100731.999999</v>
      </c>
      <c r="H45" s="42">
        <f t="shared" si="100"/>
        <v>-195466.30033149594</v>
      </c>
      <c r="I45" s="49">
        <f t="shared" si="100"/>
        <v>-6332949628</v>
      </c>
      <c r="J45" s="50">
        <f t="shared" si="100"/>
        <v>-1613326.3616400626</v>
      </c>
      <c r="K45" s="57">
        <f t="shared" si="100"/>
        <v>642286258.99999976</v>
      </c>
      <c r="L45" s="18">
        <f t="shared" si="100"/>
        <v>347761.17393797776</v>
      </c>
      <c r="M45" s="101"/>
      <c r="N45" s="25">
        <f t="shared" ref="N45:O45" si="101">SUM(N46:N57)</f>
        <v>-18869926185.195</v>
      </c>
      <c r="O45" s="26">
        <f t="shared" si="101"/>
        <v>-1313741.7152607227</v>
      </c>
      <c r="P45" s="33">
        <f>SUM(P46:P57)</f>
        <v>-7288549145.1949997</v>
      </c>
      <c r="Q45" s="34">
        <f t="shared" ref="Q45:W45" si="102">SUM(Q46:Q57)</f>
        <v>-377574.46341925545</v>
      </c>
      <c r="R45" s="41">
        <f t="shared" si="102"/>
        <v>-2951291549.999999</v>
      </c>
      <c r="S45" s="42">
        <f t="shared" si="102"/>
        <v>-500264.78102373541</v>
      </c>
      <c r="T45" s="49">
        <f t="shared" si="102"/>
        <v>-8706376308</v>
      </c>
      <c r="U45" s="50">
        <f t="shared" si="102"/>
        <v>-480757.87329185451</v>
      </c>
      <c r="V45" s="57">
        <f t="shared" si="102"/>
        <v>76290817.999999985</v>
      </c>
      <c r="W45" s="18">
        <f t="shared" si="102"/>
        <v>44855.40247412298</v>
      </c>
      <c r="X45" s="101"/>
      <c r="Y45" s="25">
        <f t="shared" ref="Y45:Z45" si="103">SUM(Y46:Y57)</f>
        <v>3197492820.1950002</v>
      </c>
      <c r="Z45" s="26">
        <f t="shared" si="103"/>
        <v>-1147449.8697623366</v>
      </c>
      <c r="AA45" s="33">
        <f>SUM(AA46:AA57)</f>
        <v>-652120118.80500054</v>
      </c>
      <c r="AB45" s="34">
        <f t="shared" ref="AB45:AH45" si="104">SUM(AB46:AB57)</f>
        <v>-622585.63357022265</v>
      </c>
      <c r="AC45" s="41">
        <f t="shared" si="104"/>
        <v>910190817.99999976</v>
      </c>
      <c r="AD45" s="42">
        <f t="shared" si="104"/>
        <v>304798.48069223959</v>
      </c>
      <c r="AE45" s="49">
        <f t="shared" si="104"/>
        <v>2373426680.000001</v>
      </c>
      <c r="AF45" s="50">
        <f t="shared" si="104"/>
        <v>-1132568.4883482079</v>
      </c>
      <c r="AG45" s="57">
        <f t="shared" si="104"/>
        <v>565995441</v>
      </c>
      <c r="AH45" s="18">
        <f t="shared" si="104"/>
        <v>302905.7714638547</v>
      </c>
      <c r="AI45" s="101"/>
    </row>
    <row r="46" spans="1:35">
      <c r="A46" s="557">
        <v>1</v>
      </c>
      <c r="B46" s="22">
        <v>43101</v>
      </c>
      <c r="C46" s="27">
        <f t="shared" ref="C46:C57" si="105">SUM(E46,G46,I46,K46)</f>
        <v>40471619.238099128</v>
      </c>
      <c r="D46" s="28">
        <f t="shared" ref="D46:D57" si="106">SUM(F46,H46,J46,L46)</f>
        <v>-39193.711618382789</v>
      </c>
      <c r="E46" s="35">
        <f t="shared" ref="E46:L57" si="107">E6-E66</f>
        <v>0</v>
      </c>
      <c r="F46" s="36">
        <f t="shared" si="107"/>
        <v>0</v>
      </c>
      <c r="G46" s="43">
        <f t="shared" si="107"/>
        <v>142568759.16597044</v>
      </c>
      <c r="H46" s="44">
        <f t="shared" si="107"/>
        <v>29904.861305609404</v>
      </c>
      <c r="I46" s="51">
        <f t="shared" si="107"/>
        <v>-146704133.66586709</v>
      </c>
      <c r="J46" s="52">
        <f t="shared" si="107"/>
        <v>-72714.922439657734</v>
      </c>
      <c r="K46" s="58">
        <f t="shared" si="107"/>
        <v>44606993.737995774</v>
      </c>
      <c r="L46" s="17">
        <f t="shared" si="107"/>
        <v>3616.3495156655372</v>
      </c>
      <c r="M46" s="101"/>
      <c r="N46" s="27">
        <f t="shared" ref="N46:N57" si="108">SUM(P46,R46,T46,V46)</f>
        <v>-223925445.39563209</v>
      </c>
      <c r="O46" s="28">
        <f t="shared" ref="O46:O57" si="109">SUM(Q46,S46,U46,W46)</f>
        <v>13765.077482189534</v>
      </c>
      <c r="P46" s="35">
        <f t="shared" ref="P46:W57" si="110">P6-P66</f>
        <v>0</v>
      </c>
      <c r="Q46" s="36">
        <f t="shared" si="110"/>
        <v>0</v>
      </c>
      <c r="R46" s="43">
        <f t="shared" si="110"/>
        <v>62927976.165510178</v>
      </c>
      <c r="S46" s="44">
        <f t="shared" si="110"/>
        <v>13409.99573902975</v>
      </c>
      <c r="T46" s="51">
        <f t="shared" si="110"/>
        <v>-315521524.4042685</v>
      </c>
      <c r="U46" s="52">
        <f t="shared" si="110"/>
        <v>-2808.2633261654119</v>
      </c>
      <c r="V46" s="58">
        <f t="shared" si="110"/>
        <v>28668102.843126252</v>
      </c>
      <c r="W46" s="17">
        <f t="shared" si="110"/>
        <v>3163.3450693251962</v>
      </c>
      <c r="X46" s="101"/>
      <c r="Y46" s="27">
        <f t="shared" ref="Y46:Y57" si="111">SUM(AA46,AC46,AE46,AG46)</f>
        <v>264397064.63373119</v>
      </c>
      <c r="Z46" s="28">
        <f t="shared" ref="Z46:Z57" si="112">SUM(AB46,AD46,AF46,AH46)</f>
        <v>-52958.7891005723</v>
      </c>
      <c r="AA46" s="35">
        <f t="shared" ref="AA46:AH57" si="113">AA6-AA66</f>
        <v>0</v>
      </c>
      <c r="AB46" s="36">
        <f t="shared" si="113"/>
        <v>0</v>
      </c>
      <c r="AC46" s="43">
        <f t="shared" si="113"/>
        <v>79640783.000460267</v>
      </c>
      <c r="AD46" s="44">
        <f t="shared" si="113"/>
        <v>16494.865566579658</v>
      </c>
      <c r="AE46" s="51">
        <f t="shared" si="113"/>
        <v>168817390.73840141</v>
      </c>
      <c r="AF46" s="52">
        <f t="shared" si="113"/>
        <v>-69906.659113492293</v>
      </c>
      <c r="AG46" s="58">
        <f t="shared" si="113"/>
        <v>15938890.894869521</v>
      </c>
      <c r="AH46" s="17">
        <f t="shared" si="113"/>
        <v>453.0044463403392</v>
      </c>
      <c r="AI46" s="101"/>
    </row>
    <row r="47" spans="1:35">
      <c r="A47" s="557">
        <v>2</v>
      </c>
      <c r="B47" s="23">
        <v>43132</v>
      </c>
      <c r="C47" s="29">
        <f t="shared" si="105"/>
        <v>272018569.09302604</v>
      </c>
      <c r="D47" s="30">
        <f t="shared" si="106"/>
        <v>-25953.813487635089</v>
      </c>
      <c r="E47" s="35">
        <f t="shared" si="107"/>
        <v>0</v>
      </c>
      <c r="F47" s="38">
        <f t="shared" si="107"/>
        <v>0</v>
      </c>
      <c r="G47" s="45">
        <f t="shared" si="107"/>
        <v>131914329.82222527</v>
      </c>
      <c r="H47" s="46">
        <f t="shared" si="107"/>
        <v>12483.159076782686</v>
      </c>
      <c r="I47" s="53">
        <f t="shared" si="107"/>
        <v>112035084.29619718</v>
      </c>
      <c r="J47" s="54">
        <f t="shared" si="107"/>
        <v>-42501.570792925311</v>
      </c>
      <c r="K47" s="59">
        <f t="shared" si="107"/>
        <v>28069154.974603608</v>
      </c>
      <c r="L47" s="15">
        <f t="shared" si="107"/>
        <v>4064.5982285075388</v>
      </c>
      <c r="M47" s="103"/>
      <c r="N47" s="29">
        <f t="shared" si="108"/>
        <v>-98468095.391097054</v>
      </c>
      <c r="O47" s="30">
        <f t="shared" si="109"/>
        <v>-2086.2678258266615</v>
      </c>
      <c r="P47" s="35">
        <f t="shared" si="110"/>
        <v>0</v>
      </c>
      <c r="Q47" s="38">
        <f t="shared" si="110"/>
        <v>0</v>
      </c>
      <c r="R47" s="45">
        <f t="shared" si="110"/>
        <v>80376494.405358434</v>
      </c>
      <c r="S47" s="46">
        <f t="shared" si="110"/>
        <v>3194.5563924649468</v>
      </c>
      <c r="T47" s="53">
        <f t="shared" si="110"/>
        <v>-202288408.87897968</v>
      </c>
      <c r="U47" s="54">
        <f t="shared" si="110"/>
        <v>-8089.8464864996931</v>
      </c>
      <c r="V47" s="59">
        <f t="shared" si="110"/>
        <v>23443819.082524195</v>
      </c>
      <c r="W47" s="15">
        <f t="shared" si="110"/>
        <v>2809.0222682080848</v>
      </c>
      <c r="X47" s="103"/>
      <c r="Y47" s="29">
        <f t="shared" si="111"/>
        <v>370486664.48412311</v>
      </c>
      <c r="Z47" s="30">
        <f t="shared" si="112"/>
        <v>-23867.54566180841</v>
      </c>
      <c r="AA47" s="35">
        <f t="shared" si="113"/>
        <v>0</v>
      </c>
      <c r="AB47" s="38">
        <f t="shared" si="113"/>
        <v>0</v>
      </c>
      <c r="AC47" s="45">
        <f t="shared" si="113"/>
        <v>51537835.416866839</v>
      </c>
      <c r="AD47" s="46">
        <f t="shared" si="113"/>
        <v>9288.6026843177351</v>
      </c>
      <c r="AE47" s="53">
        <f t="shared" si="113"/>
        <v>314323493.17517686</v>
      </c>
      <c r="AF47" s="54">
        <f t="shared" si="113"/>
        <v>-34411.724306425604</v>
      </c>
      <c r="AG47" s="59">
        <f t="shared" si="113"/>
        <v>4625335.8920794129</v>
      </c>
      <c r="AH47" s="15">
        <f t="shared" si="113"/>
        <v>1255.5759602994594</v>
      </c>
      <c r="AI47" s="103"/>
    </row>
    <row r="48" spans="1:35">
      <c r="A48" s="557">
        <v>3</v>
      </c>
      <c r="B48" s="23">
        <v>43160</v>
      </c>
      <c r="C48" s="29">
        <f t="shared" si="105"/>
        <v>393064348.53181481</v>
      </c>
      <c r="D48" s="30">
        <f t="shared" si="106"/>
        <v>194077.2951375698</v>
      </c>
      <c r="E48" s="35">
        <f t="shared" si="107"/>
        <v>0</v>
      </c>
      <c r="F48" s="38">
        <f t="shared" si="107"/>
        <v>0</v>
      </c>
      <c r="G48" s="45">
        <f t="shared" si="107"/>
        <v>35873282.122288942</v>
      </c>
      <c r="H48" s="46">
        <f t="shared" si="107"/>
        <v>37653.614231277636</v>
      </c>
      <c r="I48" s="53">
        <f t="shared" si="107"/>
        <v>277020228.24919891</v>
      </c>
      <c r="J48" s="54">
        <f t="shared" si="107"/>
        <v>133230.72522880003</v>
      </c>
      <c r="K48" s="59">
        <f t="shared" si="107"/>
        <v>80170838.160326973</v>
      </c>
      <c r="L48" s="15">
        <f t="shared" si="107"/>
        <v>23192.955677492148</v>
      </c>
      <c r="M48" s="101"/>
      <c r="N48" s="29">
        <f t="shared" si="108"/>
        <v>-265446612.56377524</v>
      </c>
      <c r="O48" s="30">
        <f t="shared" si="109"/>
        <v>27322.519842237063</v>
      </c>
      <c r="P48" s="35">
        <f t="shared" si="110"/>
        <v>0</v>
      </c>
      <c r="Q48" s="38">
        <f t="shared" si="110"/>
        <v>0</v>
      </c>
      <c r="R48" s="45">
        <f t="shared" si="110"/>
        <v>-39887693.738681555</v>
      </c>
      <c r="S48" s="46">
        <f t="shared" si="110"/>
        <v>12826.872485766595</v>
      </c>
      <c r="T48" s="53">
        <f t="shared" si="110"/>
        <v>-299849225.62198305</v>
      </c>
      <c r="U48" s="54">
        <f t="shared" si="110"/>
        <v>2743.6277584199852</v>
      </c>
      <c r="V48" s="59">
        <f t="shared" si="110"/>
        <v>74290306.796889365</v>
      </c>
      <c r="W48" s="15">
        <f t="shared" si="110"/>
        <v>11752.019598050483</v>
      </c>
      <c r="X48" s="101"/>
      <c r="Y48" s="29">
        <f t="shared" si="111"/>
        <v>658510961.09559011</v>
      </c>
      <c r="Z48" s="30">
        <f t="shared" si="112"/>
        <v>166754.77529533274</v>
      </c>
      <c r="AA48" s="35">
        <f t="shared" si="113"/>
        <v>0</v>
      </c>
      <c r="AB48" s="38">
        <f t="shared" si="113"/>
        <v>0</v>
      </c>
      <c r="AC48" s="45">
        <f t="shared" si="113"/>
        <v>75760975.860970497</v>
      </c>
      <c r="AD48" s="46">
        <f t="shared" si="113"/>
        <v>24826.741745511048</v>
      </c>
      <c r="AE48" s="53">
        <f t="shared" si="113"/>
        <v>576869453.87118196</v>
      </c>
      <c r="AF48" s="54">
        <f t="shared" si="113"/>
        <v>130487.09747038005</v>
      </c>
      <c r="AG48" s="59">
        <f t="shared" si="113"/>
        <v>5880531.3634376079</v>
      </c>
      <c r="AH48" s="15">
        <f t="shared" si="113"/>
        <v>11440.936079441661</v>
      </c>
      <c r="AI48" s="101"/>
    </row>
    <row r="49" spans="1:35">
      <c r="A49" s="557">
        <v>4</v>
      </c>
      <c r="B49" s="23">
        <v>43191</v>
      </c>
      <c r="C49" s="29">
        <f t="shared" si="105"/>
        <v>494756917.04696769</v>
      </c>
      <c r="D49" s="30">
        <f t="shared" si="106"/>
        <v>202916.0778227073</v>
      </c>
      <c r="E49" s="35">
        <f t="shared" si="107"/>
        <v>0</v>
      </c>
      <c r="F49" s="38">
        <f t="shared" si="107"/>
        <v>0</v>
      </c>
      <c r="G49" s="45">
        <f t="shared" si="107"/>
        <v>34935582.281538725</v>
      </c>
      <c r="H49" s="46">
        <f t="shared" si="107"/>
        <v>33272.515619112033</v>
      </c>
      <c r="I49" s="53">
        <f t="shared" si="107"/>
        <v>195245742.86806631</v>
      </c>
      <c r="J49" s="54">
        <f t="shared" si="107"/>
        <v>63784.923392023309</v>
      </c>
      <c r="K49" s="59">
        <f t="shared" si="107"/>
        <v>264575591.89736265</v>
      </c>
      <c r="L49" s="15">
        <f t="shared" si="107"/>
        <v>105858.63881157195</v>
      </c>
      <c r="M49" s="101"/>
      <c r="N49" s="29">
        <f t="shared" si="108"/>
        <v>-359491457.74406242</v>
      </c>
      <c r="O49" s="30">
        <f t="shared" si="109"/>
        <v>21035.217136854164</v>
      </c>
      <c r="P49" s="35">
        <f t="shared" si="110"/>
        <v>0</v>
      </c>
      <c r="Q49" s="38">
        <f t="shared" si="110"/>
        <v>0</v>
      </c>
      <c r="R49" s="45">
        <f t="shared" si="110"/>
        <v>-73375962.662508965</v>
      </c>
      <c r="S49" s="46">
        <f t="shared" si="110"/>
        <v>-1647.0376078272529</v>
      </c>
      <c r="T49" s="53">
        <f t="shared" si="110"/>
        <v>-387526782.26571941</v>
      </c>
      <c r="U49" s="54">
        <f t="shared" si="110"/>
        <v>5460.1387442582054</v>
      </c>
      <c r="V49" s="59">
        <f t="shared" si="110"/>
        <v>101411287.18416595</v>
      </c>
      <c r="W49" s="15">
        <f t="shared" si="110"/>
        <v>17222.116000423212</v>
      </c>
      <c r="X49" s="101"/>
      <c r="Y49" s="29">
        <f t="shared" si="111"/>
        <v>854248374.79103017</v>
      </c>
      <c r="Z49" s="30">
        <f t="shared" si="112"/>
        <v>181880.86068585326</v>
      </c>
      <c r="AA49" s="35">
        <f t="shared" si="113"/>
        <v>0</v>
      </c>
      <c r="AB49" s="38">
        <f t="shared" si="113"/>
        <v>0</v>
      </c>
      <c r="AC49" s="45">
        <f t="shared" si="113"/>
        <v>108311544.94404769</v>
      </c>
      <c r="AD49" s="46">
        <f t="shared" si="113"/>
        <v>34919.553226939315</v>
      </c>
      <c r="AE49" s="53">
        <f t="shared" si="113"/>
        <v>582772525.13378572</v>
      </c>
      <c r="AF49" s="54">
        <f t="shared" si="113"/>
        <v>58324.78464776522</v>
      </c>
      <c r="AG49" s="59">
        <f t="shared" si="113"/>
        <v>163164304.71319669</v>
      </c>
      <c r="AH49" s="15">
        <f t="shared" si="113"/>
        <v>88636.522811148723</v>
      </c>
      <c r="AI49" s="101"/>
    </row>
    <row r="50" spans="1:35">
      <c r="A50" s="557">
        <v>5</v>
      </c>
      <c r="B50" s="23">
        <v>43221</v>
      </c>
      <c r="C50" s="29">
        <f t="shared" si="105"/>
        <v>326925420.20503563</v>
      </c>
      <c r="D50" s="30">
        <f t="shared" si="106"/>
        <v>265952.16963421239</v>
      </c>
      <c r="E50" s="35">
        <f t="shared" si="107"/>
        <v>0</v>
      </c>
      <c r="F50" s="38">
        <f t="shared" si="107"/>
        <v>0</v>
      </c>
      <c r="G50" s="45">
        <f t="shared" si="107"/>
        <v>82566464.235784531</v>
      </c>
      <c r="H50" s="46">
        <f t="shared" si="107"/>
        <v>58344.891778198216</v>
      </c>
      <c r="I50" s="53">
        <f t="shared" si="107"/>
        <v>-54864179.064432383</v>
      </c>
      <c r="J50" s="54">
        <f t="shared" si="107"/>
        <v>48650.16940797359</v>
      </c>
      <c r="K50" s="59">
        <f t="shared" si="107"/>
        <v>299223135.03368348</v>
      </c>
      <c r="L50" s="15">
        <f t="shared" si="107"/>
        <v>158957.10844804056</v>
      </c>
      <c r="M50" s="101"/>
      <c r="N50" s="29">
        <f t="shared" si="108"/>
        <v>-385135672.73580104</v>
      </c>
      <c r="O50" s="30">
        <f t="shared" si="109"/>
        <v>45000.884596350195</v>
      </c>
      <c r="P50" s="35">
        <f t="shared" si="110"/>
        <v>0</v>
      </c>
      <c r="Q50" s="38">
        <f t="shared" si="110"/>
        <v>0</v>
      </c>
      <c r="R50" s="45">
        <f t="shared" si="110"/>
        <v>-93224437.901655197</v>
      </c>
      <c r="S50" s="46">
        <f t="shared" si="110"/>
        <v>-5641.6547326945583</v>
      </c>
      <c r="T50" s="53">
        <f t="shared" si="110"/>
        <v>-358422283.12395573</v>
      </c>
      <c r="U50" s="54">
        <f t="shared" si="110"/>
        <v>35204.560890767927</v>
      </c>
      <c r="V50" s="59">
        <f t="shared" si="110"/>
        <v>66511048.289809898</v>
      </c>
      <c r="W50" s="15">
        <f t="shared" si="110"/>
        <v>15437.978438276823</v>
      </c>
      <c r="X50" s="101"/>
      <c r="Y50" s="29">
        <f t="shared" si="111"/>
        <v>712061092.94083667</v>
      </c>
      <c r="Z50" s="30">
        <f t="shared" si="112"/>
        <v>220951.28503786208</v>
      </c>
      <c r="AA50" s="35">
        <f t="shared" si="113"/>
        <v>0</v>
      </c>
      <c r="AB50" s="38">
        <f t="shared" si="113"/>
        <v>0</v>
      </c>
      <c r="AC50" s="45">
        <f t="shared" si="113"/>
        <v>175790902.13743973</v>
      </c>
      <c r="AD50" s="46">
        <f t="shared" si="113"/>
        <v>63986.54651089276</v>
      </c>
      <c r="AE50" s="53">
        <f t="shared" si="113"/>
        <v>303558104.05952334</v>
      </c>
      <c r="AF50" s="54">
        <f t="shared" si="113"/>
        <v>13445.608517205634</v>
      </c>
      <c r="AG50" s="59">
        <f t="shared" si="113"/>
        <v>232712086.7438736</v>
      </c>
      <c r="AH50" s="15">
        <f t="shared" si="113"/>
        <v>143519.1300097637</v>
      </c>
      <c r="AI50" s="101"/>
    </row>
    <row r="51" spans="1:35">
      <c r="A51" s="557">
        <v>6</v>
      </c>
      <c r="B51" s="23">
        <v>43252</v>
      </c>
      <c r="C51" s="29">
        <f t="shared" si="105"/>
        <v>37628494.908766985</v>
      </c>
      <c r="D51" s="30">
        <f t="shared" si="106"/>
        <v>242178.06159286824</v>
      </c>
      <c r="E51" s="35">
        <f t="shared" si="107"/>
        <v>-281207952.29999995</v>
      </c>
      <c r="F51" s="38">
        <f t="shared" si="107"/>
        <v>73778.419801004842</v>
      </c>
      <c r="G51" s="45">
        <f t="shared" si="107"/>
        <v>212473641.25779784</v>
      </c>
      <c r="H51" s="46">
        <f t="shared" si="107"/>
        <v>86423.468488930783</v>
      </c>
      <c r="I51" s="53">
        <f t="shared" si="107"/>
        <v>41925150.628426552</v>
      </c>
      <c r="J51" s="54">
        <f t="shared" si="107"/>
        <v>47033.147979369154</v>
      </c>
      <c r="K51" s="59">
        <f t="shared" si="107"/>
        <v>64437655.322542548</v>
      </c>
      <c r="L51" s="15">
        <f t="shared" si="107"/>
        <v>34943.025323563466</v>
      </c>
      <c r="M51" s="101"/>
      <c r="N51" s="29">
        <f t="shared" si="108"/>
        <v>-458484618.38493609</v>
      </c>
      <c r="O51" s="30">
        <f t="shared" si="109"/>
        <v>77843.954807172209</v>
      </c>
      <c r="P51" s="35">
        <f t="shared" si="110"/>
        <v>-253530478.41949987</v>
      </c>
      <c r="Q51" s="38">
        <f t="shared" si="110"/>
        <v>50806.235658049991</v>
      </c>
      <c r="R51" s="45">
        <f t="shared" si="110"/>
        <v>23854975.924103379</v>
      </c>
      <c r="S51" s="46">
        <f t="shared" si="110"/>
        <v>-2561.0306644521042</v>
      </c>
      <c r="T51" s="53">
        <f t="shared" si="110"/>
        <v>-263203587.74998975</v>
      </c>
      <c r="U51" s="54">
        <f t="shared" si="110"/>
        <v>21154.063971513096</v>
      </c>
      <c r="V51" s="59">
        <f t="shared" si="110"/>
        <v>34394471.860450149</v>
      </c>
      <c r="W51" s="15">
        <f t="shared" si="110"/>
        <v>8444.6858420612334</v>
      </c>
      <c r="X51" s="101"/>
      <c r="Y51" s="29">
        <f t="shared" si="111"/>
        <v>496113113.29370308</v>
      </c>
      <c r="Z51" s="30">
        <f t="shared" si="112"/>
        <v>164334.10678569606</v>
      </c>
      <c r="AA51" s="35">
        <f t="shared" si="113"/>
        <v>-27677473.880500078</v>
      </c>
      <c r="AB51" s="38">
        <f t="shared" si="113"/>
        <v>22972.184142954939</v>
      </c>
      <c r="AC51" s="45">
        <f t="shared" si="113"/>
        <v>188618665.33369446</v>
      </c>
      <c r="AD51" s="46">
        <f t="shared" si="113"/>
        <v>88984.499153382945</v>
      </c>
      <c r="AE51" s="53">
        <f t="shared" si="113"/>
        <v>305128738.3784163</v>
      </c>
      <c r="AF51" s="54">
        <f t="shared" si="113"/>
        <v>25879.084007855941</v>
      </c>
      <c r="AG51" s="59">
        <f t="shared" si="113"/>
        <v>30043183.4620924</v>
      </c>
      <c r="AH51" s="15">
        <f t="shared" si="113"/>
        <v>26498.339481502233</v>
      </c>
      <c r="AI51" s="101"/>
    </row>
    <row r="52" spans="1:35">
      <c r="A52" s="557">
        <v>7</v>
      </c>
      <c r="B52" s="23">
        <v>43282</v>
      </c>
      <c r="C52" s="29">
        <f t="shared" si="105"/>
        <v>-166412426.74786764</v>
      </c>
      <c r="D52" s="30">
        <f t="shared" si="106"/>
        <v>20830.821086225205</v>
      </c>
      <c r="E52" s="35">
        <f t="shared" si="107"/>
        <v>-285551628.05714297</v>
      </c>
      <c r="F52" s="38">
        <f t="shared" si="107"/>
        <v>42047.021201148367</v>
      </c>
      <c r="G52" s="45">
        <f t="shared" si="107"/>
        <v>151238732.41275847</v>
      </c>
      <c r="H52" s="46">
        <f t="shared" si="107"/>
        <v>47601.337710164342</v>
      </c>
      <c r="I52" s="53">
        <f t="shared" si="107"/>
        <v>-138786367.16244864</v>
      </c>
      <c r="J52" s="54">
        <f t="shared" si="107"/>
        <v>-90933.364360667008</v>
      </c>
      <c r="K52" s="59">
        <f t="shared" si="107"/>
        <v>106686836.05896549</v>
      </c>
      <c r="L52" s="15">
        <f t="shared" si="107"/>
        <v>22115.826535579505</v>
      </c>
      <c r="M52" s="101"/>
      <c r="N52" s="29">
        <f t="shared" si="108"/>
        <v>-585057224.52851081</v>
      </c>
      <c r="O52" s="30">
        <f t="shared" si="109"/>
        <v>66276.278625782914</v>
      </c>
      <c r="P52" s="35">
        <f t="shared" si="110"/>
        <v>-264605869.62228584</v>
      </c>
      <c r="Q52" s="38">
        <f t="shared" si="110"/>
        <v>54267.825037771399</v>
      </c>
      <c r="R52" s="45">
        <f t="shared" si="110"/>
        <v>-32842587.929768682</v>
      </c>
      <c r="S52" s="46">
        <f t="shared" si="110"/>
        <v>-14204.360681520484</v>
      </c>
      <c r="T52" s="53">
        <f t="shared" si="110"/>
        <v>-345424775.71364069</v>
      </c>
      <c r="U52" s="54">
        <f t="shared" si="110"/>
        <v>19315.680395755859</v>
      </c>
      <c r="V52" s="59">
        <f t="shared" si="110"/>
        <v>57816008.73718445</v>
      </c>
      <c r="W52" s="15">
        <f t="shared" si="110"/>
        <v>6897.1338737761371</v>
      </c>
      <c r="X52" s="101"/>
      <c r="Y52" s="29">
        <f t="shared" si="111"/>
        <v>418644797.78064311</v>
      </c>
      <c r="Z52" s="30">
        <f t="shared" si="112"/>
        <v>-45445.457539557654</v>
      </c>
      <c r="AA52" s="35">
        <f t="shared" si="113"/>
        <v>-20945758.43485713</v>
      </c>
      <c r="AB52" s="38">
        <f t="shared" si="113"/>
        <v>-12220.803836622945</v>
      </c>
      <c r="AC52" s="45">
        <f t="shared" si="113"/>
        <v>184081320.34252715</v>
      </c>
      <c r="AD52" s="46">
        <f t="shared" si="113"/>
        <v>61805.698391684797</v>
      </c>
      <c r="AE52" s="53">
        <f t="shared" si="113"/>
        <v>206638408.55119205</v>
      </c>
      <c r="AF52" s="54">
        <f t="shared" si="113"/>
        <v>-110249.04475642287</v>
      </c>
      <c r="AG52" s="59">
        <f t="shared" si="113"/>
        <v>48870827.321781039</v>
      </c>
      <c r="AH52" s="15">
        <f t="shared" si="113"/>
        <v>15218.692661803365</v>
      </c>
      <c r="AI52" s="101"/>
    </row>
    <row r="53" spans="1:35">
      <c r="A53" s="557">
        <v>8</v>
      </c>
      <c r="B53" s="23">
        <v>43313</v>
      </c>
      <c r="C53" s="29">
        <f t="shared" si="105"/>
        <v>-335764347.71219236</v>
      </c>
      <c r="D53" s="30">
        <f t="shared" si="106"/>
        <v>133418.42689098979</v>
      </c>
      <c r="E53" s="35">
        <f t="shared" si="107"/>
        <v>-411321061.81428576</v>
      </c>
      <c r="F53" s="38">
        <f t="shared" si="107"/>
        <v>47720.66560146882</v>
      </c>
      <c r="G53" s="45">
        <f t="shared" si="107"/>
        <v>61530005.720278502</v>
      </c>
      <c r="H53" s="46">
        <f t="shared" si="107"/>
        <v>77488.380273823685</v>
      </c>
      <c r="I53" s="53">
        <f t="shared" si="107"/>
        <v>-70938914.149653435</v>
      </c>
      <c r="J53" s="54">
        <f t="shared" si="107"/>
        <v>-16149.674913006194</v>
      </c>
      <c r="K53" s="59">
        <f t="shared" si="107"/>
        <v>84965622.531468332</v>
      </c>
      <c r="L53" s="15">
        <f t="shared" si="107"/>
        <v>24359.055928703485</v>
      </c>
      <c r="M53" s="101"/>
      <c r="N53" s="29">
        <f t="shared" si="108"/>
        <v>-787821150.06743217</v>
      </c>
      <c r="O53" s="30">
        <f t="shared" si="109"/>
        <v>170333.96413490936</v>
      </c>
      <c r="P53" s="35">
        <f t="shared" si="110"/>
        <v>-388865192.82507133</v>
      </c>
      <c r="Q53" s="38">
        <f t="shared" si="110"/>
        <v>73414.33241758775</v>
      </c>
      <c r="R53" s="45">
        <f t="shared" si="110"/>
        <v>-87765167.165777326</v>
      </c>
      <c r="S53" s="46">
        <f t="shared" si="110"/>
        <v>17458.870670909091</v>
      </c>
      <c r="T53" s="53">
        <f t="shared" si="110"/>
        <v>-342398326.05693293</v>
      </c>
      <c r="U53" s="54">
        <f t="shared" si="110"/>
        <v>73288.746057142096</v>
      </c>
      <c r="V53" s="59">
        <f t="shared" si="110"/>
        <v>31207535.980349466</v>
      </c>
      <c r="W53" s="15">
        <f t="shared" si="110"/>
        <v>6172.0149892704285</v>
      </c>
      <c r="X53" s="101"/>
      <c r="Y53" s="29">
        <f t="shared" si="111"/>
        <v>452056802.35523975</v>
      </c>
      <c r="Z53" s="30">
        <f t="shared" si="112"/>
        <v>-36915.537243919571</v>
      </c>
      <c r="AA53" s="35">
        <f t="shared" si="113"/>
        <v>-22455868.98921442</v>
      </c>
      <c r="AB53" s="38">
        <f t="shared" si="113"/>
        <v>-25693.666816118843</v>
      </c>
      <c r="AC53" s="45">
        <f t="shared" si="113"/>
        <v>149295172.88605583</v>
      </c>
      <c r="AD53" s="46">
        <f t="shared" si="113"/>
        <v>60029.509602914593</v>
      </c>
      <c r="AE53" s="53">
        <f t="shared" si="113"/>
        <v>271459411.90727949</v>
      </c>
      <c r="AF53" s="54">
        <f t="shared" si="113"/>
        <v>-89438.420970148378</v>
      </c>
      <c r="AG53" s="59">
        <f t="shared" si="113"/>
        <v>53758086.551118866</v>
      </c>
      <c r="AH53" s="15">
        <f t="shared" si="113"/>
        <v>18187.040939433056</v>
      </c>
      <c r="AI53" s="101"/>
    </row>
    <row r="54" spans="1:35">
      <c r="A54" s="557">
        <v>9</v>
      </c>
      <c r="B54" s="23">
        <v>43344</v>
      </c>
      <c r="C54" s="29">
        <f t="shared" si="105"/>
        <v>-1104286637.893131</v>
      </c>
      <c r="D54" s="30">
        <f t="shared" si="106"/>
        <v>-5799.0458425246325</v>
      </c>
      <c r="E54" s="35">
        <f t="shared" si="107"/>
        <v>-464523015.81428576</v>
      </c>
      <c r="F54" s="38">
        <f t="shared" si="107"/>
        <v>33535.674601587816</v>
      </c>
      <c r="G54" s="45">
        <f t="shared" si="107"/>
        <v>-219331737.82225585</v>
      </c>
      <c r="H54" s="46">
        <f t="shared" si="107"/>
        <v>-22396.786536962696</v>
      </c>
      <c r="I54" s="53">
        <f t="shared" si="107"/>
        <v>-472106571.42483854</v>
      </c>
      <c r="J54" s="54">
        <f t="shared" si="107"/>
        <v>-51559.582089101372</v>
      </c>
      <c r="K54" s="59">
        <f t="shared" si="107"/>
        <v>51674687.168249145</v>
      </c>
      <c r="L54" s="15">
        <f t="shared" si="107"/>
        <v>34621.648181951619</v>
      </c>
      <c r="M54" s="101"/>
      <c r="N54" s="29">
        <f t="shared" si="108"/>
        <v>-1340448962.5782855</v>
      </c>
      <c r="O54" s="30">
        <f t="shared" si="109"/>
        <v>12768.435112210711</v>
      </c>
      <c r="P54" s="35">
        <f t="shared" si="110"/>
        <v>-435817574.82507133</v>
      </c>
      <c r="Q54" s="38">
        <f t="shared" si="110"/>
        <v>38510.146417642565</v>
      </c>
      <c r="R54" s="45">
        <f t="shared" si="110"/>
        <v>-268952933.99838722</v>
      </c>
      <c r="S54" s="46">
        <f t="shared" si="110"/>
        <v>-43007.964874328361</v>
      </c>
      <c r="T54" s="53">
        <f t="shared" si="110"/>
        <v>-632406657.43872738</v>
      </c>
      <c r="U54" s="54">
        <f t="shared" si="110"/>
        <v>17602.547096002236</v>
      </c>
      <c r="V54" s="59">
        <f t="shared" si="110"/>
        <v>-3271796.3160995096</v>
      </c>
      <c r="W54" s="15">
        <f t="shared" si="110"/>
        <v>-336.29352710572948</v>
      </c>
      <c r="X54" s="101"/>
      <c r="Y54" s="29">
        <f t="shared" si="111"/>
        <v>236162324.68515444</v>
      </c>
      <c r="Z54" s="30">
        <f t="shared" si="112"/>
        <v>-18567.480954735373</v>
      </c>
      <c r="AA54" s="35">
        <f t="shared" si="113"/>
        <v>-28705440.98921442</v>
      </c>
      <c r="AB54" s="38">
        <f t="shared" si="113"/>
        <v>-4974.4718160547782</v>
      </c>
      <c r="AC54" s="45">
        <f t="shared" si="113"/>
        <v>49621196.176131368</v>
      </c>
      <c r="AD54" s="46">
        <f t="shared" si="113"/>
        <v>20611.178337365636</v>
      </c>
      <c r="AE54" s="53">
        <f t="shared" si="113"/>
        <v>160300086.01388884</v>
      </c>
      <c r="AF54" s="54">
        <f t="shared" si="113"/>
        <v>-69162.129185103578</v>
      </c>
      <c r="AG54" s="59">
        <f t="shared" si="113"/>
        <v>54946483.484348655</v>
      </c>
      <c r="AH54" s="15">
        <f t="shared" si="113"/>
        <v>34957.941709057348</v>
      </c>
      <c r="AI54" s="101"/>
    </row>
    <row r="55" spans="1:35">
      <c r="A55" s="557">
        <v>10</v>
      </c>
      <c r="B55" s="23">
        <v>43374</v>
      </c>
      <c r="C55" s="29">
        <f t="shared" si="105"/>
        <v>-4652428973.6290178</v>
      </c>
      <c r="D55" s="30">
        <f t="shared" si="106"/>
        <v>-1037855.0953507907</v>
      </c>
      <c r="E55" s="35">
        <f t="shared" si="107"/>
        <v>-1756233947.5714285</v>
      </c>
      <c r="F55" s="38">
        <f t="shared" si="107"/>
        <v>-323578.88599856436</v>
      </c>
      <c r="G55" s="45">
        <f t="shared" si="107"/>
        <v>-848257957.42272496</v>
      </c>
      <c r="H55" s="46">
        <f t="shared" si="107"/>
        <v>-176396.05699360892</v>
      </c>
      <c r="I55" s="53">
        <f t="shared" si="107"/>
        <v>-1926757360.4316182</v>
      </c>
      <c r="J55" s="54">
        <f t="shared" si="107"/>
        <v>-517594.5321208961</v>
      </c>
      <c r="K55" s="59">
        <f t="shared" si="107"/>
        <v>-121179708.20324643</v>
      </c>
      <c r="L55" s="15">
        <f t="shared" si="107"/>
        <v>-20285.620237721268</v>
      </c>
      <c r="M55" s="101"/>
      <c r="N55" s="29">
        <f t="shared" si="108"/>
        <v>-4277088342.4322906</v>
      </c>
      <c r="O55" s="30">
        <f t="shared" si="109"/>
        <v>-525837.89839087101</v>
      </c>
      <c r="P55" s="35">
        <f t="shared" si="110"/>
        <v>-1606954062.0278571</v>
      </c>
      <c r="Q55" s="38">
        <f t="shared" si="110"/>
        <v>-160695.4062027857</v>
      </c>
      <c r="R55" s="45">
        <f t="shared" si="110"/>
        <v>-799907253.84962964</v>
      </c>
      <c r="S55" s="46">
        <f t="shared" si="110"/>
        <v>-152247.68414274041</v>
      </c>
      <c r="T55" s="53">
        <f t="shared" si="110"/>
        <v>-1762982984.7949307</v>
      </c>
      <c r="U55" s="54">
        <f t="shared" si="110"/>
        <v>-204425.57224488567</v>
      </c>
      <c r="V55" s="59">
        <f t="shared" si="110"/>
        <v>-107244041.75987309</v>
      </c>
      <c r="W55" s="15">
        <f t="shared" si="110"/>
        <v>-8469.2358004591733</v>
      </c>
      <c r="X55" s="101"/>
      <c r="Y55" s="29">
        <f t="shared" si="111"/>
        <v>-375340631.19672763</v>
      </c>
      <c r="Z55" s="30">
        <f t="shared" si="112"/>
        <v>-512017.19695991965</v>
      </c>
      <c r="AA55" s="35">
        <f t="shared" si="113"/>
        <v>-149279885.54357147</v>
      </c>
      <c r="AB55" s="38">
        <f t="shared" si="113"/>
        <v>-162883.47979577866</v>
      </c>
      <c r="AC55" s="45">
        <f t="shared" si="113"/>
        <v>-48350703.573095322</v>
      </c>
      <c r="AD55" s="46">
        <f t="shared" si="113"/>
        <v>-24148.372850868502</v>
      </c>
      <c r="AE55" s="53">
        <f t="shared" si="113"/>
        <v>-163774375.63668752</v>
      </c>
      <c r="AF55" s="54">
        <f t="shared" si="113"/>
        <v>-313168.95987601043</v>
      </c>
      <c r="AG55" s="59">
        <f t="shared" si="113"/>
        <v>-13935666.443373337</v>
      </c>
      <c r="AH55" s="15">
        <f t="shared" si="113"/>
        <v>-11816.384437262095</v>
      </c>
      <c r="AI55" s="101"/>
    </row>
    <row r="56" spans="1:35">
      <c r="A56" s="557">
        <v>11</v>
      </c>
      <c r="B56" s="23">
        <v>43405</v>
      </c>
      <c r="C56" s="29">
        <f t="shared" si="105"/>
        <v>-5063242147.9338112</v>
      </c>
      <c r="D56" s="30">
        <f t="shared" si="106"/>
        <v>-1117261.475617693</v>
      </c>
      <c r="E56" s="35">
        <f t="shared" si="107"/>
        <v>-2107480737.0857141</v>
      </c>
      <c r="F56" s="38">
        <f t="shared" si="107"/>
        <v>-388294.66319827724</v>
      </c>
      <c r="G56" s="45">
        <f t="shared" si="107"/>
        <v>-865704178.90948462</v>
      </c>
      <c r="H56" s="46">
        <f t="shared" si="107"/>
        <v>-180024.01550878966</v>
      </c>
      <c r="I56" s="53">
        <f t="shared" si="107"/>
        <v>-1966385206.3801153</v>
      </c>
      <c r="J56" s="54">
        <f t="shared" si="107"/>
        <v>-528239.95992820268</v>
      </c>
      <c r="K56" s="59">
        <f t="shared" si="107"/>
        <v>-123672025.55849782</v>
      </c>
      <c r="L56" s="15">
        <f t="shared" si="107"/>
        <v>-20702.836982423396</v>
      </c>
      <c r="M56" s="101"/>
      <c r="N56" s="29">
        <f t="shared" si="108"/>
        <v>-4653396121.6021481</v>
      </c>
      <c r="O56" s="30">
        <f t="shared" si="109"/>
        <v>-565486.90834732947</v>
      </c>
      <c r="P56" s="35">
        <f t="shared" si="110"/>
        <v>-1928344874.4334283</v>
      </c>
      <c r="Q56" s="38">
        <f t="shared" si="110"/>
        <v>-192834.48744334283</v>
      </c>
      <c r="R56" s="45">
        <f t="shared" si="110"/>
        <v>-816359040.71164393</v>
      </c>
      <c r="S56" s="46">
        <f t="shared" si="110"/>
        <v>-155378.98022450152</v>
      </c>
      <c r="T56" s="53">
        <f t="shared" si="110"/>
        <v>-1799242463.8378055</v>
      </c>
      <c r="U56" s="54">
        <f t="shared" si="110"/>
        <v>-208630.01710712767</v>
      </c>
      <c r="V56" s="59">
        <f t="shared" si="110"/>
        <v>-109449742.61927056</v>
      </c>
      <c r="W56" s="15">
        <f t="shared" si="110"/>
        <v>-8643.4235723573984</v>
      </c>
      <c r="X56" s="101"/>
      <c r="Y56" s="29">
        <f t="shared" si="111"/>
        <v>-409846026.33166349</v>
      </c>
      <c r="Z56" s="30">
        <f t="shared" si="112"/>
        <v>-551774.56727036356</v>
      </c>
      <c r="AA56" s="35">
        <f t="shared" si="113"/>
        <v>-179135862.65228581</v>
      </c>
      <c r="AB56" s="38">
        <f t="shared" si="113"/>
        <v>-195460.1757549344</v>
      </c>
      <c r="AC56" s="45">
        <f t="shared" si="113"/>
        <v>-49345138.197840691</v>
      </c>
      <c r="AD56" s="46">
        <f t="shared" si="113"/>
        <v>-24645.03528428814</v>
      </c>
      <c r="AE56" s="53">
        <f t="shared" si="113"/>
        <v>-167142742.54230976</v>
      </c>
      <c r="AF56" s="54">
        <f t="shared" si="113"/>
        <v>-319609.94282107498</v>
      </c>
      <c r="AG56" s="59">
        <f t="shared" si="113"/>
        <v>-14222282.939227253</v>
      </c>
      <c r="AH56" s="15">
        <f t="shared" si="113"/>
        <v>-12059.413410065998</v>
      </c>
      <c r="AI56" s="101"/>
    </row>
    <row r="57" spans="1:35" ht="15.75" thickBot="1">
      <c r="A57" s="557">
        <v>12</v>
      </c>
      <c r="B57" s="24">
        <v>43435</v>
      </c>
      <c r="C57" s="31">
        <f t="shared" si="105"/>
        <v>-5915164200.107688</v>
      </c>
      <c r="D57" s="32">
        <f t="shared" si="106"/>
        <v>-1294501.2952706055</v>
      </c>
      <c r="E57" s="559">
        <f t="shared" si="107"/>
        <v>-2634350921.3571429</v>
      </c>
      <c r="F57" s="40">
        <f t="shared" si="107"/>
        <v>-485368.32899784652</v>
      </c>
      <c r="G57" s="47">
        <f t="shared" si="107"/>
        <v>-960907654.86417639</v>
      </c>
      <c r="H57" s="48">
        <f t="shared" si="107"/>
        <v>-199821.66977603344</v>
      </c>
      <c r="I57" s="55">
        <f t="shared" si="107"/>
        <v>-2182633101.7629151</v>
      </c>
      <c r="J57" s="56">
        <f t="shared" si="107"/>
        <v>-586331.72100377223</v>
      </c>
      <c r="K57" s="60">
        <f t="shared" si="107"/>
        <v>-137272522.1234538</v>
      </c>
      <c r="L57" s="16">
        <f t="shared" si="107"/>
        <v>-22979.575492953481</v>
      </c>
      <c r="M57" s="101"/>
      <c r="N57" s="31">
        <f t="shared" si="108"/>
        <v>-5435162481.7710285</v>
      </c>
      <c r="O57" s="32">
        <f t="shared" si="109"/>
        <v>-654676.97243440151</v>
      </c>
      <c r="P57" s="559">
        <f t="shared" si="110"/>
        <v>-2410431093.0417857</v>
      </c>
      <c r="Q57" s="40">
        <f t="shared" si="110"/>
        <v>-241043.10930417859</v>
      </c>
      <c r="R57" s="47">
        <f t="shared" si="110"/>
        <v>-906135918.53691828</v>
      </c>
      <c r="S57" s="48">
        <f t="shared" si="110"/>
        <v>-172466.36338384115</v>
      </c>
      <c r="T57" s="55">
        <f t="shared" si="110"/>
        <v>-1997109288.1130674</v>
      </c>
      <c r="U57" s="56">
        <f t="shared" si="110"/>
        <v>-231573.53904103543</v>
      </c>
      <c r="V57" s="60">
        <f t="shared" si="110"/>
        <v>-121486182.07925661</v>
      </c>
      <c r="W57" s="16">
        <f t="shared" si="110"/>
        <v>-9593.9607053463151</v>
      </c>
      <c r="X57" s="101"/>
      <c r="Y57" s="31">
        <f t="shared" si="111"/>
        <v>-480001718.33666027</v>
      </c>
      <c r="Z57" s="32">
        <f t="shared" si="112"/>
        <v>-639824.3228362042</v>
      </c>
      <c r="AA57" s="559">
        <f t="shared" si="113"/>
        <v>-223919828.31535721</v>
      </c>
      <c r="AB57" s="40">
        <f t="shared" si="113"/>
        <v>-244325.21969366792</v>
      </c>
      <c r="AC57" s="47">
        <f t="shared" si="113"/>
        <v>-54771736.32725811</v>
      </c>
      <c r="AD57" s="48">
        <f t="shared" si="113"/>
        <v>-27355.306392192288</v>
      </c>
      <c r="AE57" s="55">
        <f t="shared" si="113"/>
        <v>-185523813.64984775</v>
      </c>
      <c r="AF57" s="56">
        <f t="shared" si="113"/>
        <v>-354758.18196273677</v>
      </c>
      <c r="AG57" s="60">
        <f t="shared" si="113"/>
        <v>-15786340.044197187</v>
      </c>
      <c r="AH57" s="16">
        <f t="shared" si="113"/>
        <v>-13385.614787607166</v>
      </c>
      <c r="AI57" s="101"/>
    </row>
    <row r="58" spans="1:35" ht="15.75" thickBot="1">
      <c r="M58" s="101"/>
      <c r="X58" s="101"/>
      <c r="AI58" s="101"/>
    </row>
    <row r="59" spans="1:35">
      <c r="A59" s="557"/>
      <c r="B59" s="641" t="s">
        <v>149</v>
      </c>
      <c r="C59" s="657">
        <f t="shared" ref="C59:L59" si="114">SUM(C46:C48)</f>
        <v>705554536.86293995</v>
      </c>
      <c r="D59" s="658">
        <f t="shared" si="114"/>
        <v>128929.77003155192</v>
      </c>
      <c r="E59" s="659">
        <f t="shared" si="114"/>
        <v>0</v>
      </c>
      <c r="F59" s="660">
        <f t="shared" si="114"/>
        <v>0</v>
      </c>
      <c r="G59" s="661">
        <f t="shared" si="114"/>
        <v>310356371.11048466</v>
      </c>
      <c r="H59" s="662">
        <f t="shared" si="114"/>
        <v>80041.634613669725</v>
      </c>
      <c r="I59" s="663">
        <f t="shared" si="114"/>
        <v>242351178.879529</v>
      </c>
      <c r="J59" s="664">
        <f t="shared" si="114"/>
        <v>18014.231996216986</v>
      </c>
      <c r="K59" s="665">
        <f t="shared" si="114"/>
        <v>152846986.87292635</v>
      </c>
      <c r="L59" s="666">
        <f t="shared" si="114"/>
        <v>30873.903421665222</v>
      </c>
      <c r="M59" s="652"/>
      <c r="N59" s="657">
        <f t="shared" ref="N59:W59" si="115">SUM(N46:N48)</f>
        <v>-587840153.3505044</v>
      </c>
      <c r="O59" s="658">
        <f t="shared" si="115"/>
        <v>39001.329498599938</v>
      </c>
      <c r="P59" s="659">
        <f t="shared" si="115"/>
        <v>0</v>
      </c>
      <c r="Q59" s="660">
        <f t="shared" si="115"/>
        <v>0</v>
      </c>
      <c r="R59" s="661">
        <f t="shared" si="115"/>
        <v>103416776.83218706</v>
      </c>
      <c r="S59" s="662">
        <f t="shared" si="115"/>
        <v>29431.424617261291</v>
      </c>
      <c r="T59" s="663">
        <f t="shared" si="115"/>
        <v>-817659158.90523124</v>
      </c>
      <c r="U59" s="664">
        <f t="shared" si="115"/>
        <v>-8154.4820542451198</v>
      </c>
      <c r="V59" s="665">
        <f t="shared" si="115"/>
        <v>126402228.72253981</v>
      </c>
      <c r="W59" s="666">
        <f t="shared" si="115"/>
        <v>17724.386935583763</v>
      </c>
      <c r="X59" s="652"/>
      <c r="Y59" s="657">
        <f t="shared" ref="Y59:AH59" si="116">SUM(Y46:Y48)</f>
        <v>1293394690.2134445</v>
      </c>
      <c r="Z59" s="658">
        <f t="shared" si="116"/>
        <v>89928.440532952038</v>
      </c>
      <c r="AA59" s="659">
        <f t="shared" si="116"/>
        <v>0</v>
      </c>
      <c r="AB59" s="660">
        <f t="shared" si="116"/>
        <v>0</v>
      </c>
      <c r="AC59" s="661">
        <f t="shared" si="116"/>
        <v>206939594.2782976</v>
      </c>
      <c r="AD59" s="662">
        <f t="shared" si="116"/>
        <v>50610.209996408441</v>
      </c>
      <c r="AE59" s="663">
        <f t="shared" si="116"/>
        <v>1060010337.7847602</v>
      </c>
      <c r="AF59" s="664">
        <f t="shared" si="116"/>
        <v>26168.714050462149</v>
      </c>
      <c r="AG59" s="665">
        <f t="shared" si="116"/>
        <v>26444758.150386542</v>
      </c>
      <c r="AH59" s="666">
        <f t="shared" si="116"/>
        <v>13149.516486081458</v>
      </c>
      <c r="AI59" s="101"/>
    </row>
    <row r="60" spans="1:35">
      <c r="A60" s="557"/>
      <c r="B60" s="653" t="s">
        <v>150</v>
      </c>
      <c r="C60" s="29">
        <f t="shared" ref="C60:L60" si="117">SUM(C49:C51)</f>
        <v>859310832.1607703</v>
      </c>
      <c r="D60" s="30">
        <f t="shared" si="117"/>
        <v>711046.30904978793</v>
      </c>
      <c r="E60" s="37">
        <f t="shared" si="117"/>
        <v>-281207952.29999995</v>
      </c>
      <c r="F60" s="38">
        <f t="shared" si="117"/>
        <v>73778.419801004842</v>
      </c>
      <c r="G60" s="45">
        <f t="shared" si="117"/>
        <v>329975687.77512109</v>
      </c>
      <c r="H60" s="46">
        <f t="shared" si="117"/>
        <v>178040.87588624103</v>
      </c>
      <c r="I60" s="53">
        <f t="shared" si="117"/>
        <v>182306714.43206048</v>
      </c>
      <c r="J60" s="54">
        <f t="shared" si="117"/>
        <v>159468.24077936605</v>
      </c>
      <c r="K60" s="59">
        <f t="shared" si="117"/>
        <v>628236382.25358868</v>
      </c>
      <c r="L60" s="15">
        <f t="shared" si="117"/>
        <v>299758.77258317597</v>
      </c>
      <c r="M60" s="654"/>
      <c r="N60" s="29">
        <f t="shared" ref="N60:W60" si="118">SUM(N49:N51)</f>
        <v>-1203111748.8647995</v>
      </c>
      <c r="O60" s="30">
        <f t="shared" si="118"/>
        <v>143880.05654037656</v>
      </c>
      <c r="P60" s="37">
        <f t="shared" si="118"/>
        <v>-253530478.41949987</v>
      </c>
      <c r="Q60" s="38">
        <f t="shared" si="118"/>
        <v>50806.235658049991</v>
      </c>
      <c r="R60" s="45">
        <f t="shared" si="118"/>
        <v>-142745424.64006078</v>
      </c>
      <c r="S60" s="46">
        <f t="shared" si="118"/>
        <v>-9849.7230049739155</v>
      </c>
      <c r="T60" s="53">
        <f t="shared" si="118"/>
        <v>-1009152653.1396649</v>
      </c>
      <c r="U60" s="54">
        <f t="shared" si="118"/>
        <v>61818.763606539229</v>
      </c>
      <c r="V60" s="59">
        <f t="shared" si="118"/>
        <v>202316807.33442599</v>
      </c>
      <c r="W60" s="15">
        <f t="shared" si="118"/>
        <v>41104.780280761268</v>
      </c>
      <c r="X60" s="654"/>
      <c r="Y60" s="29">
        <f t="shared" ref="Y60:AH60" si="119">SUM(Y49:Y51)</f>
        <v>2062422581.0255699</v>
      </c>
      <c r="Z60" s="30">
        <f t="shared" si="119"/>
        <v>567166.25250941142</v>
      </c>
      <c r="AA60" s="37">
        <f t="shared" si="119"/>
        <v>-27677473.880500078</v>
      </c>
      <c r="AB60" s="38">
        <f t="shared" si="119"/>
        <v>22972.184142954939</v>
      </c>
      <c r="AC60" s="45">
        <f t="shared" si="119"/>
        <v>472721112.41518188</v>
      </c>
      <c r="AD60" s="46">
        <f t="shared" si="119"/>
        <v>187890.59889121502</v>
      </c>
      <c r="AE60" s="53">
        <f t="shared" si="119"/>
        <v>1191459367.5717254</v>
      </c>
      <c r="AF60" s="54">
        <f t="shared" si="119"/>
        <v>97649.477172826795</v>
      </c>
      <c r="AG60" s="59">
        <f t="shared" si="119"/>
        <v>425919574.91916269</v>
      </c>
      <c r="AH60" s="15">
        <f t="shared" si="119"/>
        <v>258653.99230241467</v>
      </c>
      <c r="AI60" s="101"/>
    </row>
    <row r="61" spans="1:35">
      <c r="A61" s="557"/>
      <c r="B61" s="653" t="s">
        <v>216</v>
      </c>
      <c r="C61" s="29">
        <f t="shared" ref="C61:L61" si="120">SUM(C52:C54)</f>
        <v>-1606463412.3531909</v>
      </c>
      <c r="D61" s="30">
        <f t="shared" si="120"/>
        <v>148450.20213469036</v>
      </c>
      <c r="E61" s="37">
        <f t="shared" si="120"/>
        <v>-1161395705.6857145</v>
      </c>
      <c r="F61" s="38">
        <f t="shared" si="120"/>
        <v>123303.361404205</v>
      </c>
      <c r="G61" s="45">
        <f t="shared" si="120"/>
        <v>-6562999.6892188787</v>
      </c>
      <c r="H61" s="46">
        <f t="shared" si="120"/>
        <v>102692.93144702533</v>
      </c>
      <c r="I61" s="53">
        <f t="shared" si="120"/>
        <v>-681831852.73694062</v>
      </c>
      <c r="J61" s="54">
        <f t="shared" si="120"/>
        <v>-158642.62136277457</v>
      </c>
      <c r="K61" s="59">
        <f t="shared" si="120"/>
        <v>243327145.75868297</v>
      </c>
      <c r="L61" s="15">
        <f t="shared" si="120"/>
        <v>81096.530646234605</v>
      </c>
      <c r="M61" s="654"/>
      <c r="N61" s="29">
        <f t="shared" ref="N61:W61" si="121">SUM(N52:N54)</f>
        <v>-2713327337.1742287</v>
      </c>
      <c r="O61" s="30">
        <f t="shared" si="121"/>
        <v>249378.67787290298</v>
      </c>
      <c r="P61" s="37">
        <f t="shared" si="121"/>
        <v>-1089288637.2724285</v>
      </c>
      <c r="Q61" s="38">
        <f t="shared" si="121"/>
        <v>166192.30387300171</v>
      </c>
      <c r="R61" s="45">
        <f t="shared" si="121"/>
        <v>-389560689.09393322</v>
      </c>
      <c r="S61" s="46">
        <f t="shared" si="121"/>
        <v>-39753.454884939754</v>
      </c>
      <c r="T61" s="53">
        <f t="shared" si="121"/>
        <v>-1320229759.209301</v>
      </c>
      <c r="U61" s="54">
        <f t="shared" si="121"/>
        <v>110206.97354890019</v>
      </c>
      <c r="V61" s="59">
        <f t="shared" si="121"/>
        <v>85751748.401434407</v>
      </c>
      <c r="W61" s="15">
        <f t="shared" si="121"/>
        <v>12732.855335940836</v>
      </c>
      <c r="X61" s="654"/>
      <c r="Y61" s="29">
        <f t="shared" ref="Y61:AH61" si="122">SUM(Y52:Y54)</f>
        <v>1106863924.8210373</v>
      </c>
      <c r="Z61" s="30">
        <f t="shared" si="122"/>
        <v>-100928.47573821258</v>
      </c>
      <c r="AA61" s="37">
        <f t="shared" si="122"/>
        <v>-72107068.413285971</v>
      </c>
      <c r="AB61" s="38">
        <f t="shared" si="122"/>
        <v>-42888.942468796566</v>
      </c>
      <c r="AC61" s="45">
        <f t="shared" si="122"/>
        <v>382997689.40471435</v>
      </c>
      <c r="AD61" s="46">
        <f t="shared" si="122"/>
        <v>142446.38633196504</v>
      </c>
      <c r="AE61" s="53">
        <f t="shared" si="122"/>
        <v>638397906.47236037</v>
      </c>
      <c r="AF61" s="54">
        <f t="shared" si="122"/>
        <v>-268849.59491167485</v>
      </c>
      <c r="AG61" s="59">
        <f t="shared" si="122"/>
        <v>157575397.35724854</v>
      </c>
      <c r="AH61" s="15">
        <f t="shared" si="122"/>
        <v>68363.675310293766</v>
      </c>
      <c r="AI61" s="101"/>
    </row>
    <row r="62" spans="1:35" ht="15.75" thickBot="1">
      <c r="A62" s="557"/>
      <c r="B62" s="655" t="s">
        <v>217</v>
      </c>
      <c r="C62" s="31">
        <f t="shared" ref="C62:L62" si="123">SUM(C55:C57)</f>
        <v>-15630835321.670517</v>
      </c>
      <c r="D62" s="32">
        <f t="shared" si="123"/>
        <v>-3449617.8662390891</v>
      </c>
      <c r="E62" s="39">
        <f t="shared" si="123"/>
        <v>-6498065606.014286</v>
      </c>
      <c r="F62" s="40">
        <f t="shared" si="123"/>
        <v>-1197241.8781946881</v>
      </c>
      <c r="G62" s="47">
        <f t="shared" si="123"/>
        <v>-2674869791.1963859</v>
      </c>
      <c r="H62" s="48">
        <f t="shared" si="123"/>
        <v>-556241.74227843201</v>
      </c>
      <c r="I62" s="55">
        <f t="shared" si="123"/>
        <v>-6075775668.5746479</v>
      </c>
      <c r="J62" s="56">
        <f t="shared" si="123"/>
        <v>-1632166.2130528709</v>
      </c>
      <c r="K62" s="60">
        <f t="shared" si="123"/>
        <v>-382124255.88519806</v>
      </c>
      <c r="L62" s="16">
        <f t="shared" si="123"/>
        <v>-63968.032713098146</v>
      </c>
      <c r="M62" s="656"/>
      <c r="N62" s="31">
        <f t="shared" ref="N62:W62" si="124">SUM(N55:N57)</f>
        <v>-14365646945.805468</v>
      </c>
      <c r="O62" s="32">
        <f t="shared" si="124"/>
        <v>-1746001.7791726021</v>
      </c>
      <c r="P62" s="39">
        <f t="shared" si="124"/>
        <v>-5945730029.5030708</v>
      </c>
      <c r="Q62" s="40">
        <f t="shared" si="124"/>
        <v>-594573.0029503071</v>
      </c>
      <c r="R62" s="47">
        <f t="shared" si="124"/>
        <v>-2522402213.0981917</v>
      </c>
      <c r="S62" s="48">
        <f t="shared" si="124"/>
        <v>-480093.02775108302</v>
      </c>
      <c r="T62" s="55">
        <f t="shared" si="124"/>
        <v>-5559334736.7458038</v>
      </c>
      <c r="U62" s="56">
        <f t="shared" si="124"/>
        <v>-644629.12839304877</v>
      </c>
      <c r="V62" s="60">
        <f t="shared" si="124"/>
        <v>-338179966.45840025</v>
      </c>
      <c r="W62" s="16">
        <f t="shared" si="124"/>
        <v>-26706.620078162887</v>
      </c>
      <c r="X62" s="656"/>
      <c r="Y62" s="31">
        <f t="shared" ref="Y62:AH62" si="125">SUM(Y55:Y57)</f>
        <v>-1265188375.8650513</v>
      </c>
      <c r="Z62" s="32">
        <f t="shared" si="125"/>
        <v>-1703616.0870664874</v>
      </c>
      <c r="AA62" s="39">
        <f t="shared" si="125"/>
        <v>-552335576.51121449</v>
      </c>
      <c r="AB62" s="40">
        <f t="shared" si="125"/>
        <v>-602668.87524438102</v>
      </c>
      <c r="AC62" s="47">
        <f t="shared" si="125"/>
        <v>-152467578.09819412</v>
      </c>
      <c r="AD62" s="48">
        <f t="shared" si="125"/>
        <v>-76148.71452734893</v>
      </c>
      <c r="AE62" s="55">
        <f t="shared" si="125"/>
        <v>-516440931.82884502</v>
      </c>
      <c r="AF62" s="56">
        <f t="shared" si="125"/>
        <v>-987537.08465982217</v>
      </c>
      <c r="AG62" s="60">
        <f t="shared" si="125"/>
        <v>-43944289.426797777</v>
      </c>
      <c r="AH62" s="16">
        <f t="shared" si="125"/>
        <v>-37261.412634935259</v>
      </c>
      <c r="AI62" s="101"/>
    </row>
    <row r="63" spans="1:35" ht="15.75" thickBot="1">
      <c r="M63" s="101"/>
      <c r="X63" s="101"/>
      <c r="AI63" s="101"/>
    </row>
    <row r="64" spans="1:35" ht="15.75" thickBot="1">
      <c r="B64" s="20" t="s">
        <v>182</v>
      </c>
      <c r="M64" s="101"/>
      <c r="P64" s="567">
        <v>0.91500000000000004</v>
      </c>
      <c r="Q64" s="568">
        <v>9.999441130644724E-5</v>
      </c>
      <c r="R64" s="567">
        <v>0.94299999999999995</v>
      </c>
      <c r="S64" s="568">
        <v>1.9033167084063054E-4</v>
      </c>
      <c r="T64" s="567">
        <v>0.91500000000000004</v>
      </c>
      <c r="U64" s="568">
        <v>1.1595436485092586E-4</v>
      </c>
      <c r="V64" s="567">
        <v>0.88500000000000001</v>
      </c>
      <c r="W64" s="568">
        <v>7.8971620814351478E-5</v>
      </c>
      <c r="X64" s="101"/>
      <c r="AI64" s="101"/>
    </row>
    <row r="65" spans="1:35" ht="15.75" thickBot="1">
      <c r="B65" s="21" t="s">
        <v>7</v>
      </c>
      <c r="C65" s="25">
        <f t="shared" ref="C65:D65" si="126">SUM(C66:C77)</f>
        <v>46999999999.999992</v>
      </c>
      <c r="D65" s="26">
        <f t="shared" si="126"/>
        <v>10941153.840024119</v>
      </c>
      <c r="E65" s="33">
        <f>SUM(E66:E77)</f>
        <v>17125000000</v>
      </c>
      <c r="F65" s="34">
        <f t="shared" ref="F65:L65" si="127">SUM(F66:F77)</f>
        <v>3573210.1889899508</v>
      </c>
      <c r="G65" s="41">
        <f t="shared" si="127"/>
        <v>8750000000</v>
      </c>
      <c r="H65" s="42">
        <f t="shared" si="127"/>
        <v>1819570.9043315225</v>
      </c>
      <c r="I65" s="49">
        <f t="shared" si="127"/>
        <v>19875000000</v>
      </c>
      <c r="J65" s="50">
        <f t="shared" si="127"/>
        <v>5339121.332640633</v>
      </c>
      <c r="K65" s="57">
        <f t="shared" si="127"/>
        <v>1250000000.0000002</v>
      </c>
      <c r="L65" s="18">
        <f t="shared" si="127"/>
        <v>209251.41406201432</v>
      </c>
      <c r="M65" s="101"/>
      <c r="N65" s="25">
        <f t="shared" ref="N65" si="128">SUM(N66:N77)</f>
        <v>43278375204.195</v>
      </c>
      <c r="O65" s="26">
        <f t="shared" ref="O65" si="129">SUM(O66:O77)</f>
        <v>5597461.7812612467</v>
      </c>
      <c r="P65" s="33">
        <f>SUM(P66:P77)</f>
        <v>15735250204.195</v>
      </c>
      <c r="Q65" s="34">
        <f t="shared" ref="Q65" si="130">SUM(Q66:Q77)</f>
        <v>1830922.6304194997</v>
      </c>
      <c r="R65" s="41">
        <f t="shared" ref="R65" si="131">SUM(R66:R77)</f>
        <v>8251249999.999999</v>
      </c>
      <c r="S65" s="42">
        <f t="shared" ref="S65" si="132">SUM(S66:S77)</f>
        <v>1570474.1990237527</v>
      </c>
      <c r="T65" s="49">
        <f t="shared" ref="T65" si="133">SUM(T66:T77)</f>
        <v>18185625000</v>
      </c>
      <c r="U65" s="50">
        <f t="shared" ref="U65" si="134">SUM(U66:U77)</f>
        <v>2108702.5962921185</v>
      </c>
      <c r="V65" s="57">
        <f t="shared" ref="V65" si="135">SUM(V66:V77)</f>
        <v>1106250000</v>
      </c>
      <c r="W65" s="18">
        <f t="shared" ref="W65" si="136">SUM(W66:W77)</f>
        <v>87362.355525876323</v>
      </c>
      <c r="X65" s="101"/>
      <c r="Y65" s="25">
        <f t="shared" ref="Y65" si="137">SUM(Y66:Y77)</f>
        <v>3721624795.8050003</v>
      </c>
      <c r="Z65" s="26">
        <f t="shared" ref="Z65" si="138">SUM(Z66:Z77)</f>
        <v>5343692.0587628735</v>
      </c>
      <c r="AA65" s="33">
        <f>SUM(AA66:AA77)</f>
        <v>1389749795.8050005</v>
      </c>
      <c r="AB65" s="34">
        <f t="shared" ref="AB65" si="139">SUM(AB66:AB77)</f>
        <v>1742287.5585704506</v>
      </c>
      <c r="AC65" s="41">
        <f t="shared" ref="AC65" si="140">SUM(AC66:AC77)</f>
        <v>498750000.0000003</v>
      </c>
      <c r="AD65" s="42">
        <f t="shared" ref="AD65" si="141">SUM(AD66:AD77)</f>
        <v>249096.70530777035</v>
      </c>
      <c r="AE65" s="49">
        <f t="shared" ref="AE65" si="142">SUM(AE66:AE77)</f>
        <v>1689374999.999999</v>
      </c>
      <c r="AF65" s="50">
        <f t="shared" ref="AF65" si="143">SUM(AF66:AF77)</f>
        <v>3230418.7363485144</v>
      </c>
      <c r="AG65" s="57">
        <f t="shared" ref="AG65" si="144">SUM(AG66:AG77)</f>
        <v>143749999.99999997</v>
      </c>
      <c r="AH65" s="18">
        <f t="shared" ref="AH65" si="145">SUM(AH66:AH77)</f>
        <v>121889.05853613796</v>
      </c>
      <c r="AI65" s="101"/>
    </row>
    <row r="66" spans="1:35">
      <c r="A66" s="557">
        <v>1</v>
      </c>
      <c r="B66" s="22">
        <v>43101</v>
      </c>
      <c r="C66" s="27">
        <f>SUM(E66,G66,I66,K66)</f>
        <v>2809138000.7619014</v>
      </c>
      <c r="D66" s="28">
        <f>SUM(F66,H66,J66,L66)</f>
        <v>690679.0396183827</v>
      </c>
      <c r="E66" s="35">
        <v>864105685</v>
      </c>
      <c r="F66" s="36">
        <v>210984.02699999997</v>
      </c>
      <c r="G66" s="43">
        <v>569674736.83402956</v>
      </c>
      <c r="H66" s="44">
        <v>118464.40869439059</v>
      </c>
      <c r="I66" s="51">
        <v>1293975473.6658671</v>
      </c>
      <c r="J66" s="52">
        <v>347607.14743965771</v>
      </c>
      <c r="K66" s="58">
        <v>81382105.262004226</v>
      </c>
      <c r="L66" s="17">
        <v>13623.456484334463</v>
      </c>
      <c r="M66" s="101"/>
      <c r="N66" s="27">
        <f>SUM(P66,R66,T66,V66)</f>
        <v>2588305223.3956318</v>
      </c>
      <c r="O66" s="28">
        <f>SUM(Q66,S66,U66,W66)</f>
        <v>357269.1055178105</v>
      </c>
      <c r="P66" s="35">
        <v>795091225</v>
      </c>
      <c r="Q66" s="36">
        <v>112045.99700000002</v>
      </c>
      <c r="R66" s="43">
        <v>537203276.83448982</v>
      </c>
      <c r="S66" s="44">
        <f>R66*$S$64</f>
        <v>102246.79726097024</v>
      </c>
      <c r="T66" s="51">
        <v>1183987558.4042685</v>
      </c>
      <c r="U66" s="52">
        <f>T66*$U$64</f>
        <v>137288.52532616543</v>
      </c>
      <c r="V66" s="58">
        <v>72023163.156873748</v>
      </c>
      <c r="W66" s="17">
        <f>V66*$W$64</f>
        <v>5687.7859306748032</v>
      </c>
      <c r="X66" s="101"/>
      <c r="Y66" s="27">
        <f>SUM(AA66,AC66,AE66,AG66)</f>
        <v>220832777.36626881</v>
      </c>
      <c r="Z66" s="28">
        <f>SUM(AB66,AD66,AF66,AH66)</f>
        <v>333409.93410057225</v>
      </c>
      <c r="AA66" s="35">
        <f>E66-P66</f>
        <v>69014460</v>
      </c>
      <c r="AB66" s="38">
        <f t="shared" ref="AB66:AB77" si="146">F66-Q66</f>
        <v>98938.029999999955</v>
      </c>
      <c r="AC66" s="43">
        <f t="shared" ref="AC66:AC77" si="147">G66-R66</f>
        <v>32471459.999539733</v>
      </c>
      <c r="AD66" s="44">
        <f t="shared" ref="AD66:AD77" si="148">H66-S66</f>
        <v>16217.611433420345</v>
      </c>
      <c r="AE66" s="51">
        <f t="shared" ref="AE66:AE77" si="149">I66-T66</f>
        <v>109987915.26159859</v>
      </c>
      <c r="AF66" s="52">
        <f t="shared" ref="AF66:AF77" si="150">J66-U66</f>
        <v>210318.62211349228</v>
      </c>
      <c r="AG66" s="58">
        <f t="shared" ref="AG66:AG77" si="151">K66-V66</f>
        <v>9358942.1051304787</v>
      </c>
      <c r="AH66" s="17">
        <f t="shared" ref="AH66:AH77" si="152">L66-W66</f>
        <v>7935.6705536596601</v>
      </c>
      <c r="AI66" s="101"/>
    </row>
    <row r="67" spans="1:35">
      <c r="A67" s="557">
        <v>2</v>
      </c>
      <c r="B67" s="23">
        <v>43132</v>
      </c>
      <c r="C67" s="29">
        <f t="shared" ref="C67:D77" si="153">SUM(E67,G67,I67,K67)</f>
        <v>2569892937.9069738</v>
      </c>
      <c r="D67" s="30">
        <f t="shared" si="153"/>
        <v>644177.14348763507</v>
      </c>
      <c r="E67" s="37">
        <v>833934912</v>
      </c>
      <c r="F67" s="38">
        <v>216045.23000000007</v>
      </c>
      <c r="G67" s="45">
        <v>508439589.17777473</v>
      </c>
      <c r="H67" s="46">
        <v>105730.50092321732</v>
      </c>
      <c r="I67" s="53">
        <v>1154884209.7038028</v>
      </c>
      <c r="J67" s="54">
        <v>310242.36079292529</v>
      </c>
      <c r="K67" s="59">
        <v>72634227.025396392</v>
      </c>
      <c r="L67" s="15">
        <v>12159.051771492457</v>
      </c>
      <c r="M67" s="103"/>
      <c r="N67" s="29">
        <f t="shared" ref="N67:N77" si="154">SUM(P67,R67,T67,V67)</f>
        <v>2377243224.3910971</v>
      </c>
      <c r="O67" s="30">
        <f t="shared" ref="O67:O77" si="155">SUM(Q67,S67,U67,W67)</f>
        <v>318752.22782582662</v>
      </c>
      <c r="P67" s="37">
        <v>776784349</v>
      </c>
      <c r="Q67" s="36">
        <v>99888.500000000015</v>
      </c>
      <c r="R67" s="45">
        <v>479458532.59464157</v>
      </c>
      <c r="S67" s="44">
        <f t="shared" ref="S67:S77" si="156">R67*$S$64</f>
        <v>91256.14360753505</v>
      </c>
      <c r="T67" s="53">
        <v>1056719051.8789797</v>
      </c>
      <c r="U67" s="52">
        <f t="shared" ref="U67:U77" si="157">T67*$U$64</f>
        <v>122531.18648649966</v>
      </c>
      <c r="V67" s="59">
        <v>64281290.917475805</v>
      </c>
      <c r="W67" s="17">
        <f t="shared" ref="W67:W77" si="158">V67*$W$64</f>
        <v>5076.3977317919152</v>
      </c>
      <c r="X67" s="103"/>
      <c r="Y67" s="29">
        <f t="shared" ref="Y67:Y77" si="159">SUM(AA67,AC67,AE67,AG67)</f>
        <v>192649713.51587689</v>
      </c>
      <c r="Z67" s="30">
        <f t="shared" ref="Z67:Z77" si="160">SUM(AB67,AD67,AF67,AH67)</f>
        <v>325424.91566180845</v>
      </c>
      <c r="AA67" s="35">
        <f t="shared" ref="AA67:AA77" si="161">E67-P67</f>
        <v>57150563</v>
      </c>
      <c r="AB67" s="38">
        <f t="shared" si="146"/>
        <v>116156.73000000005</v>
      </c>
      <c r="AC67" s="45">
        <f t="shared" si="147"/>
        <v>28981056.583133161</v>
      </c>
      <c r="AD67" s="46">
        <f t="shared" si="148"/>
        <v>14474.357315682268</v>
      </c>
      <c r="AE67" s="53">
        <f t="shared" si="149"/>
        <v>98165157.824823141</v>
      </c>
      <c r="AF67" s="54">
        <f t="shared" si="150"/>
        <v>187711.17430642562</v>
      </c>
      <c r="AG67" s="59">
        <f t="shared" si="151"/>
        <v>8352936.1079205871</v>
      </c>
      <c r="AH67" s="15">
        <f t="shared" si="152"/>
        <v>7082.6540397005419</v>
      </c>
      <c r="AI67" s="103"/>
    </row>
    <row r="68" spans="1:35">
      <c r="A68" s="557">
        <v>3</v>
      </c>
      <c r="B68" s="23">
        <v>43160</v>
      </c>
      <c r="C68" s="29">
        <f t="shared" si="153"/>
        <v>3164831098.4681854</v>
      </c>
      <c r="D68" s="30">
        <f t="shared" si="153"/>
        <v>796050.19486243022</v>
      </c>
      <c r="E68" s="37">
        <v>1022301334</v>
      </c>
      <c r="F68" s="38">
        <v>267647.23000000004</v>
      </c>
      <c r="G68" s="45">
        <v>627519177.87771106</v>
      </c>
      <c r="H68" s="46">
        <v>130493.21576872235</v>
      </c>
      <c r="I68" s="53">
        <v>1425364989.7508011</v>
      </c>
      <c r="J68" s="54">
        <v>382902.97477119998</v>
      </c>
      <c r="K68" s="59">
        <v>89645596.839673027</v>
      </c>
      <c r="L68" s="15">
        <v>15006.774322507856</v>
      </c>
      <c r="M68" s="101"/>
      <c r="N68" s="29">
        <f t="shared" si="154"/>
        <v>2928515372.5637751</v>
      </c>
      <c r="O68" s="30">
        <f t="shared" si="155"/>
        <v>400139.57015776291</v>
      </c>
      <c r="P68" s="37">
        <v>953219469</v>
      </c>
      <c r="Q68" s="36">
        <v>130016.65</v>
      </c>
      <c r="R68" s="45">
        <v>591750584.73868155</v>
      </c>
      <c r="S68" s="44">
        <f t="shared" si="156"/>
        <v>112628.87751423339</v>
      </c>
      <c r="T68" s="53">
        <v>1304208965.6219831</v>
      </c>
      <c r="U68" s="52">
        <f t="shared" si="157"/>
        <v>151228.72224158005</v>
      </c>
      <c r="V68" s="59">
        <v>79336353.203110635</v>
      </c>
      <c r="W68" s="17">
        <f t="shared" si="158"/>
        <v>6265.3204019495124</v>
      </c>
      <c r="X68" s="101"/>
      <c r="Y68" s="29">
        <f t="shared" si="159"/>
        <v>236315725.90440995</v>
      </c>
      <c r="Z68" s="30">
        <f t="shared" si="160"/>
        <v>395910.62470466725</v>
      </c>
      <c r="AA68" s="35">
        <f t="shared" si="161"/>
        <v>69081865</v>
      </c>
      <c r="AB68" s="38">
        <f t="shared" si="146"/>
        <v>137630.58000000005</v>
      </c>
      <c r="AC68" s="45">
        <f t="shared" si="147"/>
        <v>35768593.139029503</v>
      </c>
      <c r="AD68" s="46">
        <f t="shared" si="148"/>
        <v>17864.338254488961</v>
      </c>
      <c r="AE68" s="53">
        <f t="shared" si="149"/>
        <v>121156024.12881804</v>
      </c>
      <c r="AF68" s="54">
        <f t="shared" si="150"/>
        <v>231674.25252961993</v>
      </c>
      <c r="AG68" s="59">
        <f t="shared" si="151"/>
        <v>10309243.636562392</v>
      </c>
      <c r="AH68" s="15">
        <f t="shared" si="152"/>
        <v>8741.4539205583424</v>
      </c>
      <c r="AI68" s="101"/>
    </row>
    <row r="69" spans="1:35">
      <c r="A69" s="557">
        <v>4</v>
      </c>
      <c r="B69" s="23">
        <v>43191</v>
      </c>
      <c r="C69" s="29">
        <f t="shared" si="153"/>
        <v>3308275761.9530325</v>
      </c>
      <c r="D69" s="30">
        <f t="shared" si="153"/>
        <v>846078.28217729263</v>
      </c>
      <c r="E69" s="37">
        <v>1058616918</v>
      </c>
      <c r="F69" s="38">
        <v>291254.53000000003</v>
      </c>
      <c r="G69" s="45">
        <v>658895895.71846128</v>
      </c>
      <c r="H69" s="46">
        <v>137018.03438088796</v>
      </c>
      <c r="I69" s="53">
        <v>1496634963.1319337</v>
      </c>
      <c r="J69" s="54">
        <v>402048.58660797658</v>
      </c>
      <c r="K69" s="59">
        <v>94127985.102637336</v>
      </c>
      <c r="L69" s="15">
        <v>15757.131188428062</v>
      </c>
      <c r="M69" s="101"/>
      <c r="N69" s="29">
        <f t="shared" si="154"/>
        <v>3060525885.7440624</v>
      </c>
      <c r="O69" s="30">
        <f t="shared" si="155"/>
        <v>459157.58286314592</v>
      </c>
      <c r="P69" s="37">
        <v>986462798</v>
      </c>
      <c r="Q69" s="36">
        <v>175528.19000000003</v>
      </c>
      <c r="R69" s="45">
        <v>621338829.66250896</v>
      </c>
      <c r="S69" s="44">
        <f t="shared" si="156"/>
        <v>118260.45760782727</v>
      </c>
      <c r="T69" s="53">
        <v>1369420991.2657194</v>
      </c>
      <c r="U69" s="52">
        <f t="shared" si="157"/>
        <v>158790.34125574178</v>
      </c>
      <c r="V69" s="59">
        <v>83303266.815834045</v>
      </c>
      <c r="W69" s="17">
        <f t="shared" si="158"/>
        <v>6578.5939995767949</v>
      </c>
      <c r="X69" s="101"/>
      <c r="Y69" s="29">
        <f t="shared" si="159"/>
        <v>247749876.20896989</v>
      </c>
      <c r="Z69" s="30">
        <f t="shared" si="160"/>
        <v>386920.69931414677</v>
      </c>
      <c r="AA69" s="35">
        <f t="shared" si="161"/>
        <v>72154120</v>
      </c>
      <c r="AB69" s="38">
        <f t="shared" si="146"/>
        <v>115726.34</v>
      </c>
      <c r="AC69" s="45">
        <f t="shared" si="147"/>
        <v>37557066.055952311</v>
      </c>
      <c r="AD69" s="46">
        <f t="shared" si="148"/>
        <v>18757.576773060689</v>
      </c>
      <c r="AE69" s="53">
        <f t="shared" si="149"/>
        <v>127213971.86621428</v>
      </c>
      <c r="AF69" s="54">
        <f t="shared" si="150"/>
        <v>243258.24535223481</v>
      </c>
      <c r="AG69" s="59">
        <f t="shared" si="151"/>
        <v>10824718.28680329</v>
      </c>
      <c r="AH69" s="15">
        <f t="shared" si="152"/>
        <v>9178.5371888512673</v>
      </c>
      <c r="AI69" s="101"/>
    </row>
    <row r="70" spans="1:35">
      <c r="A70" s="557">
        <v>5</v>
      </c>
      <c r="B70" s="23">
        <v>43221</v>
      </c>
      <c r="C70" s="29">
        <f t="shared" si="153"/>
        <v>3489623320.7949643</v>
      </c>
      <c r="D70" s="30">
        <f t="shared" si="153"/>
        <v>923308.08036578773</v>
      </c>
      <c r="E70" s="37">
        <v>1052403518</v>
      </c>
      <c r="F70" s="38">
        <v>322226.97000000003</v>
      </c>
      <c r="G70" s="45">
        <v>713830067.76421547</v>
      </c>
      <c r="H70" s="46">
        <v>148441.64822180182</v>
      </c>
      <c r="I70" s="53">
        <v>1621414011.0644324</v>
      </c>
      <c r="J70" s="54">
        <v>435568.61059202644</v>
      </c>
      <c r="K70" s="59">
        <v>101975723.96631651</v>
      </c>
      <c r="L70" s="15">
        <v>17070.851551959495</v>
      </c>
      <c r="M70" s="101"/>
      <c r="N70" s="29">
        <f t="shared" si="154"/>
        <v>3221998018.7358012</v>
      </c>
      <c r="O70" s="30">
        <f t="shared" si="155"/>
        <v>495851.89540364972</v>
      </c>
      <c r="P70" s="37">
        <v>975013929</v>
      </c>
      <c r="Q70" s="36">
        <v>188575.44999999992</v>
      </c>
      <c r="R70" s="45">
        <v>673141753.9016552</v>
      </c>
      <c r="S70" s="44">
        <f t="shared" si="156"/>
        <v>128120.19473269457</v>
      </c>
      <c r="T70" s="53">
        <v>1483593820.1239557</v>
      </c>
      <c r="U70" s="52">
        <f t="shared" si="157"/>
        <v>172029.17910923203</v>
      </c>
      <c r="V70" s="59">
        <v>90248515.710190102</v>
      </c>
      <c r="W70" s="17">
        <f t="shared" si="158"/>
        <v>7127.0715617231754</v>
      </c>
      <c r="X70" s="101"/>
      <c r="Y70" s="29">
        <f t="shared" si="159"/>
        <v>267625302.05916333</v>
      </c>
      <c r="Z70" s="30">
        <f t="shared" si="160"/>
        <v>427456.18496213813</v>
      </c>
      <c r="AA70" s="35">
        <f t="shared" si="161"/>
        <v>77389589</v>
      </c>
      <c r="AB70" s="38">
        <f t="shared" si="146"/>
        <v>133651.52000000011</v>
      </c>
      <c r="AC70" s="45">
        <f t="shared" si="147"/>
        <v>40688313.862560272</v>
      </c>
      <c r="AD70" s="46">
        <f t="shared" si="148"/>
        <v>20321.453489107254</v>
      </c>
      <c r="AE70" s="53">
        <f t="shared" si="149"/>
        <v>137820190.94047666</v>
      </c>
      <c r="AF70" s="54">
        <f t="shared" si="150"/>
        <v>263539.4314827944</v>
      </c>
      <c r="AG70" s="59">
        <f t="shared" si="151"/>
        <v>11727208.256126404</v>
      </c>
      <c r="AH70" s="15">
        <f t="shared" si="152"/>
        <v>9943.7799902363186</v>
      </c>
      <c r="AI70" s="101"/>
    </row>
    <row r="71" spans="1:35">
      <c r="A71" s="557">
        <v>6</v>
      </c>
      <c r="B71" s="23">
        <v>43252</v>
      </c>
      <c r="C71" s="29">
        <f t="shared" si="153"/>
        <v>3621232855.0912328</v>
      </c>
      <c r="D71" s="30">
        <f t="shared" si="153"/>
        <v>816401.67840713169</v>
      </c>
      <c r="E71" s="37">
        <v>1229363763.3</v>
      </c>
      <c r="F71" s="38">
        <v>226505.22019899506</v>
      </c>
      <c r="G71" s="45">
        <v>700547432.74220216</v>
      </c>
      <c r="H71" s="46">
        <v>145679.5115110692</v>
      </c>
      <c r="I71" s="53">
        <v>1591243454.3715734</v>
      </c>
      <c r="J71" s="54">
        <v>427463.74202063092</v>
      </c>
      <c r="K71" s="59">
        <v>100078204.67745745</v>
      </c>
      <c r="L71" s="15">
        <v>16753.20467643653</v>
      </c>
      <c r="M71" s="101"/>
      <c r="N71" s="29">
        <f t="shared" si="154"/>
        <v>3330041044.3849359</v>
      </c>
      <c r="O71" s="30">
        <f t="shared" si="155"/>
        <v>414045.56519282778</v>
      </c>
      <c r="P71" s="37">
        <v>1124867843.4194999</v>
      </c>
      <c r="Q71" s="36">
        <v>112486.78434195</v>
      </c>
      <c r="R71" s="45">
        <v>660616229.07589662</v>
      </c>
      <c r="S71" s="44">
        <f t="shared" si="156"/>
        <v>125736.19066445214</v>
      </c>
      <c r="T71" s="53">
        <v>1455987760.7499897</v>
      </c>
      <c r="U71" s="52">
        <f t="shared" si="157"/>
        <v>168828.13602848686</v>
      </c>
      <c r="V71" s="59">
        <v>88569211.139549851</v>
      </c>
      <c r="W71" s="17">
        <f t="shared" si="158"/>
        <v>6994.454157938766</v>
      </c>
      <c r="X71" s="101"/>
      <c r="Y71" s="29">
        <f t="shared" si="159"/>
        <v>291191810.70629692</v>
      </c>
      <c r="Z71" s="30">
        <f t="shared" si="160"/>
        <v>402356.11321430397</v>
      </c>
      <c r="AA71" s="35">
        <f t="shared" si="161"/>
        <v>104495919.88050008</v>
      </c>
      <c r="AB71" s="38">
        <f t="shared" si="146"/>
        <v>114018.43585704506</v>
      </c>
      <c r="AC71" s="45">
        <f t="shared" si="147"/>
        <v>39931203.666305542</v>
      </c>
      <c r="AD71" s="46">
        <f t="shared" si="148"/>
        <v>19943.320846617062</v>
      </c>
      <c r="AE71" s="53">
        <f t="shared" si="149"/>
        <v>135255693.6215837</v>
      </c>
      <c r="AF71" s="54">
        <f t="shared" si="150"/>
        <v>258635.60599214406</v>
      </c>
      <c r="AG71" s="59">
        <f t="shared" si="151"/>
        <v>11508993.5379076</v>
      </c>
      <c r="AH71" s="15">
        <f t="shared" si="152"/>
        <v>9758.7505184977636</v>
      </c>
      <c r="AI71" s="101"/>
    </row>
    <row r="72" spans="1:35">
      <c r="A72" s="557">
        <v>7</v>
      </c>
      <c r="B72" s="23">
        <v>43282</v>
      </c>
      <c r="C72" s="29">
        <f t="shared" si="153"/>
        <v>3987428020.7478676</v>
      </c>
      <c r="D72" s="30">
        <f t="shared" si="153"/>
        <v>895759.46891377459</v>
      </c>
      <c r="E72" s="37">
        <v>1404987158.057143</v>
      </c>
      <c r="F72" s="38">
        <v>258863.10879885152</v>
      </c>
      <c r="G72" s="45">
        <v>756363432.58724153</v>
      </c>
      <c r="H72" s="46">
        <v>157286.50228983568</v>
      </c>
      <c r="I72" s="53">
        <v>1718025511.1624486</v>
      </c>
      <c r="J72" s="54">
        <v>461521.84436066699</v>
      </c>
      <c r="K72" s="59">
        <v>108051918.94103451</v>
      </c>
      <c r="L72" s="15">
        <v>18088.013464420492</v>
      </c>
      <c r="M72" s="101"/>
      <c r="N72" s="29">
        <f t="shared" si="154"/>
        <v>3666433257.5285106</v>
      </c>
      <c r="O72" s="30">
        <f t="shared" si="155"/>
        <v>454141.75137421692</v>
      </c>
      <c r="P72" s="37">
        <v>1285563249.6222858</v>
      </c>
      <c r="Q72" s="36">
        <v>128556.32496222859</v>
      </c>
      <c r="R72" s="45">
        <v>713250716.92976868</v>
      </c>
      <c r="S72" s="44">
        <f t="shared" si="156"/>
        <v>135754.20068152048</v>
      </c>
      <c r="T72" s="53">
        <v>1571993342.7136407</v>
      </c>
      <c r="U72" s="52">
        <f t="shared" si="157"/>
        <v>182279.48960424404</v>
      </c>
      <c r="V72" s="59">
        <v>95625948.26281555</v>
      </c>
      <c r="W72" s="17">
        <f t="shared" si="158"/>
        <v>7551.7361262238619</v>
      </c>
      <c r="X72" s="101"/>
      <c r="Y72" s="29">
        <f t="shared" si="159"/>
        <v>320994763.21935689</v>
      </c>
      <c r="Z72" s="30">
        <f t="shared" si="160"/>
        <v>441617.71753955772</v>
      </c>
      <c r="AA72" s="35">
        <f t="shared" si="161"/>
        <v>119423908.43485713</v>
      </c>
      <c r="AB72" s="38">
        <f t="shared" si="146"/>
        <v>130306.78383662293</v>
      </c>
      <c r="AC72" s="45">
        <f t="shared" si="147"/>
        <v>43112715.657472849</v>
      </c>
      <c r="AD72" s="46">
        <f t="shared" si="148"/>
        <v>21532.301608315203</v>
      </c>
      <c r="AE72" s="53">
        <f t="shared" si="149"/>
        <v>146032168.44880795</v>
      </c>
      <c r="AF72" s="54">
        <f t="shared" si="150"/>
        <v>279242.35475642292</v>
      </c>
      <c r="AG72" s="59">
        <f t="shared" si="151"/>
        <v>12425970.678218961</v>
      </c>
      <c r="AH72" s="15">
        <f t="shared" si="152"/>
        <v>10536.277338196629</v>
      </c>
      <c r="AI72" s="101"/>
    </row>
    <row r="73" spans="1:35">
      <c r="A73" s="557">
        <v>8</v>
      </c>
      <c r="B73" s="23">
        <v>43313</v>
      </c>
      <c r="C73" s="29">
        <f t="shared" si="153"/>
        <v>4138944788.7121925</v>
      </c>
      <c r="D73" s="30">
        <f t="shared" si="153"/>
        <v>922172.0431094137</v>
      </c>
      <c r="E73" s="37">
        <v>1580610552.8142858</v>
      </c>
      <c r="F73" s="38">
        <v>291220.99739870796</v>
      </c>
      <c r="G73" s="45">
        <v>749302914.2797215</v>
      </c>
      <c r="H73" s="46">
        <v>155818.26072619413</v>
      </c>
      <c r="I73" s="53">
        <v>1701988048.1496534</v>
      </c>
      <c r="J73" s="54">
        <v>457213.61991321796</v>
      </c>
      <c r="K73" s="59">
        <v>107043273.46853167</v>
      </c>
      <c r="L73" s="15">
        <v>17919.165071293719</v>
      </c>
      <c r="M73" s="101"/>
      <c r="N73" s="29">
        <f t="shared" si="154"/>
        <v>3804903665.0674319</v>
      </c>
      <c r="O73" s="30">
        <f t="shared" si="155"/>
        <v>467172.00986529444</v>
      </c>
      <c r="P73" s="37">
        <v>1446258655.8250713</v>
      </c>
      <c r="Q73" s="36">
        <v>144625.86558250713</v>
      </c>
      <c r="R73" s="45">
        <v>706592648.16577733</v>
      </c>
      <c r="S73" s="44">
        <f t="shared" si="156"/>
        <v>134486.9593290982</v>
      </c>
      <c r="T73" s="53">
        <v>1557319064.0569329</v>
      </c>
      <c r="U73" s="52">
        <f t="shared" si="157"/>
        <v>180577.94294295998</v>
      </c>
      <c r="V73" s="59">
        <v>94733297.019650534</v>
      </c>
      <c r="W73" s="17">
        <f t="shared" si="158"/>
        <v>7481.2420107291746</v>
      </c>
      <c r="X73" s="101"/>
      <c r="Y73" s="29">
        <f t="shared" si="159"/>
        <v>334041123.64476025</v>
      </c>
      <c r="Z73" s="30">
        <f t="shared" si="160"/>
        <v>455000.03324411932</v>
      </c>
      <c r="AA73" s="35">
        <f t="shared" si="161"/>
        <v>134351896.98921442</v>
      </c>
      <c r="AB73" s="38">
        <f t="shared" si="146"/>
        <v>146595.13181620082</v>
      </c>
      <c r="AC73" s="45">
        <f t="shared" si="147"/>
        <v>42710266.113944173</v>
      </c>
      <c r="AD73" s="46">
        <f t="shared" si="148"/>
        <v>21331.301397095929</v>
      </c>
      <c r="AE73" s="53">
        <f t="shared" si="149"/>
        <v>144668984.09272051</v>
      </c>
      <c r="AF73" s="54">
        <f t="shared" si="150"/>
        <v>276635.67697025801</v>
      </c>
      <c r="AG73" s="59">
        <f t="shared" si="151"/>
        <v>12309976.448881134</v>
      </c>
      <c r="AH73" s="15">
        <f t="shared" si="152"/>
        <v>10437.923060564544</v>
      </c>
      <c r="AI73" s="101"/>
    </row>
    <row r="74" spans="1:35">
      <c r="A74" s="557">
        <v>9</v>
      </c>
      <c r="B74" s="23">
        <v>43344</v>
      </c>
      <c r="C74" s="29">
        <f t="shared" si="153"/>
        <v>4279797893.8931308</v>
      </c>
      <c r="D74" s="30">
        <f t="shared" si="153"/>
        <v>956910.04284318257</v>
      </c>
      <c r="E74" s="37">
        <v>1580610552.8142858</v>
      </c>
      <c r="F74" s="38">
        <v>291220.99739870796</v>
      </c>
      <c r="G74" s="45">
        <v>790556961.82225585</v>
      </c>
      <c r="H74" s="46">
        <v>164397.07953697184</v>
      </c>
      <c r="I74" s="53">
        <v>1795693670.4248385</v>
      </c>
      <c r="J74" s="54">
        <v>482386.23308945977</v>
      </c>
      <c r="K74" s="59">
        <v>112936708.83175085</v>
      </c>
      <c r="L74" s="15">
        <v>18905.732818043078</v>
      </c>
      <c r="M74" s="101"/>
      <c r="N74" s="29">
        <f t="shared" si="154"/>
        <v>3934762566.5782857</v>
      </c>
      <c r="O74" s="30">
        <f t="shared" si="155"/>
        <v>484930.29388811078</v>
      </c>
      <c r="P74" s="37">
        <v>1446258655.8250713</v>
      </c>
      <c r="Q74" s="36">
        <v>144625.86558250713</v>
      </c>
      <c r="R74" s="45">
        <v>745495214.99838722</v>
      </c>
      <c r="S74" s="44">
        <f t="shared" si="156"/>
        <v>141891.34987433814</v>
      </c>
      <c r="T74" s="53">
        <v>1643059708.4387274</v>
      </c>
      <c r="U74" s="52">
        <f t="shared" si="157"/>
        <v>190519.94490416007</v>
      </c>
      <c r="V74" s="59">
        <v>99948987.31609951</v>
      </c>
      <c r="W74" s="17">
        <f t="shared" si="158"/>
        <v>7893.1335271054359</v>
      </c>
      <c r="X74" s="101"/>
      <c r="Y74" s="29">
        <f t="shared" si="159"/>
        <v>345035327.31484556</v>
      </c>
      <c r="Z74" s="30">
        <f t="shared" si="160"/>
        <v>471979.7489550719</v>
      </c>
      <c r="AA74" s="35">
        <f t="shared" si="161"/>
        <v>134351896.98921442</v>
      </c>
      <c r="AB74" s="38">
        <f t="shared" si="146"/>
        <v>146595.13181620082</v>
      </c>
      <c r="AC74" s="45">
        <f t="shared" si="147"/>
        <v>45061746.823868632</v>
      </c>
      <c r="AD74" s="46">
        <f t="shared" si="148"/>
        <v>22505.729662633705</v>
      </c>
      <c r="AE74" s="53">
        <f t="shared" si="149"/>
        <v>152633961.98611116</v>
      </c>
      <c r="AF74" s="54">
        <f t="shared" si="150"/>
        <v>291866.28818529972</v>
      </c>
      <c r="AG74" s="59">
        <f t="shared" si="151"/>
        <v>12987721.515651345</v>
      </c>
      <c r="AH74" s="15">
        <f t="shared" si="152"/>
        <v>11012.599290937642</v>
      </c>
      <c r="AI74" s="101"/>
    </row>
    <row r="75" spans="1:35">
      <c r="A75" s="557">
        <v>10</v>
      </c>
      <c r="B75" s="23">
        <v>43374</v>
      </c>
      <c r="C75" s="29">
        <f t="shared" si="153"/>
        <v>4652428973.6290178</v>
      </c>
      <c r="D75" s="30">
        <f t="shared" si="153"/>
        <v>1037855.0953507907</v>
      </c>
      <c r="E75" s="37">
        <v>1756233947.5714285</v>
      </c>
      <c r="F75" s="38">
        <v>323578.88599856436</v>
      </c>
      <c r="G75" s="45">
        <v>848257957.42272496</v>
      </c>
      <c r="H75" s="46">
        <v>176396.05699360892</v>
      </c>
      <c r="I75" s="53">
        <v>1926757360.4316182</v>
      </c>
      <c r="J75" s="54">
        <v>517594.5321208961</v>
      </c>
      <c r="K75" s="59">
        <v>121179708.20324643</v>
      </c>
      <c r="L75" s="15">
        <v>20285.620237721268</v>
      </c>
      <c r="M75" s="101"/>
      <c r="N75" s="29">
        <f t="shared" si="154"/>
        <v>4277088342.4322906</v>
      </c>
      <c r="O75" s="30">
        <f t="shared" si="155"/>
        <v>525837.89839087101</v>
      </c>
      <c r="P75" s="37">
        <v>1606954062.0278571</v>
      </c>
      <c r="Q75" s="36">
        <v>160695.4062027857</v>
      </c>
      <c r="R75" s="45">
        <v>799907253.84962964</v>
      </c>
      <c r="S75" s="44">
        <f t="shared" si="156"/>
        <v>152247.68414274041</v>
      </c>
      <c r="T75" s="53">
        <v>1762982984.7949307</v>
      </c>
      <c r="U75" s="52">
        <f t="shared" si="157"/>
        <v>204425.57224488567</v>
      </c>
      <c r="V75" s="59">
        <v>107244041.75987309</v>
      </c>
      <c r="W75" s="17">
        <f t="shared" si="158"/>
        <v>8469.2358004591733</v>
      </c>
      <c r="X75" s="101"/>
      <c r="Y75" s="29">
        <f t="shared" si="159"/>
        <v>375340631.19672763</v>
      </c>
      <c r="Z75" s="30">
        <f t="shared" si="160"/>
        <v>512017.19695991965</v>
      </c>
      <c r="AA75" s="35">
        <f t="shared" si="161"/>
        <v>149279885.54357147</v>
      </c>
      <c r="AB75" s="38">
        <f t="shared" si="146"/>
        <v>162883.47979577866</v>
      </c>
      <c r="AC75" s="45">
        <f t="shared" si="147"/>
        <v>48350703.573095322</v>
      </c>
      <c r="AD75" s="46">
        <f t="shared" si="148"/>
        <v>24148.372850868502</v>
      </c>
      <c r="AE75" s="53">
        <f t="shared" si="149"/>
        <v>163774375.63668752</v>
      </c>
      <c r="AF75" s="54">
        <f t="shared" si="150"/>
        <v>313168.95987601043</v>
      </c>
      <c r="AG75" s="59">
        <f t="shared" si="151"/>
        <v>13935666.443373337</v>
      </c>
      <c r="AH75" s="15">
        <f t="shared" si="152"/>
        <v>11816.384437262095</v>
      </c>
      <c r="AI75" s="101"/>
    </row>
    <row r="76" spans="1:35">
      <c r="A76" s="557">
        <v>11</v>
      </c>
      <c r="B76" s="23">
        <v>43405</v>
      </c>
      <c r="C76" s="29">
        <f t="shared" si="153"/>
        <v>5063242147.9338112</v>
      </c>
      <c r="D76" s="30">
        <f t="shared" si="153"/>
        <v>1117261.475617693</v>
      </c>
      <c r="E76" s="37">
        <v>2107480737.0857141</v>
      </c>
      <c r="F76" s="38">
        <v>388294.66319827724</v>
      </c>
      <c r="G76" s="45">
        <v>865704178.90948462</v>
      </c>
      <c r="H76" s="46">
        <v>180024.01550878966</v>
      </c>
      <c r="I76" s="53">
        <v>1966385206.3801153</v>
      </c>
      <c r="J76" s="54">
        <v>528239.95992820268</v>
      </c>
      <c r="K76" s="59">
        <v>123672025.55849782</v>
      </c>
      <c r="L76" s="15">
        <v>20702.836982423396</v>
      </c>
      <c r="M76" s="101"/>
      <c r="N76" s="29">
        <f t="shared" si="154"/>
        <v>4653396121.6021481</v>
      </c>
      <c r="O76" s="30">
        <f t="shared" si="155"/>
        <v>565486.90834732947</v>
      </c>
      <c r="P76" s="37">
        <v>1928344874.4334283</v>
      </c>
      <c r="Q76" s="36">
        <v>192834.48744334283</v>
      </c>
      <c r="R76" s="45">
        <v>816359040.71164393</v>
      </c>
      <c r="S76" s="44">
        <f t="shared" si="156"/>
        <v>155378.98022450152</v>
      </c>
      <c r="T76" s="53">
        <v>1799242463.8378055</v>
      </c>
      <c r="U76" s="52">
        <f t="shared" si="157"/>
        <v>208630.01710712767</v>
      </c>
      <c r="V76" s="59">
        <v>109449742.61927056</v>
      </c>
      <c r="W76" s="17">
        <f t="shared" si="158"/>
        <v>8643.4235723573984</v>
      </c>
      <c r="X76" s="101"/>
      <c r="Y76" s="29">
        <f t="shared" si="159"/>
        <v>409846026.33166349</v>
      </c>
      <c r="Z76" s="30">
        <f t="shared" si="160"/>
        <v>551774.56727036356</v>
      </c>
      <c r="AA76" s="35">
        <f t="shared" si="161"/>
        <v>179135862.65228581</v>
      </c>
      <c r="AB76" s="38">
        <f t="shared" si="146"/>
        <v>195460.1757549344</v>
      </c>
      <c r="AC76" s="45">
        <f t="shared" si="147"/>
        <v>49345138.197840691</v>
      </c>
      <c r="AD76" s="46">
        <f t="shared" si="148"/>
        <v>24645.03528428814</v>
      </c>
      <c r="AE76" s="53">
        <f t="shared" si="149"/>
        <v>167142742.54230976</v>
      </c>
      <c r="AF76" s="54">
        <f t="shared" si="150"/>
        <v>319609.94282107498</v>
      </c>
      <c r="AG76" s="59">
        <f t="shared" si="151"/>
        <v>14222282.939227253</v>
      </c>
      <c r="AH76" s="15">
        <f t="shared" si="152"/>
        <v>12059.413410065998</v>
      </c>
      <c r="AI76" s="101"/>
    </row>
    <row r="77" spans="1:35" ht="15.75" thickBot="1">
      <c r="A77" s="557">
        <v>12</v>
      </c>
      <c r="B77" s="24">
        <v>43435</v>
      </c>
      <c r="C77" s="31">
        <f t="shared" si="153"/>
        <v>5915164200.107688</v>
      </c>
      <c r="D77" s="32">
        <f t="shared" si="153"/>
        <v>1294501.2952706055</v>
      </c>
      <c r="E77" s="39">
        <v>2634350921.3571429</v>
      </c>
      <c r="F77" s="40">
        <v>485368.32899784652</v>
      </c>
      <c r="G77" s="47">
        <v>960907654.86417639</v>
      </c>
      <c r="H77" s="48">
        <v>199821.66977603344</v>
      </c>
      <c r="I77" s="55">
        <v>2182633101.7629151</v>
      </c>
      <c r="J77" s="56">
        <v>586331.72100377223</v>
      </c>
      <c r="K77" s="60">
        <v>137272522.1234538</v>
      </c>
      <c r="L77" s="16">
        <v>22979.575492953481</v>
      </c>
      <c r="M77" s="101"/>
      <c r="N77" s="31">
        <f t="shared" si="154"/>
        <v>5435162481.7710285</v>
      </c>
      <c r="O77" s="32">
        <f t="shared" si="155"/>
        <v>654676.97243440151</v>
      </c>
      <c r="P77" s="39">
        <v>2410431093.0417857</v>
      </c>
      <c r="Q77" s="824">
        <v>241043.10930417859</v>
      </c>
      <c r="R77" s="47">
        <v>906135918.53691828</v>
      </c>
      <c r="S77" s="825">
        <f t="shared" si="156"/>
        <v>172466.36338384115</v>
      </c>
      <c r="T77" s="55">
        <v>1997109288.1130674</v>
      </c>
      <c r="U77" s="826">
        <f t="shared" si="157"/>
        <v>231573.53904103543</v>
      </c>
      <c r="V77" s="60">
        <v>121486182.07925661</v>
      </c>
      <c r="W77" s="827">
        <f t="shared" si="158"/>
        <v>9593.9607053463151</v>
      </c>
      <c r="X77" s="101"/>
      <c r="Y77" s="31">
        <f t="shared" si="159"/>
        <v>480001718.33666027</v>
      </c>
      <c r="Z77" s="32">
        <f t="shared" si="160"/>
        <v>639824.3228362042</v>
      </c>
      <c r="AA77" s="559">
        <f t="shared" si="161"/>
        <v>223919828.31535721</v>
      </c>
      <c r="AB77" s="40">
        <f t="shared" si="146"/>
        <v>244325.21969366792</v>
      </c>
      <c r="AC77" s="47">
        <f t="shared" si="147"/>
        <v>54771736.32725811</v>
      </c>
      <c r="AD77" s="48">
        <f t="shared" si="148"/>
        <v>27355.306392192288</v>
      </c>
      <c r="AE77" s="55">
        <f t="shared" si="149"/>
        <v>185523813.64984775</v>
      </c>
      <c r="AF77" s="56">
        <f t="shared" si="150"/>
        <v>354758.18196273677</v>
      </c>
      <c r="AG77" s="60">
        <f t="shared" si="151"/>
        <v>15786340.044197187</v>
      </c>
      <c r="AH77" s="16">
        <f t="shared" si="152"/>
        <v>13385.614787607166</v>
      </c>
      <c r="AI77" s="101"/>
    </row>
    <row r="78" spans="1:35" ht="15.75" thickBot="1">
      <c r="M78" s="101"/>
      <c r="X78" s="101"/>
      <c r="AI78" s="101"/>
    </row>
    <row r="79" spans="1:35">
      <c r="A79" s="557"/>
      <c r="B79" s="641" t="s">
        <v>149</v>
      </c>
      <c r="C79" s="657">
        <f t="shared" ref="C79:L79" si="162">SUM(C66:C68)</f>
        <v>8543862037.1370602</v>
      </c>
      <c r="D79" s="658">
        <f t="shared" si="162"/>
        <v>2130906.3779684482</v>
      </c>
      <c r="E79" s="659">
        <f t="shared" si="162"/>
        <v>2720341931</v>
      </c>
      <c r="F79" s="660">
        <f t="shared" si="162"/>
        <v>694676.48700000008</v>
      </c>
      <c r="G79" s="661">
        <f t="shared" si="162"/>
        <v>1705633503.8895154</v>
      </c>
      <c r="H79" s="662">
        <f t="shared" si="162"/>
        <v>354688.12538633024</v>
      </c>
      <c r="I79" s="663">
        <f t="shared" si="162"/>
        <v>3874224673.120471</v>
      </c>
      <c r="J79" s="664">
        <f t="shared" si="162"/>
        <v>1040752.483003783</v>
      </c>
      <c r="K79" s="665">
        <f t="shared" si="162"/>
        <v>243661929.12707365</v>
      </c>
      <c r="L79" s="666">
        <f t="shared" si="162"/>
        <v>40789.28257833478</v>
      </c>
      <c r="M79" s="652"/>
      <c r="N79" s="657">
        <f t="shared" ref="N79:W79" si="163">SUM(N66:N68)</f>
        <v>7894063820.3505039</v>
      </c>
      <c r="O79" s="658">
        <f t="shared" si="163"/>
        <v>1076160.9035014</v>
      </c>
      <c r="P79" s="659">
        <f t="shared" si="163"/>
        <v>2525095043</v>
      </c>
      <c r="Q79" s="660">
        <f t="shared" si="163"/>
        <v>341951.147</v>
      </c>
      <c r="R79" s="661">
        <f t="shared" si="163"/>
        <v>1608412394.1678128</v>
      </c>
      <c r="S79" s="662">
        <f t="shared" si="163"/>
        <v>306131.81838273868</v>
      </c>
      <c r="T79" s="663">
        <f t="shared" si="163"/>
        <v>3544915575.905231</v>
      </c>
      <c r="U79" s="664">
        <f t="shared" si="163"/>
        <v>411048.43405424512</v>
      </c>
      <c r="V79" s="665">
        <f t="shared" si="163"/>
        <v>215640807.27746019</v>
      </c>
      <c r="W79" s="666">
        <f t="shared" si="163"/>
        <v>17029.504064416233</v>
      </c>
      <c r="X79" s="652"/>
      <c r="Y79" s="657">
        <f t="shared" ref="Y79:AH79" si="164">SUM(Y66:Y68)</f>
        <v>649798216.78655565</v>
      </c>
      <c r="Z79" s="658">
        <f t="shared" si="164"/>
        <v>1054745.474467048</v>
      </c>
      <c r="AA79" s="659">
        <f t="shared" si="164"/>
        <v>195246888</v>
      </c>
      <c r="AB79" s="660">
        <f t="shared" si="164"/>
        <v>352725.34000000008</v>
      </c>
      <c r="AC79" s="661">
        <f t="shared" si="164"/>
        <v>97221109.721702397</v>
      </c>
      <c r="AD79" s="662">
        <f t="shared" si="164"/>
        <v>48556.307003591573</v>
      </c>
      <c r="AE79" s="663">
        <f t="shared" si="164"/>
        <v>329309097.21523976</v>
      </c>
      <c r="AF79" s="664">
        <f t="shared" si="164"/>
        <v>629704.0489495378</v>
      </c>
      <c r="AG79" s="665">
        <f t="shared" si="164"/>
        <v>28021121.849613458</v>
      </c>
      <c r="AH79" s="666">
        <f t="shared" si="164"/>
        <v>23759.778513918543</v>
      </c>
      <c r="AI79" s="101"/>
    </row>
    <row r="80" spans="1:35">
      <c r="A80" s="557"/>
      <c r="B80" s="653" t="s">
        <v>150</v>
      </c>
      <c r="C80" s="29">
        <f t="shared" ref="C80:L80" si="165">SUM(C69:C71)</f>
        <v>10419131937.83923</v>
      </c>
      <c r="D80" s="30">
        <f t="shared" si="165"/>
        <v>2585788.0409502122</v>
      </c>
      <c r="E80" s="37">
        <f t="shared" si="165"/>
        <v>3340384199.3000002</v>
      </c>
      <c r="F80" s="38">
        <f t="shared" si="165"/>
        <v>839986.72019899508</v>
      </c>
      <c r="G80" s="45">
        <f t="shared" si="165"/>
        <v>2073273396.2248788</v>
      </c>
      <c r="H80" s="46">
        <f t="shared" si="165"/>
        <v>431139.19411375897</v>
      </c>
      <c r="I80" s="53">
        <f t="shared" si="165"/>
        <v>4709292428.5679398</v>
      </c>
      <c r="J80" s="54">
        <f t="shared" si="165"/>
        <v>1265080.9392206341</v>
      </c>
      <c r="K80" s="59">
        <f t="shared" si="165"/>
        <v>296181913.74641132</v>
      </c>
      <c r="L80" s="15">
        <f t="shared" si="165"/>
        <v>49581.187416824083</v>
      </c>
      <c r="M80" s="654"/>
      <c r="N80" s="29">
        <f t="shared" ref="N80:W80" si="166">SUM(N69:N71)</f>
        <v>9612564948.8647995</v>
      </c>
      <c r="O80" s="30">
        <f t="shared" si="166"/>
        <v>1369055.0434596234</v>
      </c>
      <c r="P80" s="37">
        <f t="shared" si="166"/>
        <v>3086344570.4194999</v>
      </c>
      <c r="Q80" s="38">
        <f t="shared" si="166"/>
        <v>476590.42434194998</v>
      </c>
      <c r="R80" s="45">
        <f t="shared" si="166"/>
        <v>1955096812.6400609</v>
      </c>
      <c r="S80" s="46">
        <f t="shared" si="166"/>
        <v>372116.84300497395</v>
      </c>
      <c r="T80" s="53">
        <f t="shared" si="166"/>
        <v>4309002572.1396646</v>
      </c>
      <c r="U80" s="54">
        <f t="shared" si="166"/>
        <v>499647.6563934607</v>
      </c>
      <c r="V80" s="59">
        <f t="shared" si="166"/>
        <v>262120993.66557401</v>
      </c>
      <c r="W80" s="15">
        <f t="shared" si="166"/>
        <v>20700.119719238737</v>
      </c>
      <c r="X80" s="654"/>
      <c r="Y80" s="29">
        <f t="shared" ref="Y80:AH80" si="167">SUM(Y69:Y71)</f>
        <v>806566988.97443008</v>
      </c>
      <c r="Z80" s="30">
        <f t="shared" si="167"/>
        <v>1216732.9974905888</v>
      </c>
      <c r="AA80" s="37">
        <f t="shared" si="167"/>
        <v>254039628.88050008</v>
      </c>
      <c r="AB80" s="38">
        <f t="shared" si="167"/>
        <v>363396.29585704516</v>
      </c>
      <c r="AC80" s="45">
        <f t="shared" si="167"/>
        <v>118176583.58481812</v>
      </c>
      <c r="AD80" s="46">
        <f t="shared" si="167"/>
        <v>59022.351108785006</v>
      </c>
      <c r="AE80" s="53">
        <f t="shared" si="167"/>
        <v>400289856.42827463</v>
      </c>
      <c r="AF80" s="54">
        <f t="shared" si="167"/>
        <v>765433.28282717324</v>
      </c>
      <c r="AG80" s="59">
        <f t="shared" si="167"/>
        <v>34060920.080837294</v>
      </c>
      <c r="AH80" s="15">
        <f t="shared" si="167"/>
        <v>28881.067697585349</v>
      </c>
      <c r="AI80" s="101"/>
    </row>
    <row r="81" spans="1:35">
      <c r="A81" s="557"/>
      <c r="B81" s="653" t="s">
        <v>216</v>
      </c>
      <c r="C81" s="29">
        <f t="shared" ref="C81:L81" si="168">SUM(C72:C74)</f>
        <v>12406170703.353191</v>
      </c>
      <c r="D81" s="30">
        <f t="shared" si="168"/>
        <v>2774841.5548663707</v>
      </c>
      <c r="E81" s="37">
        <f t="shared" si="168"/>
        <v>4566208263.6857147</v>
      </c>
      <c r="F81" s="38">
        <f t="shared" si="168"/>
        <v>841305.10359626752</v>
      </c>
      <c r="G81" s="45">
        <f t="shared" si="168"/>
        <v>2296223308.6892185</v>
      </c>
      <c r="H81" s="46">
        <f t="shared" si="168"/>
        <v>477501.84255300171</v>
      </c>
      <c r="I81" s="53">
        <f t="shared" si="168"/>
        <v>5215707229.7369404</v>
      </c>
      <c r="J81" s="54">
        <f t="shared" si="168"/>
        <v>1401121.6973633447</v>
      </c>
      <c r="K81" s="59">
        <f t="shared" si="168"/>
        <v>328031901.24131703</v>
      </c>
      <c r="L81" s="15">
        <f t="shared" si="168"/>
        <v>54912.911353757285</v>
      </c>
      <c r="M81" s="654"/>
      <c r="N81" s="29">
        <f t="shared" ref="N81:W81" si="169">SUM(N72:N74)</f>
        <v>11406099489.174229</v>
      </c>
      <c r="O81" s="30">
        <f t="shared" si="169"/>
        <v>1406244.0551276221</v>
      </c>
      <c r="P81" s="37">
        <f t="shared" si="169"/>
        <v>4178080561.2724285</v>
      </c>
      <c r="Q81" s="38">
        <f t="shared" si="169"/>
        <v>417808.05612724286</v>
      </c>
      <c r="R81" s="45">
        <f t="shared" si="169"/>
        <v>2165338580.0939331</v>
      </c>
      <c r="S81" s="46">
        <f t="shared" si="169"/>
        <v>412132.50988495682</v>
      </c>
      <c r="T81" s="53">
        <f t="shared" si="169"/>
        <v>4772372115.209301</v>
      </c>
      <c r="U81" s="54">
        <f t="shared" si="169"/>
        <v>553377.37745136407</v>
      </c>
      <c r="V81" s="59">
        <f t="shared" si="169"/>
        <v>290308232.59856558</v>
      </c>
      <c r="W81" s="15">
        <f t="shared" si="169"/>
        <v>22926.111664058473</v>
      </c>
      <c r="X81" s="654"/>
      <c r="Y81" s="29">
        <f t="shared" ref="Y81:AH81" si="170">SUM(Y72:Y74)</f>
        <v>1000071214.1789627</v>
      </c>
      <c r="Z81" s="30">
        <f t="shared" si="170"/>
        <v>1368597.4997387489</v>
      </c>
      <c r="AA81" s="37">
        <f t="shared" si="170"/>
        <v>388127702.41328597</v>
      </c>
      <c r="AB81" s="38">
        <f t="shared" si="170"/>
        <v>423497.04746902455</v>
      </c>
      <c r="AC81" s="45">
        <f t="shared" si="170"/>
        <v>130884728.59528565</v>
      </c>
      <c r="AD81" s="46">
        <f t="shared" si="170"/>
        <v>65369.332668044837</v>
      </c>
      <c r="AE81" s="53">
        <f t="shared" si="170"/>
        <v>443335114.52763963</v>
      </c>
      <c r="AF81" s="54">
        <f t="shared" si="170"/>
        <v>847744.31991198065</v>
      </c>
      <c r="AG81" s="59">
        <f t="shared" si="170"/>
        <v>37723668.64275144</v>
      </c>
      <c r="AH81" s="15">
        <f t="shared" si="170"/>
        <v>31986.799689698819</v>
      </c>
      <c r="AI81" s="101"/>
    </row>
    <row r="82" spans="1:35" ht="15.75" thickBot="1">
      <c r="A82" s="557"/>
      <c r="B82" s="655" t="s">
        <v>217</v>
      </c>
      <c r="C82" s="31">
        <f t="shared" ref="C82:L82" si="171">SUM(C75:C77)</f>
        <v>15630835321.670517</v>
      </c>
      <c r="D82" s="32">
        <f t="shared" si="171"/>
        <v>3449617.8662390891</v>
      </c>
      <c r="E82" s="39">
        <f t="shared" si="171"/>
        <v>6498065606.014286</v>
      </c>
      <c r="F82" s="40">
        <f t="shared" si="171"/>
        <v>1197241.8781946881</v>
      </c>
      <c r="G82" s="47">
        <f t="shared" si="171"/>
        <v>2674869791.1963859</v>
      </c>
      <c r="H82" s="48">
        <f t="shared" si="171"/>
        <v>556241.74227843201</v>
      </c>
      <c r="I82" s="55">
        <f t="shared" si="171"/>
        <v>6075775668.5746479</v>
      </c>
      <c r="J82" s="56">
        <f t="shared" si="171"/>
        <v>1632166.2130528709</v>
      </c>
      <c r="K82" s="60">
        <f t="shared" si="171"/>
        <v>382124255.88519806</v>
      </c>
      <c r="L82" s="16">
        <f t="shared" si="171"/>
        <v>63968.032713098146</v>
      </c>
      <c r="M82" s="656"/>
      <c r="N82" s="31">
        <f t="shared" ref="N82:W82" si="172">SUM(N75:N77)</f>
        <v>14365646945.805468</v>
      </c>
      <c r="O82" s="32">
        <f t="shared" si="172"/>
        <v>1746001.7791726021</v>
      </c>
      <c r="P82" s="39">
        <f t="shared" si="172"/>
        <v>5945730029.5030708</v>
      </c>
      <c r="Q82" s="40">
        <f t="shared" si="172"/>
        <v>594573.0029503071</v>
      </c>
      <c r="R82" s="47">
        <f t="shared" si="172"/>
        <v>2522402213.0981917</v>
      </c>
      <c r="S82" s="48">
        <f t="shared" si="172"/>
        <v>480093.02775108302</v>
      </c>
      <c r="T82" s="55">
        <f t="shared" si="172"/>
        <v>5559334736.7458038</v>
      </c>
      <c r="U82" s="56">
        <f t="shared" si="172"/>
        <v>644629.12839304877</v>
      </c>
      <c r="V82" s="60">
        <f t="shared" si="172"/>
        <v>338179966.45840025</v>
      </c>
      <c r="W82" s="16">
        <f t="shared" si="172"/>
        <v>26706.620078162887</v>
      </c>
      <c r="X82" s="656"/>
      <c r="Y82" s="31">
        <f t="shared" ref="Y82:AH82" si="173">SUM(Y75:Y77)</f>
        <v>1265188375.8650513</v>
      </c>
      <c r="Z82" s="32">
        <f t="shared" si="173"/>
        <v>1703616.0870664874</v>
      </c>
      <c r="AA82" s="39">
        <f t="shared" si="173"/>
        <v>552335576.51121449</v>
      </c>
      <c r="AB82" s="40">
        <f t="shared" si="173"/>
        <v>602668.87524438102</v>
      </c>
      <c r="AC82" s="47">
        <f t="shared" si="173"/>
        <v>152467578.09819412</v>
      </c>
      <c r="AD82" s="48">
        <f t="shared" si="173"/>
        <v>76148.71452734893</v>
      </c>
      <c r="AE82" s="55">
        <f t="shared" si="173"/>
        <v>516440931.82884502</v>
      </c>
      <c r="AF82" s="56">
        <f t="shared" si="173"/>
        <v>987537.08465982217</v>
      </c>
      <c r="AG82" s="60">
        <f t="shared" si="173"/>
        <v>43944289.426797777</v>
      </c>
      <c r="AH82" s="16">
        <f t="shared" si="173"/>
        <v>37261.412634935259</v>
      </c>
      <c r="AI82" s="101"/>
    </row>
    <row r="85" spans="1:35">
      <c r="C85" s="633"/>
      <c r="D85" s="633"/>
      <c r="E85" s="821"/>
      <c r="F85" s="633"/>
      <c r="G85" s="633"/>
      <c r="H85" s="633"/>
      <c r="I85" s="633"/>
      <c r="J85" s="633"/>
      <c r="K85" s="633"/>
      <c r="L85" s="633"/>
    </row>
    <row r="86" spans="1:35">
      <c r="E86" s="822"/>
    </row>
    <row r="87" spans="1:35">
      <c r="E87" s="633"/>
    </row>
    <row r="88" spans="1:35">
      <c r="C88" s="668"/>
      <c r="D88" s="669"/>
      <c r="E88" s="633"/>
    </row>
    <row r="89" spans="1:35">
      <c r="E89" s="821"/>
    </row>
    <row r="90" spans="1:35">
      <c r="E90" s="823"/>
    </row>
  </sheetData>
  <mergeCells count="15">
    <mergeCell ref="C2:D2"/>
    <mergeCell ref="E2:F2"/>
    <mergeCell ref="G2:H2"/>
    <mergeCell ref="I2:J2"/>
    <mergeCell ref="K2:L2"/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</mergeCells>
  <conditionalFormatting sqref="C26:L37">
    <cfRule type="expression" dxfId="29" priority="137">
      <formula>C26&gt;100%</formula>
    </cfRule>
  </conditionalFormatting>
  <conditionalFormatting sqref="AA26:AH37">
    <cfRule type="expression" dxfId="28" priority="135">
      <formula>AA26&gt;100%</formula>
    </cfRule>
  </conditionalFormatting>
  <conditionalFormatting sqref="P26:W37">
    <cfRule type="expression" dxfId="27" priority="136">
      <formula>P26&gt;100%</formula>
    </cfRule>
  </conditionalFormatting>
  <conditionalFormatting sqref="N26:O37">
    <cfRule type="expression" dxfId="26" priority="134">
      <formula>N26&gt;100%</formula>
    </cfRule>
  </conditionalFormatting>
  <conditionalFormatting sqref="Y26:Z37">
    <cfRule type="expression" dxfId="25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24" priority="16">
      <formula>C40&gt;100%</formula>
    </cfRule>
  </conditionalFormatting>
  <conditionalFormatting sqref="AA40:AH41">
    <cfRule type="expression" dxfId="23" priority="14">
      <formula>AA40&gt;100%</formula>
    </cfRule>
  </conditionalFormatting>
  <conditionalFormatting sqref="P40:W41">
    <cfRule type="expression" dxfId="22" priority="15">
      <formula>P40&gt;100%</formula>
    </cfRule>
  </conditionalFormatting>
  <conditionalFormatting sqref="N40:O41">
    <cfRule type="expression" dxfId="21" priority="13">
      <formula>N40&gt;100%</formula>
    </cfRule>
  </conditionalFormatting>
  <conditionalFormatting sqref="Y40:Z41">
    <cfRule type="expression" dxfId="20" priority="12">
      <formula>Y40&gt;100%</formula>
    </cfRule>
  </conditionalFormatting>
  <conditionalFormatting sqref="C42:L42">
    <cfRule type="expression" dxfId="19" priority="11">
      <formula>C42&gt;100%</formula>
    </cfRule>
  </conditionalFormatting>
  <conditionalFormatting sqref="AA42:AH42">
    <cfRule type="expression" dxfId="18" priority="9">
      <formula>AA42&gt;100%</formula>
    </cfRule>
  </conditionalFormatting>
  <conditionalFormatting sqref="P42:W42">
    <cfRule type="expression" dxfId="17" priority="10">
      <formula>P42&gt;100%</formula>
    </cfRule>
  </conditionalFormatting>
  <conditionalFormatting sqref="N42:O42">
    <cfRule type="expression" dxfId="16" priority="8">
      <formula>N42&gt;100%</formula>
    </cfRule>
  </conditionalFormatting>
  <conditionalFormatting sqref="Y42:Z42">
    <cfRule type="expression" dxfId="15" priority="7">
      <formula>Y42&gt;100%</formula>
    </cfRule>
  </conditionalFormatting>
  <conditionalFormatting sqref="C39:L39">
    <cfRule type="expression" dxfId="14" priority="6">
      <formula>C39&gt;100%</formula>
    </cfRule>
  </conditionalFormatting>
  <conditionalFormatting sqref="AA39:AH39">
    <cfRule type="expression" dxfId="13" priority="4">
      <formula>AA39&gt;100%</formula>
    </cfRule>
  </conditionalFormatting>
  <conditionalFormatting sqref="P39:W39">
    <cfRule type="expression" dxfId="12" priority="5">
      <formula>P39&gt;100%</formula>
    </cfRule>
  </conditionalFormatting>
  <conditionalFormatting sqref="N39:O39">
    <cfRule type="expression" dxfId="11" priority="3">
      <formula>N39&gt;100%</formula>
    </cfRule>
  </conditionalFormatting>
  <conditionalFormatting sqref="Y39:Z39">
    <cfRule type="expression" dxfId="10" priority="2">
      <formula>Y39&gt;100%</formula>
    </cfRule>
  </conditionalFormatting>
  <conditionalFormatting sqref="E26:F37 E39:F42 P26:Q37 P39:Q42 AA26:AB37 AA39:AB42">
    <cfRule type="expression" dxfId="9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E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5050"/>
  </sheetPr>
  <dimension ref="A1:AC82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activeCell="M35" sqref="M35"/>
    </sheetView>
  </sheetViews>
  <sheetFormatPr defaultColWidth="8.85546875" defaultRowHeight="15"/>
  <cols>
    <col min="1" max="1" width="3" bestFit="1" customWidth="1"/>
    <col min="2" max="2" width="14.140625" bestFit="1" customWidth="1"/>
    <col min="3" max="10" width="14.42578125" customWidth="1"/>
    <col min="11" max="11" width="0.85546875" customWidth="1"/>
    <col min="12" max="19" width="14.42578125" customWidth="1"/>
    <col min="20" max="20" width="0.85546875" customWidth="1"/>
    <col min="21" max="28" width="14.42578125" customWidth="1"/>
    <col min="29" max="29" width="0.85546875" customWidth="1"/>
  </cols>
  <sheetData>
    <row r="1" spans="1:29" ht="15.75" thickBot="1">
      <c r="B1" s="673" t="s">
        <v>151</v>
      </c>
      <c r="C1" s="100" t="s">
        <v>13</v>
      </c>
      <c r="K1" s="101"/>
      <c r="L1" s="100" t="s">
        <v>5</v>
      </c>
      <c r="T1" s="101"/>
      <c r="U1" s="100" t="s">
        <v>152</v>
      </c>
      <c r="AC1" s="101"/>
    </row>
    <row r="2" spans="1:29">
      <c r="B2" s="126">
        <f ca="1">VN_Graphs!A2</f>
        <v>43372</v>
      </c>
      <c r="C2" s="852" t="s">
        <v>0</v>
      </c>
      <c r="D2" s="853"/>
      <c r="E2" s="854" t="s">
        <v>1</v>
      </c>
      <c r="F2" s="855"/>
      <c r="G2" s="848" t="s">
        <v>3</v>
      </c>
      <c r="H2" s="849"/>
      <c r="I2" s="850" t="s">
        <v>4</v>
      </c>
      <c r="J2" s="851"/>
      <c r="K2" s="101"/>
      <c r="L2" s="852" t="s">
        <v>0</v>
      </c>
      <c r="M2" s="853"/>
      <c r="N2" s="854" t="s">
        <v>1</v>
      </c>
      <c r="O2" s="855"/>
      <c r="P2" s="848" t="s">
        <v>3</v>
      </c>
      <c r="Q2" s="849"/>
      <c r="R2" s="850" t="s">
        <v>4</v>
      </c>
      <c r="S2" s="851"/>
      <c r="T2" s="101"/>
      <c r="U2" s="852" t="s">
        <v>0</v>
      </c>
      <c r="V2" s="853"/>
      <c r="W2" s="854" t="s">
        <v>1</v>
      </c>
      <c r="X2" s="855"/>
      <c r="Y2" s="848" t="s">
        <v>3</v>
      </c>
      <c r="Z2" s="849"/>
      <c r="AA2" s="850" t="s">
        <v>4</v>
      </c>
      <c r="AB2" s="851"/>
      <c r="AC2" s="101"/>
    </row>
    <row r="3" spans="1:29" ht="15.75" thickBot="1">
      <c r="C3" s="112" t="s">
        <v>8</v>
      </c>
      <c r="D3" s="112" t="s">
        <v>9</v>
      </c>
      <c r="E3" s="5" t="s">
        <v>8</v>
      </c>
      <c r="F3" s="5" t="s">
        <v>9</v>
      </c>
      <c r="G3" s="7" t="s">
        <v>8</v>
      </c>
      <c r="H3" s="7" t="s">
        <v>9</v>
      </c>
      <c r="I3" s="8" t="s">
        <v>8</v>
      </c>
      <c r="J3" s="9" t="s">
        <v>9</v>
      </c>
      <c r="K3" s="101"/>
      <c r="L3" s="112" t="s">
        <v>8</v>
      </c>
      <c r="M3" s="112" t="s">
        <v>9</v>
      </c>
      <c r="N3" s="5" t="s">
        <v>8</v>
      </c>
      <c r="O3" s="5" t="s">
        <v>9</v>
      </c>
      <c r="P3" s="7" t="s">
        <v>8</v>
      </c>
      <c r="Q3" s="7" t="s">
        <v>9</v>
      </c>
      <c r="R3" s="8" t="s">
        <v>8</v>
      </c>
      <c r="S3" s="9" t="s">
        <v>9</v>
      </c>
      <c r="T3" s="101"/>
      <c r="U3" s="112" t="s">
        <v>8</v>
      </c>
      <c r="V3" s="112" t="s">
        <v>9</v>
      </c>
      <c r="W3" s="5" t="s">
        <v>8</v>
      </c>
      <c r="X3" s="5" t="s">
        <v>9</v>
      </c>
      <c r="Y3" s="7" t="s">
        <v>8</v>
      </c>
      <c r="Z3" s="7" t="s">
        <v>9</v>
      </c>
      <c r="AA3" s="8" t="s">
        <v>8</v>
      </c>
      <c r="AB3" s="9" t="s">
        <v>9</v>
      </c>
      <c r="AC3" s="101"/>
    </row>
    <row r="4" spans="1:29" ht="15.75" thickBot="1">
      <c r="B4" s="20" t="s">
        <v>11</v>
      </c>
      <c r="K4" s="101"/>
      <c r="T4" s="101"/>
      <c r="AC4" s="101"/>
    </row>
    <row r="5" spans="1:29" ht="15.75" thickBot="1">
      <c r="B5" s="21" t="s">
        <v>7</v>
      </c>
      <c r="C5" s="25">
        <f t="shared" ref="C5" si="0">SUM(C6:C17)</f>
        <v>1303574616</v>
      </c>
      <c r="D5" s="26">
        <f t="shared" ref="D5:J5" si="1">SUM(D6:D17)</f>
        <v>417514.30699999887</v>
      </c>
      <c r="E5" s="33">
        <f t="shared" si="1"/>
        <v>6593353</v>
      </c>
      <c r="F5" s="34">
        <f t="shared" si="1"/>
        <v>3334.7979999999998</v>
      </c>
      <c r="G5" s="49">
        <f t="shared" si="1"/>
        <v>1047183464</v>
      </c>
      <c r="H5" s="50">
        <f t="shared" si="1"/>
        <v>321971.31699999957</v>
      </c>
      <c r="I5" s="57">
        <f t="shared" si="1"/>
        <v>249797799</v>
      </c>
      <c r="J5" s="18">
        <f t="shared" si="1"/>
        <v>92208.191999999282</v>
      </c>
      <c r="K5" s="101"/>
      <c r="L5" s="25">
        <f t="shared" ref="L5:S5" si="2">SUM(L6:L17)</f>
        <v>1210407001</v>
      </c>
      <c r="M5" s="26">
        <f t="shared" si="2"/>
        <v>382555.78199999989</v>
      </c>
      <c r="N5" s="33">
        <f t="shared" si="2"/>
        <v>6293232</v>
      </c>
      <c r="O5" s="34">
        <f t="shared" si="2"/>
        <v>3173.1970000000006</v>
      </c>
      <c r="P5" s="49">
        <f t="shared" si="2"/>
        <v>972041235</v>
      </c>
      <c r="Q5" s="50">
        <f t="shared" si="2"/>
        <v>295613.25000000047</v>
      </c>
      <c r="R5" s="57">
        <f t="shared" si="2"/>
        <v>232072534</v>
      </c>
      <c r="S5" s="18">
        <f t="shared" si="2"/>
        <v>83769.334999999439</v>
      </c>
      <c r="T5" s="101"/>
      <c r="U5" s="25">
        <f t="shared" ref="U5:AB5" si="3">SUM(U6:U17)</f>
        <v>93167615</v>
      </c>
      <c r="V5" s="26">
        <f t="shared" si="3"/>
        <v>34958.524999999026</v>
      </c>
      <c r="W5" s="33">
        <f t="shared" si="3"/>
        <v>300121</v>
      </c>
      <c r="X5" s="34">
        <f t="shared" si="3"/>
        <v>161.60099999999986</v>
      </c>
      <c r="Y5" s="49">
        <f t="shared" si="3"/>
        <v>75142229</v>
      </c>
      <c r="Z5" s="50">
        <f t="shared" si="3"/>
        <v>26358.066999999159</v>
      </c>
      <c r="AA5" s="57">
        <f t="shared" si="3"/>
        <v>17725265</v>
      </c>
      <c r="AB5" s="18">
        <f t="shared" si="3"/>
        <v>8438.856999999869</v>
      </c>
      <c r="AC5" s="101"/>
    </row>
    <row r="6" spans="1:29">
      <c r="A6" s="557">
        <v>1</v>
      </c>
      <c r="B6" s="22">
        <v>43101</v>
      </c>
      <c r="C6" s="27">
        <f>SUM(E6,G6,I6)</f>
        <v>90177502</v>
      </c>
      <c r="D6" s="28">
        <f>SUM(F6,H6,J6)</f>
        <v>12317.33</v>
      </c>
      <c r="E6" s="35">
        <f>SUMIF(TH_Data!$B$6:$B$381,MONTH($B6),TH_Data!C$6:C$381)</f>
        <v>17985</v>
      </c>
      <c r="F6" s="36">
        <f>SUMIF(TH_Data!$B$6:$B$381,MONTH($B6),TH_Data!D$6:D$381)</f>
        <v>0.85000000000000031</v>
      </c>
      <c r="G6" s="51">
        <f>SUMIF(TH_Data!$B$6:$B$381,MONTH($B6),TH_Data!E$6:E$381)</f>
        <v>83731674</v>
      </c>
      <c r="H6" s="52">
        <f>SUMIF(TH_Data!$B$6:$B$381,MONTH($B6),TH_Data!F$6:F$381)</f>
        <v>11744.779999999999</v>
      </c>
      <c r="I6" s="58">
        <f>SUMIF(TH_Data!$B$6:$B$381,MONTH($B6),TH_Data!G$6:G$381)</f>
        <v>6427843</v>
      </c>
      <c r="J6" s="17">
        <f>SUMIF(TH_Data!$B$6:$B$381,MONTH($B6),TH_Data!H$6:H$381)</f>
        <v>571.70000000000005</v>
      </c>
      <c r="K6" s="101">
        <v>1</v>
      </c>
      <c r="L6" s="27">
        <f>SUM(N6,P6,R6)</f>
        <v>84966020</v>
      </c>
      <c r="M6" s="28">
        <f>SUM(O6,Q6,S6)</f>
        <v>11351.880000000001</v>
      </c>
      <c r="N6" s="35">
        <f>SUMIF(TH_Data!$B$6:$B$381,MONTH($B6),TH_Data!J$6:J$381)</f>
        <v>6616</v>
      </c>
      <c r="O6" s="36">
        <f>SUMIF(TH_Data!$B$6:$B$381,MONTH($B6),TH_Data!K$6:K$381)</f>
        <v>0.51000000000000023</v>
      </c>
      <c r="P6" s="51">
        <f>SUMIF(TH_Data!$B$6:$B$381,MONTH($B6),TH_Data!L$6:L$381)</f>
        <v>79105684</v>
      </c>
      <c r="Q6" s="52">
        <f>SUMIF(TH_Data!$B$6:$B$381,MONTH($B6),TH_Data!M$6:M$381)</f>
        <v>10850.28</v>
      </c>
      <c r="R6" s="58">
        <f>SUMIF(TH_Data!$B$6:$B$381,MONTH($B6),TH_Data!N$6:N$381)</f>
        <v>5853720</v>
      </c>
      <c r="S6" s="17">
        <f>SUMIF(TH_Data!$B$6:$B$381,MONTH($B6),TH_Data!O$6:O$381)</f>
        <v>501.09</v>
      </c>
      <c r="T6" s="101">
        <v>1</v>
      </c>
      <c r="U6" s="27">
        <f>SUM(W6,Y6,AA6)</f>
        <v>5211482</v>
      </c>
      <c r="V6" s="28">
        <f>SUM(X6,Z6,AB6)</f>
        <v>965.45</v>
      </c>
      <c r="W6" s="35">
        <f>SUMIF(TH_Data!$B$6:$B$381,MONTH($B6),TH_Data!Q$6:Q$381)</f>
        <v>11369</v>
      </c>
      <c r="X6" s="36">
        <f>SUMIF(TH_Data!$B$6:$B$381,MONTH($B6),TH_Data!R$6:R$381)</f>
        <v>0.33999999999999997</v>
      </c>
      <c r="Y6" s="51">
        <f>SUMIF(TH_Data!$B$6:$B$381,MONTH($B6),TH_Data!S$6:S$381)</f>
        <v>4625990</v>
      </c>
      <c r="Z6" s="52">
        <f>SUMIF(TH_Data!$B$6:$B$381,MONTH($B6),TH_Data!T$6:T$381)</f>
        <v>894.5</v>
      </c>
      <c r="AA6" s="58">
        <f>SUMIF(TH_Data!$B$6:$B$381,MONTH($B6),TH_Data!U$6:U$381)</f>
        <v>574123</v>
      </c>
      <c r="AB6" s="17">
        <f>SUMIF(TH_Data!$B$6:$B$381,MONTH($B6),TH_Data!V$6:V$381)</f>
        <v>70.61</v>
      </c>
      <c r="AC6" s="101"/>
    </row>
    <row r="7" spans="1:29">
      <c r="A7" s="557">
        <v>2</v>
      </c>
      <c r="B7" s="23">
        <v>43132</v>
      </c>
      <c r="C7" s="27">
        <f t="shared" ref="C7:D17" si="4">SUM(E7,G7,I7)</f>
        <v>87016039</v>
      </c>
      <c r="D7" s="28">
        <f t="shared" si="4"/>
        <v>18713.179999999997</v>
      </c>
      <c r="E7" s="35">
        <f>SUMIF(TH_Data!$B$6:$B$381,MONTH($B7),TH_Data!C$6:C$381)</f>
        <v>23347</v>
      </c>
      <c r="F7" s="38">
        <f>SUMIF(TH_Data!$B$6:$B$381,MONTH($B7),TH_Data!D$6:D$381)</f>
        <v>1.3700000000000006</v>
      </c>
      <c r="G7" s="53">
        <f>SUMIF(TH_Data!$B$6:$B$381,MONTH($B7),TH_Data!E$6:E$381)</f>
        <v>80755802</v>
      </c>
      <c r="H7" s="54">
        <f>SUMIF(TH_Data!$B$6:$B$381,MONTH($B7),TH_Data!F$6:F$381)</f>
        <v>17885.199999999997</v>
      </c>
      <c r="I7" s="59">
        <f>SUMIF(TH_Data!$B$6:$B$381,MONTH($B7),TH_Data!G$6:G$381)</f>
        <v>6236890</v>
      </c>
      <c r="J7" s="15">
        <f>SUMIF(TH_Data!$B$6:$B$381,MONTH($B7),TH_Data!H$6:H$381)</f>
        <v>826.6099999999999</v>
      </c>
      <c r="K7" s="101">
        <v>2</v>
      </c>
      <c r="L7" s="29">
        <f t="shared" ref="L7:M17" si="5">SUM(N7,P7,R7)</f>
        <v>82695295</v>
      </c>
      <c r="M7" s="30">
        <f t="shared" si="5"/>
        <v>17541.34</v>
      </c>
      <c r="N7" s="35">
        <f>SUMIF(TH_Data!$B$6:$B$381,MONTH($B7),TH_Data!J$6:J$381)</f>
        <v>10109</v>
      </c>
      <c r="O7" s="38">
        <f>SUMIF(TH_Data!$B$6:$B$381,MONTH($B7),TH_Data!K$6:K$381)</f>
        <v>0.97000000000000042</v>
      </c>
      <c r="P7" s="53">
        <f>SUMIF(TH_Data!$B$6:$B$381,MONTH($B7),TH_Data!L$6:L$381)</f>
        <v>76944769</v>
      </c>
      <c r="Q7" s="54">
        <f>SUMIF(TH_Data!$B$6:$B$381,MONTH($B7),TH_Data!M$6:M$381)</f>
        <v>16814.939999999999</v>
      </c>
      <c r="R7" s="59">
        <f>SUMIF(TH_Data!$B$6:$B$381,MONTH($B7),TH_Data!N$6:N$381)</f>
        <v>5740417</v>
      </c>
      <c r="S7" s="15">
        <f>SUMIF(TH_Data!$B$6:$B$381,MONTH($B7),TH_Data!O$6:O$381)</f>
        <v>725.43000000000006</v>
      </c>
      <c r="T7" s="101">
        <v>2</v>
      </c>
      <c r="U7" s="29">
        <f t="shared" ref="U7:V17" si="6">SUM(W7,Y7,AA7)</f>
        <v>4320744</v>
      </c>
      <c r="V7" s="30">
        <f t="shared" si="6"/>
        <v>1171.8399999999999</v>
      </c>
      <c r="W7" s="35">
        <f>SUMIF(TH_Data!$B$6:$B$381,MONTH($B7),TH_Data!Q$6:Q$381)</f>
        <v>13238</v>
      </c>
      <c r="X7" s="38">
        <f>SUMIF(TH_Data!$B$6:$B$381,MONTH($B7),TH_Data!R$6:R$381)</f>
        <v>0.40000000000000008</v>
      </c>
      <c r="Y7" s="53">
        <f>SUMIF(TH_Data!$B$6:$B$381,MONTH($B7),TH_Data!S$6:S$381)</f>
        <v>3811033</v>
      </c>
      <c r="Z7" s="54">
        <f>SUMIF(TH_Data!$B$6:$B$381,MONTH($B7),TH_Data!T$6:T$381)</f>
        <v>1070.2599999999998</v>
      </c>
      <c r="AA7" s="59">
        <f>SUMIF(TH_Data!$B$6:$B$381,MONTH($B7),TH_Data!U$6:U$381)</f>
        <v>496473</v>
      </c>
      <c r="AB7" s="15">
        <f>SUMIF(TH_Data!$B$6:$B$381,MONTH($B7),TH_Data!V$6:V$381)</f>
        <v>101.17999999999998</v>
      </c>
      <c r="AC7" s="101"/>
    </row>
    <row r="8" spans="1:29">
      <c r="A8" s="557">
        <v>3</v>
      </c>
      <c r="B8" s="23">
        <v>43160</v>
      </c>
      <c r="C8" s="27">
        <f t="shared" si="4"/>
        <v>112933032</v>
      </c>
      <c r="D8" s="28">
        <f t="shared" si="4"/>
        <v>36602.74</v>
      </c>
      <c r="E8" s="37">
        <f>SUMIF(TH_Data!$B$6:$B$381,MONTH($B8),TH_Data!C$6:C$381)</f>
        <v>14334</v>
      </c>
      <c r="F8" s="38">
        <f>SUMIF(TH_Data!$B$6:$B$381,MONTH($B8),TH_Data!D$6:D$381)</f>
        <v>0.52000000000000024</v>
      </c>
      <c r="G8" s="53">
        <f>SUMIF(TH_Data!$B$6:$B$381,MONTH($B8),TH_Data!E$6:E$381)</f>
        <v>103932465</v>
      </c>
      <c r="H8" s="54">
        <f>SUMIF(TH_Data!$B$6:$B$381,MONTH($B8),TH_Data!F$6:F$381)</f>
        <v>34740.61</v>
      </c>
      <c r="I8" s="59">
        <f>SUMIF(TH_Data!$B$6:$B$381,MONTH($B8),TH_Data!G$6:G$381)</f>
        <v>8986233</v>
      </c>
      <c r="J8" s="15">
        <f>SUMIF(TH_Data!$B$6:$B$381,MONTH($B8),TH_Data!H$6:H$381)</f>
        <v>1861.6100000000001</v>
      </c>
      <c r="K8" s="101">
        <v>3</v>
      </c>
      <c r="L8" s="29">
        <f t="shared" si="5"/>
        <v>107341109</v>
      </c>
      <c r="M8" s="30">
        <f t="shared" si="5"/>
        <v>35065.499999999993</v>
      </c>
      <c r="N8" s="37">
        <f>SUMIF(TH_Data!$B$6:$B$381,MONTH($B8),TH_Data!J$6:J$381)</f>
        <v>2043</v>
      </c>
      <c r="O8" s="38">
        <f>SUMIF(TH_Data!$B$6:$B$381,MONTH($B8),TH_Data!K$6:K$381)</f>
        <v>0.17</v>
      </c>
      <c r="P8" s="53">
        <f>SUMIF(TH_Data!$B$6:$B$381,MONTH($B8),TH_Data!L$6:L$381)</f>
        <v>99058641</v>
      </c>
      <c r="Q8" s="54">
        <f>SUMIF(TH_Data!$B$6:$B$381,MONTH($B8),TH_Data!M$6:M$381)</f>
        <v>33332.479999999996</v>
      </c>
      <c r="R8" s="59">
        <f>SUMIF(TH_Data!$B$6:$B$381,MONTH($B8),TH_Data!N$6:N$381)</f>
        <v>8280425</v>
      </c>
      <c r="S8" s="15">
        <f>SUMIF(TH_Data!$B$6:$B$381,MONTH($B8),TH_Data!O$6:O$381)</f>
        <v>1732.85</v>
      </c>
      <c r="T8" s="101">
        <v>3</v>
      </c>
      <c r="U8" s="29">
        <f t="shared" si="6"/>
        <v>5591923</v>
      </c>
      <c r="V8" s="30">
        <f t="shared" si="6"/>
        <v>1537.24</v>
      </c>
      <c r="W8" s="37">
        <f>SUMIF(TH_Data!$B$6:$B$381,MONTH($B8),TH_Data!Q$6:Q$381)</f>
        <v>12291</v>
      </c>
      <c r="X8" s="38">
        <f>SUMIF(TH_Data!$B$6:$B$381,MONTH($B8),TH_Data!R$6:R$381)</f>
        <v>0.35000000000000009</v>
      </c>
      <c r="Y8" s="53">
        <f>SUMIF(TH_Data!$B$6:$B$381,MONTH($B8),TH_Data!S$6:S$381)</f>
        <v>4873824</v>
      </c>
      <c r="Z8" s="54">
        <f>SUMIF(TH_Data!$B$6:$B$381,MONTH($B8),TH_Data!T$6:T$381)</f>
        <v>1408.13</v>
      </c>
      <c r="AA8" s="59">
        <f>SUMIF(TH_Data!$B$6:$B$381,MONTH($B8),TH_Data!U$6:U$381)</f>
        <v>705808</v>
      </c>
      <c r="AB8" s="15">
        <f>SUMIF(TH_Data!$B$6:$B$381,MONTH($B8),TH_Data!V$6:V$381)</f>
        <v>128.76</v>
      </c>
      <c r="AC8" s="101"/>
    </row>
    <row r="9" spans="1:29">
      <c r="A9" s="557">
        <v>4</v>
      </c>
      <c r="B9" s="23">
        <v>43191</v>
      </c>
      <c r="C9" s="27">
        <f t="shared" si="4"/>
        <v>124267333</v>
      </c>
      <c r="D9" s="28">
        <f t="shared" si="4"/>
        <v>36285.680000000008</v>
      </c>
      <c r="E9" s="37">
        <f>SUMIF(TH_Data!$B$6:$B$381,MONTH($B9),TH_Data!C$6:C$381)</f>
        <v>9414</v>
      </c>
      <c r="F9" s="38">
        <f>SUMIF(TH_Data!$B$6:$B$381,MONTH($B9),TH_Data!D$6:D$381)</f>
        <v>0.22000000000000006</v>
      </c>
      <c r="G9" s="53">
        <f>SUMIF(TH_Data!$B$6:$B$381,MONTH($B9),TH_Data!E$6:E$381)</f>
        <v>111270105</v>
      </c>
      <c r="H9" s="54">
        <f>SUMIF(TH_Data!$B$6:$B$381,MONTH($B9),TH_Data!F$6:F$381)</f>
        <v>33316.100000000006</v>
      </c>
      <c r="I9" s="59">
        <f>SUMIF(TH_Data!$B$6:$B$381,MONTH($B9),TH_Data!G$6:G$381)</f>
        <v>12987814</v>
      </c>
      <c r="J9" s="15">
        <f>SUMIF(TH_Data!$B$6:$B$381,MONTH($B9),TH_Data!H$6:H$381)</f>
        <v>2969.36</v>
      </c>
      <c r="K9" s="101">
        <v>4</v>
      </c>
      <c r="L9" s="29">
        <f t="shared" si="5"/>
        <v>118917216</v>
      </c>
      <c r="M9" s="30">
        <f t="shared" si="5"/>
        <v>35165.97</v>
      </c>
      <c r="N9" s="37">
        <f>SUMIF(TH_Data!$B$6:$B$381,MONTH($B9),TH_Data!J$6:J$381)</f>
        <v>328</v>
      </c>
      <c r="O9" s="38">
        <f>SUMIF(TH_Data!$B$6:$B$381,MONTH($B9),TH_Data!K$6:K$381)</f>
        <v>0</v>
      </c>
      <c r="P9" s="53">
        <f>SUMIF(TH_Data!$B$6:$B$381,MONTH($B9),TH_Data!L$6:L$381)</f>
        <v>106964570</v>
      </c>
      <c r="Q9" s="54">
        <f>SUMIF(TH_Data!$B$6:$B$381,MONTH($B9),TH_Data!M$6:M$381)</f>
        <v>32350.280000000002</v>
      </c>
      <c r="R9" s="59">
        <f>SUMIF(TH_Data!$B$6:$B$381,MONTH($B9),TH_Data!N$6:N$381)</f>
        <v>11952318</v>
      </c>
      <c r="S9" s="15">
        <f>SUMIF(TH_Data!$B$6:$B$381,MONTH($B9),TH_Data!O$6:O$381)</f>
        <v>2815.69</v>
      </c>
      <c r="T9" s="101">
        <v>4</v>
      </c>
      <c r="U9" s="29">
        <f t="shared" si="6"/>
        <v>5350117</v>
      </c>
      <c r="V9" s="30">
        <f t="shared" si="6"/>
        <v>1119.7099999999996</v>
      </c>
      <c r="W9" s="37">
        <f>SUMIF(TH_Data!$B$6:$B$381,MONTH($B9),TH_Data!Q$6:Q$381)</f>
        <v>9086</v>
      </c>
      <c r="X9" s="38">
        <f>SUMIF(TH_Data!$B$6:$B$381,MONTH($B9),TH_Data!R$6:R$381)</f>
        <v>0.22000000000000006</v>
      </c>
      <c r="Y9" s="53">
        <f>SUMIF(TH_Data!$B$6:$B$381,MONTH($B9),TH_Data!S$6:S$381)</f>
        <v>4305535</v>
      </c>
      <c r="Z9" s="54">
        <f>SUMIF(TH_Data!$B$6:$B$381,MONTH($B9),TH_Data!T$6:T$381)</f>
        <v>965.81999999999948</v>
      </c>
      <c r="AA9" s="59">
        <f>SUMIF(TH_Data!$B$6:$B$381,MONTH($B9),TH_Data!U$6:U$381)</f>
        <v>1035496</v>
      </c>
      <c r="AB9" s="15">
        <f>SUMIF(TH_Data!$B$6:$B$381,MONTH($B9),TH_Data!V$6:V$381)</f>
        <v>153.67000000000007</v>
      </c>
      <c r="AC9" s="101"/>
    </row>
    <row r="10" spans="1:29">
      <c r="A10" s="557">
        <v>5</v>
      </c>
      <c r="B10" s="23">
        <v>43221</v>
      </c>
      <c r="C10" s="27">
        <f t="shared" si="4"/>
        <v>121249638</v>
      </c>
      <c r="D10" s="28">
        <f t="shared" si="4"/>
        <v>34941.35</v>
      </c>
      <c r="E10" s="37">
        <f>SUMIF(TH_Data!$B$6:$B$381,MONTH($B10),TH_Data!C$6:C$381)</f>
        <v>7291</v>
      </c>
      <c r="F10" s="38">
        <f>SUMIF(TH_Data!$B$6:$B$381,MONTH($B10),TH_Data!D$6:D$381)</f>
        <v>0.18</v>
      </c>
      <c r="G10" s="53">
        <f>SUMIF(TH_Data!$B$6:$B$381,MONTH($B10),TH_Data!E$6:E$381)</f>
        <v>106062922</v>
      </c>
      <c r="H10" s="54">
        <f>SUMIF(TH_Data!$B$6:$B$381,MONTH($B10),TH_Data!F$6:F$381)</f>
        <v>31918.839999999997</v>
      </c>
      <c r="I10" s="59">
        <f>SUMIF(TH_Data!$B$6:$B$381,MONTH($B10),TH_Data!G$6:G$381)</f>
        <v>15179425</v>
      </c>
      <c r="J10" s="15">
        <f>SUMIF(TH_Data!$B$6:$B$381,MONTH($B10),TH_Data!H$6:H$381)</f>
        <v>3022.3300000000004</v>
      </c>
      <c r="K10" s="101">
        <v>5</v>
      </c>
      <c r="L10" s="29">
        <f t="shared" si="5"/>
        <v>113998365</v>
      </c>
      <c r="M10" s="30">
        <f t="shared" si="5"/>
        <v>33330.33</v>
      </c>
      <c r="N10" s="37">
        <f>SUMIF(TH_Data!$B$6:$B$381,MONTH($B10),TH_Data!J$6:J$381)</f>
        <v>308</v>
      </c>
      <c r="O10" s="38">
        <f>SUMIF(TH_Data!$B$6:$B$381,MONTH($B10),TH_Data!K$6:K$381)</f>
        <v>0</v>
      </c>
      <c r="P10" s="53">
        <f>SUMIF(TH_Data!$B$6:$B$381,MONTH($B10),TH_Data!L$6:L$381)</f>
        <v>100169724</v>
      </c>
      <c r="Q10" s="54">
        <f>SUMIF(TH_Data!$B$6:$B$381,MONTH($B10),TH_Data!M$6:M$381)</f>
        <v>30542.560000000005</v>
      </c>
      <c r="R10" s="59">
        <f>SUMIF(TH_Data!$B$6:$B$381,MONTH($B10),TH_Data!N$6:N$381)</f>
        <v>13828333</v>
      </c>
      <c r="S10" s="15">
        <f>SUMIF(TH_Data!$B$6:$B$381,MONTH($B10),TH_Data!O$6:O$381)</f>
        <v>2787.77</v>
      </c>
      <c r="T10" s="101">
        <v>5</v>
      </c>
      <c r="U10" s="29">
        <f t="shared" si="6"/>
        <v>7251273</v>
      </c>
      <c r="V10" s="30">
        <f t="shared" si="6"/>
        <v>1611.0200000000004</v>
      </c>
      <c r="W10" s="37">
        <f>SUMIF(TH_Data!$B$6:$B$381,MONTH($B10),TH_Data!Q$6:Q$381)</f>
        <v>6983</v>
      </c>
      <c r="X10" s="38">
        <f>SUMIF(TH_Data!$B$6:$B$381,MONTH($B10),TH_Data!R$6:R$381)</f>
        <v>0.18</v>
      </c>
      <c r="Y10" s="53">
        <f>SUMIF(TH_Data!$B$6:$B$381,MONTH($B10),TH_Data!S$6:S$381)</f>
        <v>5893198</v>
      </c>
      <c r="Z10" s="54">
        <f>SUMIF(TH_Data!$B$6:$B$381,MONTH($B10),TH_Data!T$6:T$381)</f>
        <v>1376.2800000000002</v>
      </c>
      <c r="AA10" s="59">
        <f>SUMIF(TH_Data!$B$6:$B$381,MONTH($B10),TH_Data!U$6:U$381)</f>
        <v>1351092</v>
      </c>
      <c r="AB10" s="15">
        <f>SUMIF(TH_Data!$B$6:$B$381,MONTH($B10),TH_Data!V$6:V$381)</f>
        <v>234.56000000000006</v>
      </c>
      <c r="AC10" s="101"/>
    </row>
    <row r="11" spans="1:29">
      <c r="A11" s="557">
        <v>6</v>
      </c>
      <c r="B11" s="23">
        <v>43252</v>
      </c>
      <c r="C11" s="27">
        <f t="shared" si="4"/>
        <v>112757699</v>
      </c>
      <c r="D11" s="28">
        <f t="shared" si="4"/>
        <v>34016.25</v>
      </c>
      <c r="E11" s="37">
        <f>SUMIF(TH_Data!$B$6:$B$381,MONTH($B11),TH_Data!C$6:C$381)</f>
        <v>6523</v>
      </c>
      <c r="F11" s="38">
        <f>SUMIF(TH_Data!$B$6:$B$381,MONTH($B11),TH_Data!D$6:D$381)</f>
        <v>0.14000000000000001</v>
      </c>
      <c r="G11" s="53">
        <f>SUMIF(TH_Data!$B$6:$B$381,MONTH($B11),TH_Data!E$6:E$381)</f>
        <v>96421756</v>
      </c>
      <c r="H11" s="54">
        <f>SUMIF(TH_Data!$B$6:$B$381,MONTH($B11),TH_Data!F$6:F$381)</f>
        <v>30405.260000000002</v>
      </c>
      <c r="I11" s="59">
        <f>SUMIF(TH_Data!$B$6:$B$381,MONTH($B11),TH_Data!G$6:G$381)</f>
        <v>16329420</v>
      </c>
      <c r="J11" s="15">
        <f>SUMIF(TH_Data!$B$6:$B$381,MONTH($B11),TH_Data!H$6:H$381)</f>
        <v>3610.8499999999995</v>
      </c>
      <c r="K11" s="101">
        <v>6</v>
      </c>
      <c r="L11" s="29">
        <f t="shared" si="5"/>
        <v>103504650</v>
      </c>
      <c r="M11" s="30">
        <f t="shared" si="5"/>
        <v>31227.279999999999</v>
      </c>
      <c r="N11" s="37">
        <f>SUMIF(TH_Data!$B$6:$B$381,MONTH($B11),TH_Data!J$6:J$381)</f>
        <v>886</v>
      </c>
      <c r="O11" s="38">
        <f>SUMIF(TH_Data!$B$6:$B$381,MONTH($B11),TH_Data!K$6:K$381)</f>
        <v>0</v>
      </c>
      <c r="P11" s="53">
        <f>SUMIF(TH_Data!$B$6:$B$381,MONTH($B11),TH_Data!L$6:L$381)</f>
        <v>89075535</v>
      </c>
      <c r="Q11" s="54">
        <f>SUMIF(TH_Data!$B$6:$B$381,MONTH($B11),TH_Data!M$6:M$381)</f>
        <v>28011.569999999996</v>
      </c>
      <c r="R11" s="59">
        <f>SUMIF(TH_Data!$B$6:$B$381,MONTH($B11),TH_Data!N$6:N$381)</f>
        <v>14428229</v>
      </c>
      <c r="S11" s="15">
        <f>SUMIF(TH_Data!$B$6:$B$381,MONTH($B11),TH_Data!O$6:O$381)</f>
        <v>3215.7100000000009</v>
      </c>
      <c r="T11" s="101">
        <v>6</v>
      </c>
      <c r="U11" s="29">
        <f t="shared" si="6"/>
        <v>9253049</v>
      </c>
      <c r="V11" s="30">
        <f t="shared" si="6"/>
        <v>2788.9699999999993</v>
      </c>
      <c r="W11" s="37">
        <f>SUMIF(TH_Data!$B$6:$B$381,MONTH($B11),TH_Data!Q$6:Q$381)</f>
        <v>5637</v>
      </c>
      <c r="X11" s="38">
        <f>SUMIF(TH_Data!$B$6:$B$381,MONTH($B11),TH_Data!R$6:R$381)</f>
        <v>0.14000000000000001</v>
      </c>
      <c r="Y11" s="53">
        <f>SUMIF(TH_Data!$B$6:$B$381,MONTH($B11),TH_Data!S$6:S$381)</f>
        <v>7346221</v>
      </c>
      <c r="Z11" s="54">
        <f>SUMIF(TH_Data!$B$6:$B$381,MONTH($B11),TH_Data!T$6:T$381)</f>
        <v>2393.6899999999996</v>
      </c>
      <c r="AA11" s="59">
        <f>SUMIF(TH_Data!$B$6:$B$381,MONTH($B11),TH_Data!U$6:U$381)</f>
        <v>1901191</v>
      </c>
      <c r="AB11" s="15">
        <f>SUMIF(TH_Data!$B$6:$B$381,MONTH($B11),TH_Data!V$6:V$381)</f>
        <v>395.14000000000004</v>
      </c>
      <c r="AC11" s="101"/>
    </row>
    <row r="12" spans="1:29">
      <c r="A12" s="557">
        <v>7</v>
      </c>
      <c r="B12" s="23">
        <v>43282</v>
      </c>
      <c r="C12" s="27">
        <f t="shared" si="4"/>
        <v>168849854</v>
      </c>
      <c r="D12" s="28">
        <f t="shared" si="4"/>
        <v>55065.759999999995</v>
      </c>
      <c r="E12" s="37">
        <f>SUMIF(TH_Data!$B$6:$B$381,MONTH($B12),TH_Data!C$6:C$381)</f>
        <v>5231</v>
      </c>
      <c r="F12" s="38">
        <f>SUMIF(TH_Data!$B$6:$B$381,MONTH($B12),TH_Data!D$6:D$381)</f>
        <v>0.19000000000000006</v>
      </c>
      <c r="G12" s="53">
        <f>SUMIF(TH_Data!$B$6:$B$381,MONTH($B12),TH_Data!E$6:E$381)</f>
        <v>142012046</v>
      </c>
      <c r="H12" s="54">
        <f>SUMIF(TH_Data!$B$6:$B$381,MONTH($B12),TH_Data!F$6:F$381)</f>
        <v>45395.429999999993</v>
      </c>
      <c r="I12" s="59">
        <f>SUMIF(TH_Data!$B$6:$B$381,MONTH($B12),TH_Data!G$6:G$381)</f>
        <v>26832577</v>
      </c>
      <c r="J12" s="15">
        <f>SUMIF(TH_Data!$B$6:$B$381,MONTH($B12),TH_Data!H$6:H$381)</f>
        <v>9670.14</v>
      </c>
      <c r="K12" s="101">
        <v>7</v>
      </c>
      <c r="L12" s="29">
        <f t="shared" si="5"/>
        <v>157541602</v>
      </c>
      <c r="M12" s="30">
        <f t="shared" si="5"/>
        <v>50788.409999999996</v>
      </c>
      <c r="N12" s="37">
        <f>SUMIF(TH_Data!$B$6:$B$381,MONTH($B12),TH_Data!J$6:J$381)</f>
        <v>333</v>
      </c>
      <c r="O12" s="38">
        <f>SUMIF(TH_Data!$B$6:$B$381,MONTH($B12),TH_Data!K$6:K$381)</f>
        <v>0</v>
      </c>
      <c r="P12" s="53">
        <f>SUMIF(TH_Data!$B$6:$B$381,MONTH($B12),TH_Data!L$6:L$381)</f>
        <v>132837262</v>
      </c>
      <c r="Q12" s="54">
        <f>SUMIF(TH_Data!$B$6:$B$381,MONTH($B12),TH_Data!M$6:M$381)</f>
        <v>41863.799999999996</v>
      </c>
      <c r="R12" s="59">
        <f>SUMIF(TH_Data!$B$6:$B$381,MONTH($B12),TH_Data!N$6:N$381)</f>
        <v>24704007</v>
      </c>
      <c r="S12" s="15">
        <f>SUMIF(TH_Data!$B$6:$B$381,MONTH($B12),TH_Data!O$6:O$381)</f>
        <v>8924.61</v>
      </c>
      <c r="T12" s="101">
        <v>7</v>
      </c>
      <c r="U12" s="29">
        <f t="shared" si="6"/>
        <v>11308252</v>
      </c>
      <c r="V12" s="30">
        <f t="shared" si="6"/>
        <v>4277.3499999999995</v>
      </c>
      <c r="W12" s="37">
        <f>SUMIF(TH_Data!$B$6:$B$381,MONTH($B12),TH_Data!Q$6:Q$381)</f>
        <v>4898</v>
      </c>
      <c r="X12" s="38">
        <f>SUMIF(TH_Data!$B$6:$B$381,MONTH($B12),TH_Data!R$6:R$381)</f>
        <v>0.19000000000000006</v>
      </c>
      <c r="Y12" s="53">
        <f>SUMIF(TH_Data!$B$6:$B$381,MONTH($B12),TH_Data!S$6:S$381)</f>
        <v>9174784</v>
      </c>
      <c r="Z12" s="54">
        <f>SUMIF(TH_Data!$B$6:$B$381,MONTH($B12),TH_Data!T$6:T$381)</f>
        <v>3531.6299999999997</v>
      </c>
      <c r="AA12" s="59">
        <f>SUMIF(TH_Data!$B$6:$B$381,MONTH($B12),TH_Data!U$6:U$381)</f>
        <v>2128570</v>
      </c>
      <c r="AB12" s="15">
        <f>SUMIF(TH_Data!$B$6:$B$381,MONTH($B12),TH_Data!V$6:V$381)</f>
        <v>745.53</v>
      </c>
      <c r="AC12" s="101"/>
    </row>
    <row r="13" spans="1:29">
      <c r="A13" s="557">
        <v>8</v>
      </c>
      <c r="B13" s="23">
        <v>43313</v>
      </c>
      <c r="C13" s="27">
        <f t="shared" si="4"/>
        <v>236306766</v>
      </c>
      <c r="D13" s="28">
        <f t="shared" si="4"/>
        <v>78714.015999999348</v>
      </c>
      <c r="E13" s="37">
        <f>SUMIF(TH_Data!$B$6:$B$381,MONTH($B13),TH_Data!C$6:C$381)</f>
        <v>557895</v>
      </c>
      <c r="F13" s="38">
        <f>SUMIF(TH_Data!$B$6:$B$381,MONTH($B13),TH_Data!D$6:D$381)</f>
        <v>288.86400000000003</v>
      </c>
      <c r="G13" s="53">
        <f>SUMIF(TH_Data!$B$6:$B$381,MONTH($B13),TH_Data!E$6:E$381)</f>
        <v>168781036</v>
      </c>
      <c r="H13" s="54">
        <f>SUMIF(TH_Data!$B$6:$B$381,MONTH($B13),TH_Data!F$6:F$381)</f>
        <v>54772.393999999687</v>
      </c>
      <c r="I13" s="59">
        <f>SUMIF(TH_Data!$B$6:$B$381,MONTH($B13),TH_Data!G$6:G$381)</f>
        <v>66967835</v>
      </c>
      <c r="J13" s="15">
        <f>SUMIF(TH_Data!$B$6:$B$381,MONTH($B13),TH_Data!H$6:H$381)</f>
        <v>23652.75799999966</v>
      </c>
      <c r="K13" s="101">
        <v>8</v>
      </c>
      <c r="L13" s="29">
        <f t="shared" si="5"/>
        <v>215713136</v>
      </c>
      <c r="M13" s="30">
        <f t="shared" si="5"/>
        <v>70708.233999999822</v>
      </c>
      <c r="N13" s="37">
        <f>SUMIF(TH_Data!$B$6:$B$381,MONTH($B13),TH_Data!J$6:J$381)</f>
        <v>537474</v>
      </c>
      <c r="O13" s="38">
        <f>SUMIF(TH_Data!$B$6:$B$381,MONTH($B13),TH_Data!K$6:K$381)</f>
        <v>280.82299999999998</v>
      </c>
      <c r="P13" s="53">
        <f>SUMIF(TH_Data!$B$6:$B$381,MONTH($B13),TH_Data!L$6:L$381)</f>
        <v>152169499</v>
      </c>
      <c r="Q13" s="54">
        <f>SUMIF(TH_Data!$B$6:$B$381,MONTH($B13),TH_Data!M$6:M$381)</f>
        <v>48666.327000000063</v>
      </c>
      <c r="R13" s="59">
        <f>SUMIF(TH_Data!$B$6:$B$381,MONTH($B13),TH_Data!N$6:N$381)</f>
        <v>63006163</v>
      </c>
      <c r="S13" s="15">
        <f>SUMIF(TH_Data!$B$6:$B$381,MONTH($B13),TH_Data!O$6:O$381)</f>
        <v>21761.083999999759</v>
      </c>
      <c r="T13" s="101">
        <v>8</v>
      </c>
      <c r="U13" s="29">
        <f t="shared" si="6"/>
        <v>20593630</v>
      </c>
      <c r="V13" s="30">
        <f t="shared" si="6"/>
        <v>8005.7819999995372</v>
      </c>
      <c r="W13" s="37">
        <f>SUMIF(TH_Data!$B$6:$B$381,MONTH($B13),TH_Data!Q$6:Q$381)</f>
        <v>20421</v>
      </c>
      <c r="X13" s="38">
        <f>SUMIF(TH_Data!$B$6:$B$381,MONTH($B13),TH_Data!R$6:R$381)</f>
        <v>8.0409999999999933</v>
      </c>
      <c r="Y13" s="53">
        <f>SUMIF(TH_Data!$B$6:$B$381,MONTH($B13),TH_Data!S$6:S$381)</f>
        <v>16611537</v>
      </c>
      <c r="Z13" s="54">
        <f>SUMIF(TH_Data!$B$6:$B$381,MONTH($B13),TH_Data!T$6:T$381)</f>
        <v>6106.0669999996353</v>
      </c>
      <c r="AA13" s="59">
        <f>SUMIF(TH_Data!$B$6:$B$381,MONTH($B13),TH_Data!U$6:U$381)</f>
        <v>3961672</v>
      </c>
      <c r="AB13" s="15">
        <f>SUMIF(TH_Data!$B$6:$B$381,MONTH($B13),TH_Data!V$6:V$381)</f>
        <v>1891.6739999999013</v>
      </c>
      <c r="AC13" s="101"/>
    </row>
    <row r="14" spans="1:29">
      <c r="A14" s="557">
        <v>9</v>
      </c>
      <c r="B14" s="23">
        <v>43344</v>
      </c>
      <c r="C14" s="27">
        <f t="shared" si="4"/>
        <v>250016753</v>
      </c>
      <c r="D14" s="28">
        <f t="shared" si="4"/>
        <v>110858.00099999952</v>
      </c>
      <c r="E14" s="37">
        <f>SUMIF(TH_Data!$B$6:$B$381,MONTH($B14),TH_Data!C$6:C$381)</f>
        <v>5951333</v>
      </c>
      <c r="F14" s="38">
        <f>SUMIF(TH_Data!$B$6:$B$381,MONTH($B14),TH_Data!D$6:D$381)</f>
        <v>3042.4639999999999</v>
      </c>
      <c r="G14" s="53">
        <f>SUMIF(TH_Data!$B$6:$B$381,MONTH($B14),TH_Data!E$6:E$381)</f>
        <v>154215658</v>
      </c>
      <c r="H14" s="54">
        <f>SUMIF(TH_Data!$B$6:$B$381,MONTH($B14),TH_Data!F$6:F$381)</f>
        <v>61792.702999999892</v>
      </c>
      <c r="I14" s="59">
        <f>SUMIF(TH_Data!$B$6:$B$381,MONTH($B14),TH_Data!G$6:G$381)</f>
        <v>89849762</v>
      </c>
      <c r="J14" s="15">
        <f>SUMIF(TH_Data!$B$6:$B$381,MONTH($B14),TH_Data!H$6:H$381)</f>
        <v>46022.833999999631</v>
      </c>
      <c r="K14" s="101">
        <v>9</v>
      </c>
      <c r="L14" s="29">
        <f t="shared" si="5"/>
        <v>225729608</v>
      </c>
      <c r="M14" s="30">
        <f t="shared" si="5"/>
        <v>97376.838000000076</v>
      </c>
      <c r="N14" s="37">
        <f>SUMIF(TH_Data!$B$6:$B$381,MONTH($B14),TH_Data!J$6:J$381)</f>
        <v>5735135</v>
      </c>
      <c r="O14" s="38">
        <f>SUMIF(TH_Data!$B$6:$B$381,MONTH($B14),TH_Data!K$6:K$381)</f>
        <v>2890.7240000000006</v>
      </c>
      <c r="P14" s="53">
        <f>SUMIF(TH_Data!$B$6:$B$381,MONTH($B14),TH_Data!L$6:L$381)</f>
        <v>135715551</v>
      </c>
      <c r="Q14" s="54">
        <f>SUMIF(TH_Data!$B$6:$B$381,MONTH($B14),TH_Data!M$6:M$381)</f>
        <v>53181.013000000385</v>
      </c>
      <c r="R14" s="59">
        <f>SUMIF(TH_Data!$B$6:$B$381,MONTH($B14),TH_Data!N$6:N$381)</f>
        <v>84278922</v>
      </c>
      <c r="S14" s="15">
        <f>SUMIF(TH_Data!$B$6:$B$381,MONTH($B14),TH_Data!O$6:O$381)</f>
        <v>41305.100999999682</v>
      </c>
      <c r="T14" s="101">
        <v>9</v>
      </c>
      <c r="U14" s="29">
        <f t="shared" si="6"/>
        <v>24287145</v>
      </c>
      <c r="V14" s="30">
        <f t="shared" si="6"/>
        <v>13481.162999999491</v>
      </c>
      <c r="W14" s="37">
        <f>SUMIF(TH_Data!$B$6:$B$381,MONTH($B14),TH_Data!Q$6:Q$381)</f>
        <v>216198</v>
      </c>
      <c r="X14" s="38">
        <f>SUMIF(TH_Data!$B$6:$B$381,MONTH($B14),TH_Data!R$6:R$381)</f>
        <v>151.73999999999987</v>
      </c>
      <c r="Y14" s="53">
        <f>SUMIF(TH_Data!$B$6:$B$381,MONTH($B14),TH_Data!S$6:S$381)</f>
        <v>18500107</v>
      </c>
      <c r="Z14" s="54">
        <f>SUMIF(TH_Data!$B$6:$B$381,MONTH($B14),TH_Data!T$6:T$381)</f>
        <v>8611.6899999995239</v>
      </c>
      <c r="AA14" s="59">
        <f>SUMIF(TH_Data!$B$6:$B$381,MONTH($B14),TH_Data!U$6:U$381)</f>
        <v>5570840</v>
      </c>
      <c r="AB14" s="15">
        <f>SUMIF(TH_Data!$B$6:$B$381,MONTH($B14),TH_Data!V$6:V$381)</f>
        <v>4717.7329999999683</v>
      </c>
      <c r="AC14" s="101"/>
    </row>
    <row r="15" spans="1:29">
      <c r="A15" s="557">
        <v>10</v>
      </c>
      <c r="B15" s="23">
        <v>43374</v>
      </c>
      <c r="C15" s="27">
        <f t="shared" si="4"/>
        <v>0</v>
      </c>
      <c r="D15" s="28">
        <f t="shared" si="4"/>
        <v>0</v>
      </c>
      <c r="E15" s="37">
        <f>SUMIF(TH_Data!$B$6:$B$381,MONTH($B15),TH_Data!C$6:C$381)</f>
        <v>0</v>
      </c>
      <c r="F15" s="38">
        <f>SUMIF(TH_Data!$B$6:$B$381,MONTH($B15),TH_Data!D$6:D$381)</f>
        <v>0</v>
      </c>
      <c r="G15" s="53">
        <f>SUMIF(TH_Data!$B$6:$B$381,MONTH($B15),TH_Data!E$6:E$381)</f>
        <v>0</v>
      </c>
      <c r="H15" s="54">
        <f>SUMIF(TH_Data!$B$6:$B$381,MONTH($B15),TH_Data!F$6:F$381)</f>
        <v>0</v>
      </c>
      <c r="I15" s="59">
        <f>SUMIF(TH_Data!$B$6:$B$381,MONTH($B15),TH_Data!G$6:G$381)</f>
        <v>0</v>
      </c>
      <c r="J15" s="15">
        <f>SUMIF(TH_Data!$B$6:$B$381,MONTH($B15),TH_Data!H$6:H$381)</f>
        <v>0</v>
      </c>
      <c r="K15" s="101">
        <v>10</v>
      </c>
      <c r="L15" s="29">
        <f t="shared" si="5"/>
        <v>0</v>
      </c>
      <c r="M15" s="30">
        <f t="shared" si="5"/>
        <v>0</v>
      </c>
      <c r="N15" s="37">
        <f>SUMIF(TH_Data!$B$6:$B$381,MONTH($B15),TH_Data!J$6:J$381)</f>
        <v>0</v>
      </c>
      <c r="O15" s="38">
        <f>SUMIF(TH_Data!$B$6:$B$381,MONTH($B15),TH_Data!K$6:K$381)</f>
        <v>0</v>
      </c>
      <c r="P15" s="53">
        <f>SUMIF(TH_Data!$B$6:$B$381,MONTH($B15),TH_Data!L$6:L$381)</f>
        <v>0</v>
      </c>
      <c r="Q15" s="54">
        <f>SUMIF(TH_Data!$B$6:$B$381,MONTH($B15),TH_Data!M$6:M$381)</f>
        <v>0</v>
      </c>
      <c r="R15" s="59">
        <f>SUMIF(TH_Data!$B$6:$B$381,MONTH($B15),TH_Data!N$6:N$381)</f>
        <v>0</v>
      </c>
      <c r="S15" s="15">
        <f>SUMIF(TH_Data!$B$6:$B$381,MONTH($B15),TH_Data!O$6:O$381)</f>
        <v>0</v>
      </c>
      <c r="T15" s="101">
        <v>10</v>
      </c>
      <c r="U15" s="29">
        <f t="shared" si="6"/>
        <v>0</v>
      </c>
      <c r="V15" s="30">
        <f t="shared" si="6"/>
        <v>0</v>
      </c>
      <c r="W15" s="37">
        <f>SUMIF(TH_Data!$B$6:$B$381,MONTH($B15),TH_Data!Q$6:Q$381)</f>
        <v>0</v>
      </c>
      <c r="X15" s="38">
        <f>SUMIF(TH_Data!$B$6:$B$381,MONTH($B15),TH_Data!R$6:R$381)</f>
        <v>0</v>
      </c>
      <c r="Y15" s="53">
        <f>SUMIF(TH_Data!$B$6:$B$381,MONTH($B15),TH_Data!S$6:S$381)</f>
        <v>0</v>
      </c>
      <c r="Z15" s="54">
        <f>SUMIF(TH_Data!$B$6:$B$381,MONTH($B15),TH_Data!T$6:T$381)</f>
        <v>0</v>
      </c>
      <c r="AA15" s="59">
        <f>SUMIF(TH_Data!$B$6:$B$381,MONTH($B15),TH_Data!U$6:U$381)</f>
        <v>0</v>
      </c>
      <c r="AB15" s="15">
        <f>SUMIF(TH_Data!$B$6:$B$381,MONTH($B15),TH_Data!V$6:V$381)</f>
        <v>0</v>
      </c>
      <c r="AC15" s="101"/>
    </row>
    <row r="16" spans="1:29">
      <c r="A16" s="557">
        <v>11</v>
      </c>
      <c r="B16" s="23">
        <v>43405</v>
      </c>
      <c r="C16" s="27">
        <f t="shared" si="4"/>
        <v>0</v>
      </c>
      <c r="D16" s="28">
        <f t="shared" si="4"/>
        <v>0</v>
      </c>
      <c r="E16" s="37">
        <f>SUMIF(TH_Data!$B$6:$B$381,MONTH($B16),TH_Data!C$6:C$381)</f>
        <v>0</v>
      </c>
      <c r="F16" s="38">
        <f>SUMIF(TH_Data!$B$6:$B$381,MONTH($B16),TH_Data!D$6:D$381)</f>
        <v>0</v>
      </c>
      <c r="G16" s="53">
        <f>SUMIF(TH_Data!$B$6:$B$381,MONTH($B16),TH_Data!E$6:E$381)</f>
        <v>0</v>
      </c>
      <c r="H16" s="54">
        <f>SUMIF(TH_Data!$B$6:$B$381,MONTH($B16),TH_Data!F$6:F$381)</f>
        <v>0</v>
      </c>
      <c r="I16" s="59">
        <f>SUMIF(TH_Data!$B$6:$B$381,MONTH($B16),TH_Data!G$6:G$381)</f>
        <v>0</v>
      </c>
      <c r="J16" s="15">
        <f>SUMIF(TH_Data!$B$6:$B$381,MONTH($B16),TH_Data!H$6:H$381)</f>
        <v>0</v>
      </c>
      <c r="K16" s="101">
        <v>11</v>
      </c>
      <c r="L16" s="29">
        <f t="shared" si="5"/>
        <v>0</v>
      </c>
      <c r="M16" s="30">
        <f t="shared" si="5"/>
        <v>0</v>
      </c>
      <c r="N16" s="37">
        <f>SUMIF(TH_Data!$B$6:$B$381,MONTH($B16),TH_Data!J$6:J$381)</f>
        <v>0</v>
      </c>
      <c r="O16" s="38">
        <f>SUMIF(TH_Data!$B$6:$B$381,MONTH($B16),TH_Data!K$6:K$381)</f>
        <v>0</v>
      </c>
      <c r="P16" s="53">
        <f>SUMIF(TH_Data!$B$6:$B$381,MONTH($B16),TH_Data!L$6:L$381)</f>
        <v>0</v>
      </c>
      <c r="Q16" s="54">
        <f>SUMIF(TH_Data!$B$6:$B$381,MONTH($B16),TH_Data!M$6:M$381)</f>
        <v>0</v>
      </c>
      <c r="R16" s="59">
        <f>SUMIF(TH_Data!$B$6:$B$381,MONTH($B16),TH_Data!N$6:N$381)</f>
        <v>0</v>
      </c>
      <c r="S16" s="15">
        <f>SUMIF(TH_Data!$B$6:$B$381,MONTH($B16),TH_Data!O$6:O$381)</f>
        <v>0</v>
      </c>
      <c r="T16" s="101">
        <v>11</v>
      </c>
      <c r="U16" s="29">
        <f t="shared" si="6"/>
        <v>0</v>
      </c>
      <c r="V16" s="30">
        <f t="shared" si="6"/>
        <v>0</v>
      </c>
      <c r="W16" s="37">
        <f>SUMIF(TH_Data!$B$6:$B$381,MONTH($B16),TH_Data!Q$6:Q$381)</f>
        <v>0</v>
      </c>
      <c r="X16" s="38">
        <f>SUMIF(TH_Data!$B$6:$B$381,MONTH($B16),TH_Data!R$6:R$381)</f>
        <v>0</v>
      </c>
      <c r="Y16" s="53">
        <f>SUMIF(TH_Data!$B$6:$B$381,MONTH($B16),TH_Data!S$6:S$381)</f>
        <v>0</v>
      </c>
      <c r="Z16" s="54">
        <f>SUMIF(TH_Data!$B$6:$B$381,MONTH($B16),TH_Data!T$6:T$381)</f>
        <v>0</v>
      </c>
      <c r="AA16" s="59">
        <f>SUMIF(TH_Data!$B$6:$B$381,MONTH($B16),TH_Data!U$6:U$381)</f>
        <v>0</v>
      </c>
      <c r="AB16" s="15">
        <f>SUMIF(TH_Data!$B$6:$B$381,MONTH($B16),TH_Data!V$6:V$381)</f>
        <v>0</v>
      </c>
      <c r="AC16" s="101"/>
    </row>
    <row r="17" spans="1:29" ht="15.75" thickBot="1">
      <c r="A17" s="557">
        <v>12</v>
      </c>
      <c r="B17" s="24">
        <v>43435</v>
      </c>
      <c r="C17" s="674">
        <f t="shared" si="4"/>
        <v>0</v>
      </c>
      <c r="D17" s="675">
        <f t="shared" si="4"/>
        <v>0</v>
      </c>
      <c r="E17" s="39">
        <f>SUMIF(TH_Data!$B$6:$B$381,MONTH($B17),TH_Data!C$6:C$381)</f>
        <v>0</v>
      </c>
      <c r="F17" s="40">
        <f>SUMIF(TH_Data!$B$6:$B$381,MONTH($B17),TH_Data!D$6:D$381)</f>
        <v>0</v>
      </c>
      <c r="G17" s="55">
        <f>SUMIF(TH_Data!$B$6:$B$381,MONTH($B17),TH_Data!E$6:E$381)</f>
        <v>0</v>
      </c>
      <c r="H17" s="56">
        <f>SUMIF(TH_Data!$B$6:$B$381,MONTH($B17),TH_Data!F$6:F$381)</f>
        <v>0</v>
      </c>
      <c r="I17" s="60">
        <f>SUMIF(TH_Data!$B$6:$B$381,MONTH($B17),TH_Data!G$6:G$381)</f>
        <v>0</v>
      </c>
      <c r="J17" s="16">
        <f>SUMIF(TH_Data!$B$6:$B$381,MONTH($B17),TH_Data!H$6:H$381)</f>
        <v>0</v>
      </c>
      <c r="K17" s="101">
        <v>12</v>
      </c>
      <c r="L17" s="31">
        <f t="shared" si="5"/>
        <v>0</v>
      </c>
      <c r="M17" s="32">
        <f t="shared" si="5"/>
        <v>0</v>
      </c>
      <c r="N17" s="39">
        <f>SUMIF(TH_Data!$B$6:$B$381,MONTH($B17),TH_Data!J$6:J$381)</f>
        <v>0</v>
      </c>
      <c r="O17" s="40">
        <f>SUMIF(TH_Data!$B$6:$B$381,MONTH($B17),TH_Data!K$6:K$381)</f>
        <v>0</v>
      </c>
      <c r="P17" s="55">
        <f>SUMIF(TH_Data!$B$6:$B$381,MONTH($B17),TH_Data!L$6:L$381)</f>
        <v>0</v>
      </c>
      <c r="Q17" s="56">
        <f>SUMIF(TH_Data!$B$6:$B$381,MONTH($B17),TH_Data!M$6:M$381)</f>
        <v>0</v>
      </c>
      <c r="R17" s="60">
        <f>SUMIF(TH_Data!$B$6:$B$381,MONTH($B17),TH_Data!N$6:N$381)</f>
        <v>0</v>
      </c>
      <c r="S17" s="16">
        <f>SUMIF(TH_Data!$B$6:$B$381,MONTH($B17),TH_Data!O$6:O$381)</f>
        <v>0</v>
      </c>
      <c r="T17" s="101">
        <v>12</v>
      </c>
      <c r="U17" s="31">
        <f t="shared" si="6"/>
        <v>0</v>
      </c>
      <c r="V17" s="32">
        <f t="shared" si="6"/>
        <v>0</v>
      </c>
      <c r="W17" s="39">
        <f>SUMIF(TH_Data!$B$6:$B$381,MONTH($B17),TH_Data!Q$6:Q$381)</f>
        <v>0</v>
      </c>
      <c r="X17" s="40">
        <f>SUMIF(TH_Data!$B$6:$B$381,MONTH($B17),TH_Data!R$6:R$381)</f>
        <v>0</v>
      </c>
      <c r="Y17" s="55">
        <f>SUMIF(TH_Data!$B$6:$B$381,MONTH($B17),TH_Data!S$6:S$381)</f>
        <v>0</v>
      </c>
      <c r="Z17" s="56">
        <f>SUMIF(TH_Data!$B$6:$B$381,MONTH($B17),TH_Data!T$6:T$381)</f>
        <v>0</v>
      </c>
      <c r="AA17" s="60">
        <f>SUMIF(TH_Data!$B$6:$B$381,MONTH($B17),TH_Data!U$6:U$381)</f>
        <v>0</v>
      </c>
      <c r="AB17" s="16">
        <f>SUMIF(TH_Data!$B$6:$B$381,MONTH($B17),TH_Data!V$6:V$381)</f>
        <v>0</v>
      </c>
      <c r="AC17" s="101"/>
    </row>
    <row r="18" spans="1:29" ht="15.75" thickBot="1">
      <c r="K18" s="101"/>
      <c r="T18" s="101"/>
      <c r="AC18" s="101"/>
    </row>
    <row r="19" spans="1:29">
      <c r="A19" s="557"/>
      <c r="B19" s="641" t="s">
        <v>149</v>
      </c>
      <c r="C19" s="657">
        <f t="shared" ref="C19:J19" si="7">SUM(C6:C8)</f>
        <v>290126573</v>
      </c>
      <c r="D19" s="658">
        <f t="shared" si="7"/>
        <v>67633.25</v>
      </c>
      <c r="E19" s="659">
        <f t="shared" si="7"/>
        <v>55666</v>
      </c>
      <c r="F19" s="660">
        <f t="shared" si="7"/>
        <v>2.7400000000000011</v>
      </c>
      <c r="G19" s="663">
        <f t="shared" si="7"/>
        <v>268419941</v>
      </c>
      <c r="H19" s="664">
        <f t="shared" si="7"/>
        <v>64370.59</v>
      </c>
      <c r="I19" s="665">
        <f t="shared" si="7"/>
        <v>21650966</v>
      </c>
      <c r="J19" s="666">
        <f t="shared" si="7"/>
        <v>3259.92</v>
      </c>
      <c r="K19" s="652"/>
      <c r="L19" s="657">
        <f t="shared" ref="L19:S19" si="8">SUM(L6:L8)</f>
        <v>275002424</v>
      </c>
      <c r="M19" s="658">
        <f t="shared" si="8"/>
        <v>63958.719999999994</v>
      </c>
      <c r="N19" s="659">
        <f t="shared" si="8"/>
        <v>18768</v>
      </c>
      <c r="O19" s="660">
        <f t="shared" si="8"/>
        <v>1.6500000000000006</v>
      </c>
      <c r="P19" s="663">
        <f t="shared" si="8"/>
        <v>255109094</v>
      </c>
      <c r="Q19" s="664">
        <f t="shared" si="8"/>
        <v>60997.7</v>
      </c>
      <c r="R19" s="665">
        <f t="shared" si="8"/>
        <v>19874562</v>
      </c>
      <c r="S19" s="666">
        <f t="shared" si="8"/>
        <v>2959.37</v>
      </c>
      <c r="T19" s="652"/>
      <c r="U19" s="657">
        <f t="shared" ref="U19:AB19" si="9">SUM(U6:U8)</f>
        <v>15124149</v>
      </c>
      <c r="V19" s="658">
        <f t="shared" si="9"/>
        <v>3674.5299999999997</v>
      </c>
      <c r="W19" s="659">
        <f t="shared" si="9"/>
        <v>36898</v>
      </c>
      <c r="X19" s="660">
        <f t="shared" si="9"/>
        <v>1.0900000000000001</v>
      </c>
      <c r="Y19" s="663">
        <f t="shared" si="9"/>
        <v>13310847</v>
      </c>
      <c r="Z19" s="664">
        <f t="shared" si="9"/>
        <v>3372.89</v>
      </c>
      <c r="AA19" s="665">
        <f t="shared" si="9"/>
        <v>1776404</v>
      </c>
      <c r="AB19" s="666">
        <f t="shared" si="9"/>
        <v>300.54999999999995</v>
      </c>
      <c r="AC19" s="101"/>
    </row>
    <row r="20" spans="1:29">
      <c r="A20" s="557"/>
      <c r="B20" s="653" t="s">
        <v>150</v>
      </c>
      <c r="C20" s="29">
        <f t="shared" ref="C20:J20" si="10">SUM(C9:C11)</f>
        <v>358274670</v>
      </c>
      <c r="D20" s="30">
        <f t="shared" si="10"/>
        <v>105243.28</v>
      </c>
      <c r="E20" s="37">
        <f t="shared" si="10"/>
        <v>23228</v>
      </c>
      <c r="F20" s="38">
        <f t="shared" si="10"/>
        <v>0.54</v>
      </c>
      <c r="G20" s="53">
        <f t="shared" si="10"/>
        <v>313754783</v>
      </c>
      <c r="H20" s="54">
        <f t="shared" si="10"/>
        <v>95640.200000000012</v>
      </c>
      <c r="I20" s="59">
        <f t="shared" si="10"/>
        <v>44496659</v>
      </c>
      <c r="J20" s="15">
        <f t="shared" si="10"/>
        <v>9602.5400000000009</v>
      </c>
      <c r="K20" s="654"/>
      <c r="L20" s="29">
        <f t="shared" ref="L20:S20" si="11">SUM(L9:L11)</f>
        <v>336420231</v>
      </c>
      <c r="M20" s="30">
        <f t="shared" si="11"/>
        <v>99723.58</v>
      </c>
      <c r="N20" s="37">
        <f t="shared" si="11"/>
        <v>1522</v>
      </c>
      <c r="O20" s="38">
        <f t="shared" si="11"/>
        <v>0</v>
      </c>
      <c r="P20" s="53">
        <f t="shared" si="11"/>
        <v>296209829</v>
      </c>
      <c r="Q20" s="54">
        <f t="shared" si="11"/>
        <v>90904.41</v>
      </c>
      <c r="R20" s="59">
        <f t="shared" si="11"/>
        <v>40208880</v>
      </c>
      <c r="S20" s="15">
        <f t="shared" si="11"/>
        <v>8819.1700000000019</v>
      </c>
      <c r="T20" s="654"/>
      <c r="U20" s="29">
        <f t="shared" ref="U20:AB20" si="12">SUM(U9:U11)</f>
        <v>21854439</v>
      </c>
      <c r="V20" s="30">
        <f t="shared" si="12"/>
        <v>5519.6999999999989</v>
      </c>
      <c r="W20" s="37">
        <f t="shared" si="12"/>
        <v>21706</v>
      </c>
      <c r="X20" s="38">
        <f t="shared" si="12"/>
        <v>0.54</v>
      </c>
      <c r="Y20" s="53">
        <f t="shared" si="12"/>
        <v>17544954</v>
      </c>
      <c r="Z20" s="54">
        <f t="shared" si="12"/>
        <v>4735.7899999999991</v>
      </c>
      <c r="AA20" s="59">
        <f t="shared" si="12"/>
        <v>4287779</v>
      </c>
      <c r="AB20" s="15">
        <f t="shared" si="12"/>
        <v>783.37000000000012</v>
      </c>
      <c r="AC20" s="101"/>
    </row>
    <row r="21" spans="1:29">
      <c r="A21" s="557"/>
      <c r="B21" s="653" t="s">
        <v>216</v>
      </c>
      <c r="C21" s="29">
        <f t="shared" ref="C21:J21" si="13">SUM(C12:C14)</f>
        <v>655173373</v>
      </c>
      <c r="D21" s="30">
        <f t="shared" si="13"/>
        <v>244637.77699999887</v>
      </c>
      <c r="E21" s="37">
        <f t="shared" si="13"/>
        <v>6514459</v>
      </c>
      <c r="F21" s="38">
        <f t="shared" si="13"/>
        <v>3331.518</v>
      </c>
      <c r="G21" s="53">
        <f t="shared" si="13"/>
        <v>465008740</v>
      </c>
      <c r="H21" s="54">
        <f t="shared" si="13"/>
        <v>161960.52699999957</v>
      </c>
      <c r="I21" s="59">
        <f t="shared" si="13"/>
        <v>183650174</v>
      </c>
      <c r="J21" s="15">
        <f t="shared" si="13"/>
        <v>79345.731999999291</v>
      </c>
      <c r="K21" s="654"/>
      <c r="L21" s="29">
        <f t="shared" ref="L21:S21" si="14">SUM(L12:L14)</f>
        <v>598984346</v>
      </c>
      <c r="M21" s="30">
        <f t="shared" si="14"/>
        <v>218873.4819999999</v>
      </c>
      <c r="N21" s="37">
        <f t="shared" si="14"/>
        <v>6272942</v>
      </c>
      <c r="O21" s="38">
        <f t="shared" si="14"/>
        <v>3171.5470000000005</v>
      </c>
      <c r="P21" s="53">
        <f t="shared" si="14"/>
        <v>420722312</v>
      </c>
      <c r="Q21" s="54">
        <f t="shared" si="14"/>
        <v>143711.14000000045</v>
      </c>
      <c r="R21" s="59">
        <f t="shared" si="14"/>
        <v>171989092</v>
      </c>
      <c r="S21" s="15">
        <f t="shared" si="14"/>
        <v>71990.794999999445</v>
      </c>
      <c r="T21" s="654"/>
      <c r="U21" s="29">
        <f t="shared" ref="U21:AB21" si="15">SUM(U12:U14)</f>
        <v>56189027</v>
      </c>
      <c r="V21" s="30">
        <f t="shared" si="15"/>
        <v>25764.294999999027</v>
      </c>
      <c r="W21" s="37">
        <f t="shared" si="15"/>
        <v>241517</v>
      </c>
      <c r="X21" s="38">
        <f t="shared" si="15"/>
        <v>159.97099999999986</v>
      </c>
      <c r="Y21" s="53">
        <f t="shared" si="15"/>
        <v>44286428</v>
      </c>
      <c r="Z21" s="54">
        <f t="shared" si="15"/>
        <v>18249.386999999158</v>
      </c>
      <c r="AA21" s="59">
        <f t="shared" si="15"/>
        <v>11661082</v>
      </c>
      <c r="AB21" s="15">
        <f t="shared" si="15"/>
        <v>7354.9369999998698</v>
      </c>
      <c r="AC21" s="101"/>
    </row>
    <row r="22" spans="1:29" ht="15.75" thickBot="1">
      <c r="A22" s="557"/>
      <c r="B22" s="655" t="s">
        <v>217</v>
      </c>
      <c r="C22" s="31">
        <f t="shared" ref="C22:J22" si="16">SUM(C15:C17)</f>
        <v>0</v>
      </c>
      <c r="D22" s="32">
        <f t="shared" si="16"/>
        <v>0</v>
      </c>
      <c r="E22" s="39">
        <f t="shared" si="16"/>
        <v>0</v>
      </c>
      <c r="F22" s="40">
        <f t="shared" si="16"/>
        <v>0</v>
      </c>
      <c r="G22" s="55">
        <f t="shared" si="16"/>
        <v>0</v>
      </c>
      <c r="H22" s="56">
        <f t="shared" si="16"/>
        <v>0</v>
      </c>
      <c r="I22" s="60">
        <f t="shared" si="16"/>
        <v>0</v>
      </c>
      <c r="J22" s="16">
        <f t="shared" si="16"/>
        <v>0</v>
      </c>
      <c r="K22" s="656"/>
      <c r="L22" s="31">
        <f t="shared" ref="L22:S22" si="17">SUM(L15:L17)</f>
        <v>0</v>
      </c>
      <c r="M22" s="32">
        <f t="shared" si="17"/>
        <v>0</v>
      </c>
      <c r="N22" s="39">
        <f t="shared" si="17"/>
        <v>0</v>
      </c>
      <c r="O22" s="40">
        <f t="shared" si="17"/>
        <v>0</v>
      </c>
      <c r="P22" s="55">
        <f t="shared" si="17"/>
        <v>0</v>
      </c>
      <c r="Q22" s="56">
        <f t="shared" si="17"/>
        <v>0</v>
      </c>
      <c r="R22" s="60">
        <f t="shared" si="17"/>
        <v>0</v>
      </c>
      <c r="S22" s="16">
        <f t="shared" si="17"/>
        <v>0</v>
      </c>
      <c r="T22" s="656"/>
      <c r="U22" s="31">
        <f t="shared" ref="U22:AB22" si="18">SUM(U15:U17)</f>
        <v>0</v>
      </c>
      <c r="V22" s="32">
        <f t="shared" si="18"/>
        <v>0</v>
      </c>
      <c r="W22" s="39">
        <f t="shared" si="18"/>
        <v>0</v>
      </c>
      <c r="X22" s="40">
        <f t="shared" si="18"/>
        <v>0</v>
      </c>
      <c r="Y22" s="55">
        <f t="shared" si="18"/>
        <v>0</v>
      </c>
      <c r="Z22" s="56">
        <f t="shared" si="18"/>
        <v>0</v>
      </c>
      <c r="AA22" s="60">
        <f t="shared" si="18"/>
        <v>0</v>
      </c>
      <c r="AB22" s="16">
        <f t="shared" si="18"/>
        <v>0</v>
      </c>
      <c r="AC22" s="101"/>
    </row>
    <row r="23" spans="1:29" ht="15.75" thickBot="1">
      <c r="K23" s="101"/>
      <c r="T23" s="101"/>
      <c r="AC23" s="101"/>
    </row>
    <row r="24" spans="1:29" ht="15.75" thickBot="1">
      <c r="B24" s="19" t="s">
        <v>10</v>
      </c>
      <c r="C24" s="113">
        <v>1</v>
      </c>
      <c r="D24" s="113">
        <v>1</v>
      </c>
      <c r="E24" s="113">
        <v>1</v>
      </c>
      <c r="F24" s="113">
        <v>1</v>
      </c>
      <c r="G24" s="113">
        <v>1</v>
      </c>
      <c r="H24" s="113">
        <v>1</v>
      </c>
      <c r="I24" s="113">
        <v>1</v>
      </c>
      <c r="J24" s="113">
        <v>1</v>
      </c>
      <c r="K24" s="103"/>
      <c r="L24" s="113">
        <v>1</v>
      </c>
      <c r="M24" s="113">
        <v>1</v>
      </c>
      <c r="N24" s="113">
        <v>1</v>
      </c>
      <c r="O24" s="113">
        <v>1</v>
      </c>
      <c r="P24" s="113">
        <v>1</v>
      </c>
      <c r="Q24" s="113">
        <v>1</v>
      </c>
      <c r="R24" s="113">
        <v>1</v>
      </c>
      <c r="S24" s="113">
        <v>1</v>
      </c>
      <c r="T24" s="103"/>
      <c r="U24" s="113">
        <v>1</v>
      </c>
      <c r="V24" s="113">
        <v>1</v>
      </c>
      <c r="W24" s="113">
        <v>1</v>
      </c>
      <c r="X24" s="113">
        <v>1</v>
      </c>
      <c r="Y24" s="113">
        <v>1</v>
      </c>
      <c r="Z24" s="113">
        <v>1</v>
      </c>
      <c r="AA24" s="113">
        <v>1</v>
      </c>
      <c r="AB24" s="113">
        <v>1</v>
      </c>
      <c r="AC24" s="103"/>
    </row>
    <row r="25" spans="1:29" ht="15.75" thickBot="1">
      <c r="B25" s="21" t="s">
        <v>7</v>
      </c>
      <c r="C25" s="61">
        <f t="shared" ref="C25:J37" si="19">C5/C65</f>
        <v>0.60103629126637836</v>
      </c>
      <c r="D25" s="62">
        <f t="shared" si="19"/>
        <v>1.0694578138787374</v>
      </c>
      <c r="E25" s="69">
        <f t="shared" si="19"/>
        <v>10.338144717694156</v>
      </c>
      <c r="F25" s="70">
        <f t="shared" si="19"/>
        <v>29.04914180511885</v>
      </c>
      <c r="G25" s="85">
        <f t="shared" si="19"/>
        <v>0.5272403522793373</v>
      </c>
      <c r="H25" s="86">
        <f t="shared" si="19"/>
        <v>0.9005971013081554</v>
      </c>
      <c r="I25" s="93">
        <f t="shared" si="19"/>
        <v>1.3719044169510537</v>
      </c>
      <c r="J25" s="13">
        <f t="shared" si="19"/>
        <v>2.8134049572690554</v>
      </c>
      <c r="K25" s="103"/>
      <c r="L25" s="61">
        <f t="shared" ref="L25:S37" si="20">L5/L65</f>
        <v>0.5580797032058038</v>
      </c>
      <c r="M25" s="62">
        <f t="shared" si="20"/>
        <v>0.97991197773347638</v>
      </c>
      <c r="N25" s="69">
        <f t="shared" si="20"/>
        <v>9.8675655858292171</v>
      </c>
      <c r="O25" s="70">
        <f t="shared" si="20"/>
        <v>27.64144923577912</v>
      </c>
      <c r="P25" s="85">
        <f t="shared" si="20"/>
        <v>0.4894074255277221</v>
      </c>
      <c r="Q25" s="86">
        <f t="shared" si="20"/>
        <v>0.82687004090579863</v>
      </c>
      <c r="R25" s="93">
        <f t="shared" si="20"/>
        <v>1.2745562039464711</v>
      </c>
      <c r="S25" s="13">
        <f t="shared" si="20"/>
        <v>2.5559232563212215</v>
      </c>
      <c r="T25" s="103"/>
      <c r="U25" s="61">
        <f t="shared" ref="U25:AB37" si="21">IFERROR(U5/U65,0)</f>
        <v>0</v>
      </c>
      <c r="V25" s="62">
        <f t="shared" si="21"/>
        <v>0</v>
      </c>
      <c r="W25" s="69">
        <f t="shared" si="21"/>
        <v>0</v>
      </c>
      <c r="X25" s="70">
        <f t="shared" si="21"/>
        <v>0</v>
      </c>
      <c r="Y25" s="85">
        <f t="shared" si="21"/>
        <v>0</v>
      </c>
      <c r="Z25" s="86">
        <f t="shared" si="21"/>
        <v>0</v>
      </c>
      <c r="AA25" s="93">
        <f t="shared" si="21"/>
        <v>0</v>
      </c>
      <c r="AB25" s="13">
        <f t="shared" si="21"/>
        <v>0</v>
      </c>
      <c r="AC25" s="103"/>
    </row>
    <row r="26" spans="1:29">
      <c r="A26" s="557">
        <v>1</v>
      </c>
      <c r="B26" s="22">
        <v>43101</v>
      </c>
      <c r="C26" s="63">
        <f t="shared" si="19"/>
        <v>0.81707711356362345</v>
      </c>
      <c r="D26" s="64">
        <f t="shared" si="19"/>
        <v>0.62002459470376448</v>
      </c>
      <c r="E26" s="71">
        <f t="shared" si="19"/>
        <v>0.55417479051683216</v>
      </c>
      <c r="F26" s="72">
        <f t="shared" si="19"/>
        <v>0.14550661722401614</v>
      </c>
      <c r="G26" s="87">
        <f t="shared" si="19"/>
        <v>0.82846789659608755</v>
      </c>
      <c r="H26" s="88">
        <f t="shared" si="19"/>
        <v>0.64559222452689868</v>
      </c>
      <c r="I26" s="94">
        <f t="shared" si="19"/>
        <v>0.69374609535004439</v>
      </c>
      <c r="J26" s="12">
        <f t="shared" si="19"/>
        <v>0.34279223710523488</v>
      </c>
      <c r="K26" s="101"/>
      <c r="L26" s="63">
        <f t="shared" si="20"/>
        <v>0.76985710219150993</v>
      </c>
      <c r="M26" s="64">
        <f t="shared" si="20"/>
        <v>0.57142617727427703</v>
      </c>
      <c r="N26" s="71">
        <f t="shared" si="20"/>
        <v>0.20385990625851327</v>
      </c>
      <c r="O26" s="72">
        <f t="shared" si="20"/>
        <v>8.7303970334409689E-2</v>
      </c>
      <c r="P26" s="87">
        <f t="shared" si="20"/>
        <v>0.78269687564439205</v>
      </c>
      <c r="Q26" s="88">
        <f t="shared" si="20"/>
        <v>0.5964229557249876</v>
      </c>
      <c r="R26" s="94">
        <f t="shared" si="20"/>
        <v>0.63178198242745842</v>
      </c>
      <c r="S26" s="12">
        <f t="shared" si="20"/>
        <v>0.30045436783463725</v>
      </c>
      <c r="T26" s="101"/>
      <c r="U26" s="63">
        <f t="shared" si="21"/>
        <v>0</v>
      </c>
      <c r="V26" s="64">
        <f t="shared" si="21"/>
        <v>0</v>
      </c>
      <c r="W26" s="71">
        <f t="shared" si="21"/>
        <v>0</v>
      </c>
      <c r="X26" s="72">
        <f t="shared" si="21"/>
        <v>0</v>
      </c>
      <c r="Y26" s="87">
        <f t="shared" si="21"/>
        <v>0</v>
      </c>
      <c r="Z26" s="88">
        <f t="shared" si="21"/>
        <v>0</v>
      </c>
      <c r="AA26" s="94">
        <f t="shared" si="21"/>
        <v>0</v>
      </c>
      <c r="AB26" s="12">
        <f t="shared" si="21"/>
        <v>0</v>
      </c>
      <c r="AC26" s="101"/>
    </row>
    <row r="27" spans="1:29">
      <c r="A27" s="557">
        <v>2</v>
      </c>
      <c r="B27" s="23">
        <v>43132</v>
      </c>
      <c r="C27" s="65">
        <f t="shared" si="19"/>
        <v>0.89718050282978179</v>
      </c>
      <c r="D27" s="66">
        <f t="shared" si="19"/>
        <v>1.0719032972980107</v>
      </c>
      <c r="E27" s="73">
        <f t="shared" si="19"/>
        <v>0.81862137181878336</v>
      </c>
      <c r="F27" s="74">
        <f t="shared" si="19"/>
        <v>0.26687018541324214</v>
      </c>
      <c r="G27" s="89">
        <f t="shared" si="19"/>
        <v>0.90923326502678803</v>
      </c>
      <c r="H27" s="90">
        <f t="shared" si="19"/>
        <v>1.1187238005688851</v>
      </c>
      <c r="I27" s="95">
        <f t="shared" si="19"/>
        <v>0.76598285220675888</v>
      </c>
      <c r="J27" s="10">
        <f t="shared" si="19"/>
        <v>0.56400001127932964</v>
      </c>
      <c r="K27" s="101"/>
      <c r="L27" s="65">
        <f t="shared" si="20"/>
        <v>0.85263139074575833</v>
      </c>
      <c r="M27" s="66">
        <f t="shared" si="20"/>
        <v>1.0047795289216206</v>
      </c>
      <c r="N27" s="73">
        <f t="shared" si="20"/>
        <v>0.35445425312528722</v>
      </c>
      <c r="O27" s="74">
        <f t="shared" si="20"/>
        <v>0.1889518831028065</v>
      </c>
      <c r="P27" s="89">
        <f t="shared" si="20"/>
        <v>0.86632467032649851</v>
      </c>
      <c r="Q27" s="90">
        <f t="shared" si="20"/>
        <v>1.0517787658587978</v>
      </c>
      <c r="R27" s="95">
        <f t="shared" si="20"/>
        <v>0.70500858384806631</v>
      </c>
      <c r="S27" s="10">
        <f t="shared" si="20"/>
        <v>0.49496440665170294</v>
      </c>
      <c r="T27" s="101"/>
      <c r="U27" s="65">
        <f t="shared" si="21"/>
        <v>0</v>
      </c>
      <c r="V27" s="66">
        <f t="shared" si="21"/>
        <v>0</v>
      </c>
      <c r="W27" s="73">
        <f t="shared" si="21"/>
        <v>0</v>
      </c>
      <c r="X27" s="74">
        <f t="shared" si="21"/>
        <v>0</v>
      </c>
      <c r="Y27" s="89">
        <f t="shared" si="21"/>
        <v>0</v>
      </c>
      <c r="Z27" s="90">
        <f t="shared" si="21"/>
        <v>0</v>
      </c>
      <c r="AA27" s="95">
        <f t="shared" si="21"/>
        <v>0</v>
      </c>
      <c r="AB27" s="10">
        <f t="shared" si="21"/>
        <v>0</v>
      </c>
      <c r="AC27" s="101"/>
    </row>
    <row r="28" spans="1:29">
      <c r="A28" s="557">
        <v>3</v>
      </c>
      <c r="B28" s="23">
        <v>43160</v>
      </c>
      <c r="C28" s="65">
        <f t="shared" si="19"/>
        <v>0.97033178787353436</v>
      </c>
      <c r="D28" s="66">
        <f t="shared" si="19"/>
        <v>1.7471909146450877</v>
      </c>
      <c r="E28" s="73">
        <f t="shared" si="19"/>
        <v>0.41883035449416911</v>
      </c>
      <c r="F28" s="74">
        <f t="shared" si="19"/>
        <v>8.441149416963864E-2</v>
      </c>
      <c r="G28" s="89">
        <f t="shared" si="19"/>
        <v>0.9751503107090721</v>
      </c>
      <c r="H28" s="90">
        <f t="shared" si="19"/>
        <v>1.8108616460016018</v>
      </c>
      <c r="I28" s="95">
        <f t="shared" si="19"/>
        <v>0.9197025525989313</v>
      </c>
      <c r="J28" s="10">
        <f t="shared" si="19"/>
        <v>1.0584879417114408</v>
      </c>
      <c r="K28" s="101"/>
      <c r="L28" s="65">
        <f t="shared" si="20"/>
        <v>0.92228543202752167</v>
      </c>
      <c r="M28" s="66">
        <f t="shared" si="20"/>
        <v>1.6738124800899417</v>
      </c>
      <c r="N28" s="73">
        <f t="shared" si="20"/>
        <v>5.9695159357582496E-2</v>
      </c>
      <c r="O28" s="74">
        <f t="shared" si="20"/>
        <v>2.7596065401612621E-2</v>
      </c>
      <c r="P28" s="89">
        <f t="shared" si="20"/>
        <v>0.92942147142924425</v>
      </c>
      <c r="Q28" s="90">
        <f t="shared" si="20"/>
        <v>1.7374625718464778</v>
      </c>
      <c r="R28" s="95">
        <f t="shared" si="20"/>
        <v>0.84746611946340655</v>
      </c>
      <c r="S28" s="10">
        <f t="shared" si="20"/>
        <v>0.98527663140758259</v>
      </c>
      <c r="T28" s="101"/>
      <c r="U28" s="65">
        <f t="shared" si="21"/>
        <v>0</v>
      </c>
      <c r="V28" s="66">
        <f t="shared" si="21"/>
        <v>0</v>
      </c>
      <c r="W28" s="73">
        <f t="shared" si="21"/>
        <v>0</v>
      </c>
      <c r="X28" s="74">
        <f t="shared" si="21"/>
        <v>0</v>
      </c>
      <c r="Y28" s="89">
        <f t="shared" si="21"/>
        <v>0</v>
      </c>
      <c r="Z28" s="90">
        <f t="shared" si="21"/>
        <v>0</v>
      </c>
      <c r="AA28" s="95">
        <f t="shared" si="21"/>
        <v>0</v>
      </c>
      <c r="AB28" s="10">
        <f t="shared" si="21"/>
        <v>0</v>
      </c>
      <c r="AC28" s="101"/>
    </row>
    <row r="29" spans="1:29">
      <c r="A29" s="557">
        <v>4</v>
      </c>
      <c r="B29" s="23">
        <v>43191</v>
      </c>
      <c r="C29" s="65">
        <f t="shared" si="19"/>
        <v>0.85417377905281677</v>
      </c>
      <c r="D29" s="66">
        <f t="shared" si="19"/>
        <v>1.3856451277192685</v>
      </c>
      <c r="E29" s="73">
        <f t="shared" si="19"/>
        <v>0.22005686938513233</v>
      </c>
      <c r="F29" s="74">
        <f t="shared" si="19"/>
        <v>2.8570044180493071E-2</v>
      </c>
      <c r="G29" s="89">
        <f t="shared" si="19"/>
        <v>0.8351967979466749</v>
      </c>
      <c r="H29" s="90">
        <f t="shared" si="19"/>
        <v>1.3892870087048896</v>
      </c>
      <c r="I29" s="95">
        <f t="shared" si="19"/>
        <v>1.0633978165026559</v>
      </c>
      <c r="J29" s="10">
        <f t="shared" si="19"/>
        <v>1.3506724843980358</v>
      </c>
      <c r="K29" s="101"/>
      <c r="L29" s="65">
        <f t="shared" si="20"/>
        <v>0.81739879124274828</v>
      </c>
      <c r="M29" s="66">
        <f t="shared" si="20"/>
        <v>1.3428866426651493</v>
      </c>
      <c r="N29" s="73">
        <f t="shared" si="20"/>
        <v>7.6671609473468669E-3</v>
      </c>
      <c r="O29" s="74">
        <f t="shared" si="20"/>
        <v>0</v>
      </c>
      <c r="P29" s="89">
        <f t="shared" si="20"/>
        <v>0.80287932106959881</v>
      </c>
      <c r="Q29" s="90">
        <f t="shared" si="20"/>
        <v>1.3490121512411601</v>
      </c>
      <c r="R29" s="95">
        <f t="shared" si="20"/>
        <v>0.97861494346511202</v>
      </c>
      <c r="S29" s="10">
        <f t="shared" si="20"/>
        <v>1.2807726269616029</v>
      </c>
      <c r="T29" s="101"/>
      <c r="U29" s="65">
        <f t="shared" si="21"/>
        <v>0</v>
      </c>
      <c r="V29" s="66">
        <f t="shared" si="21"/>
        <v>0</v>
      </c>
      <c r="W29" s="73">
        <f t="shared" si="21"/>
        <v>0</v>
      </c>
      <c r="X29" s="74">
        <f t="shared" si="21"/>
        <v>0</v>
      </c>
      <c r="Y29" s="89">
        <f t="shared" si="21"/>
        <v>0</v>
      </c>
      <c r="Z29" s="90">
        <f t="shared" si="21"/>
        <v>0</v>
      </c>
      <c r="AA29" s="95">
        <f t="shared" si="21"/>
        <v>0</v>
      </c>
      <c r="AB29" s="10">
        <f t="shared" si="21"/>
        <v>0</v>
      </c>
      <c r="AC29" s="101"/>
    </row>
    <row r="30" spans="1:29">
      <c r="A30" s="557">
        <v>5</v>
      </c>
      <c r="B30" s="23">
        <v>43221</v>
      </c>
      <c r="C30" s="65">
        <f t="shared" si="19"/>
        <v>0.86815740809679465</v>
      </c>
      <c r="D30" s="66">
        <f t="shared" si="19"/>
        <v>1.3899052654126014</v>
      </c>
      <c r="E30" s="73">
        <f t="shared" si="19"/>
        <v>0.17753198192043324</v>
      </c>
      <c r="F30" s="74">
        <f t="shared" si="19"/>
        <v>2.4349469472011141E-2</v>
      </c>
      <c r="G30" s="89">
        <f t="shared" si="19"/>
        <v>0.82928283720115836</v>
      </c>
      <c r="H30" s="90">
        <f t="shared" si="19"/>
        <v>1.3864802398130451</v>
      </c>
      <c r="I30" s="95">
        <f t="shared" si="19"/>
        <v>1.294624410425373</v>
      </c>
      <c r="J30" s="10">
        <f t="shared" si="19"/>
        <v>1.4320488989247389</v>
      </c>
      <c r="K30" s="101"/>
      <c r="L30" s="65">
        <f t="shared" si="20"/>
        <v>0.81623769537087076</v>
      </c>
      <c r="M30" s="66">
        <f t="shared" si="20"/>
        <v>1.3258217317001089</v>
      </c>
      <c r="N30" s="73">
        <f t="shared" si="20"/>
        <v>7.4996365973794311E-3</v>
      </c>
      <c r="O30" s="74">
        <f t="shared" si="20"/>
        <v>0</v>
      </c>
      <c r="P30" s="89">
        <f t="shared" si="20"/>
        <v>0.78320520832319673</v>
      </c>
      <c r="Q30" s="90">
        <f t="shared" si="20"/>
        <v>1.3266978346739522</v>
      </c>
      <c r="R30" s="95">
        <f t="shared" si="20"/>
        <v>1.1793923325350419</v>
      </c>
      <c r="S30" s="10">
        <f t="shared" si="20"/>
        <v>1.3209090201782792</v>
      </c>
      <c r="T30" s="101"/>
      <c r="U30" s="65">
        <f t="shared" si="21"/>
        <v>0</v>
      </c>
      <c r="V30" s="66">
        <f t="shared" si="21"/>
        <v>0</v>
      </c>
      <c r="W30" s="73">
        <f t="shared" si="21"/>
        <v>0</v>
      </c>
      <c r="X30" s="74">
        <f t="shared" si="21"/>
        <v>0</v>
      </c>
      <c r="Y30" s="89">
        <f t="shared" si="21"/>
        <v>0</v>
      </c>
      <c r="Z30" s="90">
        <f t="shared" si="21"/>
        <v>0</v>
      </c>
      <c r="AA30" s="95">
        <f t="shared" si="21"/>
        <v>0</v>
      </c>
      <c r="AB30" s="10">
        <f t="shared" si="21"/>
        <v>0</v>
      </c>
      <c r="AC30" s="101"/>
    </row>
    <row r="31" spans="1:29">
      <c r="A31" s="557">
        <v>6</v>
      </c>
      <c r="B31" s="23">
        <v>43252</v>
      </c>
      <c r="C31" s="65">
        <f t="shared" si="19"/>
        <v>0.79152394557590611</v>
      </c>
      <c r="D31" s="66">
        <f t="shared" si="19"/>
        <v>1.3265749208987208</v>
      </c>
      <c r="E31" s="73">
        <f t="shared" si="19"/>
        <v>0.15571724447640065</v>
      </c>
      <c r="F31" s="74">
        <f t="shared" si="19"/>
        <v>1.8567133584322222E-2</v>
      </c>
      <c r="G31" s="89">
        <f t="shared" si="19"/>
        <v>0.73911829861247502</v>
      </c>
      <c r="H31" s="90">
        <f t="shared" si="19"/>
        <v>1.2948370997234013</v>
      </c>
      <c r="I31" s="95">
        <f t="shared" si="19"/>
        <v>1.3653973588596491</v>
      </c>
      <c r="J31" s="10">
        <f t="shared" si="19"/>
        <v>1.6773559805411755</v>
      </c>
      <c r="K31" s="101"/>
      <c r="L31" s="65">
        <f t="shared" si="20"/>
        <v>0.72657042206451206</v>
      </c>
      <c r="M31" s="66">
        <f t="shared" si="20"/>
        <v>1.2178099142581031</v>
      </c>
      <c r="N31" s="73">
        <f t="shared" si="20"/>
        <v>2.1150617600197912E-2</v>
      </c>
      <c r="O31" s="74">
        <f t="shared" si="20"/>
        <v>0</v>
      </c>
      <c r="P31" s="89">
        <f t="shared" si="20"/>
        <v>0.68280604511284748</v>
      </c>
      <c r="Q31" s="90">
        <f t="shared" si="20"/>
        <v>1.1928995199350056</v>
      </c>
      <c r="R31" s="95">
        <f t="shared" si="20"/>
        <v>1.2064277708346161</v>
      </c>
      <c r="S31" s="10">
        <f t="shared" si="20"/>
        <v>1.493800739489612</v>
      </c>
      <c r="T31" s="101"/>
      <c r="U31" s="65">
        <f t="shared" si="21"/>
        <v>0</v>
      </c>
      <c r="V31" s="66">
        <f t="shared" si="21"/>
        <v>0</v>
      </c>
      <c r="W31" s="73">
        <f t="shared" si="21"/>
        <v>0</v>
      </c>
      <c r="X31" s="74">
        <f t="shared" si="21"/>
        <v>0</v>
      </c>
      <c r="Y31" s="89">
        <f t="shared" si="21"/>
        <v>0</v>
      </c>
      <c r="Z31" s="90">
        <f t="shared" si="21"/>
        <v>0</v>
      </c>
      <c r="AA31" s="95">
        <f t="shared" si="21"/>
        <v>0</v>
      </c>
      <c r="AB31" s="10">
        <f t="shared" si="21"/>
        <v>0</v>
      </c>
      <c r="AC31" s="101"/>
    </row>
    <row r="32" spans="1:29">
      <c r="A32" s="557">
        <v>7</v>
      </c>
      <c r="B32" s="23">
        <v>43282</v>
      </c>
      <c r="C32" s="65">
        <f t="shared" si="19"/>
        <v>1.1288318211635096</v>
      </c>
      <c r="D32" s="66">
        <f t="shared" si="19"/>
        <v>2.0452089590578146</v>
      </c>
      <c r="E32" s="73">
        <f t="shared" si="19"/>
        <v>0.11892817442398715</v>
      </c>
      <c r="F32" s="74">
        <f t="shared" si="19"/>
        <v>2.3998335925314435E-2</v>
      </c>
      <c r="G32" s="89">
        <f t="shared" si="19"/>
        <v>1.0367518125957316</v>
      </c>
      <c r="H32" s="90">
        <f t="shared" si="19"/>
        <v>1.8411503210737268</v>
      </c>
      <c r="I32" s="95">
        <f t="shared" si="19"/>
        <v>2.1367877450753752</v>
      </c>
      <c r="J32" s="10">
        <f t="shared" si="19"/>
        <v>4.2781820034909197</v>
      </c>
      <c r="K32" s="101"/>
      <c r="L32" s="65">
        <f t="shared" si="20"/>
        <v>1.0532314318416691</v>
      </c>
      <c r="M32" s="66">
        <f t="shared" si="20"/>
        <v>1.8863430042244311</v>
      </c>
      <c r="N32" s="73">
        <f t="shared" si="20"/>
        <v>7.570843449280773E-3</v>
      </c>
      <c r="O32" s="74">
        <f t="shared" si="20"/>
        <v>0</v>
      </c>
      <c r="P32" s="89">
        <f t="shared" si="20"/>
        <v>0.96977176259226694</v>
      </c>
      <c r="Q32" s="90">
        <f t="shared" si="20"/>
        <v>1.697914279286842</v>
      </c>
      <c r="R32" s="95">
        <f t="shared" si="20"/>
        <v>1.9672810185863354</v>
      </c>
      <c r="S32" s="10">
        <f t="shared" si="20"/>
        <v>3.9483508915253656</v>
      </c>
      <c r="T32" s="101"/>
      <c r="U32" s="65">
        <f t="shared" si="21"/>
        <v>0</v>
      </c>
      <c r="V32" s="66">
        <f t="shared" si="21"/>
        <v>0</v>
      </c>
      <c r="W32" s="73">
        <f t="shared" si="21"/>
        <v>0</v>
      </c>
      <c r="X32" s="74">
        <f t="shared" si="21"/>
        <v>0</v>
      </c>
      <c r="Y32" s="89">
        <f t="shared" si="21"/>
        <v>0</v>
      </c>
      <c r="Z32" s="90">
        <f t="shared" si="21"/>
        <v>0</v>
      </c>
      <c r="AA32" s="95">
        <f t="shared" si="21"/>
        <v>0</v>
      </c>
      <c r="AB32" s="10">
        <f t="shared" si="21"/>
        <v>0</v>
      </c>
      <c r="AC32" s="101"/>
    </row>
    <row r="33" spans="1:29">
      <c r="A33" s="557">
        <v>8</v>
      </c>
      <c r="B33" s="23">
        <v>43313</v>
      </c>
      <c r="C33" s="65">
        <f t="shared" si="19"/>
        <v>1.4361904200566438</v>
      </c>
      <c r="D33" s="66">
        <f t="shared" si="19"/>
        <v>2.6577580023761818</v>
      </c>
      <c r="E33" s="73">
        <f t="shared" si="19"/>
        <v>11.530810008562645</v>
      </c>
      <c r="F33" s="74">
        <f t="shared" si="19"/>
        <v>33.16868568770348</v>
      </c>
      <c r="G33" s="89">
        <f t="shared" si="19"/>
        <v>1.1201613456777104</v>
      </c>
      <c r="H33" s="90">
        <f t="shared" si="19"/>
        <v>2.0195106703887897</v>
      </c>
      <c r="I33" s="95">
        <f t="shared" si="19"/>
        <v>4.8481112120549232</v>
      </c>
      <c r="J33" s="10">
        <f t="shared" si="19"/>
        <v>9.5129584105414295</v>
      </c>
      <c r="K33" s="101"/>
      <c r="L33" s="65">
        <f t="shared" si="20"/>
        <v>1.3110294920780048</v>
      </c>
      <c r="M33" s="66">
        <f t="shared" si="20"/>
        <v>2.387444883353286</v>
      </c>
      <c r="N33" s="73">
        <f t="shared" si="20"/>
        <v>11.108740136660481</v>
      </c>
      <c r="O33" s="74">
        <f t="shared" si="20"/>
        <v>32.245381289734802</v>
      </c>
      <c r="P33" s="89">
        <f t="shared" si="20"/>
        <v>1.009914353001975</v>
      </c>
      <c r="Q33" s="90">
        <f t="shared" si="20"/>
        <v>1.7943741269576559</v>
      </c>
      <c r="R33" s="95">
        <f t="shared" si="20"/>
        <v>4.561307458556187</v>
      </c>
      <c r="S33" s="10">
        <f t="shared" si="20"/>
        <v>8.7521415921263479</v>
      </c>
      <c r="T33" s="101"/>
      <c r="U33" s="65">
        <f t="shared" si="21"/>
        <v>0</v>
      </c>
      <c r="V33" s="66">
        <f t="shared" si="21"/>
        <v>0</v>
      </c>
      <c r="W33" s="73">
        <f t="shared" si="21"/>
        <v>0</v>
      </c>
      <c r="X33" s="74">
        <f t="shared" si="21"/>
        <v>0</v>
      </c>
      <c r="Y33" s="89">
        <f t="shared" si="21"/>
        <v>0</v>
      </c>
      <c r="Z33" s="90">
        <f t="shared" si="21"/>
        <v>0</v>
      </c>
      <c r="AA33" s="95">
        <f t="shared" si="21"/>
        <v>0</v>
      </c>
      <c r="AB33" s="10">
        <f t="shared" si="21"/>
        <v>0</v>
      </c>
      <c r="AC33" s="101"/>
    </row>
    <row r="34" spans="1:29">
      <c r="A34" s="557">
        <v>9</v>
      </c>
      <c r="B34" s="23">
        <v>43344</v>
      </c>
      <c r="C34" s="65">
        <f t="shared" si="19"/>
        <v>1.2662624646426337</v>
      </c>
      <c r="D34" s="66">
        <f t="shared" si="19"/>
        <v>3.1192426526805797</v>
      </c>
      <c r="E34" s="73">
        <f t="shared" si="19"/>
        <v>102.50389129479137</v>
      </c>
      <c r="F34" s="74">
        <f t="shared" si="19"/>
        <v>291.12469343172188</v>
      </c>
      <c r="G34" s="89">
        <f t="shared" si="19"/>
        <v>0.85291187072824537</v>
      </c>
      <c r="H34" s="90">
        <f t="shared" si="19"/>
        <v>1.8986301606101343</v>
      </c>
      <c r="I34" s="95">
        <f t="shared" si="19"/>
        <v>5.420533088169198</v>
      </c>
      <c r="J34" s="10">
        <f t="shared" si="19"/>
        <v>15.425026607089359</v>
      </c>
      <c r="K34" s="101"/>
      <c r="L34" s="65">
        <f t="shared" si="20"/>
        <v>1.1432551072643342</v>
      </c>
      <c r="M34" s="66">
        <f t="shared" si="20"/>
        <v>2.7399193899659853</v>
      </c>
      <c r="N34" s="73">
        <f t="shared" si="20"/>
        <v>98.780164813656583</v>
      </c>
      <c r="O34" s="74">
        <f t="shared" si="20"/>
        <v>276.60512607403768</v>
      </c>
      <c r="P34" s="89">
        <f t="shared" si="20"/>
        <v>0.75059436889556697</v>
      </c>
      <c r="Q34" s="90">
        <f t="shared" si="20"/>
        <v>1.6340291062134076</v>
      </c>
      <c r="R34" s="95">
        <f t="shared" si="20"/>
        <v>5.0844507004507253</v>
      </c>
      <c r="S34" s="10">
        <f t="shared" si="20"/>
        <v>13.843829824419624</v>
      </c>
      <c r="T34" s="101"/>
      <c r="U34" s="65">
        <f t="shared" si="21"/>
        <v>0</v>
      </c>
      <c r="V34" s="66">
        <f t="shared" si="21"/>
        <v>0</v>
      </c>
      <c r="W34" s="73">
        <f t="shared" si="21"/>
        <v>0</v>
      </c>
      <c r="X34" s="74">
        <f t="shared" si="21"/>
        <v>0</v>
      </c>
      <c r="Y34" s="89">
        <f t="shared" si="21"/>
        <v>0</v>
      </c>
      <c r="Z34" s="90">
        <f t="shared" si="21"/>
        <v>0</v>
      </c>
      <c r="AA34" s="95">
        <f t="shared" si="21"/>
        <v>0</v>
      </c>
      <c r="AB34" s="10">
        <f t="shared" si="21"/>
        <v>0</v>
      </c>
      <c r="AC34" s="101"/>
    </row>
    <row r="35" spans="1:29">
      <c r="A35" s="557">
        <v>10</v>
      </c>
      <c r="B35" s="23">
        <v>43374</v>
      </c>
      <c r="C35" s="65">
        <f t="shared" si="19"/>
        <v>0</v>
      </c>
      <c r="D35" s="66">
        <f t="shared" si="19"/>
        <v>0</v>
      </c>
      <c r="E35" s="73">
        <f t="shared" si="19"/>
        <v>0</v>
      </c>
      <c r="F35" s="74">
        <f t="shared" si="19"/>
        <v>0</v>
      </c>
      <c r="G35" s="89">
        <f t="shared" si="19"/>
        <v>0</v>
      </c>
      <c r="H35" s="90">
        <f t="shared" si="19"/>
        <v>0</v>
      </c>
      <c r="I35" s="95">
        <f t="shared" si="19"/>
        <v>0</v>
      </c>
      <c r="J35" s="10">
        <f t="shared" si="19"/>
        <v>0</v>
      </c>
      <c r="K35" s="101"/>
      <c r="L35" s="65">
        <f t="shared" si="20"/>
        <v>0</v>
      </c>
      <c r="M35" s="66">
        <f t="shared" si="20"/>
        <v>0</v>
      </c>
      <c r="N35" s="73">
        <f t="shared" si="20"/>
        <v>0</v>
      </c>
      <c r="O35" s="74">
        <f t="shared" si="20"/>
        <v>0</v>
      </c>
      <c r="P35" s="89">
        <f t="shared" si="20"/>
        <v>0</v>
      </c>
      <c r="Q35" s="90">
        <f t="shared" si="20"/>
        <v>0</v>
      </c>
      <c r="R35" s="95">
        <f t="shared" si="20"/>
        <v>0</v>
      </c>
      <c r="S35" s="10">
        <f t="shared" si="20"/>
        <v>0</v>
      </c>
      <c r="T35" s="101"/>
      <c r="U35" s="65">
        <f t="shared" si="21"/>
        <v>0</v>
      </c>
      <c r="V35" s="66">
        <f t="shared" si="21"/>
        <v>0</v>
      </c>
      <c r="W35" s="73">
        <f t="shared" si="21"/>
        <v>0</v>
      </c>
      <c r="X35" s="74">
        <f t="shared" si="21"/>
        <v>0</v>
      </c>
      <c r="Y35" s="89">
        <f t="shared" si="21"/>
        <v>0</v>
      </c>
      <c r="Z35" s="90">
        <f t="shared" si="21"/>
        <v>0</v>
      </c>
      <c r="AA35" s="95">
        <f t="shared" si="21"/>
        <v>0</v>
      </c>
      <c r="AB35" s="10">
        <f t="shared" si="21"/>
        <v>0</v>
      </c>
      <c r="AC35" s="101"/>
    </row>
    <row r="36" spans="1:29">
      <c r="A36" s="557">
        <v>11</v>
      </c>
      <c r="B36" s="23">
        <v>43405</v>
      </c>
      <c r="C36" s="65">
        <f t="shared" si="19"/>
        <v>0</v>
      </c>
      <c r="D36" s="66">
        <f t="shared" si="19"/>
        <v>0</v>
      </c>
      <c r="E36" s="73">
        <f t="shared" si="19"/>
        <v>0</v>
      </c>
      <c r="F36" s="74">
        <f t="shared" si="19"/>
        <v>0</v>
      </c>
      <c r="G36" s="89">
        <f t="shared" si="19"/>
        <v>0</v>
      </c>
      <c r="H36" s="90">
        <f t="shared" si="19"/>
        <v>0</v>
      </c>
      <c r="I36" s="95">
        <f t="shared" si="19"/>
        <v>0</v>
      </c>
      <c r="J36" s="10">
        <f t="shared" si="19"/>
        <v>0</v>
      </c>
      <c r="K36" s="101"/>
      <c r="L36" s="65">
        <f t="shared" si="20"/>
        <v>0</v>
      </c>
      <c r="M36" s="66">
        <f t="shared" si="20"/>
        <v>0</v>
      </c>
      <c r="N36" s="73">
        <f t="shared" si="20"/>
        <v>0</v>
      </c>
      <c r="O36" s="74">
        <f t="shared" si="20"/>
        <v>0</v>
      </c>
      <c r="P36" s="89">
        <f t="shared" si="20"/>
        <v>0</v>
      </c>
      <c r="Q36" s="90">
        <f t="shared" si="20"/>
        <v>0</v>
      </c>
      <c r="R36" s="95">
        <f t="shared" si="20"/>
        <v>0</v>
      </c>
      <c r="S36" s="10">
        <f t="shared" si="20"/>
        <v>0</v>
      </c>
      <c r="T36" s="101"/>
      <c r="U36" s="65">
        <f t="shared" si="21"/>
        <v>0</v>
      </c>
      <c r="V36" s="66">
        <f t="shared" si="21"/>
        <v>0</v>
      </c>
      <c r="W36" s="73">
        <f t="shared" si="21"/>
        <v>0</v>
      </c>
      <c r="X36" s="74">
        <f t="shared" si="21"/>
        <v>0</v>
      </c>
      <c r="Y36" s="89">
        <f t="shared" si="21"/>
        <v>0</v>
      </c>
      <c r="Z36" s="90">
        <f t="shared" si="21"/>
        <v>0</v>
      </c>
      <c r="AA36" s="95">
        <f t="shared" si="21"/>
        <v>0</v>
      </c>
      <c r="AB36" s="10">
        <f t="shared" si="21"/>
        <v>0</v>
      </c>
      <c r="AC36" s="101"/>
    </row>
    <row r="37" spans="1:29" ht="15.75" thickBot="1">
      <c r="A37" s="557">
        <v>12</v>
      </c>
      <c r="B37" s="24">
        <v>43435</v>
      </c>
      <c r="C37" s="67">
        <f t="shared" si="19"/>
        <v>0</v>
      </c>
      <c r="D37" s="68">
        <f t="shared" si="19"/>
        <v>0</v>
      </c>
      <c r="E37" s="75">
        <f t="shared" si="19"/>
        <v>0</v>
      </c>
      <c r="F37" s="76">
        <f t="shared" si="19"/>
        <v>0</v>
      </c>
      <c r="G37" s="91">
        <f t="shared" si="19"/>
        <v>0</v>
      </c>
      <c r="H37" s="92">
        <f t="shared" si="19"/>
        <v>0</v>
      </c>
      <c r="I37" s="96">
        <f t="shared" si="19"/>
        <v>0</v>
      </c>
      <c r="J37" s="11">
        <f t="shared" si="19"/>
        <v>0</v>
      </c>
      <c r="K37" s="101"/>
      <c r="L37" s="67">
        <f t="shared" si="20"/>
        <v>0</v>
      </c>
      <c r="M37" s="68">
        <f t="shared" si="20"/>
        <v>0</v>
      </c>
      <c r="N37" s="75">
        <f t="shared" si="20"/>
        <v>0</v>
      </c>
      <c r="O37" s="76">
        <f t="shared" si="20"/>
        <v>0</v>
      </c>
      <c r="P37" s="91">
        <f t="shared" si="20"/>
        <v>0</v>
      </c>
      <c r="Q37" s="92">
        <f t="shared" si="20"/>
        <v>0</v>
      </c>
      <c r="R37" s="96">
        <f t="shared" si="20"/>
        <v>0</v>
      </c>
      <c r="S37" s="11">
        <f t="shared" si="20"/>
        <v>0</v>
      </c>
      <c r="T37" s="101"/>
      <c r="U37" s="67">
        <f t="shared" si="21"/>
        <v>0</v>
      </c>
      <c r="V37" s="68">
        <f t="shared" si="21"/>
        <v>0</v>
      </c>
      <c r="W37" s="75">
        <f t="shared" si="21"/>
        <v>0</v>
      </c>
      <c r="X37" s="76">
        <f t="shared" si="21"/>
        <v>0</v>
      </c>
      <c r="Y37" s="91">
        <f t="shared" si="21"/>
        <v>0</v>
      </c>
      <c r="Z37" s="92">
        <f t="shared" si="21"/>
        <v>0</v>
      </c>
      <c r="AA37" s="96">
        <f t="shared" si="21"/>
        <v>0</v>
      </c>
      <c r="AB37" s="11">
        <f t="shared" si="21"/>
        <v>0</v>
      </c>
      <c r="AC37" s="101"/>
    </row>
    <row r="38" spans="1:29" ht="15.75" thickBot="1">
      <c r="K38" s="101"/>
      <c r="T38" s="101"/>
      <c r="AC38" s="101"/>
    </row>
    <row r="39" spans="1:29">
      <c r="A39" s="557"/>
      <c r="B39" s="641" t="s">
        <v>149</v>
      </c>
      <c r="C39" s="642">
        <f t="shared" ref="C39:J42" si="22">C19/C79</f>
        <v>0.89617073524937796</v>
      </c>
      <c r="D39" s="643">
        <f t="shared" si="22"/>
        <v>1.1606225431784789</v>
      </c>
      <c r="E39" s="644">
        <f t="shared" si="22"/>
        <v>0.58474261192168975</v>
      </c>
      <c r="F39" s="645">
        <f t="shared" si="22"/>
        <v>0.15990159130303261</v>
      </c>
      <c r="G39" s="648">
        <f t="shared" si="22"/>
        <v>0.90539708332795843</v>
      </c>
      <c r="H39" s="649">
        <f t="shared" si="22"/>
        <v>1.2062554795662899</v>
      </c>
      <c r="I39" s="650">
        <f t="shared" si="22"/>
        <v>0.79661957442019005</v>
      </c>
      <c r="J39" s="651">
        <f t="shared" si="22"/>
        <v>0.66635879306567292</v>
      </c>
      <c r="K39" s="652"/>
      <c r="L39" s="642">
        <f t="shared" ref="L39:S42" si="23">L19/L79</f>
        <v>0.84945381584003055</v>
      </c>
      <c r="M39" s="643">
        <f t="shared" si="23"/>
        <v>1.0975656539474332</v>
      </c>
      <c r="N39" s="644">
        <f t="shared" si="23"/>
        <v>0.19714815759253895</v>
      </c>
      <c r="O39" s="645">
        <f t="shared" si="23"/>
        <v>9.6291104251826201E-2</v>
      </c>
      <c r="P39" s="648">
        <f t="shared" si="23"/>
        <v>0.86049877210142889</v>
      </c>
      <c r="Q39" s="649">
        <f t="shared" si="23"/>
        <v>1.1430501082239681</v>
      </c>
      <c r="R39" s="650">
        <f t="shared" si="23"/>
        <v>0.7312590635553019</v>
      </c>
      <c r="S39" s="651">
        <f t="shared" si="23"/>
        <v>0.60492350163033459</v>
      </c>
      <c r="T39" s="652"/>
      <c r="U39" s="642">
        <f t="shared" ref="U39:AB42" si="24">IFERROR(U19/U79,0)</f>
        <v>0</v>
      </c>
      <c r="V39" s="643">
        <f t="shared" si="24"/>
        <v>0</v>
      </c>
      <c r="W39" s="644">
        <f t="shared" si="24"/>
        <v>0</v>
      </c>
      <c r="X39" s="645">
        <f t="shared" si="24"/>
        <v>0</v>
      </c>
      <c r="Y39" s="648">
        <f t="shared" si="24"/>
        <v>0</v>
      </c>
      <c r="Z39" s="649">
        <f t="shared" si="24"/>
        <v>0</v>
      </c>
      <c r="AA39" s="650">
        <f t="shared" si="24"/>
        <v>0</v>
      </c>
      <c r="AB39" s="651">
        <f t="shared" si="24"/>
        <v>0</v>
      </c>
      <c r="AC39" s="101"/>
    </row>
    <row r="40" spans="1:29">
      <c r="A40" s="557"/>
      <c r="B40" s="653" t="s">
        <v>150</v>
      </c>
      <c r="C40" s="65">
        <f t="shared" si="22"/>
        <v>0.83786919513257585</v>
      </c>
      <c r="D40" s="66">
        <f t="shared" si="22"/>
        <v>1.3673572213729563</v>
      </c>
      <c r="E40" s="73">
        <f t="shared" si="22"/>
        <v>0.18473254552940926</v>
      </c>
      <c r="F40" s="74">
        <f t="shared" si="22"/>
        <v>2.3859033777691916E-2</v>
      </c>
      <c r="G40" s="89">
        <f t="shared" si="22"/>
        <v>0.80125645061959805</v>
      </c>
      <c r="H40" s="90">
        <f t="shared" si="22"/>
        <v>1.3569040987256966</v>
      </c>
      <c r="I40" s="95">
        <f t="shared" si="22"/>
        <v>1.239532643000266</v>
      </c>
      <c r="J40" s="10">
        <f t="shared" si="22"/>
        <v>1.4860868275420878</v>
      </c>
      <c r="K40" s="654"/>
      <c r="L40" s="65">
        <f t="shared" si="23"/>
        <v>0.78675991293016967</v>
      </c>
      <c r="M40" s="66">
        <f t="shared" si="23"/>
        <v>1.2956433632072635</v>
      </c>
      <c r="N40" s="73">
        <f t="shared" si="23"/>
        <v>1.2104483136549032E-2</v>
      </c>
      <c r="O40" s="74">
        <f t="shared" si="23"/>
        <v>0</v>
      </c>
      <c r="P40" s="89">
        <f t="shared" si="23"/>
        <v>0.75645073504163307</v>
      </c>
      <c r="Q40" s="90">
        <f t="shared" si="23"/>
        <v>1.2897146442734457</v>
      </c>
      <c r="R40" s="95">
        <f t="shared" si="23"/>
        <v>1.1200890228293441</v>
      </c>
      <c r="S40" s="10">
        <f t="shared" si="23"/>
        <v>1.3648526709448079</v>
      </c>
      <c r="T40" s="654"/>
      <c r="U40" s="65">
        <f t="shared" si="24"/>
        <v>0</v>
      </c>
      <c r="V40" s="66">
        <f t="shared" si="24"/>
        <v>0</v>
      </c>
      <c r="W40" s="73">
        <f t="shared" si="24"/>
        <v>0</v>
      </c>
      <c r="X40" s="74">
        <f t="shared" si="24"/>
        <v>0</v>
      </c>
      <c r="Y40" s="89">
        <f t="shared" si="24"/>
        <v>0</v>
      </c>
      <c r="Z40" s="90">
        <f t="shared" si="24"/>
        <v>0</v>
      </c>
      <c r="AA40" s="95">
        <f t="shared" si="24"/>
        <v>0</v>
      </c>
      <c r="AB40" s="10">
        <f t="shared" si="24"/>
        <v>0</v>
      </c>
      <c r="AC40" s="101"/>
    </row>
    <row r="41" spans="1:29">
      <c r="A41" s="557"/>
      <c r="B41" s="653" t="s">
        <v>216</v>
      </c>
      <c r="C41" s="65">
        <f t="shared" si="22"/>
        <v>1.2807332563023668</v>
      </c>
      <c r="D41" s="66">
        <f t="shared" si="22"/>
        <v>2.6567669775467779</v>
      </c>
      <c r="E41" s="73">
        <f t="shared" si="22"/>
        <v>43.306419793265349</v>
      </c>
      <c r="F41" s="74">
        <f t="shared" si="22"/>
        <v>123.03922453867601</v>
      </c>
      <c r="G41" s="89">
        <f t="shared" si="22"/>
        <v>0.99262367315862488</v>
      </c>
      <c r="H41" s="90">
        <f t="shared" si="22"/>
        <v>1.9207028861130917</v>
      </c>
      <c r="I41" s="95">
        <f t="shared" si="22"/>
        <v>4.27626133178922</v>
      </c>
      <c r="J41" s="10">
        <f t="shared" si="22"/>
        <v>10.26417291708902</v>
      </c>
      <c r="K41" s="654"/>
      <c r="L41" s="65">
        <f t="shared" si="23"/>
        <v>1.1708949165837415</v>
      </c>
      <c r="M41" s="66">
        <f t="shared" si="23"/>
        <v>2.3769666580901014</v>
      </c>
      <c r="N41" s="73">
        <f t="shared" si="23"/>
        <v>41.700877937953948</v>
      </c>
      <c r="O41" s="74">
        <f t="shared" si="23"/>
        <v>117.13119468901694</v>
      </c>
      <c r="P41" s="89">
        <f t="shared" si="23"/>
        <v>0.89808833854870984</v>
      </c>
      <c r="Q41" s="90">
        <f t="shared" si="23"/>
        <v>1.7042819412695798</v>
      </c>
      <c r="R41" s="95">
        <f t="shared" si="23"/>
        <v>4.0047351308751749</v>
      </c>
      <c r="S41" s="10">
        <f t="shared" si="23"/>
        <v>9.31273743014569</v>
      </c>
      <c r="T41" s="654"/>
      <c r="U41" s="65">
        <f t="shared" si="24"/>
        <v>0</v>
      </c>
      <c r="V41" s="66">
        <f t="shared" si="24"/>
        <v>0</v>
      </c>
      <c r="W41" s="73">
        <f t="shared" si="24"/>
        <v>0</v>
      </c>
      <c r="X41" s="74">
        <f t="shared" si="24"/>
        <v>0</v>
      </c>
      <c r="Y41" s="89">
        <f t="shared" si="24"/>
        <v>0</v>
      </c>
      <c r="Z41" s="90">
        <f t="shared" si="24"/>
        <v>0</v>
      </c>
      <c r="AA41" s="95">
        <f t="shared" si="24"/>
        <v>0</v>
      </c>
      <c r="AB41" s="10">
        <f t="shared" si="24"/>
        <v>0</v>
      </c>
      <c r="AC41" s="101"/>
    </row>
    <row r="42" spans="1:29" ht="15.75" thickBot="1">
      <c r="A42" s="557"/>
      <c r="B42" s="655" t="s">
        <v>217</v>
      </c>
      <c r="C42" s="67">
        <f t="shared" si="22"/>
        <v>0</v>
      </c>
      <c r="D42" s="68">
        <f t="shared" si="22"/>
        <v>0</v>
      </c>
      <c r="E42" s="75">
        <f t="shared" si="22"/>
        <v>0</v>
      </c>
      <c r="F42" s="76">
        <f t="shared" si="22"/>
        <v>0</v>
      </c>
      <c r="G42" s="91">
        <f t="shared" si="22"/>
        <v>0</v>
      </c>
      <c r="H42" s="92">
        <f t="shared" si="22"/>
        <v>0</v>
      </c>
      <c r="I42" s="96">
        <f t="shared" si="22"/>
        <v>0</v>
      </c>
      <c r="J42" s="11">
        <f t="shared" si="22"/>
        <v>0</v>
      </c>
      <c r="K42" s="656"/>
      <c r="L42" s="67">
        <f t="shared" si="23"/>
        <v>0</v>
      </c>
      <c r="M42" s="68">
        <f t="shared" si="23"/>
        <v>0</v>
      </c>
      <c r="N42" s="75">
        <f t="shared" si="23"/>
        <v>0</v>
      </c>
      <c r="O42" s="76">
        <f t="shared" si="23"/>
        <v>0</v>
      </c>
      <c r="P42" s="91">
        <f t="shared" si="23"/>
        <v>0</v>
      </c>
      <c r="Q42" s="92">
        <f t="shared" si="23"/>
        <v>0</v>
      </c>
      <c r="R42" s="96">
        <f t="shared" si="23"/>
        <v>0</v>
      </c>
      <c r="S42" s="11">
        <f t="shared" si="23"/>
        <v>0</v>
      </c>
      <c r="T42" s="656"/>
      <c r="U42" s="67">
        <f t="shared" si="24"/>
        <v>0</v>
      </c>
      <c r="V42" s="68">
        <f t="shared" si="24"/>
        <v>0</v>
      </c>
      <c r="W42" s="75">
        <f t="shared" si="24"/>
        <v>0</v>
      </c>
      <c r="X42" s="76">
        <f t="shared" si="24"/>
        <v>0</v>
      </c>
      <c r="Y42" s="91">
        <f t="shared" si="24"/>
        <v>0</v>
      </c>
      <c r="Z42" s="92">
        <f t="shared" si="24"/>
        <v>0</v>
      </c>
      <c r="AA42" s="96">
        <f t="shared" si="24"/>
        <v>0</v>
      </c>
      <c r="AB42" s="11">
        <f t="shared" si="24"/>
        <v>0</v>
      </c>
      <c r="AC42" s="101"/>
    </row>
    <row r="43" spans="1:29" ht="15.75" thickBot="1">
      <c r="K43" s="101"/>
      <c r="T43" s="101"/>
      <c r="AC43" s="101"/>
    </row>
    <row r="44" spans="1:29" ht="15.75" thickBot="1">
      <c r="B44" s="20" t="s">
        <v>109</v>
      </c>
      <c r="K44" s="101"/>
      <c r="T44" s="101"/>
      <c r="AC44" s="101"/>
    </row>
    <row r="45" spans="1:29" ht="15.75" thickBot="1">
      <c r="B45" s="21" t="s">
        <v>7</v>
      </c>
      <c r="C45" s="25">
        <f t="shared" ref="C45:D45" si="25">SUM(C46:C57)</f>
        <v>-865303761.13323331</v>
      </c>
      <c r="D45" s="26">
        <f t="shared" si="25"/>
        <v>27116.199116016884</v>
      </c>
      <c r="E45" s="33">
        <f>SUM(E46:E57)</f>
        <v>5955583.5374855893</v>
      </c>
      <c r="F45" s="34">
        <f t="shared" ref="F45:J45" si="26">SUM(F46:F57)</f>
        <v>3219.9994967474058</v>
      </c>
      <c r="G45" s="49">
        <f t="shared" si="26"/>
        <v>-938976092.02197826</v>
      </c>
      <c r="H45" s="50">
        <f t="shared" si="26"/>
        <v>-35537.403083956524</v>
      </c>
      <c r="I45" s="57">
        <f t="shared" si="26"/>
        <v>67716747.351259544</v>
      </c>
      <c r="J45" s="18">
        <f t="shared" si="26"/>
        <v>59433.60270322601</v>
      </c>
      <c r="K45" s="101"/>
      <c r="L45" s="25">
        <f t="shared" ref="L45:M45" si="27">SUM(L46:L57)</f>
        <v>-958471376.13323331</v>
      </c>
      <c r="M45" s="26">
        <f t="shared" si="27"/>
        <v>-7842.3258839821065</v>
      </c>
      <c r="N45" s="33">
        <f>SUM(N46:N57)</f>
        <v>5655462.5374855893</v>
      </c>
      <c r="O45" s="34">
        <f t="shared" ref="O45:S45" si="28">SUM(O46:O57)</f>
        <v>3058.3984967474066</v>
      </c>
      <c r="P45" s="49">
        <f t="shared" si="28"/>
        <v>-1014118321.0219784</v>
      </c>
      <c r="Q45" s="50">
        <f t="shared" si="28"/>
        <v>-61895.470083955668</v>
      </c>
      <c r="R45" s="57">
        <f t="shared" si="28"/>
        <v>49991482.351259544</v>
      </c>
      <c r="S45" s="18">
        <f t="shared" si="28"/>
        <v>50994.745703226152</v>
      </c>
      <c r="T45" s="101"/>
      <c r="U45" s="25">
        <f t="shared" ref="U45:V45" si="29">SUM(U46:U57)</f>
        <v>93167615</v>
      </c>
      <c r="V45" s="26">
        <f t="shared" si="29"/>
        <v>34958.524999999026</v>
      </c>
      <c r="W45" s="33">
        <f>SUM(W46:W57)</f>
        <v>300121</v>
      </c>
      <c r="X45" s="34">
        <f t="shared" ref="X45:AB45" si="30">SUM(X46:X57)</f>
        <v>161.60099999999986</v>
      </c>
      <c r="Y45" s="49">
        <f t="shared" si="30"/>
        <v>75142229</v>
      </c>
      <c r="Z45" s="50">
        <f t="shared" si="30"/>
        <v>26358.066999999159</v>
      </c>
      <c r="AA45" s="57">
        <f t="shared" si="30"/>
        <v>17725265</v>
      </c>
      <c r="AB45" s="18">
        <f t="shared" si="30"/>
        <v>8438.856999999869</v>
      </c>
      <c r="AC45" s="101"/>
    </row>
    <row r="46" spans="1:29">
      <c r="A46" s="557">
        <v>1</v>
      </c>
      <c r="B46" s="22">
        <v>43101</v>
      </c>
      <c r="C46" s="27">
        <f>SUM(E46,G46,I46)</f>
        <v>-20188460.408</v>
      </c>
      <c r="D46" s="28">
        <f>SUM(F46,H46,J46)</f>
        <v>-7548.5432334400011</v>
      </c>
      <c r="E46" s="35">
        <f t="shared" ref="E46:J57" si="31">E6-E66</f>
        <v>-14468.65958135141</v>
      </c>
      <c r="F46" s="36">
        <f t="shared" si="31"/>
        <v>-4.991658724643254</v>
      </c>
      <c r="G46" s="51">
        <f t="shared" si="31"/>
        <v>-17336423.320399448</v>
      </c>
      <c r="H46" s="52">
        <f t="shared" si="31"/>
        <v>-6447.4775176719013</v>
      </c>
      <c r="I46" s="58">
        <f t="shared" si="31"/>
        <v>-2837568.4280192014</v>
      </c>
      <c r="J46" s="17">
        <f t="shared" si="31"/>
        <v>-1096.0740570434564</v>
      </c>
      <c r="K46" s="101"/>
      <c r="L46" s="27">
        <f>SUM(N46,P46,R46)</f>
        <v>-25399942.408</v>
      </c>
      <c r="M46" s="28">
        <f>SUM(O46,Q46,S46)</f>
        <v>-8513.99323344</v>
      </c>
      <c r="N46" s="35">
        <f t="shared" ref="N46:S57" si="32">N6-N66</f>
        <v>-25837.65958135141</v>
      </c>
      <c r="O46" s="36">
        <f t="shared" si="32"/>
        <v>-5.3316587246432547</v>
      </c>
      <c r="P46" s="51">
        <f t="shared" si="32"/>
        <v>-21962413.320399448</v>
      </c>
      <c r="Q46" s="52">
        <f t="shared" si="32"/>
        <v>-7341.9775176718995</v>
      </c>
      <c r="R46" s="58">
        <f t="shared" si="32"/>
        <v>-3411691.4280192014</v>
      </c>
      <c r="S46" s="17">
        <f t="shared" si="32"/>
        <v>-1166.6840570434565</v>
      </c>
      <c r="T46" s="101"/>
      <c r="U46" s="27">
        <f>SUM(W46,Y46,AA46)</f>
        <v>5211482</v>
      </c>
      <c r="V46" s="28">
        <f>SUM(X46,Z46,AB46)</f>
        <v>965.45</v>
      </c>
      <c r="W46" s="35">
        <f t="shared" ref="W46:AB57" si="33">W6-W66</f>
        <v>11369</v>
      </c>
      <c r="X46" s="36">
        <f t="shared" si="33"/>
        <v>0.33999999999999997</v>
      </c>
      <c r="Y46" s="51">
        <f t="shared" si="33"/>
        <v>4625990</v>
      </c>
      <c r="Z46" s="52">
        <f t="shared" si="33"/>
        <v>894.5</v>
      </c>
      <c r="AA46" s="58">
        <f t="shared" si="33"/>
        <v>574123</v>
      </c>
      <c r="AB46" s="17">
        <f t="shared" si="33"/>
        <v>70.61</v>
      </c>
      <c r="AC46" s="101"/>
    </row>
    <row r="47" spans="1:29">
      <c r="A47" s="557">
        <v>2</v>
      </c>
      <c r="B47" s="23">
        <v>43132</v>
      </c>
      <c r="C47" s="29">
        <f t="shared" ref="C47:D57" si="34">SUM(E47,G47,I47)</f>
        <v>-9972291.3588789441</v>
      </c>
      <c r="D47" s="30">
        <f t="shared" si="34"/>
        <v>1255.2805354017864</v>
      </c>
      <c r="E47" s="35">
        <f t="shared" si="31"/>
        <v>-5172.9004127249682</v>
      </c>
      <c r="F47" s="38">
        <f t="shared" si="31"/>
        <v>-3.7635820742904937</v>
      </c>
      <c r="G47" s="53">
        <f t="shared" si="31"/>
        <v>-8061672.1358816773</v>
      </c>
      <c r="H47" s="54">
        <f t="shared" si="31"/>
        <v>1898.0546555412948</v>
      </c>
      <c r="I47" s="59">
        <f t="shared" si="31"/>
        <v>-1905446.3225845424</v>
      </c>
      <c r="J47" s="15">
        <f t="shared" si="31"/>
        <v>-639.01053806521782</v>
      </c>
      <c r="K47" s="103"/>
      <c r="L47" s="29">
        <f t="shared" ref="L47:M57" si="35">SUM(N47,P47,R47)</f>
        <v>-14293035.358878944</v>
      </c>
      <c r="M47" s="30">
        <f t="shared" si="35"/>
        <v>83.440535401788225</v>
      </c>
      <c r="N47" s="35">
        <f t="shared" si="32"/>
        <v>-18410.900412724968</v>
      </c>
      <c r="O47" s="38">
        <f t="shared" si="32"/>
        <v>-4.1635820742904937</v>
      </c>
      <c r="P47" s="53">
        <f t="shared" si="32"/>
        <v>-11872705.135881677</v>
      </c>
      <c r="Q47" s="54">
        <f t="shared" si="32"/>
        <v>827.79465554129638</v>
      </c>
      <c r="R47" s="59">
        <f t="shared" si="32"/>
        <v>-2401919.3225845424</v>
      </c>
      <c r="S47" s="15">
        <f t="shared" si="32"/>
        <v>-740.19053806521765</v>
      </c>
      <c r="T47" s="103"/>
      <c r="U47" s="29">
        <f t="shared" ref="U47:V57" si="36">SUM(W47,Y47,AA47)</f>
        <v>4320744</v>
      </c>
      <c r="V47" s="30">
        <f t="shared" si="36"/>
        <v>1171.8399999999999</v>
      </c>
      <c r="W47" s="35">
        <f t="shared" si="33"/>
        <v>13238</v>
      </c>
      <c r="X47" s="38">
        <f t="shared" si="33"/>
        <v>0.40000000000000008</v>
      </c>
      <c r="Y47" s="53">
        <f t="shared" si="33"/>
        <v>3811033</v>
      </c>
      <c r="Z47" s="54">
        <f t="shared" si="33"/>
        <v>1070.2599999999998</v>
      </c>
      <c r="AA47" s="59">
        <f t="shared" si="33"/>
        <v>496473</v>
      </c>
      <c r="AB47" s="15">
        <f t="shared" si="33"/>
        <v>101.17999999999998</v>
      </c>
      <c r="AC47" s="103"/>
    </row>
    <row r="48" spans="1:29">
      <c r="A48" s="557">
        <v>3</v>
      </c>
      <c r="B48" s="23">
        <v>43160</v>
      </c>
      <c r="C48" s="29">
        <f t="shared" si="34"/>
        <v>-3452964.4306547465</v>
      </c>
      <c r="D48" s="30">
        <f t="shared" si="34"/>
        <v>15653.260642482146</v>
      </c>
      <c r="E48" s="35">
        <f t="shared" si="31"/>
        <v>-19889.880495269965</v>
      </c>
      <c r="F48" s="38">
        <f t="shared" si="31"/>
        <v>-5.6402984891485932</v>
      </c>
      <c r="G48" s="53">
        <f t="shared" si="31"/>
        <v>-2648503.9630580246</v>
      </c>
      <c r="H48" s="54">
        <f t="shared" si="31"/>
        <v>15556.035586649556</v>
      </c>
      <c r="I48" s="59">
        <f t="shared" si="31"/>
        <v>-784570.58710145205</v>
      </c>
      <c r="J48" s="15">
        <f t="shared" si="31"/>
        <v>102.86535432173855</v>
      </c>
      <c r="K48" s="101"/>
      <c r="L48" s="29">
        <f t="shared" si="35"/>
        <v>-9044887.4306547455</v>
      </c>
      <c r="M48" s="30">
        <f t="shared" si="35"/>
        <v>14116.020642482141</v>
      </c>
      <c r="N48" s="35">
        <f t="shared" si="32"/>
        <v>-32180.880495269965</v>
      </c>
      <c r="O48" s="38">
        <f t="shared" si="32"/>
        <v>-5.9902984891485938</v>
      </c>
      <c r="P48" s="53">
        <f t="shared" si="32"/>
        <v>-7522327.9630580246</v>
      </c>
      <c r="Q48" s="54">
        <f t="shared" si="32"/>
        <v>14147.905586649551</v>
      </c>
      <c r="R48" s="59">
        <f t="shared" si="32"/>
        <v>-1490378.5871014521</v>
      </c>
      <c r="S48" s="15">
        <f t="shared" si="32"/>
        <v>-25.894645678261668</v>
      </c>
      <c r="T48" s="101"/>
      <c r="U48" s="29">
        <f t="shared" si="36"/>
        <v>5591923</v>
      </c>
      <c r="V48" s="30">
        <f t="shared" si="36"/>
        <v>1537.24</v>
      </c>
      <c r="W48" s="35">
        <f t="shared" si="33"/>
        <v>12291</v>
      </c>
      <c r="X48" s="38">
        <f t="shared" si="33"/>
        <v>0.35000000000000009</v>
      </c>
      <c r="Y48" s="53">
        <f t="shared" si="33"/>
        <v>4873824</v>
      </c>
      <c r="Z48" s="54">
        <f t="shared" si="33"/>
        <v>1408.13</v>
      </c>
      <c r="AA48" s="59">
        <f t="shared" si="33"/>
        <v>705808</v>
      </c>
      <c r="AB48" s="15">
        <f t="shared" si="33"/>
        <v>128.76</v>
      </c>
      <c r="AC48" s="101"/>
    </row>
    <row r="49" spans="1:29">
      <c r="A49" s="557">
        <v>4</v>
      </c>
      <c r="B49" s="23">
        <v>43191</v>
      </c>
      <c r="C49" s="29">
        <f t="shared" si="34"/>
        <v>-21215162.538318425</v>
      </c>
      <c r="D49" s="30">
        <f t="shared" si="34"/>
        <v>10098.830803102686</v>
      </c>
      <c r="E49" s="35">
        <f t="shared" si="31"/>
        <v>-33365.850619087454</v>
      </c>
      <c r="F49" s="38">
        <f t="shared" si="31"/>
        <v>-7.4803731114357426</v>
      </c>
      <c r="G49" s="53">
        <f t="shared" si="31"/>
        <v>-21956106.203822523</v>
      </c>
      <c r="H49" s="54">
        <f t="shared" si="31"/>
        <v>9335.3819833119487</v>
      </c>
      <c r="I49" s="59">
        <f t="shared" si="31"/>
        <v>774309.5161231868</v>
      </c>
      <c r="J49" s="15">
        <f t="shared" si="31"/>
        <v>770.92919290217378</v>
      </c>
      <c r="K49" s="101"/>
      <c r="L49" s="29">
        <f t="shared" si="35"/>
        <v>-26565279.538318425</v>
      </c>
      <c r="M49" s="30">
        <f t="shared" si="35"/>
        <v>8979.1208031026836</v>
      </c>
      <c r="N49" s="35">
        <f t="shared" si="32"/>
        <v>-42451.850619087454</v>
      </c>
      <c r="O49" s="38">
        <f t="shared" si="32"/>
        <v>-7.7003731114357423</v>
      </c>
      <c r="P49" s="53">
        <f t="shared" si="32"/>
        <v>-26261641.203822523</v>
      </c>
      <c r="Q49" s="54">
        <f t="shared" si="32"/>
        <v>8369.5619833119454</v>
      </c>
      <c r="R49" s="59">
        <f t="shared" si="32"/>
        <v>-261186.4838768132</v>
      </c>
      <c r="S49" s="15">
        <f t="shared" si="32"/>
        <v>617.25919290217371</v>
      </c>
      <c r="T49" s="101"/>
      <c r="U49" s="29">
        <f t="shared" si="36"/>
        <v>5350117</v>
      </c>
      <c r="V49" s="30">
        <f t="shared" si="36"/>
        <v>1119.7099999999996</v>
      </c>
      <c r="W49" s="35">
        <f t="shared" si="33"/>
        <v>9086</v>
      </c>
      <c r="X49" s="38">
        <f t="shared" si="33"/>
        <v>0.22000000000000006</v>
      </c>
      <c r="Y49" s="53">
        <f t="shared" si="33"/>
        <v>4305535</v>
      </c>
      <c r="Z49" s="54">
        <f t="shared" si="33"/>
        <v>965.81999999999948</v>
      </c>
      <c r="AA49" s="59">
        <f t="shared" si="33"/>
        <v>1035496</v>
      </c>
      <c r="AB49" s="15">
        <f t="shared" si="33"/>
        <v>153.67000000000007</v>
      </c>
      <c r="AC49" s="101"/>
    </row>
    <row r="50" spans="1:29">
      <c r="A50" s="557">
        <v>5</v>
      </c>
      <c r="B50" s="23">
        <v>43221</v>
      </c>
      <c r="C50" s="29">
        <f t="shared" si="34"/>
        <v>-18413557.716785658</v>
      </c>
      <c r="D50" s="30">
        <f t="shared" si="34"/>
        <v>9801.974770978577</v>
      </c>
      <c r="E50" s="35">
        <f t="shared" si="31"/>
        <v>-33777.656594323948</v>
      </c>
      <c r="F50" s="38">
        <f t="shared" si="31"/>
        <v>-7.2123581869783111</v>
      </c>
      <c r="G50" s="53">
        <f t="shared" si="31"/>
        <v>-21834240.755669594</v>
      </c>
      <c r="H50" s="54">
        <f t="shared" si="31"/>
        <v>8897.3507039794677</v>
      </c>
      <c r="I50" s="59">
        <f t="shared" si="31"/>
        <v>3454460.6954782605</v>
      </c>
      <c r="J50" s="15">
        <f t="shared" si="31"/>
        <v>911.83642518608713</v>
      </c>
      <c r="K50" s="101"/>
      <c r="L50" s="29">
        <f t="shared" si="35"/>
        <v>-25664830.716785658</v>
      </c>
      <c r="M50" s="30">
        <f t="shared" si="35"/>
        <v>8190.9547709785838</v>
      </c>
      <c r="N50" s="35">
        <f t="shared" si="32"/>
        <v>-40760.656594323948</v>
      </c>
      <c r="O50" s="38">
        <f t="shared" si="32"/>
        <v>-7.3923581869783108</v>
      </c>
      <c r="P50" s="53">
        <f t="shared" si="32"/>
        <v>-27727438.755669594</v>
      </c>
      <c r="Q50" s="54">
        <f t="shared" si="32"/>
        <v>7521.0707039794761</v>
      </c>
      <c r="R50" s="59">
        <f t="shared" si="32"/>
        <v>2103368.6954782605</v>
      </c>
      <c r="S50" s="15">
        <f t="shared" si="32"/>
        <v>677.27642518608673</v>
      </c>
      <c r="T50" s="101"/>
      <c r="U50" s="29">
        <f t="shared" si="36"/>
        <v>7251273</v>
      </c>
      <c r="V50" s="30">
        <f t="shared" si="36"/>
        <v>1611.0200000000004</v>
      </c>
      <c r="W50" s="35">
        <f t="shared" si="33"/>
        <v>6983</v>
      </c>
      <c r="X50" s="38">
        <f t="shared" si="33"/>
        <v>0.18</v>
      </c>
      <c r="Y50" s="53">
        <f t="shared" si="33"/>
        <v>5893198</v>
      </c>
      <c r="Z50" s="54">
        <f t="shared" si="33"/>
        <v>1376.2800000000002</v>
      </c>
      <c r="AA50" s="59">
        <f t="shared" si="33"/>
        <v>1351092</v>
      </c>
      <c r="AB50" s="15">
        <f t="shared" si="33"/>
        <v>234.56000000000006</v>
      </c>
      <c r="AC50" s="101"/>
    </row>
    <row r="51" spans="1:29">
      <c r="A51" s="557">
        <v>6</v>
      </c>
      <c r="B51" s="23">
        <v>43252</v>
      </c>
      <c r="C51" s="29">
        <f t="shared" si="34"/>
        <v>-29698760.631121382</v>
      </c>
      <c r="D51" s="30">
        <f t="shared" si="34"/>
        <v>8374.0872663981499</v>
      </c>
      <c r="E51" s="35">
        <f t="shared" si="31"/>
        <v>-35367.029726210429</v>
      </c>
      <c r="F51" s="38">
        <f t="shared" si="31"/>
        <v>-7.4002053507178776</v>
      </c>
      <c r="G51" s="53">
        <f t="shared" si="31"/>
        <v>-34033350.010783002</v>
      </c>
      <c r="H51" s="54">
        <f t="shared" si="31"/>
        <v>6923.3409180590606</v>
      </c>
      <c r="I51" s="59">
        <f t="shared" si="31"/>
        <v>4369956.4093878251</v>
      </c>
      <c r="J51" s="15">
        <f t="shared" si="31"/>
        <v>1458.1465536898077</v>
      </c>
      <c r="K51" s="101"/>
      <c r="L51" s="29">
        <f t="shared" si="35"/>
        <v>-38951809.631121382</v>
      </c>
      <c r="M51" s="30">
        <f t="shared" si="35"/>
        <v>5585.1172663981461</v>
      </c>
      <c r="N51" s="35">
        <f t="shared" si="32"/>
        <v>-41004.029726210429</v>
      </c>
      <c r="O51" s="38">
        <f t="shared" si="32"/>
        <v>-7.5402053507178772</v>
      </c>
      <c r="P51" s="53">
        <f t="shared" si="32"/>
        <v>-41379571.010783002</v>
      </c>
      <c r="Q51" s="54">
        <f t="shared" si="32"/>
        <v>4529.6509180590547</v>
      </c>
      <c r="R51" s="59">
        <f t="shared" si="32"/>
        <v>2468765.4093878251</v>
      </c>
      <c r="S51" s="15">
        <f t="shared" si="32"/>
        <v>1063.0065536898092</v>
      </c>
      <c r="T51" s="101"/>
      <c r="U51" s="29">
        <f t="shared" si="36"/>
        <v>9253049</v>
      </c>
      <c r="V51" s="30">
        <f t="shared" si="36"/>
        <v>2788.9699999999993</v>
      </c>
      <c r="W51" s="35">
        <f t="shared" si="33"/>
        <v>5637</v>
      </c>
      <c r="X51" s="38">
        <f t="shared" si="33"/>
        <v>0.14000000000000001</v>
      </c>
      <c r="Y51" s="53">
        <f t="shared" si="33"/>
        <v>7346221</v>
      </c>
      <c r="Z51" s="54">
        <f t="shared" si="33"/>
        <v>2393.6899999999996</v>
      </c>
      <c r="AA51" s="59">
        <f t="shared" si="33"/>
        <v>1901191</v>
      </c>
      <c r="AB51" s="15">
        <f t="shared" si="33"/>
        <v>395.14000000000004</v>
      </c>
      <c r="AC51" s="101"/>
    </row>
    <row r="52" spans="1:29">
      <c r="A52" s="557">
        <v>7</v>
      </c>
      <c r="B52" s="23">
        <v>43282</v>
      </c>
      <c r="C52" s="29">
        <f t="shared" si="34"/>
        <v>19270571.387322512</v>
      </c>
      <c r="D52" s="30">
        <f t="shared" si="34"/>
        <v>28141.48912971804</v>
      </c>
      <c r="E52" s="35">
        <f t="shared" si="31"/>
        <v>-38753.53121252096</v>
      </c>
      <c r="F52" s="38">
        <f t="shared" si="31"/>
        <v>-7.7272156182537728</v>
      </c>
      <c r="G52" s="53">
        <f t="shared" si="31"/>
        <v>5034184.6886778176</v>
      </c>
      <c r="H52" s="54">
        <f t="shared" si="31"/>
        <v>20739.414963961997</v>
      </c>
      <c r="I52" s="59">
        <f t="shared" si="31"/>
        <v>14275140.229857216</v>
      </c>
      <c r="J52" s="15">
        <f t="shared" si="31"/>
        <v>7409.8013813742982</v>
      </c>
      <c r="K52" s="101"/>
      <c r="L52" s="29">
        <f t="shared" si="35"/>
        <v>7962319.3873225125</v>
      </c>
      <c r="M52" s="30">
        <f t="shared" si="35"/>
        <v>23864.139129718045</v>
      </c>
      <c r="N52" s="35">
        <f t="shared" si="32"/>
        <v>-43651.53121252096</v>
      </c>
      <c r="O52" s="38">
        <f t="shared" si="32"/>
        <v>-7.9172156182537732</v>
      </c>
      <c r="P52" s="53">
        <f t="shared" si="32"/>
        <v>-4140599.3113221824</v>
      </c>
      <c r="Q52" s="54">
        <f t="shared" si="32"/>
        <v>17207.784963962</v>
      </c>
      <c r="R52" s="59">
        <f t="shared" si="32"/>
        <v>12146570.229857216</v>
      </c>
      <c r="S52" s="15">
        <f t="shared" si="32"/>
        <v>6664.2713813742994</v>
      </c>
      <c r="T52" s="101"/>
      <c r="U52" s="29">
        <f t="shared" si="36"/>
        <v>11308252</v>
      </c>
      <c r="V52" s="30">
        <f t="shared" si="36"/>
        <v>4277.3499999999995</v>
      </c>
      <c r="W52" s="35">
        <f t="shared" si="33"/>
        <v>4898</v>
      </c>
      <c r="X52" s="38">
        <f t="shared" si="33"/>
        <v>0.19000000000000006</v>
      </c>
      <c r="Y52" s="53">
        <f t="shared" si="33"/>
        <v>9174784</v>
      </c>
      <c r="Z52" s="54">
        <f t="shared" si="33"/>
        <v>3531.6299999999997</v>
      </c>
      <c r="AA52" s="59">
        <f t="shared" si="33"/>
        <v>2128570</v>
      </c>
      <c r="AB52" s="15">
        <f t="shared" si="33"/>
        <v>745.53</v>
      </c>
      <c r="AC52" s="101"/>
    </row>
    <row r="53" spans="1:29">
      <c r="A53" s="557">
        <v>8</v>
      </c>
      <c r="B53" s="23">
        <v>43313</v>
      </c>
      <c r="C53" s="29">
        <f t="shared" si="34"/>
        <v>71769555.126054764</v>
      </c>
      <c r="D53" s="30">
        <f t="shared" si="34"/>
        <v>49097.318042689207</v>
      </c>
      <c r="E53" s="35">
        <f t="shared" si="31"/>
        <v>509512.01566622697</v>
      </c>
      <c r="F53" s="38">
        <f t="shared" si="31"/>
        <v>280.15506281992089</v>
      </c>
      <c r="G53" s="53">
        <f t="shared" si="31"/>
        <v>18105388.557545602</v>
      </c>
      <c r="H53" s="54">
        <f t="shared" si="31"/>
        <v>27650.777460357895</v>
      </c>
      <c r="I53" s="59">
        <f t="shared" si="31"/>
        <v>53154654.552842937</v>
      </c>
      <c r="J53" s="15">
        <f t="shared" si="31"/>
        <v>21166.385519511387</v>
      </c>
      <c r="K53" s="101"/>
      <c r="L53" s="29">
        <f t="shared" si="35"/>
        <v>51175925.126054764</v>
      </c>
      <c r="M53" s="30">
        <f t="shared" si="35"/>
        <v>41091.53604268968</v>
      </c>
      <c r="N53" s="35">
        <f t="shared" si="32"/>
        <v>489091.01566622697</v>
      </c>
      <c r="O53" s="38">
        <f t="shared" si="32"/>
        <v>272.11406281992083</v>
      </c>
      <c r="P53" s="53">
        <f t="shared" si="32"/>
        <v>1493851.5575456023</v>
      </c>
      <c r="Q53" s="54">
        <f t="shared" si="32"/>
        <v>21544.71046035827</v>
      </c>
      <c r="R53" s="59">
        <f t="shared" si="32"/>
        <v>49192982.552842937</v>
      </c>
      <c r="S53" s="15">
        <f t="shared" si="32"/>
        <v>19274.711519511486</v>
      </c>
      <c r="T53" s="101"/>
      <c r="U53" s="29">
        <f t="shared" si="36"/>
        <v>20593630</v>
      </c>
      <c r="V53" s="30">
        <f t="shared" si="36"/>
        <v>8005.7819999995372</v>
      </c>
      <c r="W53" s="35">
        <f t="shared" si="33"/>
        <v>20421</v>
      </c>
      <c r="X53" s="38">
        <f t="shared" si="33"/>
        <v>8.0409999999999933</v>
      </c>
      <c r="Y53" s="53">
        <f t="shared" si="33"/>
        <v>16611537</v>
      </c>
      <c r="Z53" s="54">
        <f t="shared" si="33"/>
        <v>6106.0669999996353</v>
      </c>
      <c r="AA53" s="59">
        <f t="shared" si="33"/>
        <v>3961672</v>
      </c>
      <c r="AB53" s="15">
        <f t="shared" si="33"/>
        <v>1891.6739999999013</v>
      </c>
      <c r="AC53" s="101"/>
    </row>
    <row r="54" spans="1:29">
      <c r="A54" s="557">
        <v>9</v>
      </c>
      <c r="B54" s="23">
        <v>43344</v>
      </c>
      <c r="C54" s="29">
        <f t="shared" si="34"/>
        <v>52572099.951265723</v>
      </c>
      <c r="D54" s="30">
        <f t="shared" si="34"/>
        <v>75317.963451227348</v>
      </c>
      <c r="E54" s="35">
        <f t="shared" si="31"/>
        <v>5893273.418799472</v>
      </c>
      <c r="F54" s="38">
        <f t="shared" si="31"/>
        <v>3032.0132753839048</v>
      </c>
      <c r="G54" s="53">
        <f t="shared" si="31"/>
        <v>-26595118.930945277</v>
      </c>
      <c r="H54" s="54">
        <f t="shared" si="31"/>
        <v>29246.763152429739</v>
      </c>
      <c r="I54" s="59">
        <f t="shared" si="31"/>
        <v>73273945.463411525</v>
      </c>
      <c r="J54" s="15">
        <f t="shared" si="31"/>
        <v>43039.187023413702</v>
      </c>
      <c r="K54" s="101"/>
      <c r="L54" s="29">
        <f t="shared" si="35"/>
        <v>28284954.951265723</v>
      </c>
      <c r="M54" s="30">
        <f t="shared" si="35"/>
        <v>61836.800451227886</v>
      </c>
      <c r="N54" s="35">
        <f t="shared" si="32"/>
        <v>5677075.418799472</v>
      </c>
      <c r="O54" s="38">
        <f t="shared" si="32"/>
        <v>2880.2732753839055</v>
      </c>
      <c r="P54" s="53">
        <f t="shared" si="32"/>
        <v>-45095225.930945277</v>
      </c>
      <c r="Q54" s="54">
        <f t="shared" si="32"/>
        <v>20635.073152430232</v>
      </c>
      <c r="R54" s="59">
        <f t="shared" si="32"/>
        <v>67703105.463411525</v>
      </c>
      <c r="S54" s="15">
        <f t="shared" si="32"/>
        <v>38321.454023413753</v>
      </c>
      <c r="T54" s="101"/>
      <c r="U54" s="29">
        <f t="shared" si="36"/>
        <v>24287145</v>
      </c>
      <c r="V54" s="30">
        <f t="shared" si="36"/>
        <v>13481.162999999491</v>
      </c>
      <c r="W54" s="35">
        <f t="shared" si="33"/>
        <v>216198</v>
      </c>
      <c r="X54" s="38">
        <f t="shared" si="33"/>
        <v>151.73999999999987</v>
      </c>
      <c r="Y54" s="53">
        <f t="shared" si="33"/>
        <v>18500107</v>
      </c>
      <c r="Z54" s="54">
        <f t="shared" si="33"/>
        <v>8611.6899999995239</v>
      </c>
      <c r="AA54" s="59">
        <f t="shared" si="33"/>
        <v>5570840</v>
      </c>
      <c r="AB54" s="15">
        <f t="shared" si="33"/>
        <v>4717.7329999999683</v>
      </c>
      <c r="AC54" s="101"/>
    </row>
    <row r="55" spans="1:29">
      <c r="A55" s="557">
        <v>10</v>
      </c>
      <c r="B55" s="23">
        <v>43374</v>
      </c>
      <c r="C55" s="29">
        <f t="shared" si="34"/>
        <v>-227061351.00604439</v>
      </c>
      <c r="D55" s="30">
        <f t="shared" si="34"/>
        <v>-40871.043181087982</v>
      </c>
      <c r="E55" s="35">
        <f t="shared" si="31"/>
        <v>-66768.518380606809</v>
      </c>
      <c r="F55" s="38">
        <f t="shared" si="31"/>
        <v>-12.018333308509227</v>
      </c>
      <c r="G55" s="53">
        <f t="shared" si="31"/>
        <v>-207932393.47058702</v>
      </c>
      <c r="H55" s="54">
        <f t="shared" si="31"/>
        <v>-37427.830824705663</v>
      </c>
      <c r="I55" s="59">
        <f t="shared" si="31"/>
        <v>-19062189.017076746</v>
      </c>
      <c r="J55" s="15">
        <f t="shared" si="31"/>
        <v>-3431.1940230738146</v>
      </c>
      <c r="K55" s="101"/>
      <c r="L55" s="29">
        <f t="shared" si="35"/>
        <v>-227061351.00604439</v>
      </c>
      <c r="M55" s="30">
        <f t="shared" si="35"/>
        <v>-40871.043181087982</v>
      </c>
      <c r="N55" s="35">
        <f t="shared" si="32"/>
        <v>-66768.518380606809</v>
      </c>
      <c r="O55" s="38">
        <f t="shared" si="32"/>
        <v>-12.018333308509227</v>
      </c>
      <c r="P55" s="53">
        <f t="shared" si="32"/>
        <v>-207932393.47058702</v>
      </c>
      <c r="Q55" s="54">
        <f t="shared" si="32"/>
        <v>-37427.830824705663</v>
      </c>
      <c r="R55" s="59">
        <f t="shared" si="32"/>
        <v>-19062189.017076746</v>
      </c>
      <c r="S55" s="15">
        <f t="shared" si="32"/>
        <v>-3431.1940230738146</v>
      </c>
      <c r="T55" s="101"/>
      <c r="U55" s="29">
        <f t="shared" si="36"/>
        <v>0</v>
      </c>
      <c r="V55" s="30">
        <f t="shared" si="36"/>
        <v>0</v>
      </c>
      <c r="W55" s="35">
        <f t="shared" si="33"/>
        <v>0</v>
      </c>
      <c r="X55" s="38">
        <f t="shared" si="33"/>
        <v>0</v>
      </c>
      <c r="Y55" s="53">
        <f t="shared" si="33"/>
        <v>0</v>
      </c>
      <c r="Z55" s="54">
        <f t="shared" si="33"/>
        <v>0</v>
      </c>
      <c r="AA55" s="59">
        <f t="shared" si="33"/>
        <v>0</v>
      </c>
      <c r="AB55" s="15">
        <f t="shared" si="33"/>
        <v>0</v>
      </c>
      <c r="AC55" s="101"/>
    </row>
    <row r="56" spans="1:29">
      <c r="A56" s="557">
        <v>11</v>
      </c>
      <c r="B56" s="23">
        <v>43405</v>
      </c>
      <c r="C56" s="29">
        <f t="shared" si="34"/>
        <v>-295179756.30785763</v>
      </c>
      <c r="D56" s="30">
        <f t="shared" si="34"/>
        <v>-53132.356135414375</v>
      </c>
      <c r="E56" s="35">
        <f t="shared" si="31"/>
        <v>-86799.073894788846</v>
      </c>
      <c r="F56" s="38">
        <f t="shared" si="31"/>
        <v>-15.623833301061993</v>
      </c>
      <c r="G56" s="53">
        <f t="shared" si="31"/>
        <v>-270312111.5117631</v>
      </c>
      <c r="H56" s="54">
        <f t="shared" si="31"/>
        <v>-48656.180072117357</v>
      </c>
      <c r="I56" s="59">
        <f t="shared" si="31"/>
        <v>-24780845.722199768</v>
      </c>
      <c r="J56" s="15">
        <f t="shared" si="31"/>
        <v>-4460.5522299959584</v>
      </c>
      <c r="K56" s="101"/>
      <c r="L56" s="29">
        <f t="shared" si="35"/>
        <v>-295179756.30785763</v>
      </c>
      <c r="M56" s="30">
        <f t="shared" si="35"/>
        <v>-53132.356135414375</v>
      </c>
      <c r="N56" s="35">
        <f t="shared" si="32"/>
        <v>-86799.073894788846</v>
      </c>
      <c r="O56" s="38">
        <f t="shared" si="32"/>
        <v>-15.623833301061993</v>
      </c>
      <c r="P56" s="53">
        <f t="shared" si="32"/>
        <v>-270312111.5117631</v>
      </c>
      <c r="Q56" s="54">
        <f t="shared" si="32"/>
        <v>-48656.180072117357</v>
      </c>
      <c r="R56" s="59">
        <f t="shared" si="32"/>
        <v>-24780845.722199768</v>
      </c>
      <c r="S56" s="15">
        <f t="shared" si="32"/>
        <v>-4460.5522299959584</v>
      </c>
      <c r="T56" s="101"/>
      <c r="U56" s="29">
        <f t="shared" si="36"/>
        <v>0</v>
      </c>
      <c r="V56" s="30">
        <f t="shared" si="36"/>
        <v>0</v>
      </c>
      <c r="W56" s="35">
        <f t="shared" si="33"/>
        <v>0</v>
      </c>
      <c r="X56" s="38">
        <f t="shared" si="33"/>
        <v>0</v>
      </c>
      <c r="Y56" s="53">
        <f t="shared" si="33"/>
        <v>0</v>
      </c>
      <c r="Z56" s="54">
        <f t="shared" si="33"/>
        <v>0</v>
      </c>
      <c r="AA56" s="59">
        <f t="shared" si="33"/>
        <v>0</v>
      </c>
      <c r="AB56" s="15">
        <f t="shared" si="33"/>
        <v>0</v>
      </c>
      <c r="AC56" s="101"/>
    </row>
    <row r="57" spans="1:29" ht="15.75" thickBot="1">
      <c r="A57" s="557">
        <v>12</v>
      </c>
      <c r="B57" s="24">
        <v>43435</v>
      </c>
      <c r="C57" s="31">
        <f t="shared" si="34"/>
        <v>-383733683.20021504</v>
      </c>
      <c r="D57" s="32">
        <f t="shared" si="34"/>
        <v>-69072.062976038709</v>
      </c>
      <c r="E57" s="559">
        <f t="shared" si="31"/>
        <v>-112838.7960632255</v>
      </c>
      <c r="F57" s="40">
        <f t="shared" si="31"/>
        <v>-20.310983291380591</v>
      </c>
      <c r="G57" s="55">
        <f t="shared" si="31"/>
        <v>-351405744.9652921</v>
      </c>
      <c r="H57" s="56">
        <f t="shared" si="31"/>
        <v>-63253.034093752583</v>
      </c>
      <c r="I57" s="60">
        <f t="shared" si="31"/>
        <v>-32215099.438859701</v>
      </c>
      <c r="J57" s="16">
        <f t="shared" si="31"/>
        <v>-5798.717898994747</v>
      </c>
      <c r="K57" s="101"/>
      <c r="L57" s="31">
        <f t="shared" si="35"/>
        <v>-383733683.20021504</v>
      </c>
      <c r="M57" s="32">
        <f t="shared" si="35"/>
        <v>-69072.062976038709</v>
      </c>
      <c r="N57" s="559">
        <f t="shared" si="32"/>
        <v>-112838.7960632255</v>
      </c>
      <c r="O57" s="40">
        <f t="shared" si="32"/>
        <v>-20.310983291380591</v>
      </c>
      <c r="P57" s="55">
        <f t="shared" si="32"/>
        <v>-351405744.9652921</v>
      </c>
      <c r="Q57" s="56">
        <f t="shared" si="32"/>
        <v>-63253.034093752583</v>
      </c>
      <c r="R57" s="60">
        <f t="shared" si="32"/>
        <v>-32215099.438859701</v>
      </c>
      <c r="S57" s="16">
        <f t="shared" si="32"/>
        <v>-5798.717898994747</v>
      </c>
      <c r="T57" s="101"/>
      <c r="U57" s="31">
        <f t="shared" si="36"/>
        <v>0</v>
      </c>
      <c r="V57" s="32">
        <f t="shared" si="36"/>
        <v>0</v>
      </c>
      <c r="W57" s="559">
        <f t="shared" si="33"/>
        <v>0</v>
      </c>
      <c r="X57" s="40">
        <f t="shared" si="33"/>
        <v>0</v>
      </c>
      <c r="Y57" s="55">
        <f t="shared" si="33"/>
        <v>0</v>
      </c>
      <c r="Z57" s="56">
        <f t="shared" si="33"/>
        <v>0</v>
      </c>
      <c r="AA57" s="60">
        <f t="shared" si="33"/>
        <v>0</v>
      </c>
      <c r="AB57" s="16">
        <f t="shared" si="33"/>
        <v>0</v>
      </c>
      <c r="AC57" s="101"/>
    </row>
    <row r="58" spans="1:29" ht="15.75" thickBot="1">
      <c r="K58" s="101"/>
      <c r="T58" s="101"/>
      <c r="AC58" s="101"/>
    </row>
    <row r="59" spans="1:29">
      <c r="A59" s="557"/>
      <c r="B59" s="641" t="s">
        <v>149</v>
      </c>
      <c r="C59" s="657">
        <f t="shared" ref="C59:J59" si="37">SUM(C46:C48)</f>
        <v>-33613716.197533689</v>
      </c>
      <c r="D59" s="658">
        <f t="shared" si="37"/>
        <v>9359.9979444439305</v>
      </c>
      <c r="E59" s="659">
        <f t="shared" si="37"/>
        <v>-39531.440489346343</v>
      </c>
      <c r="F59" s="660">
        <f t="shared" si="37"/>
        <v>-14.395539288082341</v>
      </c>
      <c r="G59" s="663">
        <f t="shared" si="37"/>
        <v>-28046599.41933915</v>
      </c>
      <c r="H59" s="664">
        <f t="shared" si="37"/>
        <v>11006.612724518949</v>
      </c>
      <c r="I59" s="665">
        <f t="shared" si="37"/>
        <v>-5527585.3377051959</v>
      </c>
      <c r="J59" s="666">
        <f t="shared" si="37"/>
        <v>-1632.2192407869356</v>
      </c>
      <c r="K59" s="652"/>
      <c r="L59" s="657">
        <f t="shared" ref="L59:S59" si="38">SUM(L46:L48)</f>
        <v>-48737865.197533697</v>
      </c>
      <c r="M59" s="658">
        <f t="shared" si="38"/>
        <v>5685.4679444439298</v>
      </c>
      <c r="N59" s="659">
        <f t="shared" si="38"/>
        <v>-76429.440489346336</v>
      </c>
      <c r="O59" s="660">
        <f t="shared" si="38"/>
        <v>-15.485539288082343</v>
      </c>
      <c r="P59" s="663">
        <f t="shared" si="38"/>
        <v>-41357446.41933915</v>
      </c>
      <c r="Q59" s="664">
        <f t="shared" si="38"/>
        <v>7633.7227245189479</v>
      </c>
      <c r="R59" s="665">
        <f t="shared" si="38"/>
        <v>-7303989.3377051959</v>
      </c>
      <c r="S59" s="666">
        <f t="shared" si="38"/>
        <v>-1932.7692407869358</v>
      </c>
      <c r="T59" s="652"/>
      <c r="U59" s="657">
        <f t="shared" ref="U59:AB59" si="39">SUM(U46:U48)</f>
        <v>15124149</v>
      </c>
      <c r="V59" s="658">
        <f t="shared" si="39"/>
        <v>3674.5299999999997</v>
      </c>
      <c r="W59" s="659">
        <f t="shared" si="39"/>
        <v>36898</v>
      </c>
      <c r="X59" s="660">
        <f t="shared" si="39"/>
        <v>1.0900000000000001</v>
      </c>
      <c r="Y59" s="663">
        <f t="shared" si="39"/>
        <v>13310847</v>
      </c>
      <c r="Z59" s="664">
        <f t="shared" si="39"/>
        <v>3372.89</v>
      </c>
      <c r="AA59" s="665">
        <f t="shared" si="39"/>
        <v>1776404</v>
      </c>
      <c r="AB59" s="666">
        <f t="shared" si="39"/>
        <v>300.54999999999995</v>
      </c>
      <c r="AC59" s="101"/>
    </row>
    <row r="60" spans="1:29">
      <c r="A60" s="557"/>
      <c r="B60" s="653" t="s">
        <v>150</v>
      </c>
      <c r="C60" s="29">
        <f t="shared" ref="C60:J60" si="40">SUM(C49:C51)</f>
        <v>-69327480.886225462</v>
      </c>
      <c r="D60" s="30">
        <f t="shared" si="40"/>
        <v>28274.892840479413</v>
      </c>
      <c r="E60" s="37">
        <f t="shared" si="40"/>
        <v>-102510.53693962183</v>
      </c>
      <c r="F60" s="38">
        <f t="shared" si="40"/>
        <v>-22.092936649131929</v>
      </c>
      <c r="G60" s="53">
        <f t="shared" si="40"/>
        <v>-77823696.970275119</v>
      </c>
      <c r="H60" s="54">
        <f t="shared" si="40"/>
        <v>25156.073605350477</v>
      </c>
      <c r="I60" s="59">
        <f t="shared" si="40"/>
        <v>8598726.6209892724</v>
      </c>
      <c r="J60" s="15">
        <f t="shared" si="40"/>
        <v>3140.9121717780686</v>
      </c>
      <c r="K60" s="654"/>
      <c r="L60" s="29">
        <f t="shared" ref="L60:S60" si="41">SUM(L49:L51)</f>
        <v>-91181919.886225462</v>
      </c>
      <c r="M60" s="30">
        <f t="shared" si="41"/>
        <v>22755.192840479413</v>
      </c>
      <c r="N60" s="37">
        <f t="shared" si="41"/>
        <v>-124216.53693962183</v>
      </c>
      <c r="O60" s="38">
        <f t="shared" si="41"/>
        <v>-22.632936649131931</v>
      </c>
      <c r="P60" s="53">
        <f t="shared" si="41"/>
        <v>-95368650.970275119</v>
      </c>
      <c r="Q60" s="54">
        <f t="shared" si="41"/>
        <v>20420.283605350476</v>
      </c>
      <c r="R60" s="59">
        <f t="shared" si="41"/>
        <v>4310947.6209892724</v>
      </c>
      <c r="S60" s="15">
        <f t="shared" si="41"/>
        <v>2357.5421717780696</v>
      </c>
      <c r="T60" s="654"/>
      <c r="U60" s="29">
        <f t="shared" ref="U60:AB60" si="42">SUM(U49:U51)</f>
        <v>21854439</v>
      </c>
      <c r="V60" s="30">
        <f t="shared" si="42"/>
        <v>5519.6999999999989</v>
      </c>
      <c r="W60" s="37">
        <f t="shared" si="42"/>
        <v>21706</v>
      </c>
      <c r="X60" s="38">
        <f t="shared" si="42"/>
        <v>0.54</v>
      </c>
      <c r="Y60" s="53">
        <f t="shared" si="42"/>
        <v>17544954</v>
      </c>
      <c r="Z60" s="54">
        <f t="shared" si="42"/>
        <v>4735.7899999999991</v>
      </c>
      <c r="AA60" s="59">
        <f t="shared" si="42"/>
        <v>4287779</v>
      </c>
      <c r="AB60" s="15">
        <f t="shared" si="42"/>
        <v>783.37000000000012</v>
      </c>
      <c r="AC60" s="101"/>
    </row>
    <row r="61" spans="1:29">
      <c r="A61" s="557"/>
      <c r="B61" s="653" t="s">
        <v>216</v>
      </c>
      <c r="C61" s="29">
        <f t="shared" ref="C61:J61" si="43">SUM(C52:C54)</f>
        <v>143612226.464643</v>
      </c>
      <c r="D61" s="30">
        <f t="shared" si="43"/>
        <v>152556.7706236346</v>
      </c>
      <c r="E61" s="37">
        <f t="shared" si="43"/>
        <v>6364031.9032531781</v>
      </c>
      <c r="F61" s="38">
        <f t="shared" si="43"/>
        <v>3304.441122585572</v>
      </c>
      <c r="G61" s="53">
        <f t="shared" si="43"/>
        <v>-3455545.6847218573</v>
      </c>
      <c r="H61" s="54">
        <f t="shared" si="43"/>
        <v>77636.955576749635</v>
      </c>
      <c r="I61" s="59">
        <f t="shared" si="43"/>
        <v>140703740.24611169</v>
      </c>
      <c r="J61" s="15">
        <f t="shared" si="43"/>
        <v>71615.373924299391</v>
      </c>
      <c r="K61" s="654"/>
      <c r="L61" s="29">
        <f t="shared" ref="L61:S61" si="44">SUM(L52:L54)</f>
        <v>87423199.464643002</v>
      </c>
      <c r="M61" s="30">
        <f t="shared" si="44"/>
        <v>126792.4756236356</v>
      </c>
      <c r="N61" s="37">
        <f t="shared" si="44"/>
        <v>6122514.9032531781</v>
      </c>
      <c r="O61" s="38">
        <f t="shared" si="44"/>
        <v>3144.4701225855724</v>
      </c>
      <c r="P61" s="53">
        <f t="shared" si="44"/>
        <v>-47741973.684721857</v>
      </c>
      <c r="Q61" s="54">
        <f t="shared" si="44"/>
        <v>59387.568576750498</v>
      </c>
      <c r="R61" s="59">
        <f t="shared" si="44"/>
        <v>129042658.24611168</v>
      </c>
      <c r="S61" s="15">
        <f t="shared" si="44"/>
        <v>64260.436924299538</v>
      </c>
      <c r="T61" s="654"/>
      <c r="U61" s="29">
        <f t="shared" ref="U61:AB61" si="45">SUM(U52:U54)</f>
        <v>56189027</v>
      </c>
      <c r="V61" s="30">
        <f t="shared" si="45"/>
        <v>25764.294999999027</v>
      </c>
      <c r="W61" s="37">
        <f t="shared" si="45"/>
        <v>241517</v>
      </c>
      <c r="X61" s="38">
        <f t="shared" si="45"/>
        <v>159.97099999999986</v>
      </c>
      <c r="Y61" s="53">
        <f t="shared" si="45"/>
        <v>44286428</v>
      </c>
      <c r="Z61" s="54">
        <f t="shared" si="45"/>
        <v>18249.386999999158</v>
      </c>
      <c r="AA61" s="59">
        <f t="shared" si="45"/>
        <v>11661082</v>
      </c>
      <c r="AB61" s="15">
        <f t="shared" si="45"/>
        <v>7354.9369999998698</v>
      </c>
      <c r="AC61" s="101"/>
    </row>
    <row r="62" spans="1:29" ht="15.75" thickBot="1">
      <c r="A62" s="557"/>
      <c r="B62" s="655" t="s">
        <v>217</v>
      </c>
      <c r="C62" s="31">
        <f t="shared" ref="C62:J62" si="46">SUM(C55:C57)</f>
        <v>-905974790.514117</v>
      </c>
      <c r="D62" s="32">
        <f t="shared" si="46"/>
        <v>-163075.46229254105</v>
      </c>
      <c r="E62" s="39">
        <f t="shared" si="46"/>
        <v>-266406.38833862112</v>
      </c>
      <c r="F62" s="40">
        <f t="shared" si="46"/>
        <v>-47.953149900951814</v>
      </c>
      <c r="G62" s="55">
        <f t="shared" si="46"/>
        <v>-829650249.94764221</v>
      </c>
      <c r="H62" s="56">
        <f t="shared" si="46"/>
        <v>-149337.04499057561</v>
      </c>
      <c r="I62" s="60">
        <f t="shared" si="46"/>
        <v>-76058134.178136215</v>
      </c>
      <c r="J62" s="16">
        <f t="shared" si="46"/>
        <v>-13690.46415206452</v>
      </c>
      <c r="K62" s="656"/>
      <c r="L62" s="31">
        <f t="shared" ref="L62:S62" si="47">SUM(L55:L57)</f>
        <v>-905974790.514117</v>
      </c>
      <c r="M62" s="32">
        <f t="shared" si="47"/>
        <v>-163075.46229254105</v>
      </c>
      <c r="N62" s="39">
        <f t="shared" si="47"/>
        <v>-266406.38833862112</v>
      </c>
      <c r="O62" s="40">
        <f t="shared" si="47"/>
        <v>-47.953149900951814</v>
      </c>
      <c r="P62" s="55">
        <f t="shared" si="47"/>
        <v>-829650249.94764221</v>
      </c>
      <c r="Q62" s="56">
        <f t="shared" si="47"/>
        <v>-149337.04499057561</v>
      </c>
      <c r="R62" s="60">
        <f t="shared" si="47"/>
        <v>-76058134.178136215</v>
      </c>
      <c r="S62" s="16">
        <f t="shared" si="47"/>
        <v>-13690.46415206452</v>
      </c>
      <c r="T62" s="656"/>
      <c r="U62" s="31">
        <f t="shared" ref="U62:AB62" si="48">SUM(U55:U57)</f>
        <v>0</v>
      </c>
      <c r="V62" s="32">
        <f t="shared" si="48"/>
        <v>0</v>
      </c>
      <c r="W62" s="39">
        <f t="shared" si="48"/>
        <v>0</v>
      </c>
      <c r="X62" s="40">
        <f t="shared" si="48"/>
        <v>0</v>
      </c>
      <c r="Y62" s="55">
        <f t="shared" si="48"/>
        <v>0</v>
      </c>
      <c r="Z62" s="56">
        <f t="shared" si="48"/>
        <v>0</v>
      </c>
      <c r="AA62" s="60">
        <f t="shared" si="48"/>
        <v>0</v>
      </c>
      <c r="AB62" s="16">
        <f t="shared" si="48"/>
        <v>0</v>
      </c>
      <c r="AC62" s="101"/>
    </row>
    <row r="63" spans="1:29" ht="15.75" thickBot="1">
      <c r="K63" s="101"/>
      <c r="T63" s="101"/>
      <c r="AC63" s="101"/>
    </row>
    <row r="64" spans="1:29" ht="15.75" thickBot="1">
      <c r="B64" s="20" t="s">
        <v>182</v>
      </c>
      <c r="E64" s="554"/>
      <c r="K64" s="101"/>
      <c r="T64" s="101"/>
      <c r="AC64" s="101"/>
    </row>
    <row r="65" spans="1:29" ht="15.75" thickBot="1">
      <c r="B65" s="21" t="s">
        <v>7</v>
      </c>
      <c r="C65" s="25">
        <f t="shared" ref="C65:D65" si="49">SUM(C66:C77)</f>
        <v>2168878377.1332331</v>
      </c>
      <c r="D65" s="26">
        <f t="shared" si="49"/>
        <v>390398.10788398201</v>
      </c>
      <c r="E65" s="33">
        <f>SUM(E66:E77)</f>
        <v>637769.46251441108</v>
      </c>
      <c r="F65" s="34">
        <f t="shared" ref="F65:J65" si="50">SUM(F66:F77)</f>
        <v>114.79850325259397</v>
      </c>
      <c r="G65" s="49">
        <f t="shared" si="50"/>
        <v>1986159556.0219784</v>
      </c>
      <c r="H65" s="50">
        <f t="shared" si="50"/>
        <v>357508.72008395608</v>
      </c>
      <c r="I65" s="57">
        <f t="shared" si="50"/>
        <v>182081051.64874047</v>
      </c>
      <c r="J65" s="18">
        <f t="shared" si="50"/>
        <v>32774.589296773287</v>
      </c>
      <c r="K65" s="101"/>
      <c r="L65" s="25">
        <f t="shared" ref="L65:M65" si="51">SUM(L66:L77)</f>
        <v>2168878377.1332331</v>
      </c>
      <c r="M65" s="26">
        <f t="shared" si="51"/>
        <v>390398.10788398201</v>
      </c>
      <c r="N65" s="33">
        <f>SUM(N66:N77)</f>
        <v>637769.46251441108</v>
      </c>
      <c r="O65" s="34">
        <f t="shared" ref="O65:S65" si="52">SUM(O66:O77)</f>
        <v>114.79850325259397</v>
      </c>
      <c r="P65" s="49">
        <f t="shared" si="52"/>
        <v>1986159556.0219784</v>
      </c>
      <c r="Q65" s="50">
        <f t="shared" si="52"/>
        <v>357508.72008395608</v>
      </c>
      <c r="R65" s="57">
        <f t="shared" si="52"/>
        <v>182081051.64874047</v>
      </c>
      <c r="S65" s="18">
        <f t="shared" si="52"/>
        <v>32774.589296773287</v>
      </c>
      <c r="T65" s="101"/>
      <c r="U65" s="25">
        <f t="shared" ref="U65:V65" si="53">SUM(U66:U77)</f>
        <v>0</v>
      </c>
      <c r="V65" s="26">
        <f t="shared" si="53"/>
        <v>0</v>
      </c>
      <c r="W65" s="33">
        <f>SUM(W66:W77)</f>
        <v>0</v>
      </c>
      <c r="X65" s="34">
        <f t="shared" ref="X65:AB65" si="54">SUM(X66:X77)</f>
        <v>0</v>
      </c>
      <c r="Y65" s="49">
        <f t="shared" si="54"/>
        <v>0</v>
      </c>
      <c r="Z65" s="50">
        <f t="shared" si="54"/>
        <v>0</v>
      </c>
      <c r="AA65" s="57">
        <f t="shared" si="54"/>
        <v>0</v>
      </c>
      <c r="AB65" s="18">
        <f t="shared" si="54"/>
        <v>0</v>
      </c>
      <c r="AC65" s="101"/>
    </row>
    <row r="66" spans="1:29">
      <c r="A66" s="557">
        <v>1</v>
      </c>
      <c r="B66" s="22">
        <v>43101</v>
      </c>
      <c r="C66" s="27">
        <f>SUM(E66,G66,I66)</f>
        <v>110365962.40799999</v>
      </c>
      <c r="D66" s="28">
        <f>SUM(F66,H66,J66)</f>
        <v>19865.873233440001</v>
      </c>
      <c r="E66" s="35">
        <v>32453.65958135141</v>
      </c>
      <c r="F66" s="36">
        <v>5.8416587246432545</v>
      </c>
      <c r="G66" s="51">
        <v>101068097.32039945</v>
      </c>
      <c r="H66" s="52">
        <v>18192.2575176719</v>
      </c>
      <c r="I66" s="58">
        <v>9265411.4280192014</v>
      </c>
      <c r="J66" s="17">
        <v>1667.7740570434564</v>
      </c>
      <c r="K66" s="101"/>
      <c r="L66" s="27">
        <f>SUM(N66,P66,R66)</f>
        <v>110365962.40799999</v>
      </c>
      <c r="M66" s="28">
        <f>SUM(O66,Q66,S66)</f>
        <v>19865.873233440001</v>
      </c>
      <c r="N66" s="35">
        <f>E66</f>
        <v>32453.65958135141</v>
      </c>
      <c r="O66" s="36">
        <f t="shared" ref="O66:S77" si="55">F66</f>
        <v>5.8416587246432545</v>
      </c>
      <c r="P66" s="51">
        <f t="shared" si="55"/>
        <v>101068097.32039945</v>
      </c>
      <c r="Q66" s="52">
        <f t="shared" si="55"/>
        <v>18192.2575176719</v>
      </c>
      <c r="R66" s="58">
        <f t="shared" si="55"/>
        <v>9265411.4280192014</v>
      </c>
      <c r="S66" s="17">
        <f t="shared" si="55"/>
        <v>1667.7740570434564</v>
      </c>
      <c r="T66" s="101"/>
      <c r="U66" s="27">
        <f>SUM(W66,Y66,AA66)</f>
        <v>0</v>
      </c>
      <c r="V66" s="28">
        <f>SUM(X66,Z66,AB66)</f>
        <v>0</v>
      </c>
      <c r="W66" s="35">
        <f t="shared" ref="W66:AB77" si="56">E66-N66</f>
        <v>0</v>
      </c>
      <c r="X66" s="36">
        <f t="shared" si="56"/>
        <v>0</v>
      </c>
      <c r="Y66" s="51">
        <f t="shared" si="56"/>
        <v>0</v>
      </c>
      <c r="Z66" s="52">
        <f t="shared" si="56"/>
        <v>0</v>
      </c>
      <c r="AA66" s="58">
        <f t="shared" si="56"/>
        <v>0</v>
      </c>
      <c r="AB66" s="17">
        <f t="shared" si="56"/>
        <v>0</v>
      </c>
      <c r="AC66" s="101"/>
    </row>
    <row r="67" spans="1:29">
      <c r="A67" s="557">
        <v>2</v>
      </c>
      <c r="B67" s="23">
        <v>43132</v>
      </c>
      <c r="C67" s="29">
        <f t="shared" ref="C67:D77" si="57">SUM(E67,G67,I67)</f>
        <v>96988330.35887894</v>
      </c>
      <c r="D67" s="30">
        <f t="shared" si="57"/>
        <v>17457.899464598209</v>
      </c>
      <c r="E67" s="37">
        <v>28519.900412724968</v>
      </c>
      <c r="F67" s="38">
        <v>5.1335820742904943</v>
      </c>
      <c r="G67" s="53">
        <v>88817474.135881677</v>
      </c>
      <c r="H67" s="54">
        <v>15987.145344458702</v>
      </c>
      <c r="I67" s="59">
        <v>8142336.3225845424</v>
      </c>
      <c r="J67" s="15">
        <v>1465.6205380652177</v>
      </c>
      <c r="K67" s="103"/>
      <c r="L67" s="29">
        <f t="shared" ref="L67:M77" si="58">SUM(N67,P67,R67)</f>
        <v>96988330.35887894</v>
      </c>
      <c r="M67" s="30">
        <f t="shared" si="58"/>
        <v>17457.899464598209</v>
      </c>
      <c r="N67" s="37">
        <f t="shared" ref="N67:N77" si="59">E67</f>
        <v>28519.900412724968</v>
      </c>
      <c r="O67" s="38">
        <f t="shared" si="55"/>
        <v>5.1335820742904943</v>
      </c>
      <c r="P67" s="53">
        <f t="shared" si="55"/>
        <v>88817474.135881677</v>
      </c>
      <c r="Q67" s="54">
        <f t="shared" si="55"/>
        <v>15987.145344458702</v>
      </c>
      <c r="R67" s="59">
        <f t="shared" si="55"/>
        <v>8142336.3225845424</v>
      </c>
      <c r="S67" s="15">
        <f t="shared" si="55"/>
        <v>1465.6205380652177</v>
      </c>
      <c r="T67" s="103"/>
      <c r="U67" s="29">
        <f t="shared" ref="U67:V77" si="60">SUM(W67,Y67,AA67)</f>
        <v>0</v>
      </c>
      <c r="V67" s="30">
        <f t="shared" si="60"/>
        <v>0</v>
      </c>
      <c r="W67" s="37">
        <f t="shared" si="56"/>
        <v>0</v>
      </c>
      <c r="X67" s="38">
        <f t="shared" si="56"/>
        <v>0</v>
      </c>
      <c r="Y67" s="53">
        <f t="shared" si="56"/>
        <v>0</v>
      </c>
      <c r="Z67" s="54">
        <f t="shared" si="56"/>
        <v>0</v>
      </c>
      <c r="AA67" s="59">
        <f t="shared" si="56"/>
        <v>0</v>
      </c>
      <c r="AB67" s="15">
        <f t="shared" si="56"/>
        <v>0</v>
      </c>
      <c r="AC67" s="103"/>
    </row>
    <row r="68" spans="1:29">
      <c r="A68" s="557">
        <v>3</v>
      </c>
      <c r="B68" s="23">
        <v>43160</v>
      </c>
      <c r="C68" s="29">
        <f t="shared" si="57"/>
        <v>116385996.43065473</v>
      </c>
      <c r="D68" s="30">
        <f t="shared" si="57"/>
        <v>20949.479357517852</v>
      </c>
      <c r="E68" s="37">
        <v>34223.880495269965</v>
      </c>
      <c r="F68" s="38">
        <v>6.1602984891485937</v>
      </c>
      <c r="G68" s="53">
        <v>106580968.96305802</v>
      </c>
      <c r="H68" s="54">
        <v>19184.574413350445</v>
      </c>
      <c r="I68" s="59">
        <v>9770803.5871014521</v>
      </c>
      <c r="J68" s="15">
        <v>1758.7446456782616</v>
      </c>
      <c r="K68" s="101"/>
      <c r="L68" s="29">
        <f t="shared" si="58"/>
        <v>116385996.43065473</v>
      </c>
      <c r="M68" s="30">
        <f t="shared" si="58"/>
        <v>20949.479357517852</v>
      </c>
      <c r="N68" s="37">
        <f t="shared" si="59"/>
        <v>34223.880495269965</v>
      </c>
      <c r="O68" s="38">
        <f t="shared" si="55"/>
        <v>6.1602984891485937</v>
      </c>
      <c r="P68" s="53">
        <f t="shared" si="55"/>
        <v>106580968.96305802</v>
      </c>
      <c r="Q68" s="54">
        <f t="shared" si="55"/>
        <v>19184.574413350445</v>
      </c>
      <c r="R68" s="59">
        <f t="shared" si="55"/>
        <v>9770803.5871014521</v>
      </c>
      <c r="S68" s="15">
        <f t="shared" si="55"/>
        <v>1758.7446456782616</v>
      </c>
      <c r="T68" s="101"/>
      <c r="U68" s="29">
        <f t="shared" si="60"/>
        <v>0</v>
      </c>
      <c r="V68" s="30">
        <f t="shared" si="60"/>
        <v>0</v>
      </c>
      <c r="W68" s="37">
        <f t="shared" si="56"/>
        <v>0</v>
      </c>
      <c r="X68" s="38">
        <f t="shared" si="56"/>
        <v>0</v>
      </c>
      <c r="Y68" s="53">
        <f t="shared" si="56"/>
        <v>0</v>
      </c>
      <c r="Z68" s="54">
        <f t="shared" si="56"/>
        <v>0</v>
      </c>
      <c r="AA68" s="59">
        <f t="shared" si="56"/>
        <v>0</v>
      </c>
      <c r="AB68" s="15">
        <f t="shared" si="56"/>
        <v>0</v>
      </c>
      <c r="AC68" s="101"/>
    </row>
    <row r="69" spans="1:29">
      <c r="A69" s="557">
        <v>4</v>
      </c>
      <c r="B69" s="23">
        <v>43191</v>
      </c>
      <c r="C69" s="29">
        <f t="shared" si="57"/>
        <v>145482495.53831843</v>
      </c>
      <c r="D69" s="30">
        <f t="shared" si="57"/>
        <v>26186.849196897318</v>
      </c>
      <c r="E69" s="37">
        <v>42779.850619087454</v>
      </c>
      <c r="F69" s="38">
        <v>7.7003731114357423</v>
      </c>
      <c r="G69" s="53">
        <v>133226211.20382252</v>
      </c>
      <c r="H69" s="54">
        <v>23980.718016688057</v>
      </c>
      <c r="I69" s="59">
        <v>12213504.483876813</v>
      </c>
      <c r="J69" s="15">
        <v>2198.4308070978263</v>
      </c>
      <c r="K69" s="101"/>
      <c r="L69" s="29">
        <f t="shared" si="58"/>
        <v>145482495.53831843</v>
      </c>
      <c r="M69" s="30">
        <f t="shared" si="58"/>
        <v>26186.849196897318</v>
      </c>
      <c r="N69" s="37">
        <f t="shared" si="59"/>
        <v>42779.850619087454</v>
      </c>
      <c r="O69" s="38">
        <f t="shared" si="55"/>
        <v>7.7003731114357423</v>
      </c>
      <c r="P69" s="53">
        <f t="shared" si="55"/>
        <v>133226211.20382252</v>
      </c>
      <c r="Q69" s="54">
        <f t="shared" si="55"/>
        <v>23980.718016688057</v>
      </c>
      <c r="R69" s="59">
        <f t="shared" si="55"/>
        <v>12213504.483876813</v>
      </c>
      <c r="S69" s="15">
        <f t="shared" si="55"/>
        <v>2198.4308070978263</v>
      </c>
      <c r="T69" s="101"/>
      <c r="U69" s="29">
        <f t="shared" si="60"/>
        <v>0</v>
      </c>
      <c r="V69" s="30">
        <f t="shared" si="60"/>
        <v>0</v>
      </c>
      <c r="W69" s="37">
        <f t="shared" si="56"/>
        <v>0</v>
      </c>
      <c r="X69" s="38">
        <f t="shared" si="56"/>
        <v>0</v>
      </c>
      <c r="Y69" s="53">
        <f t="shared" si="56"/>
        <v>0</v>
      </c>
      <c r="Z69" s="54">
        <f t="shared" si="56"/>
        <v>0</v>
      </c>
      <c r="AA69" s="59">
        <f t="shared" si="56"/>
        <v>0</v>
      </c>
      <c r="AB69" s="15">
        <f t="shared" si="56"/>
        <v>0</v>
      </c>
      <c r="AC69" s="101"/>
    </row>
    <row r="70" spans="1:29">
      <c r="A70" s="557">
        <v>5</v>
      </c>
      <c r="B70" s="23">
        <v>43221</v>
      </c>
      <c r="C70" s="29">
        <f t="shared" si="57"/>
        <v>139663195.71678567</v>
      </c>
      <c r="D70" s="30">
        <f t="shared" si="57"/>
        <v>25139.375229021422</v>
      </c>
      <c r="E70" s="37">
        <v>41068.656594323948</v>
      </c>
      <c r="F70" s="38">
        <v>7.3923581869783108</v>
      </c>
      <c r="G70" s="53">
        <v>127897162.75566959</v>
      </c>
      <c r="H70" s="54">
        <v>23021.489296020529</v>
      </c>
      <c r="I70" s="59">
        <v>11724964.304521739</v>
      </c>
      <c r="J70" s="15">
        <v>2110.4935748139133</v>
      </c>
      <c r="K70" s="101"/>
      <c r="L70" s="29">
        <f t="shared" si="58"/>
        <v>139663195.71678567</v>
      </c>
      <c r="M70" s="30">
        <f t="shared" si="58"/>
        <v>25139.375229021422</v>
      </c>
      <c r="N70" s="37">
        <f t="shared" si="59"/>
        <v>41068.656594323948</v>
      </c>
      <c r="O70" s="38">
        <f t="shared" si="55"/>
        <v>7.3923581869783108</v>
      </c>
      <c r="P70" s="53">
        <f t="shared" si="55"/>
        <v>127897162.75566959</v>
      </c>
      <c r="Q70" s="54">
        <f t="shared" si="55"/>
        <v>23021.489296020529</v>
      </c>
      <c r="R70" s="59">
        <f t="shared" si="55"/>
        <v>11724964.304521739</v>
      </c>
      <c r="S70" s="15">
        <f t="shared" si="55"/>
        <v>2110.4935748139133</v>
      </c>
      <c r="T70" s="101"/>
      <c r="U70" s="29">
        <f t="shared" si="60"/>
        <v>0</v>
      </c>
      <c r="V70" s="30">
        <f t="shared" si="60"/>
        <v>0</v>
      </c>
      <c r="W70" s="37">
        <f t="shared" si="56"/>
        <v>0</v>
      </c>
      <c r="X70" s="38">
        <f t="shared" si="56"/>
        <v>0</v>
      </c>
      <c r="Y70" s="53">
        <f t="shared" si="56"/>
        <v>0</v>
      </c>
      <c r="Z70" s="54">
        <f t="shared" si="56"/>
        <v>0</v>
      </c>
      <c r="AA70" s="59">
        <f t="shared" si="56"/>
        <v>0</v>
      </c>
      <c r="AB70" s="15">
        <f t="shared" si="56"/>
        <v>0</v>
      </c>
      <c r="AC70" s="101"/>
    </row>
    <row r="71" spans="1:29">
      <c r="A71" s="557">
        <v>6</v>
      </c>
      <c r="B71" s="23">
        <v>43252</v>
      </c>
      <c r="C71" s="29">
        <f t="shared" si="57"/>
        <v>142456459.6311214</v>
      </c>
      <c r="D71" s="30">
        <f t="shared" si="57"/>
        <v>25642.16273360185</v>
      </c>
      <c r="E71" s="37">
        <v>41890.029726210429</v>
      </c>
      <c r="F71" s="38">
        <v>7.5402053507178772</v>
      </c>
      <c r="G71" s="53">
        <v>130455106.010783</v>
      </c>
      <c r="H71" s="54">
        <v>23481.919081940941</v>
      </c>
      <c r="I71" s="59">
        <v>11959463.590612175</v>
      </c>
      <c r="J71" s="15">
        <v>2152.7034463101918</v>
      </c>
      <c r="K71" s="101"/>
      <c r="L71" s="29">
        <f t="shared" si="58"/>
        <v>142456459.6311214</v>
      </c>
      <c r="M71" s="30">
        <f t="shared" si="58"/>
        <v>25642.16273360185</v>
      </c>
      <c r="N71" s="37">
        <f t="shared" si="59"/>
        <v>41890.029726210429</v>
      </c>
      <c r="O71" s="38">
        <f t="shared" si="55"/>
        <v>7.5402053507178772</v>
      </c>
      <c r="P71" s="53">
        <f t="shared" si="55"/>
        <v>130455106.010783</v>
      </c>
      <c r="Q71" s="54">
        <f t="shared" si="55"/>
        <v>23481.919081940941</v>
      </c>
      <c r="R71" s="59">
        <f t="shared" si="55"/>
        <v>11959463.590612175</v>
      </c>
      <c r="S71" s="15">
        <f t="shared" si="55"/>
        <v>2152.7034463101918</v>
      </c>
      <c r="T71" s="101"/>
      <c r="U71" s="29">
        <f t="shared" si="60"/>
        <v>0</v>
      </c>
      <c r="V71" s="30">
        <f t="shared" si="60"/>
        <v>0</v>
      </c>
      <c r="W71" s="37">
        <f t="shared" si="56"/>
        <v>0</v>
      </c>
      <c r="X71" s="38">
        <f t="shared" si="56"/>
        <v>0</v>
      </c>
      <c r="Y71" s="53">
        <f t="shared" si="56"/>
        <v>0</v>
      </c>
      <c r="Z71" s="54">
        <f t="shared" si="56"/>
        <v>0</v>
      </c>
      <c r="AA71" s="59">
        <f t="shared" si="56"/>
        <v>0</v>
      </c>
      <c r="AB71" s="15">
        <f t="shared" si="56"/>
        <v>0</v>
      </c>
      <c r="AC71" s="101"/>
    </row>
    <row r="72" spans="1:29">
      <c r="A72" s="557">
        <v>7</v>
      </c>
      <c r="B72" s="23">
        <v>43282</v>
      </c>
      <c r="C72" s="29">
        <f t="shared" si="57"/>
        <v>149579282.61267748</v>
      </c>
      <c r="D72" s="30">
        <f t="shared" si="57"/>
        <v>26924.270870281951</v>
      </c>
      <c r="E72" s="37">
        <v>43984.53121252096</v>
      </c>
      <c r="F72" s="38">
        <v>7.9172156182537732</v>
      </c>
      <c r="G72" s="53">
        <v>136977861.31132218</v>
      </c>
      <c r="H72" s="54">
        <v>24656.015036037996</v>
      </c>
      <c r="I72" s="59">
        <v>12557436.770142784</v>
      </c>
      <c r="J72" s="15">
        <v>2260.3386186257012</v>
      </c>
      <c r="K72" s="101"/>
      <c r="L72" s="29">
        <f t="shared" si="58"/>
        <v>149579282.61267748</v>
      </c>
      <c r="M72" s="30">
        <f t="shared" si="58"/>
        <v>26924.270870281951</v>
      </c>
      <c r="N72" s="37">
        <f t="shared" si="59"/>
        <v>43984.53121252096</v>
      </c>
      <c r="O72" s="38">
        <f t="shared" si="55"/>
        <v>7.9172156182537732</v>
      </c>
      <c r="P72" s="53">
        <f t="shared" si="55"/>
        <v>136977861.31132218</v>
      </c>
      <c r="Q72" s="54">
        <f t="shared" si="55"/>
        <v>24656.015036037996</v>
      </c>
      <c r="R72" s="59">
        <f t="shared" si="55"/>
        <v>12557436.770142784</v>
      </c>
      <c r="S72" s="15">
        <f t="shared" si="55"/>
        <v>2260.3386186257012</v>
      </c>
      <c r="T72" s="101"/>
      <c r="U72" s="29">
        <f t="shared" si="60"/>
        <v>0</v>
      </c>
      <c r="V72" s="30">
        <f t="shared" si="60"/>
        <v>0</v>
      </c>
      <c r="W72" s="37">
        <f t="shared" si="56"/>
        <v>0</v>
      </c>
      <c r="X72" s="38">
        <f t="shared" si="56"/>
        <v>0</v>
      </c>
      <c r="Y72" s="53">
        <f t="shared" si="56"/>
        <v>0</v>
      </c>
      <c r="Z72" s="54">
        <f t="shared" si="56"/>
        <v>0</v>
      </c>
      <c r="AA72" s="59">
        <f t="shared" si="56"/>
        <v>0</v>
      </c>
      <c r="AB72" s="15">
        <f t="shared" si="56"/>
        <v>0</v>
      </c>
      <c r="AC72" s="101"/>
    </row>
    <row r="73" spans="1:29">
      <c r="A73" s="557">
        <v>8</v>
      </c>
      <c r="B73" s="23">
        <v>43313</v>
      </c>
      <c r="C73" s="29">
        <f t="shared" si="57"/>
        <v>164537210.87394524</v>
      </c>
      <c r="D73" s="30">
        <f t="shared" si="57"/>
        <v>29616.697957310145</v>
      </c>
      <c r="E73" s="37">
        <v>48382.984333773056</v>
      </c>
      <c r="F73" s="38">
        <v>8.7089371800791504</v>
      </c>
      <c r="G73" s="53">
        <v>150675647.4424544</v>
      </c>
      <c r="H73" s="54">
        <v>27121.616539641793</v>
      </c>
      <c r="I73" s="59">
        <v>13813180.447157064</v>
      </c>
      <c r="J73" s="15">
        <v>2486.3724804882718</v>
      </c>
      <c r="K73" s="101"/>
      <c r="L73" s="29">
        <f t="shared" si="58"/>
        <v>164537210.87394524</v>
      </c>
      <c r="M73" s="30">
        <f t="shared" si="58"/>
        <v>29616.697957310145</v>
      </c>
      <c r="N73" s="37">
        <f t="shared" si="59"/>
        <v>48382.984333773056</v>
      </c>
      <c r="O73" s="38">
        <f t="shared" si="55"/>
        <v>8.7089371800791504</v>
      </c>
      <c r="P73" s="53">
        <f t="shared" si="55"/>
        <v>150675647.4424544</v>
      </c>
      <c r="Q73" s="54">
        <f t="shared" si="55"/>
        <v>27121.616539641793</v>
      </c>
      <c r="R73" s="59">
        <f t="shared" si="55"/>
        <v>13813180.447157064</v>
      </c>
      <c r="S73" s="15">
        <f t="shared" si="55"/>
        <v>2486.3724804882718</v>
      </c>
      <c r="T73" s="101"/>
      <c r="U73" s="29">
        <f t="shared" si="60"/>
        <v>0</v>
      </c>
      <c r="V73" s="30">
        <f t="shared" si="60"/>
        <v>0</v>
      </c>
      <c r="W73" s="37">
        <f t="shared" si="56"/>
        <v>0</v>
      </c>
      <c r="X73" s="38">
        <f t="shared" si="56"/>
        <v>0</v>
      </c>
      <c r="Y73" s="53">
        <f t="shared" si="56"/>
        <v>0</v>
      </c>
      <c r="Z73" s="54">
        <f t="shared" si="56"/>
        <v>0</v>
      </c>
      <c r="AA73" s="59">
        <f t="shared" si="56"/>
        <v>0</v>
      </c>
      <c r="AB73" s="15">
        <f t="shared" si="56"/>
        <v>0</v>
      </c>
      <c r="AC73" s="101"/>
    </row>
    <row r="74" spans="1:29">
      <c r="A74" s="557">
        <v>9</v>
      </c>
      <c r="B74" s="23">
        <v>43344</v>
      </c>
      <c r="C74" s="29">
        <f t="shared" si="57"/>
        <v>197444653.04873431</v>
      </c>
      <c r="D74" s="30">
        <f t="shared" si="57"/>
        <v>35540.037548772176</v>
      </c>
      <c r="E74" s="37">
        <v>58059.58120052766</v>
      </c>
      <c r="F74" s="38">
        <v>10.450724616094979</v>
      </c>
      <c r="G74" s="53">
        <v>180810776.93094528</v>
      </c>
      <c r="H74" s="54">
        <v>32545.939847570153</v>
      </c>
      <c r="I74" s="59">
        <v>16575816.536588477</v>
      </c>
      <c r="J74" s="15">
        <v>2983.646976585926</v>
      </c>
      <c r="K74" s="101"/>
      <c r="L74" s="29">
        <f t="shared" si="58"/>
        <v>197444653.04873431</v>
      </c>
      <c r="M74" s="30">
        <f t="shared" si="58"/>
        <v>35540.037548772176</v>
      </c>
      <c r="N74" s="37">
        <f t="shared" si="59"/>
        <v>58059.58120052766</v>
      </c>
      <c r="O74" s="38">
        <f t="shared" si="55"/>
        <v>10.450724616094979</v>
      </c>
      <c r="P74" s="53">
        <f t="shared" si="55"/>
        <v>180810776.93094528</v>
      </c>
      <c r="Q74" s="54">
        <f t="shared" si="55"/>
        <v>32545.939847570153</v>
      </c>
      <c r="R74" s="59">
        <f t="shared" si="55"/>
        <v>16575816.536588477</v>
      </c>
      <c r="S74" s="15">
        <f t="shared" si="55"/>
        <v>2983.646976585926</v>
      </c>
      <c r="T74" s="101"/>
      <c r="U74" s="29">
        <f t="shared" si="60"/>
        <v>0</v>
      </c>
      <c r="V74" s="30">
        <f t="shared" si="60"/>
        <v>0</v>
      </c>
      <c r="W74" s="37">
        <f t="shared" si="56"/>
        <v>0</v>
      </c>
      <c r="X74" s="38">
        <f t="shared" si="56"/>
        <v>0</v>
      </c>
      <c r="Y74" s="53">
        <f t="shared" si="56"/>
        <v>0</v>
      </c>
      <c r="Z74" s="54">
        <f t="shared" si="56"/>
        <v>0</v>
      </c>
      <c r="AA74" s="59">
        <f t="shared" si="56"/>
        <v>0</v>
      </c>
      <c r="AB74" s="15">
        <f t="shared" si="56"/>
        <v>0</v>
      </c>
      <c r="AC74" s="101"/>
    </row>
    <row r="75" spans="1:29">
      <c r="A75" s="557">
        <v>10</v>
      </c>
      <c r="B75" s="23">
        <v>43374</v>
      </c>
      <c r="C75" s="29">
        <f t="shared" si="57"/>
        <v>227061351.00604439</v>
      </c>
      <c r="D75" s="30">
        <f t="shared" si="57"/>
        <v>40871.043181087982</v>
      </c>
      <c r="E75" s="37">
        <v>66768.518380606809</v>
      </c>
      <c r="F75" s="38">
        <v>12.018333308509227</v>
      </c>
      <c r="G75" s="53">
        <v>207932393.47058702</v>
      </c>
      <c r="H75" s="54">
        <v>37427.830824705663</v>
      </c>
      <c r="I75" s="59">
        <v>19062189.017076746</v>
      </c>
      <c r="J75" s="15">
        <v>3431.1940230738146</v>
      </c>
      <c r="K75" s="101"/>
      <c r="L75" s="29">
        <f t="shared" si="58"/>
        <v>227061351.00604439</v>
      </c>
      <c r="M75" s="30">
        <f t="shared" si="58"/>
        <v>40871.043181087982</v>
      </c>
      <c r="N75" s="37">
        <f t="shared" si="59"/>
        <v>66768.518380606809</v>
      </c>
      <c r="O75" s="38">
        <f t="shared" si="55"/>
        <v>12.018333308509227</v>
      </c>
      <c r="P75" s="53">
        <f t="shared" si="55"/>
        <v>207932393.47058702</v>
      </c>
      <c r="Q75" s="54">
        <f t="shared" si="55"/>
        <v>37427.830824705663</v>
      </c>
      <c r="R75" s="59">
        <f t="shared" si="55"/>
        <v>19062189.017076746</v>
      </c>
      <c r="S75" s="15">
        <f t="shared" si="55"/>
        <v>3431.1940230738146</v>
      </c>
      <c r="T75" s="101"/>
      <c r="U75" s="29">
        <f t="shared" si="60"/>
        <v>0</v>
      </c>
      <c r="V75" s="30">
        <f t="shared" si="60"/>
        <v>0</v>
      </c>
      <c r="W75" s="37">
        <f t="shared" si="56"/>
        <v>0</v>
      </c>
      <c r="X75" s="38">
        <f t="shared" si="56"/>
        <v>0</v>
      </c>
      <c r="Y75" s="53">
        <f t="shared" si="56"/>
        <v>0</v>
      </c>
      <c r="Z75" s="54">
        <f t="shared" si="56"/>
        <v>0</v>
      </c>
      <c r="AA75" s="59">
        <f t="shared" si="56"/>
        <v>0</v>
      </c>
      <c r="AB75" s="15">
        <f t="shared" si="56"/>
        <v>0</v>
      </c>
      <c r="AC75" s="101"/>
    </row>
    <row r="76" spans="1:29">
      <c r="A76" s="557">
        <v>11</v>
      </c>
      <c r="B76" s="23">
        <v>43405</v>
      </c>
      <c r="C76" s="29">
        <f t="shared" si="57"/>
        <v>295179756.30785763</v>
      </c>
      <c r="D76" s="30">
        <f t="shared" si="57"/>
        <v>53132.356135414375</v>
      </c>
      <c r="E76" s="37">
        <v>86799.073894788846</v>
      </c>
      <c r="F76" s="38">
        <v>15.623833301061993</v>
      </c>
      <c r="G76" s="53">
        <v>270312111.5117631</v>
      </c>
      <c r="H76" s="54">
        <v>48656.180072117357</v>
      </c>
      <c r="I76" s="59">
        <v>24780845.722199768</v>
      </c>
      <c r="J76" s="15">
        <v>4460.5522299959584</v>
      </c>
      <c r="K76" s="101"/>
      <c r="L76" s="29">
        <f t="shared" si="58"/>
        <v>295179756.30785763</v>
      </c>
      <c r="M76" s="30">
        <f t="shared" si="58"/>
        <v>53132.356135414375</v>
      </c>
      <c r="N76" s="37">
        <f t="shared" si="59"/>
        <v>86799.073894788846</v>
      </c>
      <c r="O76" s="38">
        <f t="shared" si="55"/>
        <v>15.623833301061993</v>
      </c>
      <c r="P76" s="53">
        <f t="shared" si="55"/>
        <v>270312111.5117631</v>
      </c>
      <c r="Q76" s="54">
        <f t="shared" si="55"/>
        <v>48656.180072117357</v>
      </c>
      <c r="R76" s="59">
        <f t="shared" si="55"/>
        <v>24780845.722199768</v>
      </c>
      <c r="S76" s="15">
        <f t="shared" si="55"/>
        <v>4460.5522299959584</v>
      </c>
      <c r="T76" s="101"/>
      <c r="U76" s="29">
        <f t="shared" si="60"/>
        <v>0</v>
      </c>
      <c r="V76" s="30">
        <f t="shared" si="60"/>
        <v>0</v>
      </c>
      <c r="W76" s="37">
        <f t="shared" si="56"/>
        <v>0</v>
      </c>
      <c r="X76" s="38">
        <f t="shared" si="56"/>
        <v>0</v>
      </c>
      <c r="Y76" s="53">
        <f t="shared" si="56"/>
        <v>0</v>
      </c>
      <c r="Z76" s="54">
        <f t="shared" si="56"/>
        <v>0</v>
      </c>
      <c r="AA76" s="59">
        <f t="shared" si="56"/>
        <v>0</v>
      </c>
      <c r="AB76" s="15">
        <f t="shared" si="56"/>
        <v>0</v>
      </c>
      <c r="AC76" s="101"/>
    </row>
    <row r="77" spans="1:29" ht="15.75" thickBot="1">
      <c r="A77" s="557">
        <v>12</v>
      </c>
      <c r="B77" s="24">
        <v>43435</v>
      </c>
      <c r="C77" s="31">
        <f t="shared" si="57"/>
        <v>383733683.20021504</v>
      </c>
      <c r="D77" s="32">
        <f t="shared" si="57"/>
        <v>69072.062976038709</v>
      </c>
      <c r="E77" s="39">
        <v>112838.7960632255</v>
      </c>
      <c r="F77" s="40">
        <v>20.310983291380591</v>
      </c>
      <c r="G77" s="55">
        <v>351405744.9652921</v>
      </c>
      <c r="H77" s="56">
        <v>63253.034093752583</v>
      </c>
      <c r="I77" s="60">
        <v>32215099.438859701</v>
      </c>
      <c r="J77" s="16">
        <v>5798.717898994747</v>
      </c>
      <c r="K77" s="101"/>
      <c r="L77" s="31">
        <f t="shared" si="58"/>
        <v>383733683.20021504</v>
      </c>
      <c r="M77" s="32">
        <f t="shared" si="58"/>
        <v>69072.062976038709</v>
      </c>
      <c r="N77" s="39">
        <f t="shared" si="59"/>
        <v>112838.7960632255</v>
      </c>
      <c r="O77" s="40">
        <f t="shared" si="55"/>
        <v>20.310983291380591</v>
      </c>
      <c r="P77" s="55">
        <f t="shared" si="55"/>
        <v>351405744.9652921</v>
      </c>
      <c r="Q77" s="56">
        <f t="shared" si="55"/>
        <v>63253.034093752583</v>
      </c>
      <c r="R77" s="60">
        <f t="shared" si="55"/>
        <v>32215099.438859701</v>
      </c>
      <c r="S77" s="16">
        <f t="shared" si="55"/>
        <v>5798.717898994747</v>
      </c>
      <c r="T77" s="101"/>
      <c r="U77" s="31">
        <f t="shared" si="60"/>
        <v>0</v>
      </c>
      <c r="V77" s="32">
        <f t="shared" si="60"/>
        <v>0</v>
      </c>
      <c r="W77" s="39">
        <f t="shared" si="56"/>
        <v>0</v>
      </c>
      <c r="X77" s="40">
        <f t="shared" si="56"/>
        <v>0</v>
      </c>
      <c r="Y77" s="55">
        <f t="shared" si="56"/>
        <v>0</v>
      </c>
      <c r="Z77" s="56">
        <f t="shared" si="56"/>
        <v>0</v>
      </c>
      <c r="AA77" s="60">
        <f t="shared" si="56"/>
        <v>0</v>
      </c>
      <c r="AB77" s="16">
        <f t="shared" si="56"/>
        <v>0</v>
      </c>
      <c r="AC77" s="101"/>
    </row>
    <row r="78" spans="1:29" ht="15.75" thickBot="1">
      <c r="K78" s="101"/>
      <c r="T78" s="101"/>
      <c r="AC78" s="101"/>
    </row>
    <row r="79" spans="1:29">
      <c r="A79" s="557"/>
      <c r="B79" s="641" t="s">
        <v>149</v>
      </c>
      <c r="C79" s="657">
        <f t="shared" ref="C79:J79" si="61">SUM(C66:C68)</f>
        <v>323740289.19753367</v>
      </c>
      <c r="D79" s="658">
        <f t="shared" si="61"/>
        <v>58273.252055556062</v>
      </c>
      <c r="E79" s="659">
        <f t="shared" si="61"/>
        <v>95197.440489346336</v>
      </c>
      <c r="F79" s="660">
        <f t="shared" si="61"/>
        <v>17.135539288082342</v>
      </c>
      <c r="G79" s="663">
        <f t="shared" si="61"/>
        <v>296466540.41933918</v>
      </c>
      <c r="H79" s="664">
        <f t="shared" si="61"/>
        <v>53363.977275481055</v>
      </c>
      <c r="I79" s="665">
        <f t="shared" si="61"/>
        <v>27178551.337705195</v>
      </c>
      <c r="J79" s="666">
        <f t="shared" si="61"/>
        <v>4892.1392407869362</v>
      </c>
      <c r="K79" s="652"/>
      <c r="L79" s="657">
        <f t="shared" ref="L79:S79" si="62">SUM(L66:L68)</f>
        <v>323740289.19753367</v>
      </c>
      <c r="M79" s="658">
        <f t="shared" si="62"/>
        <v>58273.252055556062</v>
      </c>
      <c r="N79" s="659">
        <f t="shared" si="62"/>
        <v>95197.440489346336</v>
      </c>
      <c r="O79" s="660">
        <f t="shared" si="62"/>
        <v>17.135539288082342</v>
      </c>
      <c r="P79" s="663">
        <f t="shared" si="62"/>
        <v>296466540.41933918</v>
      </c>
      <c r="Q79" s="664">
        <f t="shared" si="62"/>
        <v>53363.977275481055</v>
      </c>
      <c r="R79" s="665">
        <f t="shared" si="62"/>
        <v>27178551.337705195</v>
      </c>
      <c r="S79" s="666">
        <f t="shared" si="62"/>
        <v>4892.1392407869362</v>
      </c>
      <c r="T79" s="652"/>
      <c r="U79" s="657">
        <f t="shared" ref="U79:AB79" si="63">SUM(U66:U68)</f>
        <v>0</v>
      </c>
      <c r="V79" s="658">
        <f t="shared" si="63"/>
        <v>0</v>
      </c>
      <c r="W79" s="659">
        <f t="shared" si="63"/>
        <v>0</v>
      </c>
      <c r="X79" s="660">
        <f t="shared" si="63"/>
        <v>0</v>
      </c>
      <c r="Y79" s="663">
        <f t="shared" si="63"/>
        <v>0</v>
      </c>
      <c r="Z79" s="664">
        <f t="shared" si="63"/>
        <v>0</v>
      </c>
      <c r="AA79" s="665">
        <f t="shared" si="63"/>
        <v>0</v>
      </c>
      <c r="AB79" s="666">
        <f t="shared" si="63"/>
        <v>0</v>
      </c>
      <c r="AC79" s="101"/>
    </row>
    <row r="80" spans="1:29">
      <c r="A80" s="557"/>
      <c r="B80" s="653" t="s">
        <v>150</v>
      </c>
      <c r="C80" s="29">
        <f t="shared" ref="C80:J80" si="64">SUM(C69:C71)</f>
        <v>427602150.88622546</v>
      </c>
      <c r="D80" s="30">
        <f t="shared" si="64"/>
        <v>76968.387159520586</v>
      </c>
      <c r="E80" s="37">
        <f t="shared" si="64"/>
        <v>125738.53693962183</v>
      </c>
      <c r="F80" s="38">
        <f t="shared" si="64"/>
        <v>22.632936649131931</v>
      </c>
      <c r="G80" s="53">
        <f t="shared" si="64"/>
        <v>391578479.9702751</v>
      </c>
      <c r="H80" s="54">
        <f t="shared" si="64"/>
        <v>70484.126394649531</v>
      </c>
      <c r="I80" s="59">
        <f t="shared" si="64"/>
        <v>35897932.379010729</v>
      </c>
      <c r="J80" s="15">
        <f t="shared" si="64"/>
        <v>6461.6278282219318</v>
      </c>
      <c r="K80" s="654"/>
      <c r="L80" s="29">
        <f t="shared" ref="L80:S80" si="65">SUM(L69:L71)</f>
        <v>427602150.88622546</v>
      </c>
      <c r="M80" s="30">
        <f t="shared" si="65"/>
        <v>76968.387159520586</v>
      </c>
      <c r="N80" s="37">
        <f t="shared" si="65"/>
        <v>125738.53693962183</v>
      </c>
      <c r="O80" s="38">
        <f t="shared" si="65"/>
        <v>22.632936649131931</v>
      </c>
      <c r="P80" s="53">
        <f t="shared" si="65"/>
        <v>391578479.9702751</v>
      </c>
      <c r="Q80" s="54">
        <f t="shared" si="65"/>
        <v>70484.126394649531</v>
      </c>
      <c r="R80" s="59">
        <f t="shared" si="65"/>
        <v>35897932.379010729</v>
      </c>
      <c r="S80" s="15">
        <f t="shared" si="65"/>
        <v>6461.6278282219318</v>
      </c>
      <c r="T80" s="654"/>
      <c r="U80" s="29">
        <f t="shared" ref="U80:AB80" si="66">SUM(U69:U71)</f>
        <v>0</v>
      </c>
      <c r="V80" s="30">
        <f t="shared" si="66"/>
        <v>0</v>
      </c>
      <c r="W80" s="37">
        <f t="shared" si="66"/>
        <v>0</v>
      </c>
      <c r="X80" s="38">
        <f t="shared" si="66"/>
        <v>0</v>
      </c>
      <c r="Y80" s="53">
        <f t="shared" si="66"/>
        <v>0</v>
      </c>
      <c r="Z80" s="54">
        <f t="shared" si="66"/>
        <v>0</v>
      </c>
      <c r="AA80" s="59">
        <f t="shared" si="66"/>
        <v>0</v>
      </c>
      <c r="AB80" s="15">
        <f t="shared" si="66"/>
        <v>0</v>
      </c>
      <c r="AC80" s="101"/>
    </row>
    <row r="81" spans="1:29">
      <c r="A81" s="557"/>
      <c r="B81" s="653" t="s">
        <v>216</v>
      </c>
      <c r="C81" s="29">
        <f t="shared" ref="C81:J81" si="67">SUM(C72:C74)</f>
        <v>511561146.535357</v>
      </c>
      <c r="D81" s="30">
        <f t="shared" si="67"/>
        <v>92081.006376364268</v>
      </c>
      <c r="E81" s="37">
        <f t="shared" si="67"/>
        <v>150427.09674682168</v>
      </c>
      <c r="F81" s="38">
        <f t="shared" si="67"/>
        <v>27.076877414427905</v>
      </c>
      <c r="G81" s="53">
        <f t="shared" si="67"/>
        <v>468464285.68472183</v>
      </c>
      <c r="H81" s="54">
        <f t="shared" si="67"/>
        <v>84323.57142324993</v>
      </c>
      <c r="I81" s="59">
        <f t="shared" si="67"/>
        <v>42946433.753888324</v>
      </c>
      <c r="J81" s="15">
        <f t="shared" si="67"/>
        <v>7730.3580756998981</v>
      </c>
      <c r="K81" s="654"/>
      <c r="L81" s="29">
        <f t="shared" ref="L81:S81" si="68">SUM(L72:L74)</f>
        <v>511561146.535357</v>
      </c>
      <c r="M81" s="30">
        <f t="shared" si="68"/>
        <v>92081.006376364268</v>
      </c>
      <c r="N81" s="37">
        <f t="shared" si="68"/>
        <v>150427.09674682168</v>
      </c>
      <c r="O81" s="38">
        <f t="shared" si="68"/>
        <v>27.076877414427905</v>
      </c>
      <c r="P81" s="53">
        <f t="shared" si="68"/>
        <v>468464285.68472183</v>
      </c>
      <c r="Q81" s="54">
        <f t="shared" si="68"/>
        <v>84323.57142324993</v>
      </c>
      <c r="R81" s="59">
        <f t="shared" si="68"/>
        <v>42946433.753888324</v>
      </c>
      <c r="S81" s="15">
        <f t="shared" si="68"/>
        <v>7730.3580756998981</v>
      </c>
      <c r="T81" s="654"/>
      <c r="U81" s="29">
        <f t="shared" ref="U81:AB81" si="69">SUM(U72:U74)</f>
        <v>0</v>
      </c>
      <c r="V81" s="30">
        <f t="shared" si="69"/>
        <v>0</v>
      </c>
      <c r="W81" s="37">
        <f t="shared" si="69"/>
        <v>0</v>
      </c>
      <c r="X81" s="38">
        <f t="shared" si="69"/>
        <v>0</v>
      </c>
      <c r="Y81" s="53">
        <f t="shared" si="69"/>
        <v>0</v>
      </c>
      <c r="Z81" s="54">
        <f t="shared" si="69"/>
        <v>0</v>
      </c>
      <c r="AA81" s="59">
        <f t="shared" si="69"/>
        <v>0</v>
      </c>
      <c r="AB81" s="15">
        <f t="shared" si="69"/>
        <v>0</v>
      </c>
      <c r="AC81" s="101"/>
    </row>
    <row r="82" spans="1:29" ht="15.75" thickBot="1">
      <c r="A82" s="557"/>
      <c r="B82" s="655" t="s">
        <v>217</v>
      </c>
      <c r="C82" s="31">
        <f t="shared" ref="C82:J82" si="70">SUM(C75:C77)</f>
        <v>905974790.514117</v>
      </c>
      <c r="D82" s="32">
        <f t="shared" si="70"/>
        <v>163075.46229254105</v>
      </c>
      <c r="E82" s="39">
        <f t="shared" si="70"/>
        <v>266406.38833862112</v>
      </c>
      <c r="F82" s="40">
        <f t="shared" si="70"/>
        <v>47.953149900951814</v>
      </c>
      <c r="G82" s="55">
        <f t="shared" si="70"/>
        <v>829650249.94764221</v>
      </c>
      <c r="H82" s="56">
        <f t="shared" si="70"/>
        <v>149337.04499057561</v>
      </c>
      <c r="I82" s="60">
        <f t="shared" si="70"/>
        <v>76058134.178136215</v>
      </c>
      <c r="J82" s="16">
        <f t="shared" si="70"/>
        <v>13690.46415206452</v>
      </c>
      <c r="K82" s="656"/>
      <c r="L82" s="31">
        <f t="shared" ref="L82:S82" si="71">SUM(L75:L77)</f>
        <v>905974790.514117</v>
      </c>
      <c r="M82" s="32">
        <f t="shared" si="71"/>
        <v>163075.46229254105</v>
      </c>
      <c r="N82" s="39">
        <f t="shared" si="71"/>
        <v>266406.38833862112</v>
      </c>
      <c r="O82" s="40">
        <f t="shared" si="71"/>
        <v>47.953149900951814</v>
      </c>
      <c r="P82" s="55">
        <f t="shared" si="71"/>
        <v>829650249.94764221</v>
      </c>
      <c r="Q82" s="56">
        <f t="shared" si="71"/>
        <v>149337.04499057561</v>
      </c>
      <c r="R82" s="60">
        <f t="shared" si="71"/>
        <v>76058134.178136215</v>
      </c>
      <c r="S82" s="16">
        <f t="shared" si="71"/>
        <v>13690.46415206452</v>
      </c>
      <c r="T82" s="656"/>
      <c r="U82" s="31">
        <f t="shared" ref="U82:AB82" si="72">SUM(U75:U77)</f>
        <v>0</v>
      </c>
      <c r="V82" s="32">
        <f t="shared" si="72"/>
        <v>0</v>
      </c>
      <c r="W82" s="39">
        <f t="shared" si="72"/>
        <v>0</v>
      </c>
      <c r="X82" s="40">
        <f t="shared" si="72"/>
        <v>0</v>
      </c>
      <c r="Y82" s="55">
        <f t="shared" si="72"/>
        <v>0</v>
      </c>
      <c r="Z82" s="56">
        <f t="shared" si="72"/>
        <v>0</v>
      </c>
      <c r="AA82" s="60">
        <f t="shared" si="72"/>
        <v>0</v>
      </c>
      <c r="AB82" s="16">
        <f t="shared" si="72"/>
        <v>0</v>
      </c>
      <c r="AC82" s="101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26:J37 C39:J42 N26:S37 N39:S42 W26:AB37 W39:AB42">
    <cfRule type="expression" dxfId="8" priority="71">
      <formula>C26&gt;100%</formula>
    </cfRule>
  </conditionalFormatting>
  <conditionalFormatting sqref="L26:M37">
    <cfRule type="expression" dxfId="7" priority="70">
      <formula>L26&gt;100%</formula>
    </cfRule>
  </conditionalFormatting>
  <conditionalFormatting sqref="U26:V37">
    <cfRule type="expression" dxfId="6" priority="69">
      <formula>U26&gt;100%</formula>
    </cfRule>
  </conditionalFormatting>
  <conditionalFormatting sqref="E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65 H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65 I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65 J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24:C2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24:D2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24:E2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24:F2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24:G2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24:H2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24:I2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24:J2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2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2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2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2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2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2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2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2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2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2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2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2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2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2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2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24:L2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24:M2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24:N2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24:O2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24:P2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24:Q2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24:S2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24:V2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24:X2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24:Z2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24:Z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24:AB2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40:M41">
    <cfRule type="expression" dxfId="5" priority="7">
      <formula>L40&gt;100%</formula>
    </cfRule>
  </conditionalFormatting>
  <conditionalFormatting sqref="U40:V41">
    <cfRule type="expression" dxfId="4" priority="6">
      <formula>U40&gt;100%</formula>
    </cfRule>
  </conditionalFormatting>
  <conditionalFormatting sqref="L42:M42">
    <cfRule type="expression" dxfId="3" priority="5">
      <formula>L42&gt;100%</formula>
    </cfRule>
  </conditionalFormatting>
  <conditionalFormatting sqref="U42:V42">
    <cfRule type="expression" dxfId="2" priority="4">
      <formula>U42&gt;100%</formula>
    </cfRule>
  </conditionalFormatting>
  <conditionalFormatting sqref="L39:M39">
    <cfRule type="expression" dxfId="1" priority="3">
      <formula>L39&gt;100%</formula>
    </cfRule>
  </conditionalFormatting>
  <conditionalFormatting sqref="U39:V39">
    <cfRule type="expression" dxfId="0" priority="2">
      <formula>U39&gt;100%</formula>
    </cfRule>
  </conditionalFormatting>
  <conditionalFormatting sqref="C24:J2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24:S2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24:AB2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24:AB2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79:J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H65 H5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I65 I5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J65 J5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M24:M25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R24:S25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U24:V25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W24:X25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C24:J24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L24:S24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U24:AB24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C24:AB24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C266" activePane="bottomRight" state="frozen"/>
      <selection pane="topRight" activeCell="C1" sqref="C1"/>
      <selection pane="bottomLeft" activeCell="A5" sqref="A5"/>
      <selection pane="bottomRight" activeCell="C285" sqref="C285:S285"/>
    </sheetView>
  </sheetViews>
  <sheetFormatPr defaultColWidth="8.85546875" defaultRowHeight="15" outlineLevelRow="1"/>
  <cols>
    <col min="1" max="1" width="14.42578125" bestFit="1" customWidth="1"/>
    <col min="2" max="2" width="7.42578125" customWidth="1"/>
    <col min="3" max="10" width="13.85546875" customWidth="1"/>
    <col min="11" max="11" width="0.85546875" customWidth="1"/>
    <col min="12" max="19" width="13.85546875" customWidth="1"/>
    <col min="20" max="20" width="0.85546875" customWidth="1"/>
    <col min="21" max="28" width="13.85546875" customWidth="1"/>
    <col min="29" max="29" width="0.85546875" customWidth="1"/>
    <col min="30" max="31" width="12.42578125" customWidth="1"/>
    <col min="33" max="39" width="15.42578125" customWidth="1"/>
  </cols>
  <sheetData>
    <row r="1" spans="1:34" ht="15.75" thickBot="1">
      <c r="A1" s="551" t="s">
        <v>153</v>
      </c>
      <c r="C1" s="102" t="s">
        <v>0</v>
      </c>
      <c r="K1" s="101"/>
      <c r="L1" s="102" t="s">
        <v>5</v>
      </c>
      <c r="T1" s="101"/>
      <c r="U1" s="102" t="s">
        <v>6</v>
      </c>
      <c r="AC1" s="101"/>
    </row>
    <row r="2" spans="1:34">
      <c r="C2" s="854" t="s">
        <v>1</v>
      </c>
      <c r="D2" s="855"/>
      <c r="E2" s="856" t="s">
        <v>2</v>
      </c>
      <c r="F2" s="857"/>
      <c r="G2" s="848" t="s">
        <v>3</v>
      </c>
      <c r="H2" s="849"/>
      <c r="I2" s="850" t="s">
        <v>4</v>
      </c>
      <c r="J2" s="851"/>
      <c r="K2" s="101"/>
      <c r="L2" s="854" t="s">
        <v>1</v>
      </c>
      <c r="M2" s="855"/>
      <c r="N2" s="856" t="s">
        <v>2</v>
      </c>
      <c r="O2" s="857"/>
      <c r="P2" s="848" t="s">
        <v>3</v>
      </c>
      <c r="Q2" s="849"/>
      <c r="R2" s="850" t="s">
        <v>4</v>
      </c>
      <c r="S2" s="851"/>
      <c r="T2" s="101"/>
      <c r="U2" s="854" t="s">
        <v>1</v>
      </c>
      <c r="V2" s="855"/>
      <c r="W2" s="856" t="s">
        <v>2</v>
      </c>
      <c r="X2" s="857"/>
      <c r="Y2" s="848" t="s">
        <v>3</v>
      </c>
      <c r="Z2" s="849"/>
      <c r="AA2" s="850" t="s">
        <v>4</v>
      </c>
      <c r="AB2" s="851"/>
      <c r="AC2" s="101"/>
      <c r="AD2" s="862" t="s">
        <v>145</v>
      </c>
      <c r="AE2" s="863"/>
    </row>
    <row r="3" spans="1:34">
      <c r="A3" s="99" t="s">
        <v>12</v>
      </c>
      <c r="B3" s="99" t="s">
        <v>146</v>
      </c>
      <c r="C3" s="1" t="s">
        <v>8</v>
      </c>
      <c r="D3" s="1" t="s">
        <v>9</v>
      </c>
      <c r="E3" s="2" t="s">
        <v>8</v>
      </c>
      <c r="F3" s="2" t="s">
        <v>9</v>
      </c>
      <c r="G3" s="3" t="s">
        <v>8</v>
      </c>
      <c r="H3" s="3" t="s">
        <v>9</v>
      </c>
      <c r="I3" s="4" t="s">
        <v>8</v>
      </c>
      <c r="J3" s="836" t="s">
        <v>9</v>
      </c>
      <c r="K3" s="101"/>
      <c r="L3" s="1" t="s">
        <v>8</v>
      </c>
      <c r="M3" s="1" t="s">
        <v>9</v>
      </c>
      <c r="N3" s="2" t="s">
        <v>8</v>
      </c>
      <c r="O3" s="2" t="s">
        <v>9</v>
      </c>
      <c r="P3" s="3" t="s">
        <v>8</v>
      </c>
      <c r="Q3" s="3" t="s">
        <v>9</v>
      </c>
      <c r="R3" s="4" t="s">
        <v>8</v>
      </c>
      <c r="S3" s="836" t="s">
        <v>9</v>
      </c>
      <c r="T3" s="101"/>
      <c r="U3" s="1" t="s">
        <v>8</v>
      </c>
      <c r="V3" s="1" t="s">
        <v>9</v>
      </c>
      <c r="W3" s="2" t="s">
        <v>8</v>
      </c>
      <c r="X3" s="2" t="s">
        <v>9</v>
      </c>
      <c r="Y3" s="3" t="s">
        <v>8</v>
      </c>
      <c r="Z3" s="3" t="s">
        <v>9</v>
      </c>
      <c r="AA3" s="4" t="s">
        <v>8</v>
      </c>
      <c r="AB3" s="836" t="s">
        <v>9</v>
      </c>
      <c r="AC3" s="101"/>
      <c r="AD3" s="556" t="s">
        <v>8</v>
      </c>
      <c r="AE3" s="556" t="s">
        <v>9</v>
      </c>
    </row>
    <row r="4" spans="1:34">
      <c r="A4" s="104"/>
      <c r="B4" s="125" t="s">
        <v>0</v>
      </c>
      <c r="C4" s="117">
        <f>SUBTOTAL(9,C6:C381)</f>
        <v>9184330736</v>
      </c>
      <c r="D4" s="118">
        <f t="shared" ref="D4:AB4" si="0">SUBTOTAL(9,D6:D381)</f>
        <v>2573050.0920004714</v>
      </c>
      <c r="E4" s="119">
        <f t="shared" si="0"/>
        <v>6708899268</v>
      </c>
      <c r="F4" s="120">
        <f t="shared" si="0"/>
        <v>1624104.6040000259</v>
      </c>
      <c r="G4" s="121">
        <f t="shared" si="0"/>
        <v>13542050372</v>
      </c>
      <c r="H4" s="122">
        <f t="shared" si="0"/>
        <v>3725794.9710005722</v>
      </c>
      <c r="I4" s="123">
        <f t="shared" si="0"/>
        <v>1892286259</v>
      </c>
      <c r="J4" s="124">
        <f t="shared" si="0"/>
        <v>557012.58799999196</v>
      </c>
      <c r="K4" s="103"/>
      <c r="L4" s="117">
        <f t="shared" si="0"/>
        <v>8446701059</v>
      </c>
      <c r="M4" s="118">
        <f t="shared" si="0"/>
        <v>1453348.1670002441</v>
      </c>
      <c r="N4" s="119">
        <f t="shared" si="0"/>
        <v>5299958450</v>
      </c>
      <c r="O4" s="120">
        <f t="shared" si="0"/>
        <v>1070209.4180000168</v>
      </c>
      <c r="P4" s="121">
        <f t="shared" si="0"/>
        <v>9479248692</v>
      </c>
      <c r="Q4" s="122">
        <f t="shared" si="0"/>
        <v>1627944.7230002647</v>
      </c>
      <c r="R4" s="123">
        <f t="shared" si="0"/>
        <v>1182540818</v>
      </c>
      <c r="S4" s="124">
        <f t="shared" si="0"/>
        <v>132217.75799999927</v>
      </c>
      <c r="T4" s="103"/>
      <c r="U4" s="117">
        <f t="shared" si="0"/>
        <v>737629677</v>
      </c>
      <c r="V4" s="118">
        <f t="shared" si="0"/>
        <v>1119701.9250002287</v>
      </c>
      <c r="W4" s="119">
        <f t="shared" si="0"/>
        <v>1408940818</v>
      </c>
      <c r="X4" s="120">
        <f t="shared" si="0"/>
        <v>553895.18600001023</v>
      </c>
      <c r="Y4" s="121">
        <f t="shared" si="0"/>
        <v>4062801680</v>
      </c>
      <c r="Z4" s="122">
        <f t="shared" si="0"/>
        <v>2097850.2480003056</v>
      </c>
      <c r="AA4" s="123">
        <f t="shared" si="0"/>
        <v>709745441</v>
      </c>
      <c r="AB4" s="124">
        <f t="shared" si="0"/>
        <v>424794.82999999245</v>
      </c>
      <c r="AC4" s="103"/>
      <c r="AD4" s="116"/>
      <c r="AE4" s="116"/>
    </row>
    <row r="5" spans="1:34">
      <c r="A5" s="104"/>
      <c r="B5" s="104" t="s">
        <v>14</v>
      </c>
      <c r="C5" s="105">
        <f>SUBTOTAL(9,C6:C36)</f>
        <v>864105685</v>
      </c>
      <c r="D5" s="106">
        <f t="shared" ref="D5:J5" si="1">SUBTOTAL(9,D6:D36)</f>
        <v>210984.02699999997</v>
      </c>
      <c r="E5" s="107">
        <f t="shared" si="1"/>
        <v>712243496</v>
      </c>
      <c r="F5" s="108">
        <f t="shared" si="1"/>
        <v>148369.26999999999</v>
      </c>
      <c r="G5" s="109">
        <f t="shared" si="1"/>
        <v>1147271340</v>
      </c>
      <c r="H5" s="110">
        <f t="shared" si="1"/>
        <v>274892.22499999998</v>
      </c>
      <c r="I5" s="111">
        <f t="shared" si="1"/>
        <v>125989099</v>
      </c>
      <c r="J5" s="14">
        <f t="shared" si="1"/>
        <v>17239.806</v>
      </c>
      <c r="K5" s="103"/>
      <c r="L5" s="105">
        <f>SUBTOTAL(9,L6:L36)</f>
        <v>795091225</v>
      </c>
      <c r="M5" s="106">
        <f>SUBTOTAL(9,M6:M36)</f>
        <v>112045.99700000002</v>
      </c>
      <c r="N5" s="107">
        <f t="shared" ref="N5" si="2">SUBTOTAL(9,N6:N36)</f>
        <v>600131253</v>
      </c>
      <c r="O5" s="108">
        <f t="shared" ref="O5" si="3">SUBTOTAL(9,O6:O36)</f>
        <v>115656.79299999999</v>
      </c>
      <c r="P5" s="109">
        <f t="shared" ref="P5" si="4">SUBTOTAL(9,P6:P36)</f>
        <v>868466034</v>
      </c>
      <c r="Q5" s="110">
        <f t="shared" ref="Q5" si="5">SUBTOTAL(9,Q6:Q36)</f>
        <v>134480.26200000002</v>
      </c>
      <c r="R5" s="111">
        <f t="shared" ref="R5" si="6">SUBTOTAL(9,R6:R36)</f>
        <v>100691266</v>
      </c>
      <c r="S5" s="14">
        <f t="shared" ref="S5" si="7">SUBTOTAL(9,S6:S36)</f>
        <v>8851.1309999999994</v>
      </c>
      <c r="T5" s="103"/>
      <c r="U5" s="105">
        <f>SUBTOTAL(9,U6:U36)</f>
        <v>69014460</v>
      </c>
      <c r="V5" s="106">
        <f t="shared" ref="V5" si="8">SUBTOTAL(9,V6:V36)</f>
        <v>98938.030000000013</v>
      </c>
      <c r="W5" s="107">
        <f t="shared" ref="W5" si="9">SUBTOTAL(9,W6:W36)</f>
        <v>112112243</v>
      </c>
      <c r="X5" s="108">
        <f t="shared" ref="X5" si="10">SUBTOTAL(9,X6:X36)</f>
        <v>32712.477000000003</v>
      </c>
      <c r="Y5" s="109">
        <f t="shared" ref="Y5" si="11">SUBTOTAL(9,Y6:Y36)</f>
        <v>278805306</v>
      </c>
      <c r="Z5" s="110">
        <f t="shared" ref="Z5" si="12">SUBTOTAL(9,Z6:Z36)</f>
        <v>140411.96299999999</v>
      </c>
      <c r="AA5" s="111">
        <f t="shared" ref="AA5" si="13">SUBTOTAL(9,AA6:AA36)</f>
        <v>25297833</v>
      </c>
      <c r="AB5" s="14">
        <f t="shared" ref="AB5" si="14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5">MONTH(A6)</f>
        <v>1</v>
      </c>
      <c r="C6" s="35">
        <v>28147160</v>
      </c>
      <c r="D6" s="36">
        <v>4964.7529999999997</v>
      </c>
      <c r="E6" s="43">
        <v>30951330</v>
      </c>
      <c r="F6" s="44">
        <v>6020.7370000000001</v>
      </c>
      <c r="G6" s="51">
        <v>27753380</v>
      </c>
      <c r="H6" s="52">
        <v>4316.5720000000001</v>
      </c>
      <c r="I6" s="58">
        <v>5588995</v>
      </c>
      <c r="J6" s="17">
        <v>302.87799999999999</v>
      </c>
      <c r="K6" s="101"/>
      <c r="L6" s="35">
        <v>25958776</v>
      </c>
      <c r="M6" s="36">
        <v>2865.9</v>
      </c>
      <c r="N6" s="43">
        <v>21286553</v>
      </c>
      <c r="O6" s="44">
        <v>2843.8069999999998</v>
      </c>
      <c r="P6" s="51">
        <v>25148810</v>
      </c>
      <c r="Q6" s="52">
        <v>2686.1379999999999</v>
      </c>
      <c r="R6" s="58">
        <v>2854854</v>
      </c>
      <c r="S6" s="17">
        <v>149.655</v>
      </c>
      <c r="T6" s="101"/>
      <c r="U6" s="35">
        <f>C6-L6</f>
        <v>2188384</v>
      </c>
      <c r="V6" s="36">
        <f>D6-M6</f>
        <v>2098.8529999999996</v>
      </c>
      <c r="W6" s="43">
        <f t="shared" ref="W6:AB6" si="16">E6-N6</f>
        <v>9664777</v>
      </c>
      <c r="X6" s="44">
        <f t="shared" si="16"/>
        <v>3176.9300000000003</v>
      </c>
      <c r="Y6" s="51">
        <f t="shared" si="16"/>
        <v>2604570</v>
      </c>
      <c r="Z6" s="52">
        <f t="shared" si="16"/>
        <v>1630.4340000000002</v>
      </c>
      <c r="AA6" s="58">
        <f t="shared" si="16"/>
        <v>2734141</v>
      </c>
      <c r="AB6" s="17">
        <f t="shared" si="16"/>
        <v>153.22299999999998</v>
      </c>
      <c r="AC6" s="101"/>
      <c r="AD6" s="555">
        <f t="shared" ref="AD6:AE36" si="17">SUM(C6,E6,G6,I6)</f>
        <v>92440865</v>
      </c>
      <c r="AE6" s="632">
        <f t="shared" si="17"/>
        <v>15604.94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5"/>
        <v>1</v>
      </c>
      <c r="C7" s="35">
        <v>27238717</v>
      </c>
      <c r="D7" s="36">
        <v>5495.0249999999996</v>
      </c>
      <c r="E7" s="43">
        <v>30633213</v>
      </c>
      <c r="F7" s="44">
        <v>6451.6570000000002</v>
      </c>
      <c r="G7" s="51">
        <v>26704762</v>
      </c>
      <c r="H7" s="52">
        <v>4665.0439999999999</v>
      </c>
      <c r="I7" s="58">
        <v>5665551</v>
      </c>
      <c r="J7" s="17">
        <v>354.07299999999998</v>
      </c>
      <c r="K7" s="101"/>
      <c r="L7" s="35">
        <v>25176839</v>
      </c>
      <c r="M7" s="36">
        <v>3076.9430000000002</v>
      </c>
      <c r="N7" s="43">
        <v>21148160</v>
      </c>
      <c r="O7" s="44">
        <v>3319.2469999999998</v>
      </c>
      <c r="P7" s="51">
        <v>24419968</v>
      </c>
      <c r="Q7" s="52">
        <v>2848.2559999999999</v>
      </c>
      <c r="R7" s="58">
        <v>2811796</v>
      </c>
      <c r="S7" s="17">
        <v>175.256</v>
      </c>
      <c r="T7" s="101"/>
      <c r="U7" s="35">
        <f t="shared" ref="U7:U72" si="18">C7-L7</f>
        <v>2061878</v>
      </c>
      <c r="V7" s="36">
        <f t="shared" ref="V7:V72" si="19">D7-M7</f>
        <v>2418.0819999999994</v>
      </c>
      <c r="W7" s="43">
        <f t="shared" ref="W7:W72" si="20">E7-N7</f>
        <v>9485053</v>
      </c>
      <c r="X7" s="44">
        <f t="shared" ref="X7:X72" si="21">F7-O7</f>
        <v>3132.4100000000003</v>
      </c>
      <c r="Y7" s="51">
        <f t="shared" ref="Y7:Y72" si="22">G7-P7</f>
        <v>2284794</v>
      </c>
      <c r="Z7" s="52">
        <f t="shared" ref="Z7:Z72" si="23">H7-Q7</f>
        <v>1816.788</v>
      </c>
      <c r="AA7" s="58">
        <f t="shared" ref="AA7:AA72" si="24">I7-R7</f>
        <v>2853755</v>
      </c>
      <c r="AB7" s="17">
        <f t="shared" ref="AB7:AB72" si="25">J7-S7</f>
        <v>178.81699999999998</v>
      </c>
      <c r="AC7" s="101"/>
      <c r="AD7" s="555">
        <f t="shared" si="17"/>
        <v>90242243</v>
      </c>
      <c r="AE7" s="632">
        <f t="shared" si="17"/>
        <v>16965.799000000003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5"/>
        <v>1</v>
      </c>
      <c r="C8" s="35">
        <v>27610591</v>
      </c>
      <c r="D8" s="36">
        <v>5406.9229999999998</v>
      </c>
      <c r="E8" s="43">
        <v>28400699</v>
      </c>
      <c r="F8" s="44">
        <v>5260.4719999999998</v>
      </c>
      <c r="G8" s="51">
        <v>28601686</v>
      </c>
      <c r="H8" s="52">
        <v>5178.7039999999997</v>
      </c>
      <c r="I8" s="58">
        <v>5689422</v>
      </c>
      <c r="J8" s="17">
        <v>346.41399999999999</v>
      </c>
      <c r="K8" s="101"/>
      <c r="L8" s="35">
        <v>25596045</v>
      </c>
      <c r="M8" s="36">
        <v>2825.0650000000001</v>
      </c>
      <c r="N8" s="43">
        <v>21726541</v>
      </c>
      <c r="O8" s="44">
        <v>3414.7890000000002</v>
      </c>
      <c r="P8" s="51">
        <v>26245991</v>
      </c>
      <c r="Q8" s="52">
        <v>3203.9430000000002</v>
      </c>
      <c r="R8" s="58">
        <v>2882203</v>
      </c>
      <c r="S8" s="17">
        <v>163.215</v>
      </c>
      <c r="T8" s="101"/>
      <c r="U8" s="35">
        <f t="shared" si="18"/>
        <v>2014546</v>
      </c>
      <c r="V8" s="36">
        <f t="shared" si="19"/>
        <v>2581.8579999999997</v>
      </c>
      <c r="W8" s="43">
        <f t="shared" si="20"/>
        <v>6674158</v>
      </c>
      <c r="X8" s="44">
        <f t="shared" si="21"/>
        <v>1845.6829999999995</v>
      </c>
      <c r="Y8" s="51">
        <f t="shared" si="22"/>
        <v>2355695</v>
      </c>
      <c r="Z8" s="52">
        <f t="shared" si="23"/>
        <v>1974.7609999999995</v>
      </c>
      <c r="AA8" s="58">
        <f t="shared" si="24"/>
        <v>2807219</v>
      </c>
      <c r="AB8" s="17">
        <f t="shared" si="25"/>
        <v>183.19899999999998</v>
      </c>
      <c r="AC8" s="101"/>
      <c r="AD8" s="555">
        <f t="shared" si="17"/>
        <v>90302398</v>
      </c>
      <c r="AE8" s="632">
        <f t="shared" si="17"/>
        <v>16192.513000000001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5"/>
        <v>1</v>
      </c>
      <c r="C9" s="35">
        <v>27984538</v>
      </c>
      <c r="D9" s="36">
        <v>5274.4009999999998</v>
      </c>
      <c r="E9" s="43">
        <v>29798476</v>
      </c>
      <c r="F9" s="44">
        <v>5379.8879999999999</v>
      </c>
      <c r="G9" s="51">
        <v>29036240</v>
      </c>
      <c r="H9" s="52">
        <v>4988.9179999999997</v>
      </c>
      <c r="I9" s="58">
        <v>5630864</v>
      </c>
      <c r="J9" s="17">
        <v>345.71300000000002</v>
      </c>
      <c r="K9" s="101"/>
      <c r="L9" s="35">
        <v>25931103</v>
      </c>
      <c r="M9" s="36">
        <v>2855.2449999999999</v>
      </c>
      <c r="N9" s="43">
        <v>22839278</v>
      </c>
      <c r="O9" s="44">
        <v>3388.4029999999998</v>
      </c>
      <c r="P9" s="51">
        <v>26549528</v>
      </c>
      <c r="Q9" s="52">
        <v>2898.2570000000001</v>
      </c>
      <c r="R9" s="58">
        <v>2984155</v>
      </c>
      <c r="S9" s="17">
        <v>159.51499999999999</v>
      </c>
      <c r="T9" s="101"/>
      <c r="U9" s="35">
        <f t="shared" si="18"/>
        <v>2053435</v>
      </c>
      <c r="V9" s="36">
        <f t="shared" si="19"/>
        <v>2419.1559999999999</v>
      </c>
      <c r="W9" s="43">
        <f t="shared" si="20"/>
        <v>6959198</v>
      </c>
      <c r="X9" s="44">
        <f t="shared" si="21"/>
        <v>1991.4850000000001</v>
      </c>
      <c r="Y9" s="51">
        <f t="shared" si="22"/>
        <v>2486712</v>
      </c>
      <c r="Z9" s="52">
        <f t="shared" si="23"/>
        <v>2090.6609999999996</v>
      </c>
      <c r="AA9" s="58">
        <f t="shared" si="24"/>
        <v>2646709</v>
      </c>
      <c r="AB9" s="17">
        <f t="shared" si="25"/>
        <v>186.19800000000004</v>
      </c>
      <c r="AC9" s="101"/>
      <c r="AD9" s="555">
        <f t="shared" si="17"/>
        <v>92450118</v>
      </c>
      <c r="AE9" s="632">
        <f t="shared" si="17"/>
        <v>15988.92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5"/>
        <v>1</v>
      </c>
      <c r="C10" s="35">
        <v>29412912</v>
      </c>
      <c r="D10" s="36">
        <v>5538.6260000000002</v>
      </c>
      <c r="E10" s="43">
        <v>30682596</v>
      </c>
      <c r="F10" s="44">
        <v>5652.8860000000004</v>
      </c>
      <c r="G10" s="51">
        <v>30659885</v>
      </c>
      <c r="H10" s="52">
        <v>5821.6610000000001</v>
      </c>
      <c r="I10" s="58">
        <v>5294513</v>
      </c>
      <c r="J10" s="17">
        <v>379.245</v>
      </c>
      <c r="K10" s="101"/>
      <c r="L10" s="35">
        <v>26852557</v>
      </c>
      <c r="M10" s="36">
        <v>3048.43</v>
      </c>
      <c r="N10" s="43">
        <v>25749920</v>
      </c>
      <c r="O10" s="44">
        <v>4166.9639999999999</v>
      </c>
      <c r="P10" s="51">
        <v>28273595</v>
      </c>
      <c r="Q10" s="52">
        <v>3681.3110000000001</v>
      </c>
      <c r="R10" s="58">
        <v>3128526</v>
      </c>
      <c r="S10" s="17">
        <v>183.28399999999999</v>
      </c>
      <c r="T10" s="101"/>
      <c r="U10" s="35">
        <f t="shared" si="18"/>
        <v>2560355</v>
      </c>
      <c r="V10" s="36">
        <f t="shared" si="19"/>
        <v>2490.1960000000004</v>
      </c>
      <c r="W10" s="43">
        <f t="shared" si="20"/>
        <v>4932676</v>
      </c>
      <c r="X10" s="44">
        <f t="shared" si="21"/>
        <v>1485.9220000000005</v>
      </c>
      <c r="Y10" s="51">
        <f t="shared" si="22"/>
        <v>2386290</v>
      </c>
      <c r="Z10" s="52">
        <f t="shared" si="23"/>
        <v>2140.35</v>
      </c>
      <c r="AA10" s="58">
        <f t="shared" si="24"/>
        <v>2165987</v>
      </c>
      <c r="AB10" s="17">
        <f t="shared" si="25"/>
        <v>195.96100000000001</v>
      </c>
      <c r="AC10" s="101"/>
      <c r="AD10" s="555">
        <f t="shared" si="17"/>
        <v>96049906</v>
      </c>
      <c r="AE10" s="632">
        <f t="shared" si="17"/>
        <v>17392.418000000001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5"/>
        <v>1</v>
      </c>
      <c r="C11" s="35">
        <v>31979142</v>
      </c>
      <c r="D11" s="36">
        <v>5027.259</v>
      </c>
      <c r="E11" s="43">
        <v>31909852</v>
      </c>
      <c r="F11" s="44">
        <v>5127.8670000000002</v>
      </c>
      <c r="G11" s="51">
        <v>34651074</v>
      </c>
      <c r="H11" s="52">
        <v>5607.5389999999998</v>
      </c>
      <c r="I11" s="58">
        <v>4210443</v>
      </c>
      <c r="J11" s="17">
        <v>390.49599999999998</v>
      </c>
      <c r="K11" s="101"/>
      <c r="L11" s="35">
        <v>29304642</v>
      </c>
      <c r="M11" s="36">
        <v>2602.5569999999998</v>
      </c>
      <c r="N11" s="43">
        <v>26915139</v>
      </c>
      <c r="O11" s="44">
        <v>3587.1559999999999</v>
      </c>
      <c r="P11" s="51">
        <v>31595086</v>
      </c>
      <c r="Q11" s="52">
        <v>3461.26</v>
      </c>
      <c r="R11" s="58">
        <v>3244857</v>
      </c>
      <c r="S11" s="17">
        <v>156.709</v>
      </c>
      <c r="T11" s="101"/>
      <c r="U11" s="35">
        <f t="shared" si="18"/>
        <v>2674500</v>
      </c>
      <c r="V11" s="36">
        <f t="shared" si="19"/>
        <v>2424.7020000000002</v>
      </c>
      <c r="W11" s="43">
        <f t="shared" si="20"/>
        <v>4994713</v>
      </c>
      <c r="X11" s="44">
        <f t="shared" si="21"/>
        <v>1540.7110000000002</v>
      </c>
      <c r="Y11" s="51">
        <f t="shared" si="22"/>
        <v>3055988</v>
      </c>
      <c r="Z11" s="52">
        <f t="shared" si="23"/>
        <v>2146.2789999999995</v>
      </c>
      <c r="AA11" s="58">
        <f t="shared" si="24"/>
        <v>965586</v>
      </c>
      <c r="AB11" s="17">
        <f t="shared" si="25"/>
        <v>233.78699999999998</v>
      </c>
      <c r="AC11" s="101"/>
      <c r="AD11" s="555">
        <f t="shared" si="17"/>
        <v>102750511</v>
      </c>
      <c r="AE11" s="632">
        <f t="shared" si="17"/>
        <v>16153.161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5"/>
        <v>1</v>
      </c>
      <c r="C12" s="35">
        <v>29135532</v>
      </c>
      <c r="D12" s="36">
        <v>4978.2969999999996</v>
      </c>
      <c r="E12" s="43">
        <v>27817987</v>
      </c>
      <c r="F12" s="44">
        <v>4964.2330000000002</v>
      </c>
      <c r="G12" s="51">
        <v>29340784</v>
      </c>
      <c r="H12" s="52">
        <v>4761.3789999999999</v>
      </c>
      <c r="I12" s="58">
        <v>4050713</v>
      </c>
      <c r="J12" s="17">
        <v>339.81700000000001</v>
      </c>
      <c r="K12" s="101"/>
      <c r="L12" s="35">
        <v>26535459</v>
      </c>
      <c r="M12" s="36">
        <v>2462.7399999999998</v>
      </c>
      <c r="N12" s="43">
        <v>21416595</v>
      </c>
      <c r="O12" s="44">
        <v>3023.46</v>
      </c>
      <c r="P12" s="51">
        <v>25996605</v>
      </c>
      <c r="Q12" s="52">
        <v>2515.1080000000002</v>
      </c>
      <c r="R12" s="58">
        <v>2986966</v>
      </c>
      <c r="S12" s="17">
        <v>137.48400000000001</v>
      </c>
      <c r="T12" s="101"/>
      <c r="U12" s="35">
        <f t="shared" si="18"/>
        <v>2600073</v>
      </c>
      <c r="V12" s="36">
        <f t="shared" si="19"/>
        <v>2515.5569999999998</v>
      </c>
      <c r="W12" s="43">
        <f t="shared" si="20"/>
        <v>6401392</v>
      </c>
      <c r="X12" s="44">
        <f t="shared" si="21"/>
        <v>1940.7730000000001</v>
      </c>
      <c r="Y12" s="51">
        <f t="shared" si="22"/>
        <v>3344179</v>
      </c>
      <c r="Z12" s="52">
        <f t="shared" si="23"/>
        <v>2246.2709999999997</v>
      </c>
      <c r="AA12" s="58">
        <f t="shared" si="24"/>
        <v>1063747</v>
      </c>
      <c r="AB12" s="17">
        <f t="shared" si="25"/>
        <v>202.333</v>
      </c>
      <c r="AC12" s="101"/>
      <c r="AD12" s="555">
        <f t="shared" si="17"/>
        <v>90345016</v>
      </c>
      <c r="AE12" s="632">
        <f t="shared" si="17"/>
        <v>15043.725999999999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5"/>
        <v>1</v>
      </c>
      <c r="C13" s="35">
        <v>27063739</v>
      </c>
      <c r="D13" s="36">
        <v>5832.6620000000003</v>
      </c>
      <c r="E13" s="43">
        <v>26708875</v>
      </c>
      <c r="F13" s="44">
        <v>5191.5559999999996</v>
      </c>
      <c r="G13" s="51">
        <v>26486306</v>
      </c>
      <c r="H13" s="52">
        <v>4714.6769999999997</v>
      </c>
      <c r="I13" s="58">
        <v>5801981</v>
      </c>
      <c r="J13" s="17">
        <v>829.07299999999998</v>
      </c>
      <c r="K13" s="101"/>
      <c r="L13" s="35">
        <v>24884685</v>
      </c>
      <c r="M13" s="36">
        <v>3072.97</v>
      </c>
      <c r="N13" s="43">
        <v>19923837</v>
      </c>
      <c r="O13" s="44">
        <v>3097.73</v>
      </c>
      <c r="P13" s="51">
        <v>23329673</v>
      </c>
      <c r="Q13" s="52">
        <v>2456.0459999999998</v>
      </c>
      <c r="R13" s="58">
        <v>4568593</v>
      </c>
      <c r="S13" s="17">
        <v>261.875</v>
      </c>
      <c r="T13" s="101"/>
      <c r="U13" s="35">
        <f t="shared" si="18"/>
        <v>2179054</v>
      </c>
      <c r="V13" s="36">
        <f t="shared" si="19"/>
        <v>2759.6920000000005</v>
      </c>
      <c r="W13" s="43">
        <f t="shared" si="20"/>
        <v>6785038</v>
      </c>
      <c r="X13" s="44">
        <f t="shared" si="21"/>
        <v>2093.8259999999996</v>
      </c>
      <c r="Y13" s="51">
        <f t="shared" si="22"/>
        <v>3156633</v>
      </c>
      <c r="Z13" s="52">
        <f t="shared" si="23"/>
        <v>2258.6309999999999</v>
      </c>
      <c r="AA13" s="58">
        <f t="shared" si="24"/>
        <v>1233388</v>
      </c>
      <c r="AB13" s="17">
        <f t="shared" si="25"/>
        <v>567.19799999999998</v>
      </c>
      <c r="AC13" s="101"/>
      <c r="AD13" s="555">
        <f t="shared" si="17"/>
        <v>86060901</v>
      </c>
      <c r="AE13" s="632">
        <f t="shared" si="17"/>
        <v>16567.968000000001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5"/>
        <v>1</v>
      </c>
      <c r="C14" s="35">
        <v>27022205</v>
      </c>
      <c r="D14" s="36">
        <v>6129.7920000000004</v>
      </c>
      <c r="E14" s="43">
        <v>26251962</v>
      </c>
      <c r="F14" s="44">
        <v>5566.15</v>
      </c>
      <c r="G14" s="51">
        <v>37543183</v>
      </c>
      <c r="H14" s="52">
        <v>5865.0839999999998</v>
      </c>
      <c r="I14" s="58">
        <v>4765603</v>
      </c>
      <c r="J14" s="17">
        <v>588.03200000000004</v>
      </c>
      <c r="K14" s="101"/>
      <c r="L14" s="35">
        <v>24871203</v>
      </c>
      <c r="M14" s="36">
        <v>3251.078</v>
      </c>
      <c r="N14" s="43">
        <v>19494178</v>
      </c>
      <c r="O14" s="44">
        <v>3083.9169999999999</v>
      </c>
      <c r="P14" s="51">
        <v>28381843</v>
      </c>
      <c r="Q14" s="52">
        <v>3492.527</v>
      </c>
      <c r="R14" s="58">
        <v>3642099</v>
      </c>
      <c r="S14" s="17">
        <v>250.39500000000001</v>
      </c>
      <c r="T14" s="101"/>
      <c r="U14" s="35">
        <f t="shared" si="18"/>
        <v>2151002</v>
      </c>
      <c r="V14" s="36">
        <f t="shared" si="19"/>
        <v>2878.7140000000004</v>
      </c>
      <c r="W14" s="43">
        <f t="shared" si="20"/>
        <v>6757784</v>
      </c>
      <c r="X14" s="44">
        <f t="shared" si="21"/>
        <v>2482.2329999999997</v>
      </c>
      <c r="Y14" s="51">
        <f t="shared" si="22"/>
        <v>9161340</v>
      </c>
      <c r="Z14" s="52">
        <f t="shared" si="23"/>
        <v>2372.5569999999998</v>
      </c>
      <c r="AA14" s="58">
        <f t="shared" si="24"/>
        <v>1123504</v>
      </c>
      <c r="AB14" s="17">
        <f t="shared" si="25"/>
        <v>337.63700000000006</v>
      </c>
      <c r="AC14" s="101"/>
      <c r="AD14" s="555">
        <f t="shared" si="17"/>
        <v>95582953</v>
      </c>
      <c r="AE14" s="632">
        <f t="shared" si="17"/>
        <v>18149.057999999997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5"/>
        <v>1</v>
      </c>
      <c r="C15" s="35">
        <v>26946567</v>
      </c>
      <c r="D15" s="36">
        <v>6467.277</v>
      </c>
      <c r="E15" s="43">
        <v>17693650</v>
      </c>
      <c r="F15" s="44">
        <v>3127.788</v>
      </c>
      <c r="G15" s="51">
        <v>35718367</v>
      </c>
      <c r="H15" s="52">
        <v>8431.2060000000001</v>
      </c>
      <c r="I15" s="58">
        <v>4029373</v>
      </c>
      <c r="J15" s="17">
        <v>554.34500000000003</v>
      </c>
      <c r="K15" s="101"/>
      <c r="L15" s="35">
        <v>24847774</v>
      </c>
      <c r="M15" s="36">
        <v>3558.337</v>
      </c>
      <c r="N15" s="43">
        <v>16862238</v>
      </c>
      <c r="O15" s="44">
        <v>2844.172</v>
      </c>
      <c r="P15" s="51">
        <v>27121258</v>
      </c>
      <c r="Q15" s="52">
        <v>3708.2420000000002</v>
      </c>
      <c r="R15" s="58">
        <v>3327298</v>
      </c>
      <c r="S15" s="17">
        <v>227.02500000000001</v>
      </c>
      <c r="T15" s="101"/>
      <c r="U15" s="35">
        <f t="shared" si="18"/>
        <v>2098793</v>
      </c>
      <c r="V15" s="36">
        <f t="shared" si="19"/>
        <v>2908.94</v>
      </c>
      <c r="W15" s="43">
        <f t="shared" si="20"/>
        <v>831412</v>
      </c>
      <c r="X15" s="44">
        <f t="shared" si="21"/>
        <v>283.61599999999999</v>
      </c>
      <c r="Y15" s="51">
        <f t="shared" si="22"/>
        <v>8597109</v>
      </c>
      <c r="Z15" s="52">
        <f t="shared" si="23"/>
        <v>4722.9639999999999</v>
      </c>
      <c r="AA15" s="58">
        <f t="shared" si="24"/>
        <v>702075</v>
      </c>
      <c r="AB15" s="17">
        <f t="shared" si="25"/>
        <v>327.32000000000005</v>
      </c>
      <c r="AC15" s="101"/>
      <c r="AD15" s="555">
        <f t="shared" si="17"/>
        <v>84387957</v>
      </c>
      <c r="AE15" s="632">
        <f t="shared" si="17"/>
        <v>18580.616000000002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5"/>
        <v>1</v>
      </c>
      <c r="C16" s="35">
        <v>26382539</v>
      </c>
      <c r="D16" s="36">
        <v>6523.6379999999999</v>
      </c>
      <c r="E16" s="43">
        <v>18241641</v>
      </c>
      <c r="F16" s="44">
        <v>3779.152</v>
      </c>
      <c r="G16" s="51">
        <v>35778897</v>
      </c>
      <c r="H16" s="52">
        <v>10218.772999999999</v>
      </c>
      <c r="I16" s="58">
        <v>3677371</v>
      </c>
      <c r="J16" s="17">
        <v>542.20799999999997</v>
      </c>
      <c r="K16" s="101"/>
      <c r="L16" s="35">
        <v>24294046</v>
      </c>
      <c r="M16" s="36">
        <v>3584.569</v>
      </c>
      <c r="N16" s="43">
        <v>16679650</v>
      </c>
      <c r="O16" s="44">
        <v>3399.703</v>
      </c>
      <c r="P16" s="51">
        <v>27103074</v>
      </c>
      <c r="Q16" s="52">
        <v>5227.6090000000004</v>
      </c>
      <c r="R16" s="58">
        <v>3061903</v>
      </c>
      <c r="S16" s="17">
        <v>248.88200000000001</v>
      </c>
      <c r="T16" s="101"/>
      <c r="U16" s="35">
        <f t="shared" si="18"/>
        <v>2088493</v>
      </c>
      <c r="V16" s="36">
        <f t="shared" si="19"/>
        <v>2939.069</v>
      </c>
      <c r="W16" s="43">
        <f t="shared" si="20"/>
        <v>1561991</v>
      </c>
      <c r="X16" s="44">
        <f t="shared" si="21"/>
        <v>379.44900000000007</v>
      </c>
      <c r="Y16" s="51">
        <f t="shared" si="22"/>
        <v>8675823</v>
      </c>
      <c r="Z16" s="52">
        <f t="shared" si="23"/>
        <v>4991.1639999999989</v>
      </c>
      <c r="AA16" s="58">
        <f t="shared" si="24"/>
        <v>615468</v>
      </c>
      <c r="AB16" s="17">
        <f t="shared" si="25"/>
        <v>293.32599999999996</v>
      </c>
      <c r="AC16" s="101"/>
      <c r="AD16" s="555">
        <f t="shared" si="17"/>
        <v>84080448</v>
      </c>
      <c r="AE16" s="632">
        <f t="shared" si="17"/>
        <v>21063.771000000001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5"/>
        <v>1</v>
      </c>
      <c r="C17" s="35">
        <v>27973935</v>
      </c>
      <c r="D17" s="36">
        <v>6690.2280000000001</v>
      </c>
      <c r="E17" s="43">
        <v>21630025</v>
      </c>
      <c r="F17" s="44">
        <v>4491.4089999999997</v>
      </c>
      <c r="G17" s="51">
        <v>37422938</v>
      </c>
      <c r="H17" s="52">
        <v>9860.8050000000003</v>
      </c>
      <c r="I17" s="58">
        <v>3814862</v>
      </c>
      <c r="J17" s="17">
        <v>589.78700000000003</v>
      </c>
      <c r="K17" s="101"/>
      <c r="L17" s="35">
        <v>25802030</v>
      </c>
      <c r="M17" s="36">
        <v>3529.3820000000001</v>
      </c>
      <c r="N17" s="43">
        <v>20011186</v>
      </c>
      <c r="O17" s="44">
        <v>4082.7640000000001</v>
      </c>
      <c r="P17" s="51">
        <v>29030472</v>
      </c>
      <c r="Q17" s="52">
        <v>5099.2250000000004</v>
      </c>
      <c r="R17" s="58">
        <v>3155400</v>
      </c>
      <c r="S17" s="17">
        <v>259.15800000000002</v>
      </c>
      <c r="T17" s="101"/>
      <c r="U17" s="35">
        <f t="shared" si="18"/>
        <v>2171905</v>
      </c>
      <c r="V17" s="36">
        <f t="shared" si="19"/>
        <v>3160.846</v>
      </c>
      <c r="W17" s="43">
        <f t="shared" si="20"/>
        <v>1618839</v>
      </c>
      <c r="X17" s="44">
        <f t="shared" si="21"/>
        <v>408.64499999999953</v>
      </c>
      <c r="Y17" s="51">
        <f t="shared" si="22"/>
        <v>8392466</v>
      </c>
      <c r="Z17" s="52">
        <f t="shared" si="23"/>
        <v>4761.58</v>
      </c>
      <c r="AA17" s="58">
        <f t="shared" si="24"/>
        <v>659462</v>
      </c>
      <c r="AB17" s="17">
        <f t="shared" si="25"/>
        <v>330.62900000000002</v>
      </c>
      <c r="AC17" s="101"/>
      <c r="AD17" s="555">
        <f t="shared" si="17"/>
        <v>90841760</v>
      </c>
      <c r="AE17" s="632">
        <f t="shared" si="17"/>
        <v>21632.228999999999</v>
      </c>
      <c r="AG17" s="116">
        <v>12</v>
      </c>
      <c r="AH17" s="116">
        <v>31</v>
      </c>
      <c r="AI17" s="554"/>
      <c r="AJ17" s="554"/>
      <c r="AK17" s="554"/>
      <c r="AL17" s="554"/>
      <c r="AM17" s="554"/>
    </row>
    <row r="18" spans="1:39" hidden="1" outlineLevel="1">
      <c r="A18" s="114">
        <v>43113</v>
      </c>
      <c r="B18" s="115">
        <f t="shared" si="15"/>
        <v>1</v>
      </c>
      <c r="C18" s="35">
        <v>29847938</v>
      </c>
      <c r="D18" s="36">
        <v>6423.6610000000001</v>
      </c>
      <c r="E18" s="43">
        <v>22986512</v>
      </c>
      <c r="F18" s="44">
        <v>4240.7520000000004</v>
      </c>
      <c r="G18" s="51">
        <v>42178083</v>
      </c>
      <c r="H18" s="52">
        <v>10136.226000000001</v>
      </c>
      <c r="I18" s="58">
        <v>3608174</v>
      </c>
      <c r="J18" s="17">
        <v>546.15700000000004</v>
      </c>
      <c r="K18" s="101"/>
      <c r="L18" s="35">
        <v>27571260</v>
      </c>
      <c r="M18" s="36">
        <v>3468.5810000000001</v>
      </c>
      <c r="N18" s="43">
        <v>21100045</v>
      </c>
      <c r="O18" s="44">
        <v>3761.7979999999998</v>
      </c>
      <c r="P18" s="51">
        <v>32920795</v>
      </c>
      <c r="Q18" s="52">
        <v>5412.5510000000004</v>
      </c>
      <c r="R18" s="58">
        <v>3216753</v>
      </c>
      <c r="S18" s="17">
        <v>263.32299999999998</v>
      </c>
      <c r="T18" s="101"/>
      <c r="U18" s="35">
        <f t="shared" si="18"/>
        <v>2276678</v>
      </c>
      <c r="V18" s="36">
        <f t="shared" si="19"/>
        <v>2955.08</v>
      </c>
      <c r="W18" s="43">
        <f t="shared" si="20"/>
        <v>1886467</v>
      </c>
      <c r="X18" s="44">
        <f t="shared" si="21"/>
        <v>478.95400000000063</v>
      </c>
      <c r="Y18" s="51">
        <f t="shared" si="22"/>
        <v>9257288</v>
      </c>
      <c r="Z18" s="52">
        <f t="shared" si="23"/>
        <v>4723.6750000000002</v>
      </c>
      <c r="AA18" s="58">
        <f t="shared" si="24"/>
        <v>391421</v>
      </c>
      <c r="AB18" s="17">
        <f t="shared" si="25"/>
        <v>282.83400000000006</v>
      </c>
      <c r="AC18" s="101"/>
      <c r="AD18" s="555">
        <f t="shared" si="17"/>
        <v>98620707</v>
      </c>
      <c r="AE18" s="632">
        <f t="shared" si="17"/>
        <v>21346.796000000002</v>
      </c>
      <c r="AG18" s="554"/>
      <c r="AH18" s="554"/>
      <c r="AI18" s="554"/>
      <c r="AJ18" s="554"/>
      <c r="AK18" s="554"/>
      <c r="AL18" s="554"/>
      <c r="AM18" s="554"/>
    </row>
    <row r="19" spans="1:39" hidden="1" outlineLevel="1">
      <c r="A19" s="114">
        <v>43114</v>
      </c>
      <c r="B19" s="115">
        <f t="shared" si="15"/>
        <v>1</v>
      </c>
      <c r="C19" s="35">
        <v>27033156</v>
      </c>
      <c r="D19" s="36">
        <v>6337.24</v>
      </c>
      <c r="E19" s="43">
        <v>17761630</v>
      </c>
      <c r="F19" s="44">
        <v>3611.5210000000002</v>
      </c>
      <c r="G19" s="51">
        <v>38354220</v>
      </c>
      <c r="H19" s="52">
        <v>9655.2649999999994</v>
      </c>
      <c r="I19" s="58">
        <v>3276487</v>
      </c>
      <c r="J19" s="17">
        <v>658.49699999999996</v>
      </c>
      <c r="K19" s="101"/>
      <c r="L19" s="35">
        <v>24520822</v>
      </c>
      <c r="M19" s="36">
        <v>3298.9549999999999</v>
      </c>
      <c r="N19" s="43">
        <v>15999979</v>
      </c>
      <c r="O19" s="44">
        <v>3158.527</v>
      </c>
      <c r="P19" s="51">
        <v>29218064</v>
      </c>
      <c r="Q19" s="52">
        <v>4951.41</v>
      </c>
      <c r="R19" s="58">
        <v>2951873</v>
      </c>
      <c r="S19" s="17">
        <v>325.10500000000002</v>
      </c>
      <c r="T19" s="101"/>
      <c r="U19" s="35">
        <f t="shared" si="18"/>
        <v>2512334</v>
      </c>
      <c r="V19" s="36">
        <f t="shared" si="19"/>
        <v>3038.2849999999999</v>
      </c>
      <c r="W19" s="43">
        <f t="shared" si="20"/>
        <v>1761651</v>
      </c>
      <c r="X19" s="44">
        <f t="shared" si="21"/>
        <v>452.99400000000014</v>
      </c>
      <c r="Y19" s="51">
        <f t="shared" si="22"/>
        <v>9136156</v>
      </c>
      <c r="Z19" s="52">
        <f t="shared" si="23"/>
        <v>4703.8549999999996</v>
      </c>
      <c r="AA19" s="58">
        <f t="shared" si="24"/>
        <v>324614</v>
      </c>
      <c r="AB19" s="17">
        <f t="shared" si="25"/>
        <v>333.39199999999994</v>
      </c>
      <c r="AC19" s="101"/>
      <c r="AD19" s="555">
        <f t="shared" si="17"/>
        <v>86425493</v>
      </c>
      <c r="AE19" s="632">
        <f t="shared" si="17"/>
        <v>20262.522999999997</v>
      </c>
    </row>
    <row r="20" spans="1:39" hidden="1" outlineLevel="1">
      <c r="A20" s="114">
        <v>43115</v>
      </c>
      <c r="B20" s="115">
        <f t="shared" si="15"/>
        <v>1</v>
      </c>
      <c r="C20" s="35">
        <v>27082492</v>
      </c>
      <c r="D20" s="36">
        <v>6802.5370000000003</v>
      </c>
      <c r="E20" s="43">
        <v>18071867</v>
      </c>
      <c r="F20" s="44">
        <v>3380.4209999999998</v>
      </c>
      <c r="G20" s="51">
        <v>36545723</v>
      </c>
      <c r="H20" s="52">
        <v>9056.0220000000008</v>
      </c>
      <c r="I20" s="58">
        <v>3396641</v>
      </c>
      <c r="J20" s="17">
        <v>774.81700000000001</v>
      </c>
      <c r="K20" s="101"/>
      <c r="L20" s="35">
        <v>25000212</v>
      </c>
      <c r="M20" s="36">
        <v>3522.7109999999998</v>
      </c>
      <c r="N20" s="43">
        <v>16229476</v>
      </c>
      <c r="O20" s="44">
        <v>2924.1750000000002</v>
      </c>
      <c r="P20" s="51">
        <v>27564446</v>
      </c>
      <c r="Q20" s="52">
        <v>4506.7470000000003</v>
      </c>
      <c r="R20" s="58">
        <v>3097828</v>
      </c>
      <c r="S20" s="17">
        <v>409.07600000000002</v>
      </c>
      <c r="T20" s="101"/>
      <c r="U20" s="35">
        <f t="shared" si="18"/>
        <v>2082280</v>
      </c>
      <c r="V20" s="36">
        <f t="shared" si="19"/>
        <v>3279.8260000000005</v>
      </c>
      <c r="W20" s="43">
        <f t="shared" si="20"/>
        <v>1842391</v>
      </c>
      <c r="X20" s="44">
        <f t="shared" si="21"/>
        <v>456.24599999999964</v>
      </c>
      <c r="Y20" s="51">
        <f t="shared" si="22"/>
        <v>8981277</v>
      </c>
      <c r="Z20" s="52">
        <f t="shared" si="23"/>
        <v>4549.2750000000005</v>
      </c>
      <c r="AA20" s="58">
        <f t="shared" si="24"/>
        <v>298813</v>
      </c>
      <c r="AB20" s="17">
        <f t="shared" si="25"/>
        <v>365.74099999999999</v>
      </c>
      <c r="AC20" s="101"/>
      <c r="AD20" s="555">
        <f t="shared" si="17"/>
        <v>85096723</v>
      </c>
      <c r="AE20" s="632">
        <f t="shared" si="17"/>
        <v>20013.797000000002</v>
      </c>
    </row>
    <row r="21" spans="1:39" hidden="1" outlineLevel="1">
      <c r="A21" s="114">
        <v>43116</v>
      </c>
      <c r="B21" s="115">
        <f t="shared" si="15"/>
        <v>1</v>
      </c>
      <c r="C21" s="35">
        <v>27907007</v>
      </c>
      <c r="D21" s="36">
        <v>7192.4960000000001</v>
      </c>
      <c r="E21" s="43">
        <v>18985698</v>
      </c>
      <c r="F21" s="44">
        <v>4070.6509999999998</v>
      </c>
      <c r="G21" s="51">
        <v>35624007</v>
      </c>
      <c r="H21" s="52">
        <v>8616.6550000000007</v>
      </c>
      <c r="I21" s="58">
        <v>3564513</v>
      </c>
      <c r="J21" s="17">
        <v>805.81</v>
      </c>
      <c r="K21" s="101"/>
      <c r="L21" s="35">
        <v>25697073</v>
      </c>
      <c r="M21" s="36">
        <v>3665.1880000000001</v>
      </c>
      <c r="N21" s="43">
        <v>16989452</v>
      </c>
      <c r="O21" s="44">
        <v>3578.2620000000002</v>
      </c>
      <c r="P21" s="51">
        <v>26647574</v>
      </c>
      <c r="Q21" s="52">
        <v>4148.7330000000002</v>
      </c>
      <c r="R21" s="58">
        <v>3264533</v>
      </c>
      <c r="S21" s="17">
        <v>430.524</v>
      </c>
      <c r="T21" s="101"/>
      <c r="U21" s="35">
        <f t="shared" si="18"/>
        <v>2209934</v>
      </c>
      <c r="V21" s="36">
        <f t="shared" si="19"/>
        <v>3527.308</v>
      </c>
      <c r="W21" s="43">
        <f t="shared" si="20"/>
        <v>1996246</v>
      </c>
      <c r="X21" s="44">
        <f t="shared" si="21"/>
        <v>492.38899999999967</v>
      </c>
      <c r="Y21" s="51">
        <f t="shared" si="22"/>
        <v>8976433</v>
      </c>
      <c r="Z21" s="52">
        <f t="shared" si="23"/>
        <v>4467.9220000000005</v>
      </c>
      <c r="AA21" s="58">
        <f t="shared" si="24"/>
        <v>299980</v>
      </c>
      <c r="AB21" s="17">
        <f t="shared" si="25"/>
        <v>375.28599999999994</v>
      </c>
      <c r="AC21" s="101"/>
      <c r="AD21" s="555">
        <f t="shared" si="17"/>
        <v>86081225</v>
      </c>
      <c r="AE21" s="632">
        <f t="shared" si="17"/>
        <v>20685.612000000005</v>
      </c>
    </row>
    <row r="22" spans="1:39" hidden="1" outlineLevel="1">
      <c r="A22" s="114">
        <v>43117</v>
      </c>
      <c r="B22" s="115">
        <f t="shared" si="15"/>
        <v>1</v>
      </c>
      <c r="C22" s="35">
        <v>27799161</v>
      </c>
      <c r="D22" s="36">
        <v>6837.2719999999999</v>
      </c>
      <c r="E22" s="43">
        <v>19426876</v>
      </c>
      <c r="F22" s="44">
        <v>4022.7420000000002</v>
      </c>
      <c r="G22" s="51">
        <v>36836558</v>
      </c>
      <c r="H22" s="52">
        <v>8991.7800000000007</v>
      </c>
      <c r="I22" s="58">
        <v>3632060</v>
      </c>
      <c r="J22" s="17">
        <v>797.08500000000004</v>
      </c>
      <c r="K22" s="101"/>
      <c r="L22" s="35">
        <v>25591582</v>
      </c>
      <c r="M22" s="36">
        <v>3568.8989999999999</v>
      </c>
      <c r="N22" s="43">
        <v>17289797</v>
      </c>
      <c r="O22" s="44">
        <v>3483.9259999999999</v>
      </c>
      <c r="P22" s="51">
        <v>26466928</v>
      </c>
      <c r="Q22" s="52">
        <v>4125.2330000000002</v>
      </c>
      <c r="R22" s="58">
        <v>3336136</v>
      </c>
      <c r="S22" s="17">
        <v>439.43799999999999</v>
      </c>
      <c r="T22" s="101"/>
      <c r="U22" s="35">
        <f t="shared" si="18"/>
        <v>2207579</v>
      </c>
      <c r="V22" s="36">
        <f t="shared" si="19"/>
        <v>3268.373</v>
      </c>
      <c r="W22" s="43">
        <f t="shared" si="20"/>
        <v>2137079</v>
      </c>
      <c r="X22" s="44">
        <f t="shared" si="21"/>
        <v>538.81600000000026</v>
      </c>
      <c r="Y22" s="51">
        <f t="shared" si="22"/>
        <v>10369630</v>
      </c>
      <c r="Z22" s="52">
        <f t="shared" si="23"/>
        <v>4866.5470000000005</v>
      </c>
      <c r="AA22" s="58">
        <f t="shared" si="24"/>
        <v>295924</v>
      </c>
      <c r="AB22" s="17">
        <f t="shared" si="25"/>
        <v>357.64700000000005</v>
      </c>
      <c r="AC22" s="101"/>
      <c r="AD22" s="555">
        <f t="shared" si="17"/>
        <v>87694655</v>
      </c>
      <c r="AE22" s="632">
        <f t="shared" si="17"/>
        <v>20648.879000000001</v>
      </c>
    </row>
    <row r="23" spans="1:39" hidden="1" outlineLevel="1">
      <c r="A23" s="114">
        <v>43118</v>
      </c>
      <c r="B23" s="115">
        <f t="shared" si="15"/>
        <v>1</v>
      </c>
      <c r="C23" s="35">
        <v>28549414</v>
      </c>
      <c r="D23" s="36">
        <v>7407.5259999999998</v>
      </c>
      <c r="E23" s="43">
        <v>20116192</v>
      </c>
      <c r="F23" s="44">
        <v>4658.4250000000002</v>
      </c>
      <c r="G23" s="51">
        <v>38503399</v>
      </c>
      <c r="H23" s="52">
        <v>9685.8529999999992</v>
      </c>
      <c r="I23" s="58">
        <v>3528007</v>
      </c>
      <c r="J23" s="17">
        <v>629.096</v>
      </c>
      <c r="K23" s="101"/>
      <c r="L23" s="35">
        <v>26386939</v>
      </c>
      <c r="M23" s="36">
        <v>3933.0790000000002</v>
      </c>
      <c r="N23" s="43">
        <v>17768139</v>
      </c>
      <c r="O23" s="44">
        <v>4034.3240000000001</v>
      </c>
      <c r="P23" s="51">
        <v>27786516</v>
      </c>
      <c r="Q23" s="52">
        <v>4504.4139999999998</v>
      </c>
      <c r="R23" s="58">
        <v>3248202</v>
      </c>
      <c r="S23" s="17">
        <v>339.40800000000002</v>
      </c>
      <c r="T23" s="101"/>
      <c r="U23" s="35">
        <f t="shared" si="18"/>
        <v>2162475</v>
      </c>
      <c r="V23" s="36">
        <f t="shared" si="19"/>
        <v>3474.4469999999997</v>
      </c>
      <c r="W23" s="43">
        <f t="shared" si="20"/>
        <v>2348053</v>
      </c>
      <c r="X23" s="44">
        <f t="shared" si="21"/>
        <v>624.10100000000011</v>
      </c>
      <c r="Y23" s="51">
        <f t="shared" si="22"/>
        <v>10716883</v>
      </c>
      <c r="Z23" s="52">
        <f t="shared" si="23"/>
        <v>5181.4389999999994</v>
      </c>
      <c r="AA23" s="58">
        <f t="shared" si="24"/>
        <v>279805</v>
      </c>
      <c r="AB23" s="17">
        <f t="shared" si="25"/>
        <v>289.68799999999999</v>
      </c>
      <c r="AC23" s="101"/>
      <c r="AD23" s="555">
        <f t="shared" si="17"/>
        <v>90697012</v>
      </c>
      <c r="AE23" s="632">
        <f t="shared" si="17"/>
        <v>22380.9</v>
      </c>
    </row>
    <row r="24" spans="1:39" hidden="1" outlineLevel="1">
      <c r="A24" s="114">
        <v>43119</v>
      </c>
      <c r="B24" s="115">
        <f t="shared" si="15"/>
        <v>1</v>
      </c>
      <c r="C24" s="35">
        <v>29203095</v>
      </c>
      <c r="D24" s="36">
        <v>7532.0990000000002</v>
      </c>
      <c r="E24" s="43">
        <v>23516773</v>
      </c>
      <c r="F24" s="44">
        <v>5417.1890000000003</v>
      </c>
      <c r="G24" s="51">
        <v>43385515</v>
      </c>
      <c r="H24" s="52">
        <v>10809.315000000001</v>
      </c>
      <c r="I24" s="58">
        <v>3303747</v>
      </c>
      <c r="J24" s="17">
        <v>490.01600000000002</v>
      </c>
      <c r="K24" s="101"/>
      <c r="L24" s="35">
        <v>26918471</v>
      </c>
      <c r="M24" s="36">
        <v>3899.4110000000001</v>
      </c>
      <c r="N24" s="43">
        <v>21054530</v>
      </c>
      <c r="O24" s="44">
        <v>4788.076</v>
      </c>
      <c r="P24" s="51">
        <v>30241907</v>
      </c>
      <c r="Q24" s="52">
        <v>4839.8770000000004</v>
      </c>
      <c r="R24" s="58">
        <v>2969261</v>
      </c>
      <c r="S24" s="17">
        <v>250.22399999999999</v>
      </c>
      <c r="T24" s="101"/>
      <c r="U24" s="35">
        <f t="shared" si="18"/>
        <v>2284624</v>
      </c>
      <c r="V24" s="36">
        <f t="shared" si="19"/>
        <v>3632.6880000000001</v>
      </c>
      <c r="W24" s="43">
        <f t="shared" si="20"/>
        <v>2462243</v>
      </c>
      <c r="X24" s="44">
        <f t="shared" si="21"/>
        <v>629.11300000000028</v>
      </c>
      <c r="Y24" s="51">
        <f t="shared" si="22"/>
        <v>13143608</v>
      </c>
      <c r="Z24" s="52">
        <f t="shared" si="23"/>
        <v>5969.4380000000001</v>
      </c>
      <c r="AA24" s="58">
        <f t="shared" si="24"/>
        <v>334486</v>
      </c>
      <c r="AB24" s="17">
        <f t="shared" si="25"/>
        <v>239.79200000000003</v>
      </c>
      <c r="AC24" s="101"/>
      <c r="AD24" s="555">
        <f t="shared" si="17"/>
        <v>99409130</v>
      </c>
      <c r="AE24" s="632">
        <f t="shared" si="17"/>
        <v>24248.619000000002</v>
      </c>
    </row>
    <row r="25" spans="1:39" hidden="1" outlineLevel="1">
      <c r="A25" s="114">
        <v>43120</v>
      </c>
      <c r="B25" s="115">
        <f t="shared" si="15"/>
        <v>1</v>
      </c>
      <c r="C25" s="35">
        <v>29084447</v>
      </c>
      <c r="D25" s="36">
        <v>6831.3180000000002</v>
      </c>
      <c r="E25" s="43">
        <v>24850899</v>
      </c>
      <c r="F25" s="44">
        <v>5050.4549999999999</v>
      </c>
      <c r="G25" s="51">
        <v>49628969</v>
      </c>
      <c r="H25" s="52">
        <v>11761.081</v>
      </c>
      <c r="I25" s="58">
        <v>3593515</v>
      </c>
      <c r="J25" s="17">
        <v>452.49200000000002</v>
      </c>
      <c r="K25" s="101"/>
      <c r="L25" s="35">
        <v>26747785</v>
      </c>
      <c r="M25" s="36">
        <v>3554.634</v>
      </c>
      <c r="N25" s="43">
        <v>22295748</v>
      </c>
      <c r="O25" s="44">
        <v>4423.6949999999997</v>
      </c>
      <c r="P25" s="51">
        <v>35299016</v>
      </c>
      <c r="Q25" s="52">
        <v>5892.8</v>
      </c>
      <c r="R25" s="58">
        <v>3259761</v>
      </c>
      <c r="S25" s="17">
        <v>239.07599999999999</v>
      </c>
      <c r="T25" s="101"/>
      <c r="U25" s="35">
        <f t="shared" si="18"/>
        <v>2336662</v>
      </c>
      <c r="V25" s="36">
        <f t="shared" si="19"/>
        <v>3276.6840000000002</v>
      </c>
      <c r="W25" s="43">
        <f t="shared" si="20"/>
        <v>2555151</v>
      </c>
      <c r="X25" s="44">
        <f t="shared" si="21"/>
        <v>626.76000000000022</v>
      </c>
      <c r="Y25" s="51">
        <f t="shared" si="22"/>
        <v>14329953</v>
      </c>
      <c r="Z25" s="52">
        <f t="shared" si="23"/>
        <v>5868.2809999999999</v>
      </c>
      <c r="AA25" s="58">
        <f t="shared" si="24"/>
        <v>333754</v>
      </c>
      <c r="AB25" s="17">
        <f t="shared" si="25"/>
        <v>213.41600000000003</v>
      </c>
      <c r="AC25" s="101"/>
      <c r="AD25" s="555">
        <f t="shared" si="17"/>
        <v>107157830</v>
      </c>
      <c r="AE25" s="632">
        <f t="shared" si="17"/>
        <v>24095.345999999998</v>
      </c>
    </row>
    <row r="26" spans="1:39" hidden="1" outlineLevel="1">
      <c r="A26" s="114">
        <v>43121</v>
      </c>
      <c r="B26" s="115">
        <f>MONTH(A26)</f>
        <v>1</v>
      </c>
      <c r="C26" s="35">
        <v>27583666</v>
      </c>
      <c r="D26" s="36">
        <v>6765.7870000000003</v>
      </c>
      <c r="E26" s="43">
        <v>20007495</v>
      </c>
      <c r="F26" s="44">
        <v>4305.2489999999998</v>
      </c>
      <c r="G26" s="51">
        <v>42237298</v>
      </c>
      <c r="H26" s="52">
        <v>10291.776</v>
      </c>
      <c r="I26" s="58">
        <v>3094365</v>
      </c>
      <c r="J26" s="17">
        <v>463.94499999999999</v>
      </c>
      <c r="K26" s="101"/>
      <c r="L26" s="35">
        <v>25372673</v>
      </c>
      <c r="M26" s="36">
        <v>3458.2730000000001</v>
      </c>
      <c r="N26" s="43">
        <v>17326839</v>
      </c>
      <c r="O26" s="44">
        <v>3636.9879999999998</v>
      </c>
      <c r="P26" s="51">
        <v>28328712</v>
      </c>
      <c r="Q26" s="52">
        <v>4426.7550000000001</v>
      </c>
      <c r="R26" s="58">
        <v>2804240</v>
      </c>
      <c r="S26" s="17">
        <v>238.304</v>
      </c>
      <c r="T26" s="101"/>
      <c r="U26" s="35">
        <f t="shared" si="18"/>
        <v>2210993</v>
      </c>
      <c r="V26" s="36">
        <f t="shared" si="19"/>
        <v>3307.5140000000001</v>
      </c>
      <c r="W26" s="43">
        <f t="shared" si="20"/>
        <v>2680656</v>
      </c>
      <c r="X26" s="44">
        <f t="shared" si="21"/>
        <v>668.26099999999997</v>
      </c>
      <c r="Y26" s="51">
        <f t="shared" si="22"/>
        <v>13908586</v>
      </c>
      <c r="Z26" s="52">
        <f t="shared" si="23"/>
        <v>5865.0209999999997</v>
      </c>
      <c r="AA26" s="58">
        <f t="shared" si="24"/>
        <v>290125</v>
      </c>
      <c r="AB26" s="17">
        <f t="shared" si="25"/>
        <v>225.64099999999999</v>
      </c>
      <c r="AC26" s="101"/>
      <c r="AD26" s="555">
        <f t="shared" si="17"/>
        <v>92922824</v>
      </c>
      <c r="AE26" s="632">
        <f t="shared" si="17"/>
        <v>21826.756999999998</v>
      </c>
    </row>
    <row r="27" spans="1:39" hidden="1" outlineLevel="1">
      <c r="A27" s="114">
        <v>43122</v>
      </c>
      <c r="B27" s="115">
        <f t="shared" ref="B27:B92" si="26">MONTH(A27)</f>
        <v>1</v>
      </c>
      <c r="C27" s="35">
        <v>27179082</v>
      </c>
      <c r="D27" s="36">
        <v>8344.11</v>
      </c>
      <c r="E27" s="43">
        <v>19042150</v>
      </c>
      <c r="F27" s="44">
        <v>4975.05</v>
      </c>
      <c r="G27" s="51">
        <v>40072469</v>
      </c>
      <c r="H27" s="52">
        <v>11974.83</v>
      </c>
      <c r="I27" s="58">
        <v>3280142</v>
      </c>
      <c r="J27" s="17">
        <v>589.47</v>
      </c>
      <c r="K27" s="101"/>
      <c r="L27" s="35">
        <v>25053978</v>
      </c>
      <c r="M27" s="36">
        <v>4740.79</v>
      </c>
      <c r="N27" s="43">
        <v>16484384</v>
      </c>
      <c r="O27" s="44">
        <v>4286.12</v>
      </c>
      <c r="P27" s="51">
        <v>27272357</v>
      </c>
      <c r="Q27" s="52">
        <v>5651.35</v>
      </c>
      <c r="R27" s="58">
        <v>2998112</v>
      </c>
      <c r="S27" s="17">
        <v>347.52</v>
      </c>
      <c r="T27" s="101"/>
      <c r="U27" s="35">
        <f t="shared" si="18"/>
        <v>2125104</v>
      </c>
      <c r="V27" s="36">
        <f t="shared" si="19"/>
        <v>3603.3200000000006</v>
      </c>
      <c r="W27" s="43">
        <f t="shared" si="20"/>
        <v>2557766</v>
      </c>
      <c r="X27" s="44">
        <f t="shared" si="21"/>
        <v>688.93000000000029</v>
      </c>
      <c r="Y27" s="51">
        <f t="shared" si="22"/>
        <v>12800112</v>
      </c>
      <c r="Z27" s="52">
        <f t="shared" si="23"/>
        <v>6323.48</v>
      </c>
      <c r="AA27" s="58">
        <f t="shared" si="24"/>
        <v>282030</v>
      </c>
      <c r="AB27" s="17">
        <f t="shared" si="25"/>
        <v>241.95000000000005</v>
      </c>
      <c r="AC27" s="101"/>
      <c r="AD27" s="555">
        <f t="shared" si="17"/>
        <v>89573843</v>
      </c>
      <c r="AE27" s="632">
        <f t="shared" si="17"/>
        <v>25883.46</v>
      </c>
    </row>
    <row r="28" spans="1:39" hidden="1" outlineLevel="1">
      <c r="A28" s="114">
        <v>43123</v>
      </c>
      <c r="B28" s="115">
        <f t="shared" si="26"/>
        <v>1</v>
      </c>
      <c r="C28" s="35">
        <v>23140313</v>
      </c>
      <c r="D28" s="36">
        <v>8553.2800000000007</v>
      </c>
      <c r="E28" s="43">
        <v>18465185</v>
      </c>
      <c r="F28" s="44">
        <v>5907.96</v>
      </c>
      <c r="G28" s="51">
        <v>40040324</v>
      </c>
      <c r="H28" s="52">
        <v>12202.84</v>
      </c>
      <c r="I28" s="58">
        <v>3954788</v>
      </c>
      <c r="J28" s="17">
        <v>644.91</v>
      </c>
      <c r="K28" s="101"/>
      <c r="L28" s="35">
        <v>21107197</v>
      </c>
      <c r="M28" s="36">
        <v>4963.93</v>
      </c>
      <c r="N28" s="43">
        <v>15886525</v>
      </c>
      <c r="O28" s="44">
        <v>5156.95</v>
      </c>
      <c r="P28" s="51">
        <v>26460688</v>
      </c>
      <c r="Q28" s="52">
        <v>5388.76</v>
      </c>
      <c r="R28" s="58">
        <v>3621631</v>
      </c>
      <c r="S28" s="17">
        <v>407.03</v>
      </c>
      <c r="T28" s="101"/>
      <c r="U28" s="35">
        <f t="shared" si="18"/>
        <v>2033116</v>
      </c>
      <c r="V28" s="36">
        <f t="shared" si="19"/>
        <v>3589.3500000000004</v>
      </c>
      <c r="W28" s="43">
        <f t="shared" si="20"/>
        <v>2578660</v>
      </c>
      <c r="X28" s="44">
        <f t="shared" si="21"/>
        <v>751.01000000000022</v>
      </c>
      <c r="Y28" s="51">
        <f t="shared" si="22"/>
        <v>13579636</v>
      </c>
      <c r="Z28" s="52">
        <f t="shared" si="23"/>
        <v>6814.08</v>
      </c>
      <c r="AA28" s="58">
        <f t="shared" si="24"/>
        <v>333157</v>
      </c>
      <c r="AB28" s="17">
        <f t="shared" si="25"/>
        <v>237.88</v>
      </c>
      <c r="AC28" s="101"/>
      <c r="AD28" s="555">
        <f t="shared" si="17"/>
        <v>85600610</v>
      </c>
      <c r="AE28" s="632">
        <f t="shared" si="17"/>
        <v>27308.99</v>
      </c>
    </row>
    <row r="29" spans="1:39" hidden="1" outlineLevel="1">
      <c r="A29" s="114">
        <v>43124</v>
      </c>
      <c r="B29" s="115">
        <f t="shared" si="26"/>
        <v>1</v>
      </c>
      <c r="C29" s="35">
        <v>26830405</v>
      </c>
      <c r="D29" s="36">
        <v>8385.39</v>
      </c>
      <c r="E29" s="43">
        <v>18724142</v>
      </c>
      <c r="F29" s="44">
        <v>4841.46</v>
      </c>
      <c r="G29" s="51">
        <v>41701886</v>
      </c>
      <c r="H29" s="52">
        <v>11542.96</v>
      </c>
      <c r="I29" s="58">
        <v>3510275</v>
      </c>
      <c r="J29" s="17">
        <v>580.92999999999995</v>
      </c>
      <c r="K29" s="101"/>
      <c r="L29" s="35">
        <v>24624183</v>
      </c>
      <c r="M29" s="36">
        <v>4676</v>
      </c>
      <c r="N29" s="43">
        <v>16310177</v>
      </c>
      <c r="O29" s="44">
        <v>4186.1400000000003</v>
      </c>
      <c r="P29" s="51">
        <v>27464014</v>
      </c>
      <c r="Q29" s="52">
        <v>4814.01</v>
      </c>
      <c r="R29" s="58">
        <v>3263105</v>
      </c>
      <c r="S29" s="17">
        <v>345.39</v>
      </c>
      <c r="T29" s="101"/>
      <c r="U29" s="35">
        <f t="shared" si="18"/>
        <v>2206222</v>
      </c>
      <c r="V29" s="36">
        <f t="shared" si="19"/>
        <v>3709.3899999999994</v>
      </c>
      <c r="W29" s="43">
        <f t="shared" si="20"/>
        <v>2413965</v>
      </c>
      <c r="X29" s="44">
        <f t="shared" si="21"/>
        <v>655.31999999999971</v>
      </c>
      <c r="Y29" s="51">
        <f t="shared" si="22"/>
        <v>14237872</v>
      </c>
      <c r="Z29" s="52">
        <f t="shared" si="23"/>
        <v>6728.9499999999989</v>
      </c>
      <c r="AA29" s="58">
        <f t="shared" si="24"/>
        <v>247170</v>
      </c>
      <c r="AB29" s="17">
        <f t="shared" si="25"/>
        <v>235.53999999999996</v>
      </c>
      <c r="AC29" s="101"/>
      <c r="AD29" s="555">
        <f t="shared" si="17"/>
        <v>90766708</v>
      </c>
      <c r="AE29" s="632">
        <f t="shared" si="17"/>
        <v>25350.739999999998</v>
      </c>
    </row>
    <row r="30" spans="1:39" hidden="1" outlineLevel="1">
      <c r="A30" s="114">
        <v>43125</v>
      </c>
      <c r="B30" s="115">
        <f t="shared" si="26"/>
        <v>1</v>
      </c>
      <c r="C30" s="35">
        <v>27291845</v>
      </c>
      <c r="D30" s="36">
        <v>8455.1</v>
      </c>
      <c r="E30" s="43">
        <v>19214820</v>
      </c>
      <c r="F30" s="44">
        <v>4750.79</v>
      </c>
      <c r="G30" s="51">
        <v>40900570</v>
      </c>
      <c r="H30" s="52">
        <v>11620.91</v>
      </c>
      <c r="I30" s="58">
        <v>3446352</v>
      </c>
      <c r="J30" s="17">
        <v>576.66</v>
      </c>
      <c r="K30" s="101"/>
      <c r="L30" s="35">
        <v>25082550</v>
      </c>
      <c r="M30" s="36">
        <v>4686.7700000000004</v>
      </c>
      <c r="N30" s="43">
        <v>16864765</v>
      </c>
      <c r="O30" s="44">
        <v>4115.6400000000003</v>
      </c>
      <c r="P30" s="51">
        <v>26803132</v>
      </c>
      <c r="Q30" s="52">
        <v>4929.93</v>
      </c>
      <c r="R30" s="58">
        <v>3203541</v>
      </c>
      <c r="S30" s="17">
        <v>332.23</v>
      </c>
      <c r="T30" s="101"/>
      <c r="U30" s="35">
        <f t="shared" si="18"/>
        <v>2209295</v>
      </c>
      <c r="V30" s="36">
        <f t="shared" si="19"/>
        <v>3768.33</v>
      </c>
      <c r="W30" s="43">
        <f t="shared" si="20"/>
        <v>2350055</v>
      </c>
      <c r="X30" s="44">
        <f t="shared" si="21"/>
        <v>635.14999999999964</v>
      </c>
      <c r="Y30" s="51">
        <f t="shared" si="22"/>
        <v>14097438</v>
      </c>
      <c r="Z30" s="52">
        <f t="shared" si="23"/>
        <v>6690.98</v>
      </c>
      <c r="AA30" s="58">
        <f t="shared" si="24"/>
        <v>242811</v>
      </c>
      <c r="AB30" s="17">
        <f t="shared" si="25"/>
        <v>244.42999999999995</v>
      </c>
      <c r="AC30" s="101"/>
      <c r="AD30" s="555">
        <f t="shared" si="17"/>
        <v>90853587</v>
      </c>
      <c r="AE30" s="632">
        <f t="shared" si="17"/>
        <v>25403.46</v>
      </c>
    </row>
    <row r="31" spans="1:39" hidden="1" outlineLevel="1">
      <c r="A31" s="114">
        <v>43126</v>
      </c>
      <c r="B31" s="115">
        <f t="shared" si="26"/>
        <v>1</v>
      </c>
      <c r="C31" s="35">
        <v>29433518</v>
      </c>
      <c r="D31" s="36">
        <v>8384.86</v>
      </c>
      <c r="E31" s="43">
        <v>24664923</v>
      </c>
      <c r="F31" s="44">
        <v>5175.5600000000004</v>
      </c>
      <c r="G31" s="51">
        <v>43466722</v>
      </c>
      <c r="H31" s="52">
        <v>11018.46</v>
      </c>
      <c r="I31" s="58">
        <v>3726737</v>
      </c>
      <c r="J31" s="17">
        <v>611.54</v>
      </c>
      <c r="K31" s="101"/>
      <c r="L31" s="35">
        <v>27110974</v>
      </c>
      <c r="M31" s="36">
        <v>4328.4799999999996</v>
      </c>
      <c r="N31" s="43">
        <v>22181202</v>
      </c>
      <c r="O31" s="44">
        <v>4514.84</v>
      </c>
      <c r="P31" s="51">
        <v>30778987</v>
      </c>
      <c r="Q31" s="52">
        <v>4978.4799999999996</v>
      </c>
      <c r="R31" s="58">
        <v>3415368</v>
      </c>
      <c r="S31" s="17">
        <v>354.38</v>
      </c>
      <c r="T31" s="101"/>
      <c r="U31" s="35">
        <f t="shared" si="18"/>
        <v>2322544</v>
      </c>
      <c r="V31" s="36">
        <f t="shared" si="19"/>
        <v>4056.380000000001</v>
      </c>
      <c r="W31" s="43">
        <f t="shared" si="20"/>
        <v>2483721</v>
      </c>
      <c r="X31" s="44">
        <f t="shared" si="21"/>
        <v>660.72000000000025</v>
      </c>
      <c r="Y31" s="51">
        <f t="shared" si="22"/>
        <v>12687735</v>
      </c>
      <c r="Z31" s="52">
        <f t="shared" si="23"/>
        <v>6039.98</v>
      </c>
      <c r="AA31" s="58">
        <f t="shared" si="24"/>
        <v>311369</v>
      </c>
      <c r="AB31" s="17">
        <f t="shared" si="25"/>
        <v>257.15999999999997</v>
      </c>
      <c r="AC31" s="101"/>
      <c r="AD31" s="555">
        <f t="shared" si="17"/>
        <v>101291900</v>
      </c>
      <c r="AE31" s="632">
        <f t="shared" si="17"/>
        <v>25190.420000000002</v>
      </c>
    </row>
    <row r="32" spans="1:39" hidden="1" outlineLevel="1">
      <c r="A32" s="114">
        <v>43127</v>
      </c>
      <c r="B32" s="115">
        <f t="shared" si="26"/>
        <v>1</v>
      </c>
      <c r="C32" s="35">
        <v>26846029</v>
      </c>
      <c r="D32" s="36">
        <v>6484.16</v>
      </c>
      <c r="E32" s="43">
        <v>25692123</v>
      </c>
      <c r="F32" s="44">
        <v>4718.22</v>
      </c>
      <c r="G32" s="51">
        <v>46502980</v>
      </c>
      <c r="H32" s="52">
        <v>10634.89</v>
      </c>
      <c r="I32" s="58">
        <v>5483845</v>
      </c>
      <c r="J32" s="17">
        <v>605.61</v>
      </c>
      <c r="K32" s="101"/>
      <c r="L32" s="35">
        <v>24575737</v>
      </c>
      <c r="M32" s="36">
        <v>3115.84</v>
      </c>
      <c r="N32" s="43">
        <v>23138362</v>
      </c>
      <c r="O32" s="44">
        <v>4095.57</v>
      </c>
      <c r="P32" s="51">
        <v>33624056</v>
      </c>
      <c r="Q32" s="52">
        <v>5135.79</v>
      </c>
      <c r="R32" s="58">
        <v>5024090</v>
      </c>
      <c r="S32" s="17">
        <v>353.43</v>
      </c>
      <c r="T32" s="101"/>
      <c r="U32" s="35">
        <f t="shared" si="18"/>
        <v>2270292</v>
      </c>
      <c r="V32" s="36">
        <f t="shared" si="19"/>
        <v>3368.3199999999997</v>
      </c>
      <c r="W32" s="43">
        <f t="shared" si="20"/>
        <v>2553761</v>
      </c>
      <c r="X32" s="44">
        <f t="shared" si="21"/>
        <v>622.65000000000009</v>
      </c>
      <c r="Y32" s="51">
        <f t="shared" si="22"/>
        <v>12878924</v>
      </c>
      <c r="Z32" s="52">
        <f t="shared" si="23"/>
        <v>5499.0999999999995</v>
      </c>
      <c r="AA32" s="58">
        <f t="shared" si="24"/>
        <v>459755</v>
      </c>
      <c r="AB32" s="17">
        <f t="shared" si="25"/>
        <v>252.18</v>
      </c>
      <c r="AC32" s="101"/>
      <c r="AD32" s="555">
        <f t="shared" si="17"/>
        <v>104524977</v>
      </c>
      <c r="AE32" s="632">
        <f t="shared" si="17"/>
        <v>22442.880000000001</v>
      </c>
    </row>
    <row r="33" spans="1:31" hidden="1" outlineLevel="1">
      <c r="A33" s="114">
        <v>43128</v>
      </c>
      <c r="B33" s="115">
        <f t="shared" si="26"/>
        <v>1</v>
      </c>
      <c r="C33" s="35">
        <v>27052042</v>
      </c>
      <c r="D33" s="36">
        <v>6944.81</v>
      </c>
      <c r="E33" s="43">
        <v>20608720</v>
      </c>
      <c r="F33" s="44">
        <v>4126.4399999999996</v>
      </c>
      <c r="G33" s="51">
        <v>42252518</v>
      </c>
      <c r="H33" s="52">
        <v>11392.08</v>
      </c>
      <c r="I33" s="58">
        <v>3056084</v>
      </c>
      <c r="J33" s="17">
        <v>530.54999999999995</v>
      </c>
      <c r="K33" s="101"/>
      <c r="L33" s="35">
        <v>24828549</v>
      </c>
      <c r="M33" s="36">
        <v>3284.59</v>
      </c>
      <c r="N33" s="43">
        <v>17955745</v>
      </c>
      <c r="O33" s="44">
        <v>3449.7</v>
      </c>
      <c r="P33" s="51">
        <v>28122890</v>
      </c>
      <c r="Q33" s="52">
        <v>4737.8100000000004</v>
      </c>
      <c r="R33" s="58">
        <v>2803900</v>
      </c>
      <c r="S33" s="17">
        <v>297.64999999999998</v>
      </c>
      <c r="T33" s="101"/>
      <c r="U33" s="35">
        <f t="shared" si="18"/>
        <v>2223493</v>
      </c>
      <c r="V33" s="36">
        <f t="shared" si="19"/>
        <v>3660.2200000000003</v>
      </c>
      <c r="W33" s="43">
        <f t="shared" si="20"/>
        <v>2652975</v>
      </c>
      <c r="X33" s="44">
        <f t="shared" si="21"/>
        <v>676.73999999999978</v>
      </c>
      <c r="Y33" s="51">
        <f t="shared" si="22"/>
        <v>14129628</v>
      </c>
      <c r="Z33" s="52">
        <f t="shared" si="23"/>
        <v>6654.2699999999995</v>
      </c>
      <c r="AA33" s="58">
        <f t="shared" si="24"/>
        <v>252184</v>
      </c>
      <c r="AB33" s="17">
        <f t="shared" si="25"/>
        <v>232.89999999999998</v>
      </c>
      <c r="AC33" s="101"/>
      <c r="AD33" s="555">
        <f t="shared" si="17"/>
        <v>92969364</v>
      </c>
      <c r="AE33" s="632">
        <f t="shared" si="17"/>
        <v>22993.88</v>
      </c>
    </row>
    <row r="34" spans="1:31" hidden="1" outlineLevel="1">
      <c r="A34" s="114">
        <v>43129</v>
      </c>
      <c r="B34" s="115">
        <f t="shared" si="26"/>
        <v>1</v>
      </c>
      <c r="C34" s="35">
        <v>28240968</v>
      </c>
      <c r="D34" s="36">
        <v>8280.81</v>
      </c>
      <c r="E34" s="43">
        <v>19840859</v>
      </c>
      <c r="F34" s="44">
        <v>4834.1499999999996</v>
      </c>
      <c r="G34" s="51">
        <v>39995313</v>
      </c>
      <c r="H34" s="52">
        <v>12033.09</v>
      </c>
      <c r="I34" s="58">
        <v>3275154</v>
      </c>
      <c r="J34" s="17">
        <v>614.54</v>
      </c>
      <c r="K34" s="101"/>
      <c r="L34" s="35">
        <v>26068052</v>
      </c>
      <c r="M34" s="36">
        <v>4313.7700000000004</v>
      </c>
      <c r="N34" s="43">
        <v>17005388</v>
      </c>
      <c r="O34" s="44">
        <v>4062.93</v>
      </c>
      <c r="P34" s="51">
        <v>26078851</v>
      </c>
      <c r="Q34" s="52">
        <v>4677.3900000000003</v>
      </c>
      <c r="R34" s="58">
        <v>3030477</v>
      </c>
      <c r="S34" s="17">
        <v>363.27</v>
      </c>
      <c r="T34" s="101"/>
      <c r="U34" s="35">
        <f t="shared" si="18"/>
        <v>2172916</v>
      </c>
      <c r="V34" s="36">
        <f t="shared" si="19"/>
        <v>3967.0399999999991</v>
      </c>
      <c r="W34" s="43">
        <f t="shared" si="20"/>
        <v>2835471</v>
      </c>
      <c r="X34" s="44">
        <f t="shared" si="21"/>
        <v>771.2199999999998</v>
      </c>
      <c r="Y34" s="51">
        <f t="shared" si="22"/>
        <v>13916462</v>
      </c>
      <c r="Z34" s="52">
        <f t="shared" si="23"/>
        <v>7355.7</v>
      </c>
      <c r="AA34" s="58">
        <f t="shared" si="24"/>
        <v>244677</v>
      </c>
      <c r="AB34" s="17">
        <f t="shared" si="25"/>
        <v>251.26999999999998</v>
      </c>
      <c r="AC34" s="101"/>
      <c r="AD34" s="555">
        <f t="shared" si="17"/>
        <v>91352294</v>
      </c>
      <c r="AE34" s="632">
        <f t="shared" si="17"/>
        <v>25762.59</v>
      </c>
    </row>
    <row r="35" spans="1:31" hidden="1" outlineLevel="1">
      <c r="A35" s="114">
        <v>43130</v>
      </c>
      <c r="B35" s="115">
        <f t="shared" si="26"/>
        <v>1</v>
      </c>
      <c r="C35" s="35">
        <v>28640154</v>
      </c>
      <c r="D35" s="36">
        <v>8352.77</v>
      </c>
      <c r="E35" s="43">
        <v>20341494</v>
      </c>
      <c r="F35" s="44">
        <v>4862.1000000000004</v>
      </c>
      <c r="G35" s="51">
        <v>36356088</v>
      </c>
      <c r="H35" s="52">
        <v>10351.530000000001</v>
      </c>
      <c r="I35" s="58">
        <v>3628191</v>
      </c>
      <c r="J35" s="17">
        <v>666.61</v>
      </c>
      <c r="K35" s="101"/>
      <c r="L35" s="35">
        <v>26453415</v>
      </c>
      <c r="M35" s="36">
        <v>4401.38</v>
      </c>
      <c r="N35" s="43">
        <v>17499530</v>
      </c>
      <c r="O35" s="44">
        <v>4034.9</v>
      </c>
      <c r="P35" s="51">
        <v>28105835</v>
      </c>
      <c r="Q35" s="52">
        <v>5503</v>
      </c>
      <c r="R35" s="58">
        <v>3366609</v>
      </c>
      <c r="S35" s="17">
        <v>384.16</v>
      </c>
      <c r="T35" s="101"/>
      <c r="U35" s="35">
        <f t="shared" si="18"/>
        <v>2186739</v>
      </c>
      <c r="V35" s="36">
        <f t="shared" si="19"/>
        <v>3951.3900000000003</v>
      </c>
      <c r="W35" s="43">
        <f t="shared" si="20"/>
        <v>2841964</v>
      </c>
      <c r="X35" s="44">
        <f t="shared" si="21"/>
        <v>827.20000000000027</v>
      </c>
      <c r="Y35" s="51">
        <f t="shared" si="22"/>
        <v>8250253</v>
      </c>
      <c r="Z35" s="52">
        <f t="shared" si="23"/>
        <v>4848.5300000000007</v>
      </c>
      <c r="AA35" s="58">
        <f t="shared" si="24"/>
        <v>261582</v>
      </c>
      <c r="AB35" s="17">
        <f t="shared" si="25"/>
        <v>282.45</v>
      </c>
      <c r="AC35" s="101"/>
      <c r="AD35" s="555">
        <f t="shared" si="17"/>
        <v>88965927</v>
      </c>
      <c r="AE35" s="632">
        <f t="shared" si="17"/>
        <v>24233.010000000002</v>
      </c>
    </row>
    <row r="36" spans="1:31" hidden="1" outlineLevel="1">
      <c r="A36" s="114">
        <v>43131</v>
      </c>
      <c r="B36" s="115">
        <f t="shared" si="26"/>
        <v>1</v>
      </c>
      <c r="C36" s="35">
        <v>28463376</v>
      </c>
      <c r="D36" s="36">
        <v>8339.92</v>
      </c>
      <c r="E36" s="43">
        <v>19204832</v>
      </c>
      <c r="F36" s="44">
        <v>4406.34</v>
      </c>
      <c r="G36" s="51">
        <v>32991196</v>
      </c>
      <c r="H36" s="52">
        <v>8686.2999999999993</v>
      </c>
      <c r="I36" s="58">
        <v>3410331</v>
      </c>
      <c r="J36" s="17">
        <v>638.99</v>
      </c>
      <c r="K36" s="101"/>
      <c r="L36" s="35">
        <v>26324614</v>
      </c>
      <c r="M36" s="36">
        <v>4431.5</v>
      </c>
      <c r="N36" s="43">
        <v>16697895</v>
      </c>
      <c r="O36" s="44">
        <v>3712.12</v>
      </c>
      <c r="P36" s="51">
        <v>26085363</v>
      </c>
      <c r="Q36" s="52">
        <v>4577.3</v>
      </c>
      <c r="R36" s="58">
        <v>3167196</v>
      </c>
      <c r="S36" s="17">
        <v>359.14</v>
      </c>
      <c r="T36" s="101"/>
      <c r="U36" s="35">
        <f t="shared" si="18"/>
        <v>2138762</v>
      </c>
      <c r="V36" s="36">
        <f t="shared" si="19"/>
        <v>3908.42</v>
      </c>
      <c r="W36" s="43">
        <f t="shared" si="20"/>
        <v>2506937</v>
      </c>
      <c r="X36" s="44">
        <f t="shared" si="21"/>
        <v>694.22000000000025</v>
      </c>
      <c r="Y36" s="51">
        <f t="shared" si="22"/>
        <v>6905833</v>
      </c>
      <c r="Z36" s="52">
        <f t="shared" si="23"/>
        <v>4108.9999999999991</v>
      </c>
      <c r="AA36" s="58">
        <f t="shared" si="24"/>
        <v>243135</v>
      </c>
      <c r="AB36" s="17">
        <f t="shared" si="25"/>
        <v>279.85000000000002</v>
      </c>
      <c r="AC36" s="101"/>
      <c r="AD36" s="555">
        <f t="shared" si="17"/>
        <v>84069735</v>
      </c>
      <c r="AE36" s="632">
        <f t="shared" si="17"/>
        <v>22071.55</v>
      </c>
    </row>
    <row r="37" spans="1:31" collapsed="1">
      <c r="A37" s="104"/>
      <c r="B37" s="104" t="s">
        <v>15</v>
      </c>
      <c r="C37" s="105">
        <f>SUBTOTAL(9,C38:C65)</f>
        <v>833934912</v>
      </c>
      <c r="D37" s="106">
        <f t="shared" ref="D37:J37" si="27">SUBTOTAL(9,D38:D65)</f>
        <v>216045.23000000007</v>
      </c>
      <c r="E37" s="107">
        <f t="shared" si="27"/>
        <v>640353919</v>
      </c>
      <c r="F37" s="108">
        <f t="shared" si="27"/>
        <v>118213.66</v>
      </c>
      <c r="G37" s="109">
        <f t="shared" si="27"/>
        <v>1266919294</v>
      </c>
      <c r="H37" s="110">
        <f t="shared" si="27"/>
        <v>267740.78999999998</v>
      </c>
      <c r="I37" s="111">
        <f t="shared" si="27"/>
        <v>100703382</v>
      </c>
      <c r="J37" s="14">
        <f t="shared" si="27"/>
        <v>16223.649999999996</v>
      </c>
      <c r="K37" s="103"/>
      <c r="L37" s="105">
        <f>SUBTOTAL(9,L38:L65)</f>
        <v>776784349</v>
      </c>
      <c r="M37" s="106">
        <f t="shared" ref="M37" si="28">SUBTOTAL(9,M38:M65)</f>
        <v>99888.500000000015</v>
      </c>
      <c r="N37" s="107">
        <f t="shared" ref="N37" si="29">SUBTOTAL(9,N38:N65)</f>
        <v>559835027</v>
      </c>
      <c r="O37" s="108">
        <f t="shared" ref="O37" si="30">SUBTOTAL(9,O38:O65)</f>
        <v>94450.7</v>
      </c>
      <c r="P37" s="109">
        <f t="shared" ref="P37" si="31">SUBTOTAL(9,P38:P65)</f>
        <v>854430643</v>
      </c>
      <c r="Q37" s="110">
        <f t="shared" ref="Q37" si="32">SUBTOTAL(9,Q38:Q65)</f>
        <v>114441.33999999997</v>
      </c>
      <c r="R37" s="111">
        <f t="shared" ref="R37" si="33">SUBTOTAL(9,R38:R65)</f>
        <v>87725110</v>
      </c>
      <c r="S37" s="14">
        <f t="shared" ref="S37" si="34">SUBTOTAL(9,S38:S65)</f>
        <v>7885.42</v>
      </c>
      <c r="T37" s="103"/>
      <c r="U37" s="105">
        <f>SUBTOTAL(9,U38:U65)</f>
        <v>57150563</v>
      </c>
      <c r="V37" s="106">
        <f t="shared" ref="V37" si="35">SUBTOTAL(9,V38:V65)</f>
        <v>116156.72999999998</v>
      </c>
      <c r="W37" s="107">
        <f t="shared" ref="W37" si="36">SUBTOTAL(9,W38:W65)</f>
        <v>80518892</v>
      </c>
      <c r="X37" s="108">
        <f t="shared" ref="X37" si="37">SUBTOTAL(9,X38:X65)</f>
        <v>23762.960000000003</v>
      </c>
      <c r="Y37" s="109">
        <f t="shared" ref="Y37" si="38">SUBTOTAL(9,Y38:Y65)</f>
        <v>412488651</v>
      </c>
      <c r="Z37" s="110">
        <f t="shared" ref="Z37" si="39">SUBTOTAL(9,Z38:Z65)</f>
        <v>153299.45000000001</v>
      </c>
      <c r="AA37" s="111">
        <f t="shared" ref="AA37" si="40">SUBTOTAL(9,AA38:AA65)</f>
        <v>12978272</v>
      </c>
      <c r="AB37" s="14">
        <f t="shared" ref="AB37" si="41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26"/>
        <v>2</v>
      </c>
      <c r="C38" s="35">
        <v>28994032</v>
      </c>
      <c r="D38" s="36">
        <v>8164.9</v>
      </c>
      <c r="E38" s="43">
        <v>19140126</v>
      </c>
      <c r="F38" s="44">
        <v>5358.43</v>
      </c>
      <c r="G38" s="51">
        <v>33224163</v>
      </c>
      <c r="H38" s="52">
        <v>7834.77</v>
      </c>
      <c r="I38" s="58">
        <v>3262505</v>
      </c>
      <c r="J38" s="17">
        <v>615.28</v>
      </c>
      <c r="K38" s="101"/>
      <c r="L38" s="35">
        <v>26782754</v>
      </c>
      <c r="M38" s="36">
        <v>4353.1400000000003</v>
      </c>
      <c r="N38" s="43">
        <v>16481943</v>
      </c>
      <c r="O38" s="44">
        <v>4625.96</v>
      </c>
      <c r="P38" s="51">
        <v>26055664</v>
      </c>
      <c r="Q38" s="52">
        <v>4181.3999999999996</v>
      </c>
      <c r="R38" s="58">
        <v>3016256</v>
      </c>
      <c r="S38" s="17">
        <v>343.75</v>
      </c>
      <c r="T38" s="101"/>
      <c r="U38" s="35">
        <f t="shared" si="18"/>
        <v>2211278</v>
      </c>
      <c r="V38" s="36">
        <f t="shared" si="19"/>
        <v>3811.7599999999993</v>
      </c>
      <c r="W38" s="43">
        <f t="shared" si="20"/>
        <v>2658183</v>
      </c>
      <c r="X38" s="44">
        <f t="shared" si="21"/>
        <v>732.47000000000025</v>
      </c>
      <c r="Y38" s="51">
        <f t="shared" si="22"/>
        <v>7168499</v>
      </c>
      <c r="Z38" s="52">
        <f t="shared" si="23"/>
        <v>3653.3700000000008</v>
      </c>
      <c r="AA38" s="58">
        <f t="shared" si="24"/>
        <v>246249</v>
      </c>
      <c r="AB38" s="17">
        <f t="shared" si="25"/>
        <v>271.52999999999997</v>
      </c>
      <c r="AC38" s="101"/>
      <c r="AD38" s="555">
        <f t="shared" ref="AD38:AE65" si="42">SUM(C38,E38,G38,I38)</f>
        <v>84620826</v>
      </c>
      <c r="AE38" s="632">
        <f t="shared" si="42"/>
        <v>21973.379999999997</v>
      </c>
    </row>
    <row r="39" spans="1:31" hidden="1" outlineLevel="1">
      <c r="A39" s="97">
        <v>43133</v>
      </c>
      <c r="B39" s="98">
        <f t="shared" si="26"/>
        <v>2</v>
      </c>
      <c r="C39" s="35">
        <v>30826343</v>
      </c>
      <c r="D39" s="36">
        <v>8970.68</v>
      </c>
      <c r="E39" s="43">
        <v>24236511</v>
      </c>
      <c r="F39" s="44">
        <v>6481.92</v>
      </c>
      <c r="G39" s="51">
        <v>44234373</v>
      </c>
      <c r="H39" s="52">
        <v>10314.64</v>
      </c>
      <c r="I39" s="58">
        <v>3560151</v>
      </c>
      <c r="J39" s="17">
        <v>671.73</v>
      </c>
      <c r="K39" s="101"/>
      <c r="L39" s="35">
        <v>28486298</v>
      </c>
      <c r="M39" s="36">
        <v>4813.74</v>
      </c>
      <c r="N39" s="43">
        <v>20957767</v>
      </c>
      <c r="O39" s="44">
        <v>5528.06</v>
      </c>
      <c r="P39" s="51">
        <v>32542320</v>
      </c>
      <c r="Q39" s="52">
        <v>5395.27</v>
      </c>
      <c r="R39" s="58">
        <v>3264744</v>
      </c>
      <c r="S39" s="17">
        <v>373.01</v>
      </c>
      <c r="T39" s="101"/>
      <c r="U39" s="35">
        <f t="shared" si="18"/>
        <v>2340045</v>
      </c>
      <c r="V39" s="36">
        <f t="shared" si="19"/>
        <v>4156.9400000000005</v>
      </c>
      <c r="W39" s="43">
        <f t="shared" si="20"/>
        <v>3278744</v>
      </c>
      <c r="X39" s="44">
        <f t="shared" si="21"/>
        <v>953.85999999999967</v>
      </c>
      <c r="Y39" s="51">
        <f t="shared" si="22"/>
        <v>11692053</v>
      </c>
      <c r="Z39" s="52">
        <f t="shared" si="23"/>
        <v>4919.369999999999</v>
      </c>
      <c r="AA39" s="58">
        <f t="shared" si="24"/>
        <v>295407</v>
      </c>
      <c r="AB39" s="17">
        <f t="shared" si="25"/>
        <v>298.72000000000003</v>
      </c>
      <c r="AC39" s="101"/>
      <c r="AD39" s="555">
        <f t="shared" si="42"/>
        <v>102857378</v>
      </c>
      <c r="AE39" s="632">
        <f t="shared" si="42"/>
        <v>26438.969999999998</v>
      </c>
    </row>
    <row r="40" spans="1:31" hidden="1" outlineLevel="1">
      <c r="A40" s="97">
        <v>43134</v>
      </c>
      <c r="B40" s="98">
        <f t="shared" si="26"/>
        <v>2</v>
      </c>
      <c r="C40" s="35">
        <v>31845492</v>
      </c>
      <c r="D40" s="36">
        <v>8423.64</v>
      </c>
      <c r="E40" s="43">
        <v>26018733</v>
      </c>
      <c r="F40" s="44">
        <v>5775.16</v>
      </c>
      <c r="G40" s="51">
        <v>46833929</v>
      </c>
      <c r="H40" s="52">
        <v>10485.620000000001</v>
      </c>
      <c r="I40" s="58">
        <v>3760536</v>
      </c>
      <c r="J40" s="17">
        <v>633.08000000000004</v>
      </c>
      <c r="K40" s="101"/>
      <c r="L40" s="35">
        <v>29481694</v>
      </c>
      <c r="M40" s="36">
        <v>4472.38</v>
      </c>
      <c r="N40" s="43">
        <v>22139865</v>
      </c>
      <c r="O40" s="44">
        <v>4699.88</v>
      </c>
      <c r="P40" s="51">
        <v>34932336</v>
      </c>
      <c r="Q40" s="52">
        <v>5527.3</v>
      </c>
      <c r="R40" s="58">
        <v>3393130</v>
      </c>
      <c r="S40" s="17">
        <v>352.77</v>
      </c>
      <c r="T40" s="101"/>
      <c r="U40" s="35">
        <f t="shared" si="18"/>
        <v>2363798</v>
      </c>
      <c r="V40" s="36">
        <f t="shared" si="19"/>
        <v>3951.2599999999993</v>
      </c>
      <c r="W40" s="43">
        <f t="shared" si="20"/>
        <v>3878868</v>
      </c>
      <c r="X40" s="44">
        <f t="shared" si="21"/>
        <v>1075.2799999999997</v>
      </c>
      <c r="Y40" s="51">
        <f t="shared" si="22"/>
        <v>11901593</v>
      </c>
      <c r="Z40" s="52">
        <f t="shared" si="23"/>
        <v>4958.3200000000006</v>
      </c>
      <c r="AA40" s="58">
        <f t="shared" si="24"/>
        <v>367406</v>
      </c>
      <c r="AB40" s="17">
        <f t="shared" si="25"/>
        <v>280.31000000000006</v>
      </c>
      <c r="AC40" s="101"/>
      <c r="AD40" s="555">
        <f t="shared" si="42"/>
        <v>108458690</v>
      </c>
      <c r="AE40" s="632">
        <f t="shared" si="42"/>
        <v>25317.5</v>
      </c>
    </row>
    <row r="41" spans="1:31" hidden="1" outlineLevel="1">
      <c r="A41" s="97">
        <v>43135</v>
      </c>
      <c r="B41" s="98">
        <f t="shared" si="26"/>
        <v>2</v>
      </c>
      <c r="C41" s="35">
        <v>28798873</v>
      </c>
      <c r="D41" s="36">
        <v>8437.99</v>
      </c>
      <c r="E41" s="43">
        <v>19441360</v>
      </c>
      <c r="F41" s="44">
        <v>4623.3</v>
      </c>
      <c r="G41" s="51">
        <v>37039568</v>
      </c>
      <c r="H41" s="52">
        <v>9677.0400000000009</v>
      </c>
      <c r="I41" s="58">
        <v>3500808</v>
      </c>
      <c r="J41" s="17">
        <v>631.24</v>
      </c>
      <c r="K41" s="101"/>
      <c r="L41" s="35">
        <v>26635845</v>
      </c>
      <c r="M41" s="36">
        <v>4153.99</v>
      </c>
      <c r="N41" s="43">
        <v>16820410</v>
      </c>
      <c r="O41" s="44">
        <v>3876.16</v>
      </c>
      <c r="P41" s="51">
        <v>27565841</v>
      </c>
      <c r="Q41" s="52">
        <v>4649.49</v>
      </c>
      <c r="R41" s="58">
        <v>3146276</v>
      </c>
      <c r="S41" s="17">
        <v>329.4</v>
      </c>
      <c r="T41" s="101"/>
      <c r="U41" s="35">
        <f t="shared" si="18"/>
        <v>2163028</v>
      </c>
      <c r="V41" s="36">
        <f t="shared" si="19"/>
        <v>4284</v>
      </c>
      <c r="W41" s="43">
        <f t="shared" si="20"/>
        <v>2620950</v>
      </c>
      <c r="X41" s="44">
        <f t="shared" si="21"/>
        <v>747.14000000000033</v>
      </c>
      <c r="Y41" s="51">
        <f t="shared" si="22"/>
        <v>9473727</v>
      </c>
      <c r="Z41" s="52">
        <f t="shared" si="23"/>
        <v>5027.5500000000011</v>
      </c>
      <c r="AA41" s="58">
        <f t="shared" si="24"/>
        <v>354532</v>
      </c>
      <c r="AB41" s="17">
        <f t="shared" si="25"/>
        <v>301.84000000000003</v>
      </c>
      <c r="AC41" s="101"/>
      <c r="AD41" s="555">
        <f t="shared" si="42"/>
        <v>88780609</v>
      </c>
      <c r="AE41" s="632">
        <f t="shared" si="42"/>
        <v>23369.570000000003</v>
      </c>
    </row>
    <row r="42" spans="1:31" hidden="1" outlineLevel="1">
      <c r="A42" s="97">
        <v>43136</v>
      </c>
      <c r="B42" s="98">
        <f t="shared" si="26"/>
        <v>2</v>
      </c>
      <c r="C42" s="35">
        <v>27609119</v>
      </c>
      <c r="D42" s="36">
        <v>9410.24</v>
      </c>
      <c r="E42" s="43">
        <v>18088263</v>
      </c>
      <c r="F42" s="44">
        <v>4430.93</v>
      </c>
      <c r="G42" s="51">
        <v>34735297</v>
      </c>
      <c r="H42" s="52">
        <v>11245.72</v>
      </c>
      <c r="I42" s="58">
        <v>3364285</v>
      </c>
      <c r="J42" s="17">
        <v>670.29</v>
      </c>
      <c r="K42" s="101"/>
      <c r="L42" s="35">
        <v>25587208</v>
      </c>
      <c r="M42" s="36">
        <v>4401.63</v>
      </c>
      <c r="N42" s="43">
        <v>15755469</v>
      </c>
      <c r="O42" s="44">
        <v>3733.98</v>
      </c>
      <c r="P42" s="51">
        <v>24936296</v>
      </c>
      <c r="Q42" s="52">
        <v>4405.28</v>
      </c>
      <c r="R42" s="58">
        <v>3013604</v>
      </c>
      <c r="S42" s="17">
        <v>343.25</v>
      </c>
      <c r="T42" s="101"/>
      <c r="U42" s="35">
        <f t="shared" si="18"/>
        <v>2021911</v>
      </c>
      <c r="V42" s="36">
        <f t="shared" si="19"/>
        <v>5008.6099999999997</v>
      </c>
      <c r="W42" s="43">
        <f t="shared" si="20"/>
        <v>2332794</v>
      </c>
      <c r="X42" s="44">
        <f t="shared" si="21"/>
        <v>696.95000000000027</v>
      </c>
      <c r="Y42" s="51">
        <f t="shared" si="22"/>
        <v>9799001</v>
      </c>
      <c r="Z42" s="52">
        <f t="shared" si="23"/>
        <v>6840.44</v>
      </c>
      <c r="AA42" s="58">
        <f t="shared" si="24"/>
        <v>350681</v>
      </c>
      <c r="AB42" s="17">
        <f t="shared" si="25"/>
        <v>327.03999999999996</v>
      </c>
      <c r="AC42" s="101"/>
      <c r="AD42" s="555">
        <f t="shared" si="42"/>
        <v>83796964</v>
      </c>
      <c r="AE42" s="632">
        <f t="shared" si="42"/>
        <v>25757.18</v>
      </c>
    </row>
    <row r="43" spans="1:31" hidden="1" outlineLevel="1">
      <c r="A43" s="97">
        <v>43137</v>
      </c>
      <c r="B43" s="98">
        <f t="shared" si="26"/>
        <v>2</v>
      </c>
      <c r="C43" s="35">
        <v>27363609</v>
      </c>
      <c r="D43" s="36">
        <v>9410.43</v>
      </c>
      <c r="E43" s="43">
        <v>18047279</v>
      </c>
      <c r="F43" s="44">
        <v>4595.8</v>
      </c>
      <c r="G43" s="51">
        <v>38120981</v>
      </c>
      <c r="H43" s="52">
        <v>12717.02</v>
      </c>
      <c r="I43" s="58">
        <v>3310363</v>
      </c>
      <c r="J43" s="17">
        <v>674.03</v>
      </c>
      <c r="K43" s="101"/>
      <c r="L43" s="35">
        <v>25224427</v>
      </c>
      <c r="M43" s="36">
        <v>4359.5</v>
      </c>
      <c r="N43" s="43">
        <v>15651898</v>
      </c>
      <c r="O43" s="44">
        <v>3845.04</v>
      </c>
      <c r="P43" s="51">
        <v>26406751</v>
      </c>
      <c r="Q43" s="52">
        <v>4988.54</v>
      </c>
      <c r="R43" s="58">
        <v>2998633</v>
      </c>
      <c r="S43" s="17">
        <v>344.53</v>
      </c>
      <c r="T43" s="101"/>
      <c r="U43" s="35">
        <f t="shared" si="18"/>
        <v>2139182</v>
      </c>
      <c r="V43" s="36">
        <f t="shared" si="19"/>
        <v>5050.93</v>
      </c>
      <c r="W43" s="43">
        <f t="shared" si="20"/>
        <v>2395381</v>
      </c>
      <c r="X43" s="44">
        <f t="shared" si="21"/>
        <v>750.76000000000022</v>
      </c>
      <c r="Y43" s="51">
        <f t="shared" si="22"/>
        <v>11714230</v>
      </c>
      <c r="Z43" s="52">
        <f t="shared" si="23"/>
        <v>7728.4800000000005</v>
      </c>
      <c r="AA43" s="58">
        <f t="shared" si="24"/>
        <v>311730</v>
      </c>
      <c r="AB43" s="17">
        <f t="shared" si="25"/>
        <v>329.5</v>
      </c>
      <c r="AC43" s="101"/>
      <c r="AD43" s="555">
        <f t="shared" si="42"/>
        <v>86842232</v>
      </c>
      <c r="AE43" s="632">
        <f t="shared" si="42"/>
        <v>27397.279999999999</v>
      </c>
    </row>
    <row r="44" spans="1:31" hidden="1" outlineLevel="1">
      <c r="A44" s="97">
        <v>43138</v>
      </c>
      <c r="B44" s="98">
        <f t="shared" si="26"/>
        <v>2</v>
      </c>
      <c r="C44" s="35">
        <v>28092175</v>
      </c>
      <c r="D44" s="36">
        <v>8412.75</v>
      </c>
      <c r="E44" s="43">
        <v>18823692</v>
      </c>
      <c r="F44" s="44">
        <v>4110.82</v>
      </c>
      <c r="G44" s="51">
        <v>40738349</v>
      </c>
      <c r="H44" s="52">
        <v>11607.74</v>
      </c>
      <c r="I44" s="58">
        <v>3317414</v>
      </c>
      <c r="J44" s="17">
        <v>615.67999999999995</v>
      </c>
      <c r="K44" s="101"/>
      <c r="L44" s="35">
        <v>26012486</v>
      </c>
      <c r="M44" s="36">
        <v>4075.4</v>
      </c>
      <c r="N44" s="43">
        <v>16319384</v>
      </c>
      <c r="O44" s="44">
        <v>3424.34</v>
      </c>
      <c r="P44" s="51">
        <v>26261528</v>
      </c>
      <c r="Q44" s="52">
        <v>4079.58</v>
      </c>
      <c r="R44" s="58">
        <v>2995583</v>
      </c>
      <c r="S44" s="17">
        <v>319.67</v>
      </c>
      <c r="T44" s="101"/>
      <c r="U44" s="35">
        <f t="shared" si="18"/>
        <v>2079689</v>
      </c>
      <c r="V44" s="36">
        <f t="shared" si="19"/>
        <v>4337.3500000000004</v>
      </c>
      <c r="W44" s="43">
        <f t="shared" si="20"/>
        <v>2504308</v>
      </c>
      <c r="X44" s="44">
        <f t="shared" si="21"/>
        <v>686.47999999999956</v>
      </c>
      <c r="Y44" s="51">
        <f t="shared" si="22"/>
        <v>14476821</v>
      </c>
      <c r="Z44" s="52">
        <f t="shared" si="23"/>
        <v>7528.16</v>
      </c>
      <c r="AA44" s="58">
        <f t="shared" si="24"/>
        <v>321831</v>
      </c>
      <c r="AB44" s="17">
        <f t="shared" si="25"/>
        <v>296.00999999999993</v>
      </c>
      <c r="AC44" s="101"/>
      <c r="AD44" s="555">
        <f t="shared" si="42"/>
        <v>90971630</v>
      </c>
      <c r="AE44" s="632">
        <f t="shared" si="42"/>
        <v>24746.989999999998</v>
      </c>
    </row>
    <row r="45" spans="1:31" hidden="1" outlineLevel="1">
      <c r="A45" s="97">
        <v>43139</v>
      </c>
      <c r="B45" s="98">
        <f t="shared" si="26"/>
        <v>2</v>
      </c>
      <c r="C45" s="35">
        <v>28852875</v>
      </c>
      <c r="D45" s="36">
        <v>8103.53</v>
      </c>
      <c r="E45" s="43">
        <v>20464476</v>
      </c>
      <c r="F45" s="44">
        <v>4148.3500000000004</v>
      </c>
      <c r="G45" s="51">
        <v>39992881</v>
      </c>
      <c r="H45" s="52">
        <v>9059.9500000000007</v>
      </c>
      <c r="I45" s="58">
        <v>3346878</v>
      </c>
      <c r="J45" s="17">
        <v>616.75</v>
      </c>
      <c r="K45" s="101"/>
      <c r="L45" s="35">
        <v>26828356</v>
      </c>
      <c r="M45" s="36">
        <v>3852.71</v>
      </c>
      <c r="N45" s="43">
        <v>17732022</v>
      </c>
      <c r="O45" s="44">
        <v>3415.06</v>
      </c>
      <c r="P45" s="51">
        <v>26574771</v>
      </c>
      <c r="Q45" s="52">
        <v>3703.27</v>
      </c>
      <c r="R45" s="58">
        <v>3003820</v>
      </c>
      <c r="S45" s="17">
        <v>315.49</v>
      </c>
      <c r="T45" s="101"/>
      <c r="U45" s="35">
        <f t="shared" si="18"/>
        <v>2024519</v>
      </c>
      <c r="V45" s="36">
        <f t="shared" si="19"/>
        <v>4250.82</v>
      </c>
      <c r="W45" s="43">
        <f t="shared" si="20"/>
        <v>2732454</v>
      </c>
      <c r="X45" s="44">
        <f t="shared" si="21"/>
        <v>733.29000000000042</v>
      </c>
      <c r="Y45" s="51">
        <f t="shared" si="22"/>
        <v>13418110</v>
      </c>
      <c r="Z45" s="52">
        <f t="shared" si="23"/>
        <v>5356.68</v>
      </c>
      <c r="AA45" s="58">
        <f t="shared" si="24"/>
        <v>343058</v>
      </c>
      <c r="AB45" s="17">
        <f t="shared" si="25"/>
        <v>301.26</v>
      </c>
      <c r="AC45" s="101"/>
      <c r="AD45" s="555">
        <f t="shared" si="42"/>
        <v>92657110</v>
      </c>
      <c r="AE45" s="632">
        <f t="shared" si="42"/>
        <v>21928.58</v>
      </c>
    </row>
    <row r="46" spans="1:31" hidden="1" outlineLevel="1">
      <c r="A46" s="97">
        <v>43140</v>
      </c>
      <c r="B46" s="98">
        <f t="shared" si="26"/>
        <v>2</v>
      </c>
      <c r="C46" s="35">
        <v>30203335</v>
      </c>
      <c r="D46" s="36">
        <v>8773.52</v>
      </c>
      <c r="E46" s="43">
        <v>24637247</v>
      </c>
      <c r="F46" s="44">
        <v>4746.6400000000003</v>
      </c>
      <c r="G46" s="51">
        <v>49051620</v>
      </c>
      <c r="H46" s="52">
        <v>12781.08</v>
      </c>
      <c r="I46" s="58">
        <v>3388502</v>
      </c>
      <c r="J46" s="17">
        <v>592.70000000000005</v>
      </c>
      <c r="K46" s="101"/>
      <c r="L46" s="35">
        <v>28119608</v>
      </c>
      <c r="M46" s="36">
        <v>4368.4799999999996</v>
      </c>
      <c r="N46" s="43">
        <v>21562756</v>
      </c>
      <c r="O46" s="44">
        <v>3968.8</v>
      </c>
      <c r="P46" s="51">
        <v>29875588</v>
      </c>
      <c r="Q46" s="52">
        <v>4896.95</v>
      </c>
      <c r="R46" s="58">
        <v>3006709</v>
      </c>
      <c r="S46" s="17">
        <v>308.27999999999997</v>
      </c>
      <c r="T46" s="101"/>
      <c r="U46" s="35">
        <f t="shared" si="18"/>
        <v>2083727</v>
      </c>
      <c r="V46" s="36">
        <f t="shared" si="19"/>
        <v>4405.0400000000009</v>
      </c>
      <c r="W46" s="43">
        <f t="shared" si="20"/>
        <v>3074491</v>
      </c>
      <c r="X46" s="44">
        <f t="shared" si="21"/>
        <v>777.84000000000015</v>
      </c>
      <c r="Y46" s="51">
        <f t="shared" si="22"/>
        <v>19176032</v>
      </c>
      <c r="Z46" s="52">
        <f t="shared" si="23"/>
        <v>7884.13</v>
      </c>
      <c r="AA46" s="58">
        <f t="shared" si="24"/>
        <v>381793</v>
      </c>
      <c r="AB46" s="17">
        <f t="shared" si="25"/>
        <v>284.42000000000007</v>
      </c>
      <c r="AC46" s="101"/>
      <c r="AD46" s="555">
        <f t="shared" si="42"/>
        <v>107280704</v>
      </c>
      <c r="AE46" s="632">
        <f t="shared" si="42"/>
        <v>26893.94</v>
      </c>
    </row>
    <row r="47" spans="1:31" hidden="1" outlineLevel="1">
      <c r="A47" s="97">
        <v>43141</v>
      </c>
      <c r="B47" s="98">
        <f t="shared" si="26"/>
        <v>2</v>
      </c>
      <c r="C47" s="35">
        <v>31399101</v>
      </c>
      <c r="D47" s="36">
        <v>8940</v>
      </c>
      <c r="E47" s="43">
        <v>26011955</v>
      </c>
      <c r="F47" s="44">
        <v>4451.07</v>
      </c>
      <c r="G47" s="51">
        <v>62702452</v>
      </c>
      <c r="H47" s="52">
        <v>11068.45</v>
      </c>
      <c r="I47" s="58">
        <v>3529403</v>
      </c>
      <c r="J47" s="17">
        <v>582.33000000000004</v>
      </c>
      <c r="K47" s="101"/>
      <c r="L47" s="35">
        <v>29177779</v>
      </c>
      <c r="M47" s="36">
        <v>4577.47</v>
      </c>
      <c r="N47" s="43">
        <v>22971017</v>
      </c>
      <c r="O47" s="44">
        <v>3727.5</v>
      </c>
      <c r="P47" s="51">
        <v>32693284</v>
      </c>
      <c r="Q47" s="52">
        <v>4866.93</v>
      </c>
      <c r="R47" s="58">
        <v>3089608</v>
      </c>
      <c r="S47" s="17">
        <v>311.32</v>
      </c>
      <c r="T47" s="101"/>
      <c r="U47" s="35">
        <f t="shared" si="18"/>
        <v>2221322</v>
      </c>
      <c r="V47" s="36">
        <f t="shared" si="19"/>
        <v>4362.53</v>
      </c>
      <c r="W47" s="43">
        <f t="shared" si="20"/>
        <v>3040938</v>
      </c>
      <c r="X47" s="44">
        <f t="shared" si="21"/>
        <v>723.56999999999971</v>
      </c>
      <c r="Y47" s="51">
        <f t="shared" si="22"/>
        <v>30009168</v>
      </c>
      <c r="Z47" s="52">
        <f t="shared" si="23"/>
        <v>6201.52</v>
      </c>
      <c r="AA47" s="58">
        <f t="shared" si="24"/>
        <v>439795</v>
      </c>
      <c r="AB47" s="17">
        <f t="shared" si="25"/>
        <v>271.01000000000005</v>
      </c>
      <c r="AC47" s="101"/>
      <c r="AD47" s="555">
        <f t="shared" si="42"/>
        <v>123642911</v>
      </c>
      <c r="AE47" s="632">
        <f t="shared" si="42"/>
        <v>25041.850000000002</v>
      </c>
    </row>
    <row r="48" spans="1:31" hidden="1" outlineLevel="1">
      <c r="A48" s="97">
        <v>43142</v>
      </c>
      <c r="B48" s="98">
        <f t="shared" si="26"/>
        <v>2</v>
      </c>
      <c r="C48" s="35">
        <v>31168228</v>
      </c>
      <c r="D48" s="36">
        <v>8074.35</v>
      </c>
      <c r="E48" s="43">
        <v>26028766</v>
      </c>
      <c r="F48" s="44">
        <v>4189.3599999999997</v>
      </c>
      <c r="G48" s="51">
        <v>66997235</v>
      </c>
      <c r="H48" s="52">
        <v>9349.3799999999992</v>
      </c>
      <c r="I48" s="58">
        <v>3526131</v>
      </c>
      <c r="J48" s="17">
        <v>530.05999999999995</v>
      </c>
      <c r="K48" s="101"/>
      <c r="L48" s="35">
        <v>29096270</v>
      </c>
      <c r="M48" s="36">
        <v>3923.33</v>
      </c>
      <c r="N48" s="43">
        <v>23159197</v>
      </c>
      <c r="O48" s="44">
        <v>3497.23</v>
      </c>
      <c r="P48" s="51">
        <v>34580619</v>
      </c>
      <c r="Q48" s="52">
        <v>4435.7700000000004</v>
      </c>
      <c r="R48" s="58">
        <v>3112229</v>
      </c>
      <c r="S48" s="17">
        <v>270.98</v>
      </c>
      <c r="T48" s="101"/>
      <c r="U48" s="35">
        <f t="shared" si="18"/>
        <v>2071958</v>
      </c>
      <c r="V48" s="36">
        <f t="shared" si="19"/>
        <v>4151.0200000000004</v>
      </c>
      <c r="W48" s="43">
        <f t="shared" si="20"/>
        <v>2869569</v>
      </c>
      <c r="X48" s="44">
        <f t="shared" si="21"/>
        <v>692.12999999999965</v>
      </c>
      <c r="Y48" s="51">
        <f t="shared" si="22"/>
        <v>32416616</v>
      </c>
      <c r="Z48" s="52">
        <f t="shared" si="23"/>
        <v>4913.6099999999988</v>
      </c>
      <c r="AA48" s="58">
        <f t="shared" si="24"/>
        <v>413902</v>
      </c>
      <c r="AB48" s="17">
        <f t="shared" si="25"/>
        <v>259.07999999999993</v>
      </c>
      <c r="AC48" s="101"/>
      <c r="AD48" s="555">
        <f t="shared" si="42"/>
        <v>127720360</v>
      </c>
      <c r="AE48" s="632">
        <f t="shared" si="42"/>
        <v>22143.149999999998</v>
      </c>
    </row>
    <row r="49" spans="1:31" hidden="1" outlineLevel="1">
      <c r="A49" s="97">
        <v>43143</v>
      </c>
      <c r="B49" s="98">
        <f t="shared" si="26"/>
        <v>2</v>
      </c>
      <c r="C49" s="35">
        <v>30904492</v>
      </c>
      <c r="D49" s="36">
        <v>8448.59</v>
      </c>
      <c r="E49" s="43">
        <v>25890939</v>
      </c>
      <c r="F49" s="44">
        <v>4086.25</v>
      </c>
      <c r="G49" s="51">
        <v>50460335</v>
      </c>
      <c r="H49" s="52">
        <v>8423.9699999999993</v>
      </c>
      <c r="I49" s="58">
        <v>3537158</v>
      </c>
      <c r="J49" s="17">
        <v>578.53</v>
      </c>
      <c r="K49" s="101"/>
      <c r="L49" s="35">
        <v>28905900</v>
      </c>
      <c r="M49" s="36">
        <v>4315.38</v>
      </c>
      <c r="N49" s="43">
        <v>23103863</v>
      </c>
      <c r="O49" s="44">
        <v>3382.77</v>
      </c>
      <c r="P49" s="51">
        <v>30704251</v>
      </c>
      <c r="Q49" s="52">
        <v>3715.94</v>
      </c>
      <c r="R49" s="58">
        <v>3187566</v>
      </c>
      <c r="S49" s="17">
        <v>304.81</v>
      </c>
      <c r="T49" s="101"/>
      <c r="U49" s="35">
        <f t="shared" si="18"/>
        <v>1998592</v>
      </c>
      <c r="V49" s="36">
        <f t="shared" si="19"/>
        <v>4133.21</v>
      </c>
      <c r="W49" s="43">
        <f t="shared" si="20"/>
        <v>2787076</v>
      </c>
      <c r="X49" s="44">
        <f t="shared" si="21"/>
        <v>703.48</v>
      </c>
      <c r="Y49" s="51">
        <f t="shared" si="22"/>
        <v>19756084</v>
      </c>
      <c r="Z49" s="52">
        <f t="shared" si="23"/>
        <v>4708.0299999999988</v>
      </c>
      <c r="AA49" s="58">
        <f t="shared" si="24"/>
        <v>349592</v>
      </c>
      <c r="AB49" s="17">
        <f t="shared" si="25"/>
        <v>273.71999999999997</v>
      </c>
      <c r="AC49" s="101"/>
      <c r="AD49" s="555">
        <f t="shared" si="42"/>
        <v>110792924</v>
      </c>
      <c r="AE49" s="632">
        <f t="shared" si="42"/>
        <v>21537.339999999997</v>
      </c>
    </row>
    <row r="50" spans="1:31" hidden="1" outlineLevel="1">
      <c r="A50" s="97">
        <v>43144</v>
      </c>
      <c r="B50" s="98">
        <f t="shared" si="26"/>
        <v>2</v>
      </c>
      <c r="C50" s="35">
        <v>30729977</v>
      </c>
      <c r="D50" s="36">
        <v>8689.49</v>
      </c>
      <c r="E50" s="43">
        <v>25724634</v>
      </c>
      <c r="F50" s="44">
        <v>4183.78</v>
      </c>
      <c r="G50" s="51">
        <v>42248153</v>
      </c>
      <c r="H50" s="52">
        <v>8728.2900000000009</v>
      </c>
      <c r="I50" s="58">
        <v>3570462</v>
      </c>
      <c r="J50" s="17">
        <v>578.26</v>
      </c>
      <c r="K50" s="101"/>
      <c r="L50" s="35">
        <v>28793258</v>
      </c>
      <c r="M50" s="36">
        <v>4372.43</v>
      </c>
      <c r="N50" s="43">
        <v>23045900</v>
      </c>
      <c r="O50" s="44">
        <v>3468.66</v>
      </c>
      <c r="P50" s="51">
        <v>30366956</v>
      </c>
      <c r="Q50" s="52">
        <v>3707.59</v>
      </c>
      <c r="R50" s="58">
        <v>3234269</v>
      </c>
      <c r="S50" s="17">
        <v>305.52</v>
      </c>
      <c r="T50" s="101"/>
      <c r="U50" s="35">
        <f t="shared" si="18"/>
        <v>1936719</v>
      </c>
      <c r="V50" s="36">
        <f t="shared" si="19"/>
        <v>4317.0599999999995</v>
      </c>
      <c r="W50" s="43">
        <f t="shared" si="20"/>
        <v>2678734</v>
      </c>
      <c r="X50" s="44">
        <f t="shared" si="21"/>
        <v>715.11999999999989</v>
      </c>
      <c r="Y50" s="51">
        <f t="shared" si="22"/>
        <v>11881197</v>
      </c>
      <c r="Z50" s="52">
        <f t="shared" si="23"/>
        <v>5020.7000000000007</v>
      </c>
      <c r="AA50" s="58">
        <f t="shared" si="24"/>
        <v>336193</v>
      </c>
      <c r="AB50" s="17">
        <f t="shared" si="25"/>
        <v>272.74</v>
      </c>
      <c r="AC50" s="101"/>
      <c r="AD50" s="555">
        <f t="shared" si="42"/>
        <v>102273226</v>
      </c>
      <c r="AE50" s="632">
        <f t="shared" si="42"/>
        <v>22179.82</v>
      </c>
    </row>
    <row r="51" spans="1:31" hidden="1" outlineLevel="1">
      <c r="A51" s="97">
        <v>43145</v>
      </c>
      <c r="B51" s="98">
        <f t="shared" si="26"/>
        <v>2</v>
      </c>
      <c r="C51" s="35">
        <v>32281880</v>
      </c>
      <c r="D51" s="36">
        <v>8359.27</v>
      </c>
      <c r="E51" s="43">
        <v>27203764</v>
      </c>
      <c r="F51" s="44">
        <v>4072.41</v>
      </c>
      <c r="G51" s="51">
        <v>43358562</v>
      </c>
      <c r="H51" s="52">
        <v>8064.71</v>
      </c>
      <c r="I51" s="58">
        <v>3479087</v>
      </c>
      <c r="J51" s="17">
        <v>509.62</v>
      </c>
      <c r="K51" s="101"/>
      <c r="L51" s="35">
        <v>30321735</v>
      </c>
      <c r="M51" s="36">
        <v>4051.38</v>
      </c>
      <c r="N51" s="43">
        <v>24494457</v>
      </c>
      <c r="O51" s="44">
        <v>3332.92</v>
      </c>
      <c r="P51" s="51">
        <v>31709723</v>
      </c>
      <c r="Q51" s="52">
        <v>3747.38</v>
      </c>
      <c r="R51" s="58">
        <v>3149641</v>
      </c>
      <c r="S51" s="17">
        <v>253.75</v>
      </c>
      <c r="T51" s="101"/>
      <c r="U51" s="35">
        <f t="shared" si="18"/>
        <v>1960145</v>
      </c>
      <c r="V51" s="36">
        <f t="shared" si="19"/>
        <v>4307.8900000000003</v>
      </c>
      <c r="W51" s="43">
        <f t="shared" si="20"/>
        <v>2709307</v>
      </c>
      <c r="X51" s="44">
        <f t="shared" si="21"/>
        <v>739.48999999999978</v>
      </c>
      <c r="Y51" s="51">
        <f t="shared" si="22"/>
        <v>11648839</v>
      </c>
      <c r="Z51" s="52">
        <f t="shared" si="23"/>
        <v>4317.33</v>
      </c>
      <c r="AA51" s="58">
        <f t="shared" si="24"/>
        <v>329446</v>
      </c>
      <c r="AB51" s="17">
        <f t="shared" si="25"/>
        <v>255.87</v>
      </c>
      <c r="AC51" s="101"/>
      <c r="AD51" s="555">
        <f t="shared" si="42"/>
        <v>106323293</v>
      </c>
      <c r="AE51" s="632">
        <f t="shared" si="42"/>
        <v>21006.01</v>
      </c>
    </row>
    <row r="52" spans="1:31" hidden="1" outlineLevel="1">
      <c r="A52" s="97">
        <v>43146</v>
      </c>
      <c r="B52" s="98">
        <f t="shared" si="26"/>
        <v>2</v>
      </c>
      <c r="C52" s="35">
        <v>37308708</v>
      </c>
      <c r="D52" s="36">
        <v>9183.25</v>
      </c>
      <c r="E52" s="43">
        <v>26173765</v>
      </c>
      <c r="F52" s="44">
        <v>3957.98</v>
      </c>
      <c r="G52" s="51">
        <v>41510381</v>
      </c>
      <c r="H52" s="52">
        <v>8374.19</v>
      </c>
      <c r="I52" s="58">
        <v>3709356</v>
      </c>
      <c r="J52" s="17">
        <v>466.04</v>
      </c>
      <c r="K52" s="101"/>
      <c r="L52" s="35">
        <v>35205765</v>
      </c>
      <c r="M52" s="36">
        <v>4509.45</v>
      </c>
      <c r="N52" s="43">
        <v>23321885</v>
      </c>
      <c r="O52" s="44">
        <v>3116.79</v>
      </c>
      <c r="P52" s="51">
        <v>29925557</v>
      </c>
      <c r="Q52" s="52">
        <v>3591.52</v>
      </c>
      <c r="R52" s="58">
        <v>3369495</v>
      </c>
      <c r="S52" s="17">
        <v>221.61</v>
      </c>
      <c r="T52" s="101"/>
      <c r="U52" s="35">
        <f t="shared" si="18"/>
        <v>2102943</v>
      </c>
      <c r="V52" s="36">
        <f t="shared" si="19"/>
        <v>4673.8</v>
      </c>
      <c r="W52" s="43">
        <f t="shared" si="20"/>
        <v>2851880</v>
      </c>
      <c r="X52" s="44">
        <f t="shared" si="21"/>
        <v>841.19</v>
      </c>
      <c r="Y52" s="51">
        <f t="shared" si="22"/>
        <v>11584824</v>
      </c>
      <c r="Z52" s="52">
        <f t="shared" si="23"/>
        <v>4782.67</v>
      </c>
      <c r="AA52" s="58">
        <f t="shared" si="24"/>
        <v>339861</v>
      </c>
      <c r="AB52" s="17">
        <f t="shared" si="25"/>
        <v>244.43</v>
      </c>
      <c r="AC52" s="101"/>
      <c r="AD52" s="555">
        <f t="shared" si="42"/>
        <v>108702210</v>
      </c>
      <c r="AE52" s="632">
        <f t="shared" si="42"/>
        <v>21981.46</v>
      </c>
    </row>
    <row r="53" spans="1:31" hidden="1" outlineLevel="1">
      <c r="A53" s="97">
        <v>43147</v>
      </c>
      <c r="B53" s="98">
        <f t="shared" si="26"/>
        <v>2</v>
      </c>
      <c r="C53" s="35">
        <v>33021370</v>
      </c>
      <c r="D53" s="36">
        <v>7800.81</v>
      </c>
      <c r="E53" s="43">
        <v>24115101</v>
      </c>
      <c r="F53" s="44">
        <v>3549.56</v>
      </c>
      <c r="G53" s="51">
        <v>41242962</v>
      </c>
      <c r="H53" s="52">
        <v>8072.11</v>
      </c>
      <c r="I53" s="58">
        <v>3838515</v>
      </c>
      <c r="J53" s="17">
        <v>454.81</v>
      </c>
      <c r="K53" s="101"/>
      <c r="L53" s="35">
        <v>30862594</v>
      </c>
      <c r="M53" s="36">
        <v>3313.12</v>
      </c>
      <c r="N53" s="43">
        <v>21214861</v>
      </c>
      <c r="O53" s="44">
        <v>2684.06</v>
      </c>
      <c r="P53" s="51">
        <v>28714000</v>
      </c>
      <c r="Q53" s="52">
        <v>3183.79</v>
      </c>
      <c r="R53" s="58">
        <v>3381288</v>
      </c>
      <c r="S53" s="17">
        <v>210.41</v>
      </c>
      <c r="T53" s="101"/>
      <c r="U53" s="35">
        <f t="shared" si="18"/>
        <v>2158776</v>
      </c>
      <c r="V53" s="36">
        <f t="shared" si="19"/>
        <v>4487.6900000000005</v>
      </c>
      <c r="W53" s="43">
        <f t="shared" si="20"/>
        <v>2900240</v>
      </c>
      <c r="X53" s="44">
        <f t="shared" si="21"/>
        <v>865.5</v>
      </c>
      <c r="Y53" s="51">
        <f t="shared" si="22"/>
        <v>12528962</v>
      </c>
      <c r="Z53" s="52">
        <f t="shared" si="23"/>
        <v>4888.32</v>
      </c>
      <c r="AA53" s="58">
        <f t="shared" si="24"/>
        <v>457227</v>
      </c>
      <c r="AB53" s="17">
        <f t="shared" si="25"/>
        <v>244.4</v>
      </c>
      <c r="AC53" s="101"/>
      <c r="AD53" s="555">
        <f t="shared" si="42"/>
        <v>102217948</v>
      </c>
      <c r="AE53" s="632">
        <f t="shared" si="42"/>
        <v>19877.29</v>
      </c>
    </row>
    <row r="54" spans="1:31" hidden="1" outlineLevel="1">
      <c r="A54" s="97">
        <v>43148</v>
      </c>
      <c r="B54" s="98">
        <f t="shared" si="26"/>
        <v>2</v>
      </c>
      <c r="C54" s="35">
        <v>31312348</v>
      </c>
      <c r="D54" s="36">
        <v>6618.74</v>
      </c>
      <c r="E54" s="43">
        <v>23747774</v>
      </c>
      <c r="F54" s="44">
        <v>3348.57</v>
      </c>
      <c r="G54" s="51">
        <v>46498932</v>
      </c>
      <c r="H54" s="52">
        <v>8795.02</v>
      </c>
      <c r="I54" s="58">
        <v>3992201</v>
      </c>
      <c r="J54" s="17">
        <v>437.36</v>
      </c>
      <c r="K54" s="101"/>
      <c r="L54" s="35">
        <v>29194673</v>
      </c>
      <c r="M54" s="36">
        <v>2720.76</v>
      </c>
      <c r="N54" s="43">
        <v>20629130</v>
      </c>
      <c r="O54" s="44">
        <v>2449.92</v>
      </c>
      <c r="P54" s="51">
        <v>31200496</v>
      </c>
      <c r="Q54" s="52">
        <v>3183.51</v>
      </c>
      <c r="R54" s="58">
        <v>3348879</v>
      </c>
      <c r="S54" s="17">
        <v>196.09</v>
      </c>
      <c r="T54" s="101"/>
      <c r="U54" s="35">
        <f t="shared" si="18"/>
        <v>2117675</v>
      </c>
      <c r="V54" s="36">
        <f t="shared" si="19"/>
        <v>3897.9799999999996</v>
      </c>
      <c r="W54" s="43">
        <f t="shared" si="20"/>
        <v>3118644</v>
      </c>
      <c r="X54" s="44">
        <f t="shared" si="21"/>
        <v>898.65000000000009</v>
      </c>
      <c r="Y54" s="51">
        <f t="shared" si="22"/>
        <v>15298436</v>
      </c>
      <c r="Z54" s="52">
        <f t="shared" si="23"/>
        <v>5611.51</v>
      </c>
      <c r="AA54" s="58">
        <f t="shared" si="24"/>
        <v>643322</v>
      </c>
      <c r="AB54" s="17">
        <f t="shared" si="25"/>
        <v>241.27</v>
      </c>
      <c r="AC54" s="101"/>
      <c r="AD54" s="555">
        <f t="shared" si="42"/>
        <v>105551255</v>
      </c>
      <c r="AE54" s="632">
        <f t="shared" si="42"/>
        <v>19199.690000000002</v>
      </c>
    </row>
    <row r="55" spans="1:31" hidden="1" outlineLevel="1">
      <c r="A55" s="97">
        <v>43149</v>
      </c>
      <c r="B55" s="98">
        <f t="shared" si="26"/>
        <v>2</v>
      </c>
      <c r="C55" s="35">
        <v>28988249</v>
      </c>
      <c r="D55" s="36">
        <v>6082.71</v>
      </c>
      <c r="E55" s="43">
        <v>24548386</v>
      </c>
      <c r="F55" s="44">
        <v>3437.21</v>
      </c>
      <c r="G55" s="51">
        <v>49563099</v>
      </c>
      <c r="H55" s="52">
        <v>9401.82</v>
      </c>
      <c r="I55" s="58">
        <v>3882400</v>
      </c>
      <c r="J55" s="17">
        <v>419.33</v>
      </c>
      <c r="K55" s="101"/>
      <c r="L55" s="35">
        <v>27091993</v>
      </c>
      <c r="M55" s="36">
        <v>2363.27</v>
      </c>
      <c r="N55" s="43">
        <v>21599099</v>
      </c>
      <c r="O55" s="44">
        <v>2564.04</v>
      </c>
      <c r="P55" s="51">
        <v>33823949</v>
      </c>
      <c r="Q55" s="52">
        <v>3545.59</v>
      </c>
      <c r="R55" s="58">
        <v>3253953</v>
      </c>
      <c r="S55" s="17">
        <v>184.48</v>
      </c>
      <c r="T55" s="101"/>
      <c r="U55" s="35">
        <f t="shared" si="18"/>
        <v>1896256</v>
      </c>
      <c r="V55" s="36">
        <f t="shared" si="19"/>
        <v>3719.44</v>
      </c>
      <c r="W55" s="43">
        <f t="shared" si="20"/>
        <v>2949287</v>
      </c>
      <c r="X55" s="44">
        <f t="shared" si="21"/>
        <v>873.17000000000007</v>
      </c>
      <c r="Y55" s="51">
        <f t="shared" si="22"/>
        <v>15739150</v>
      </c>
      <c r="Z55" s="52">
        <f t="shared" si="23"/>
        <v>5856.23</v>
      </c>
      <c r="AA55" s="58">
        <f t="shared" si="24"/>
        <v>628447</v>
      </c>
      <c r="AB55" s="17">
        <f t="shared" si="25"/>
        <v>234.85</v>
      </c>
      <c r="AC55" s="101"/>
      <c r="AD55" s="555">
        <f t="shared" si="42"/>
        <v>106982134</v>
      </c>
      <c r="AE55" s="632">
        <f t="shared" si="42"/>
        <v>19341.07</v>
      </c>
    </row>
    <row r="56" spans="1:31" hidden="1" outlineLevel="1">
      <c r="A56" s="97">
        <v>43150</v>
      </c>
      <c r="B56" s="98">
        <f t="shared" si="26"/>
        <v>2</v>
      </c>
      <c r="C56" s="35">
        <v>28873774</v>
      </c>
      <c r="D56" s="36">
        <v>6168.88</v>
      </c>
      <c r="E56" s="43">
        <v>24816742</v>
      </c>
      <c r="F56" s="44">
        <v>3730.65</v>
      </c>
      <c r="G56" s="51">
        <v>50556262</v>
      </c>
      <c r="H56" s="52">
        <v>8728.56</v>
      </c>
      <c r="I56" s="58">
        <v>3893590</v>
      </c>
      <c r="J56" s="17">
        <v>450.05</v>
      </c>
      <c r="K56" s="101"/>
      <c r="L56" s="35">
        <v>27006714</v>
      </c>
      <c r="M56" s="36">
        <v>2578.96</v>
      </c>
      <c r="N56" s="43">
        <v>22096301</v>
      </c>
      <c r="O56" s="44">
        <v>2907.47</v>
      </c>
      <c r="P56" s="51">
        <v>34207007</v>
      </c>
      <c r="Q56" s="52">
        <v>3804.55</v>
      </c>
      <c r="R56" s="58">
        <v>3296104</v>
      </c>
      <c r="S56" s="17">
        <v>208.48</v>
      </c>
      <c r="T56" s="101"/>
      <c r="U56" s="35">
        <f t="shared" si="18"/>
        <v>1867060</v>
      </c>
      <c r="V56" s="36">
        <f t="shared" si="19"/>
        <v>3589.92</v>
      </c>
      <c r="W56" s="43">
        <f t="shared" si="20"/>
        <v>2720441</v>
      </c>
      <c r="X56" s="44">
        <f t="shared" si="21"/>
        <v>823.18000000000029</v>
      </c>
      <c r="Y56" s="51">
        <f t="shared" si="22"/>
        <v>16349255</v>
      </c>
      <c r="Z56" s="52">
        <f t="shared" si="23"/>
        <v>4924.0099999999993</v>
      </c>
      <c r="AA56" s="58">
        <f t="shared" si="24"/>
        <v>597486</v>
      </c>
      <c r="AB56" s="17">
        <f t="shared" si="25"/>
        <v>241.57000000000002</v>
      </c>
      <c r="AC56" s="101"/>
      <c r="AD56" s="555">
        <f t="shared" si="42"/>
        <v>108140368</v>
      </c>
      <c r="AE56" s="632">
        <f t="shared" si="42"/>
        <v>19078.14</v>
      </c>
    </row>
    <row r="57" spans="1:31" hidden="1" outlineLevel="1">
      <c r="A57" s="97">
        <v>43151</v>
      </c>
      <c r="B57" s="98">
        <f t="shared" si="26"/>
        <v>2</v>
      </c>
      <c r="C57" s="35">
        <v>27292927</v>
      </c>
      <c r="D57" s="36">
        <v>6287.44</v>
      </c>
      <c r="E57" s="43">
        <v>23345150</v>
      </c>
      <c r="F57" s="44">
        <v>3669.36</v>
      </c>
      <c r="G57" s="51">
        <v>41446754</v>
      </c>
      <c r="H57" s="52">
        <v>6943.57</v>
      </c>
      <c r="I57" s="58">
        <v>3769512</v>
      </c>
      <c r="J57" s="17">
        <v>498.38</v>
      </c>
      <c r="K57" s="101"/>
      <c r="L57" s="35">
        <v>25468650</v>
      </c>
      <c r="M57" s="36">
        <v>2531.6</v>
      </c>
      <c r="N57" s="43">
        <v>20422534</v>
      </c>
      <c r="O57" s="44">
        <v>2731.15</v>
      </c>
      <c r="P57" s="51">
        <v>31911108</v>
      </c>
      <c r="Q57" s="52">
        <v>3656.15</v>
      </c>
      <c r="R57" s="58">
        <v>3083288</v>
      </c>
      <c r="S57" s="17">
        <v>228.26</v>
      </c>
      <c r="T57" s="101"/>
      <c r="U57" s="35">
        <f t="shared" si="18"/>
        <v>1824277</v>
      </c>
      <c r="V57" s="36">
        <f t="shared" si="19"/>
        <v>3755.8399999999997</v>
      </c>
      <c r="W57" s="43">
        <f t="shared" si="20"/>
        <v>2922616</v>
      </c>
      <c r="X57" s="44">
        <f t="shared" si="21"/>
        <v>938.21</v>
      </c>
      <c r="Y57" s="51">
        <f t="shared" si="22"/>
        <v>9535646</v>
      </c>
      <c r="Z57" s="52">
        <f t="shared" si="23"/>
        <v>3287.4199999999996</v>
      </c>
      <c r="AA57" s="58">
        <f t="shared" si="24"/>
        <v>686224</v>
      </c>
      <c r="AB57" s="17">
        <f t="shared" si="25"/>
        <v>270.12</v>
      </c>
      <c r="AC57" s="101"/>
      <c r="AD57" s="555">
        <f t="shared" si="42"/>
        <v>95854343</v>
      </c>
      <c r="AE57" s="632">
        <f t="shared" si="42"/>
        <v>17398.75</v>
      </c>
    </row>
    <row r="58" spans="1:31" hidden="1" outlineLevel="1">
      <c r="A58" s="97">
        <v>43152</v>
      </c>
      <c r="B58" s="98">
        <f t="shared" si="26"/>
        <v>2</v>
      </c>
      <c r="C58" s="35">
        <v>27423778</v>
      </c>
      <c r="D58" s="36">
        <v>6359.39</v>
      </c>
      <c r="E58" s="43">
        <v>22786938</v>
      </c>
      <c r="F58" s="44">
        <v>3628.59</v>
      </c>
      <c r="G58" s="51">
        <v>40044127</v>
      </c>
      <c r="H58" s="52">
        <v>7547.43</v>
      </c>
      <c r="I58" s="58">
        <v>3649847</v>
      </c>
      <c r="J58" s="17">
        <v>510.63</v>
      </c>
      <c r="K58" s="101"/>
      <c r="L58" s="35">
        <v>25607098</v>
      </c>
      <c r="M58" s="36">
        <v>2578.0100000000002</v>
      </c>
      <c r="N58" s="43">
        <v>19885580</v>
      </c>
      <c r="O58" s="44">
        <v>2630.87</v>
      </c>
      <c r="P58" s="51">
        <v>31948599</v>
      </c>
      <c r="Q58" s="52">
        <v>3618.69</v>
      </c>
      <c r="R58" s="58">
        <v>3029280</v>
      </c>
      <c r="S58" s="17">
        <v>227.06</v>
      </c>
      <c r="T58" s="101"/>
      <c r="U58" s="35">
        <f t="shared" si="18"/>
        <v>1816680</v>
      </c>
      <c r="V58" s="36">
        <f t="shared" si="19"/>
        <v>3781.38</v>
      </c>
      <c r="W58" s="43">
        <f t="shared" si="20"/>
        <v>2901358</v>
      </c>
      <c r="X58" s="44">
        <f t="shared" si="21"/>
        <v>997.72000000000025</v>
      </c>
      <c r="Y58" s="51">
        <f t="shared" si="22"/>
        <v>8095528</v>
      </c>
      <c r="Z58" s="52">
        <f t="shared" si="23"/>
        <v>3928.7400000000002</v>
      </c>
      <c r="AA58" s="58">
        <f t="shared" si="24"/>
        <v>620567</v>
      </c>
      <c r="AB58" s="17">
        <f t="shared" si="25"/>
        <v>283.57</v>
      </c>
      <c r="AC58" s="101"/>
      <c r="AD58" s="555">
        <f t="shared" si="42"/>
        <v>93904690</v>
      </c>
      <c r="AE58" s="632">
        <f t="shared" si="42"/>
        <v>18046.04</v>
      </c>
    </row>
    <row r="59" spans="1:31" hidden="1" outlineLevel="1">
      <c r="A59" s="97">
        <v>43153</v>
      </c>
      <c r="B59" s="98">
        <f t="shared" si="26"/>
        <v>2</v>
      </c>
      <c r="C59" s="35">
        <v>27792121</v>
      </c>
      <c r="D59" s="36">
        <v>6402.98</v>
      </c>
      <c r="E59" s="43">
        <v>23271442</v>
      </c>
      <c r="F59" s="44">
        <v>3882.98</v>
      </c>
      <c r="G59" s="51">
        <v>42415011</v>
      </c>
      <c r="H59" s="52">
        <v>9181.2199999999993</v>
      </c>
      <c r="I59" s="58">
        <v>3731478</v>
      </c>
      <c r="J59" s="17">
        <v>538.05999999999995</v>
      </c>
      <c r="K59" s="101"/>
      <c r="L59" s="35">
        <v>25940852</v>
      </c>
      <c r="M59" s="36">
        <v>2513.16</v>
      </c>
      <c r="N59" s="43">
        <v>20095571</v>
      </c>
      <c r="O59" s="44">
        <v>2807.82</v>
      </c>
      <c r="P59" s="51">
        <v>32748244</v>
      </c>
      <c r="Q59" s="52">
        <v>3954.87</v>
      </c>
      <c r="R59" s="58">
        <v>3098611</v>
      </c>
      <c r="S59" s="17">
        <v>241.26</v>
      </c>
      <c r="T59" s="101"/>
      <c r="U59" s="35">
        <f t="shared" si="18"/>
        <v>1851269</v>
      </c>
      <c r="V59" s="36">
        <f t="shared" si="19"/>
        <v>3889.8199999999997</v>
      </c>
      <c r="W59" s="43">
        <f t="shared" si="20"/>
        <v>3175871</v>
      </c>
      <c r="X59" s="44">
        <f t="shared" si="21"/>
        <v>1075.1599999999999</v>
      </c>
      <c r="Y59" s="51">
        <f t="shared" si="22"/>
        <v>9666767</v>
      </c>
      <c r="Z59" s="52">
        <f t="shared" si="23"/>
        <v>5226.3499999999995</v>
      </c>
      <c r="AA59" s="58">
        <f t="shared" si="24"/>
        <v>632867</v>
      </c>
      <c r="AB59" s="17">
        <f t="shared" si="25"/>
        <v>296.79999999999995</v>
      </c>
      <c r="AC59" s="101"/>
      <c r="AD59" s="555">
        <f t="shared" si="42"/>
        <v>97210052</v>
      </c>
      <c r="AE59" s="632">
        <f t="shared" si="42"/>
        <v>20005.240000000002</v>
      </c>
    </row>
    <row r="60" spans="1:31" hidden="1" outlineLevel="1">
      <c r="A60" s="97">
        <v>43154</v>
      </c>
      <c r="B60" s="98">
        <f t="shared" si="26"/>
        <v>2</v>
      </c>
      <c r="C60" s="35">
        <v>28176403</v>
      </c>
      <c r="D60" s="36">
        <v>6910.76</v>
      </c>
      <c r="E60" s="43">
        <v>25476885</v>
      </c>
      <c r="F60" s="44">
        <v>4549.47</v>
      </c>
      <c r="G60" s="51">
        <v>50829994</v>
      </c>
      <c r="H60" s="52">
        <v>10181.57</v>
      </c>
      <c r="I60" s="58">
        <v>3958145</v>
      </c>
      <c r="J60" s="17">
        <v>618.55999999999995</v>
      </c>
      <c r="K60" s="101"/>
      <c r="L60" s="35">
        <v>26213855</v>
      </c>
      <c r="M60" s="36">
        <v>2798.1</v>
      </c>
      <c r="N60" s="43">
        <v>22574740</v>
      </c>
      <c r="O60" s="44">
        <v>3515.76</v>
      </c>
      <c r="P60" s="51">
        <v>34087995</v>
      </c>
      <c r="Q60" s="52">
        <v>4396.05</v>
      </c>
      <c r="R60" s="58">
        <v>3187335</v>
      </c>
      <c r="S60" s="17">
        <v>267.85000000000002</v>
      </c>
      <c r="T60" s="101"/>
      <c r="U60" s="35">
        <f t="shared" si="18"/>
        <v>1962548</v>
      </c>
      <c r="V60" s="36">
        <f t="shared" si="19"/>
        <v>4112.66</v>
      </c>
      <c r="W60" s="43">
        <f t="shared" si="20"/>
        <v>2902145</v>
      </c>
      <c r="X60" s="44">
        <f t="shared" si="21"/>
        <v>1033.71</v>
      </c>
      <c r="Y60" s="51">
        <f t="shared" si="22"/>
        <v>16741999</v>
      </c>
      <c r="Z60" s="52">
        <f t="shared" si="23"/>
        <v>5785.5199999999995</v>
      </c>
      <c r="AA60" s="58">
        <f t="shared" si="24"/>
        <v>770810</v>
      </c>
      <c r="AB60" s="17">
        <f t="shared" si="25"/>
        <v>350.70999999999992</v>
      </c>
      <c r="AC60" s="101"/>
      <c r="AD60" s="555">
        <f t="shared" si="42"/>
        <v>108441427</v>
      </c>
      <c r="AE60" s="632">
        <f t="shared" si="42"/>
        <v>22260.36</v>
      </c>
    </row>
    <row r="61" spans="1:31" hidden="1" outlineLevel="1">
      <c r="A61" s="97">
        <v>43155</v>
      </c>
      <c r="B61" s="98">
        <f t="shared" si="26"/>
        <v>2</v>
      </c>
      <c r="C61" s="35">
        <v>29577979</v>
      </c>
      <c r="D61" s="36">
        <v>6490.35</v>
      </c>
      <c r="E61" s="43">
        <v>26289537</v>
      </c>
      <c r="F61" s="44">
        <v>4342.49</v>
      </c>
      <c r="G61" s="51">
        <v>66049498</v>
      </c>
      <c r="H61" s="52">
        <v>11130.15</v>
      </c>
      <c r="I61" s="58">
        <v>4798742</v>
      </c>
      <c r="J61" s="17">
        <v>630.29999999999995</v>
      </c>
      <c r="K61" s="101"/>
      <c r="L61" s="35">
        <v>27487476</v>
      </c>
      <c r="M61" s="36">
        <v>2704.75</v>
      </c>
      <c r="N61" s="43">
        <v>23140514</v>
      </c>
      <c r="O61" s="44">
        <v>3313.36</v>
      </c>
      <c r="P61" s="51">
        <v>36782036</v>
      </c>
      <c r="Q61" s="52">
        <v>4353.28</v>
      </c>
      <c r="R61" s="58">
        <v>3324850</v>
      </c>
      <c r="S61" s="17">
        <v>276.45999999999998</v>
      </c>
      <c r="T61" s="101"/>
      <c r="U61" s="35">
        <f t="shared" si="18"/>
        <v>2090503</v>
      </c>
      <c r="V61" s="36">
        <f t="shared" si="19"/>
        <v>3785.6000000000004</v>
      </c>
      <c r="W61" s="43">
        <f t="shared" si="20"/>
        <v>3149023</v>
      </c>
      <c r="X61" s="44">
        <f t="shared" si="21"/>
        <v>1029.1299999999997</v>
      </c>
      <c r="Y61" s="51">
        <f t="shared" si="22"/>
        <v>29267462</v>
      </c>
      <c r="Z61" s="52">
        <f t="shared" si="23"/>
        <v>6776.87</v>
      </c>
      <c r="AA61" s="58">
        <f t="shared" si="24"/>
        <v>1473892</v>
      </c>
      <c r="AB61" s="17">
        <f t="shared" si="25"/>
        <v>353.84</v>
      </c>
      <c r="AC61" s="101"/>
      <c r="AD61" s="555">
        <f t="shared" si="42"/>
        <v>126715756</v>
      </c>
      <c r="AE61" s="632">
        <f t="shared" si="42"/>
        <v>22593.289999999997</v>
      </c>
    </row>
    <row r="62" spans="1:31" hidden="1" outlineLevel="1">
      <c r="A62" s="97">
        <v>43156</v>
      </c>
      <c r="B62" s="98">
        <f t="shared" si="26"/>
        <v>2</v>
      </c>
      <c r="C62" s="35">
        <v>27012708</v>
      </c>
      <c r="D62" s="36">
        <v>6181.67</v>
      </c>
      <c r="E62" s="43">
        <v>19615984</v>
      </c>
      <c r="F62" s="44">
        <v>3447.39</v>
      </c>
      <c r="G62" s="51">
        <v>47906288</v>
      </c>
      <c r="H62" s="52">
        <v>9511.7000000000007</v>
      </c>
      <c r="I62" s="58">
        <v>3353964</v>
      </c>
      <c r="J62" s="17">
        <v>685.66</v>
      </c>
      <c r="K62" s="101"/>
      <c r="L62" s="35">
        <v>25059765</v>
      </c>
      <c r="M62" s="36">
        <v>2538.17</v>
      </c>
      <c r="N62" s="43">
        <v>16737044</v>
      </c>
      <c r="O62" s="44">
        <v>2532.42</v>
      </c>
      <c r="P62" s="51">
        <v>29281431</v>
      </c>
      <c r="Q62" s="52">
        <v>3520.54</v>
      </c>
      <c r="R62" s="58">
        <v>2804006</v>
      </c>
      <c r="S62" s="17">
        <v>264.56</v>
      </c>
      <c r="T62" s="101"/>
      <c r="U62" s="35">
        <f t="shared" si="18"/>
        <v>1952943</v>
      </c>
      <c r="V62" s="36">
        <f t="shared" si="19"/>
        <v>3643.5</v>
      </c>
      <c r="W62" s="43">
        <f t="shared" si="20"/>
        <v>2878940</v>
      </c>
      <c r="X62" s="44">
        <f t="shared" si="21"/>
        <v>914.9699999999998</v>
      </c>
      <c r="Y62" s="51">
        <f t="shared" si="22"/>
        <v>18624857</v>
      </c>
      <c r="Z62" s="52">
        <f t="shared" si="23"/>
        <v>5991.1600000000008</v>
      </c>
      <c r="AA62" s="58">
        <f t="shared" si="24"/>
        <v>549958</v>
      </c>
      <c r="AB62" s="17">
        <f t="shared" si="25"/>
        <v>421.09999999999997</v>
      </c>
      <c r="AC62" s="101"/>
      <c r="AD62" s="555">
        <f t="shared" si="42"/>
        <v>97888944</v>
      </c>
      <c r="AE62" s="632">
        <f t="shared" si="42"/>
        <v>19826.420000000002</v>
      </c>
    </row>
    <row r="63" spans="1:31" hidden="1" outlineLevel="1">
      <c r="A63" s="97">
        <v>43157</v>
      </c>
      <c r="B63" s="98">
        <f t="shared" si="26"/>
        <v>2</v>
      </c>
      <c r="C63" s="35">
        <v>27967414</v>
      </c>
      <c r="D63" s="36">
        <v>7066.35</v>
      </c>
      <c r="E63" s="43">
        <v>18830912</v>
      </c>
      <c r="F63" s="44">
        <v>3840.82</v>
      </c>
      <c r="G63" s="51">
        <v>38870481</v>
      </c>
      <c r="H63" s="52">
        <v>9606.9</v>
      </c>
      <c r="I63" s="58">
        <v>3226795</v>
      </c>
      <c r="J63" s="17">
        <v>668.38</v>
      </c>
      <c r="K63" s="101"/>
      <c r="L63" s="35">
        <v>26077594</v>
      </c>
      <c r="M63" s="36">
        <v>3009.13</v>
      </c>
      <c r="N63" s="43">
        <v>15830316</v>
      </c>
      <c r="O63" s="44">
        <v>2869.35</v>
      </c>
      <c r="P63" s="51">
        <v>28011153</v>
      </c>
      <c r="Q63" s="52">
        <v>3850.61</v>
      </c>
      <c r="R63" s="58">
        <v>2926921</v>
      </c>
      <c r="S63" s="17">
        <v>300.82</v>
      </c>
      <c r="T63" s="101"/>
      <c r="U63" s="35">
        <f t="shared" si="18"/>
        <v>1889820</v>
      </c>
      <c r="V63" s="36">
        <f t="shared" si="19"/>
        <v>4057.2200000000003</v>
      </c>
      <c r="W63" s="43">
        <f t="shared" si="20"/>
        <v>3000596</v>
      </c>
      <c r="X63" s="44">
        <f t="shared" si="21"/>
        <v>971.47000000000025</v>
      </c>
      <c r="Y63" s="51">
        <f t="shared" si="22"/>
        <v>10859328</v>
      </c>
      <c r="Z63" s="52">
        <f t="shared" si="23"/>
        <v>5756.2899999999991</v>
      </c>
      <c r="AA63" s="58">
        <f t="shared" si="24"/>
        <v>299874</v>
      </c>
      <c r="AB63" s="17">
        <f t="shared" si="25"/>
        <v>367.56</v>
      </c>
      <c r="AC63" s="101"/>
      <c r="AD63" s="555">
        <f t="shared" si="42"/>
        <v>88895602</v>
      </c>
      <c r="AE63" s="632">
        <f t="shared" si="42"/>
        <v>21182.45</v>
      </c>
    </row>
    <row r="64" spans="1:31" hidden="1" outlineLevel="1">
      <c r="A64" s="97">
        <v>43158</v>
      </c>
      <c r="B64" s="98">
        <f t="shared" si="26"/>
        <v>2</v>
      </c>
      <c r="C64" s="35">
        <v>29798656</v>
      </c>
      <c r="D64" s="36">
        <v>7236.46</v>
      </c>
      <c r="E64" s="43">
        <v>18793870</v>
      </c>
      <c r="F64" s="44">
        <v>3920.31</v>
      </c>
      <c r="G64" s="51">
        <v>38604322</v>
      </c>
      <c r="H64" s="52">
        <v>10006.32</v>
      </c>
      <c r="I64" s="58">
        <v>3173562</v>
      </c>
      <c r="J64" s="17">
        <v>682.01</v>
      </c>
      <c r="K64" s="101"/>
      <c r="L64" s="35">
        <v>27801341</v>
      </c>
      <c r="M64" s="36">
        <v>2916.15</v>
      </c>
      <c r="N64" s="43">
        <v>16007815</v>
      </c>
      <c r="O64" s="44">
        <v>3002.16</v>
      </c>
      <c r="P64" s="51">
        <v>28561704</v>
      </c>
      <c r="Q64" s="52">
        <v>3935.31</v>
      </c>
      <c r="R64" s="58">
        <v>2960606</v>
      </c>
      <c r="S64" s="17">
        <v>294.33</v>
      </c>
      <c r="T64" s="101"/>
      <c r="U64" s="35">
        <f t="shared" si="18"/>
        <v>1997315</v>
      </c>
      <c r="V64" s="36">
        <f t="shared" si="19"/>
        <v>4320.3099999999995</v>
      </c>
      <c r="W64" s="43">
        <f t="shared" si="20"/>
        <v>2786055</v>
      </c>
      <c r="X64" s="44">
        <f t="shared" si="21"/>
        <v>918.15000000000009</v>
      </c>
      <c r="Y64" s="51">
        <f t="shared" si="22"/>
        <v>10042618</v>
      </c>
      <c r="Z64" s="52">
        <f t="shared" si="23"/>
        <v>6071.01</v>
      </c>
      <c r="AA64" s="58">
        <f t="shared" si="24"/>
        <v>212956</v>
      </c>
      <c r="AB64" s="17">
        <f t="shared" si="25"/>
        <v>387.68</v>
      </c>
      <c r="AC64" s="101"/>
      <c r="AD64" s="555">
        <f t="shared" si="42"/>
        <v>90370410</v>
      </c>
      <c r="AE64" s="632">
        <f t="shared" si="42"/>
        <v>21845.1</v>
      </c>
    </row>
    <row r="65" spans="1:31" hidden="1" outlineLevel="1">
      <c r="A65" s="97">
        <v>43159</v>
      </c>
      <c r="B65" s="98">
        <f t="shared" si="26"/>
        <v>2</v>
      </c>
      <c r="C65" s="35">
        <v>30318946</v>
      </c>
      <c r="D65" s="36">
        <v>6636.06</v>
      </c>
      <c r="E65" s="43">
        <v>18783688</v>
      </c>
      <c r="F65" s="44">
        <v>3654.06</v>
      </c>
      <c r="G65" s="51">
        <v>41643285</v>
      </c>
      <c r="H65" s="52">
        <v>8901.85</v>
      </c>
      <c r="I65" s="58">
        <v>3271592</v>
      </c>
      <c r="J65" s="17">
        <v>664.5</v>
      </c>
      <c r="K65" s="101"/>
      <c r="L65" s="35">
        <v>28312361</v>
      </c>
      <c r="M65" s="36">
        <v>2722.91</v>
      </c>
      <c r="N65" s="43">
        <v>16083689</v>
      </c>
      <c r="O65" s="44">
        <v>2799.17</v>
      </c>
      <c r="P65" s="51">
        <v>28021436</v>
      </c>
      <c r="Q65" s="52">
        <v>3546.19</v>
      </c>
      <c r="R65" s="58">
        <v>3048426</v>
      </c>
      <c r="S65" s="17">
        <v>287.22000000000003</v>
      </c>
      <c r="T65" s="101"/>
      <c r="U65" s="35">
        <f t="shared" si="18"/>
        <v>2006585</v>
      </c>
      <c r="V65" s="36">
        <f t="shared" si="19"/>
        <v>3913.1500000000005</v>
      </c>
      <c r="W65" s="43">
        <f t="shared" si="20"/>
        <v>2699999</v>
      </c>
      <c r="X65" s="44">
        <f t="shared" si="21"/>
        <v>854.88999999999987</v>
      </c>
      <c r="Y65" s="51">
        <f t="shared" si="22"/>
        <v>13621849</v>
      </c>
      <c r="Z65" s="52">
        <f t="shared" si="23"/>
        <v>5355.66</v>
      </c>
      <c r="AA65" s="58">
        <f t="shared" si="24"/>
        <v>223166</v>
      </c>
      <c r="AB65" s="17">
        <f t="shared" si="25"/>
        <v>377.28</v>
      </c>
      <c r="AC65" s="101"/>
      <c r="AD65" s="555">
        <f t="shared" si="42"/>
        <v>94017511</v>
      </c>
      <c r="AE65" s="632">
        <f t="shared" si="42"/>
        <v>19856.47</v>
      </c>
    </row>
    <row r="66" spans="1:31" collapsed="1">
      <c r="A66" s="104"/>
      <c r="B66" s="104" t="s">
        <v>16</v>
      </c>
      <c r="C66" s="105">
        <f>SUBTOTAL(9,C67:C97)</f>
        <v>1022301334</v>
      </c>
      <c r="D66" s="106">
        <f t="shared" ref="D66:AB66" si="43">SUBTOTAL(9,D67:D97)</f>
        <v>267647.23000000004</v>
      </c>
      <c r="E66" s="107">
        <f t="shared" si="43"/>
        <v>663392460</v>
      </c>
      <c r="F66" s="108">
        <f t="shared" si="43"/>
        <v>168146.83</v>
      </c>
      <c r="G66" s="109">
        <f t="shared" si="43"/>
        <v>1702385218</v>
      </c>
      <c r="H66" s="110">
        <f t="shared" si="43"/>
        <v>516133.7</v>
      </c>
      <c r="I66" s="111">
        <f t="shared" si="43"/>
        <v>169816435</v>
      </c>
      <c r="J66" s="14">
        <f t="shared" si="43"/>
        <v>38199.730000000003</v>
      </c>
      <c r="K66" s="103"/>
      <c r="L66" s="105">
        <f t="shared" si="43"/>
        <v>953219469</v>
      </c>
      <c r="M66" s="106">
        <f t="shared" si="43"/>
        <v>130016.65</v>
      </c>
      <c r="N66" s="107">
        <f t="shared" si="43"/>
        <v>551862891</v>
      </c>
      <c r="O66" s="108">
        <f t="shared" si="43"/>
        <v>125455.74999999999</v>
      </c>
      <c r="P66" s="109">
        <f t="shared" si="43"/>
        <v>1004359740</v>
      </c>
      <c r="Q66" s="110">
        <f t="shared" si="43"/>
        <v>153972.35000000003</v>
      </c>
      <c r="R66" s="111">
        <f t="shared" si="43"/>
        <v>153626660</v>
      </c>
      <c r="S66" s="14">
        <f t="shared" si="43"/>
        <v>18017.339999999997</v>
      </c>
      <c r="T66" s="103"/>
      <c r="U66" s="105">
        <f t="shared" si="43"/>
        <v>69081865</v>
      </c>
      <c r="V66" s="106">
        <f t="shared" si="43"/>
        <v>137630.57999999999</v>
      </c>
      <c r="W66" s="107">
        <f t="shared" si="43"/>
        <v>111529569</v>
      </c>
      <c r="X66" s="108">
        <f t="shared" si="43"/>
        <v>42691.080000000009</v>
      </c>
      <c r="Y66" s="109">
        <f t="shared" si="43"/>
        <v>698025478</v>
      </c>
      <c r="Z66" s="110">
        <f t="shared" si="43"/>
        <v>362161.35</v>
      </c>
      <c r="AA66" s="111">
        <f t="shared" si="43"/>
        <v>16189775</v>
      </c>
      <c r="AB66" s="14">
        <f t="shared" si="43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26"/>
        <v>3</v>
      </c>
      <c r="C67" s="35">
        <v>31261188</v>
      </c>
      <c r="D67" s="36">
        <v>6574.44</v>
      </c>
      <c r="E67" s="43">
        <v>18691536</v>
      </c>
      <c r="F67" s="44">
        <v>3693.11</v>
      </c>
      <c r="G67" s="51">
        <v>40412668</v>
      </c>
      <c r="H67" s="52">
        <v>8371.26</v>
      </c>
      <c r="I67" s="58">
        <v>3499236</v>
      </c>
      <c r="J67" s="17">
        <v>603.34</v>
      </c>
      <c r="K67" s="101"/>
      <c r="L67" s="35">
        <v>29209900</v>
      </c>
      <c r="M67" s="36">
        <v>2830.38</v>
      </c>
      <c r="N67" s="43">
        <v>16363389</v>
      </c>
      <c r="O67" s="44">
        <v>2985.26</v>
      </c>
      <c r="P67" s="51">
        <v>28131390</v>
      </c>
      <c r="Q67" s="52">
        <v>3353.55</v>
      </c>
      <c r="R67" s="58">
        <v>3276309</v>
      </c>
      <c r="S67" s="17">
        <v>264.91000000000003</v>
      </c>
      <c r="T67" s="101"/>
      <c r="U67" s="35">
        <f t="shared" si="18"/>
        <v>2051288</v>
      </c>
      <c r="V67" s="36">
        <f t="shared" si="19"/>
        <v>3744.0599999999995</v>
      </c>
      <c r="W67" s="43">
        <f t="shared" si="20"/>
        <v>2328147</v>
      </c>
      <c r="X67" s="44">
        <f t="shared" si="21"/>
        <v>707.84999999999991</v>
      </c>
      <c r="Y67" s="51">
        <f t="shared" si="22"/>
        <v>12281278</v>
      </c>
      <c r="Z67" s="52">
        <f t="shared" si="23"/>
        <v>5017.71</v>
      </c>
      <c r="AA67" s="58">
        <f t="shared" si="24"/>
        <v>222927</v>
      </c>
      <c r="AB67" s="17">
        <f t="shared" si="25"/>
        <v>338.43</v>
      </c>
      <c r="AC67" s="101"/>
      <c r="AD67" s="555">
        <f t="shared" ref="AD67:AE92" si="44">SUM(C67,E67,G67,I67)</f>
        <v>93864628</v>
      </c>
      <c r="AE67" s="632">
        <f t="shared" si="44"/>
        <v>19242.149999999998</v>
      </c>
    </row>
    <row r="68" spans="1:31" hidden="1" outlineLevel="1">
      <c r="A68" s="114">
        <v>43161</v>
      </c>
      <c r="B68" s="115">
        <f t="shared" si="26"/>
        <v>3</v>
      </c>
      <c r="C68" s="35">
        <v>33211404</v>
      </c>
      <c r="D68" s="36">
        <v>6704.6</v>
      </c>
      <c r="E68" s="43">
        <v>23543407</v>
      </c>
      <c r="F68" s="44">
        <v>4550.63</v>
      </c>
      <c r="G68" s="51">
        <v>49819937</v>
      </c>
      <c r="H68" s="52">
        <v>9849.6200000000008</v>
      </c>
      <c r="I68" s="58">
        <v>4198612</v>
      </c>
      <c r="J68" s="17">
        <v>714.29</v>
      </c>
      <c r="K68" s="101"/>
      <c r="L68" s="35">
        <v>30983379</v>
      </c>
      <c r="M68" s="36">
        <v>2967.73</v>
      </c>
      <c r="N68" s="43">
        <v>21121345</v>
      </c>
      <c r="O68" s="44">
        <v>3806.27</v>
      </c>
      <c r="P68" s="51">
        <v>35063114</v>
      </c>
      <c r="Q68" s="52">
        <v>4261.32</v>
      </c>
      <c r="R68" s="58">
        <v>3906638</v>
      </c>
      <c r="S68" s="17">
        <v>321.98</v>
      </c>
      <c r="T68" s="101"/>
      <c r="U68" s="35">
        <f t="shared" si="18"/>
        <v>2228025</v>
      </c>
      <c r="V68" s="36">
        <f t="shared" si="19"/>
        <v>3736.8700000000003</v>
      </c>
      <c r="W68" s="43">
        <f t="shared" si="20"/>
        <v>2422062</v>
      </c>
      <c r="X68" s="44">
        <f t="shared" si="21"/>
        <v>744.36000000000013</v>
      </c>
      <c r="Y68" s="51">
        <f t="shared" si="22"/>
        <v>14756823</v>
      </c>
      <c r="Z68" s="52">
        <f t="shared" si="23"/>
        <v>5588.3000000000011</v>
      </c>
      <c r="AA68" s="58">
        <f t="shared" si="24"/>
        <v>291974</v>
      </c>
      <c r="AB68" s="17">
        <f t="shared" si="25"/>
        <v>392.30999999999995</v>
      </c>
      <c r="AC68" s="101"/>
      <c r="AD68" s="555">
        <f t="shared" si="44"/>
        <v>110773360</v>
      </c>
      <c r="AE68" s="632">
        <f t="shared" si="44"/>
        <v>21819.14</v>
      </c>
    </row>
    <row r="69" spans="1:31" hidden="1" outlineLevel="1">
      <c r="A69" s="114">
        <v>43162</v>
      </c>
      <c r="B69" s="115">
        <f t="shared" si="26"/>
        <v>3</v>
      </c>
      <c r="C69" s="35">
        <v>35275577</v>
      </c>
      <c r="D69" s="36">
        <v>6547.47</v>
      </c>
      <c r="E69" s="43">
        <v>24741991</v>
      </c>
      <c r="F69" s="44">
        <v>4348.26</v>
      </c>
      <c r="G69" s="51">
        <v>52424379</v>
      </c>
      <c r="H69" s="52">
        <v>9164.8700000000008</v>
      </c>
      <c r="I69" s="58">
        <v>3940197</v>
      </c>
      <c r="J69" s="17">
        <v>648.26</v>
      </c>
      <c r="K69" s="101"/>
      <c r="L69" s="35">
        <v>32936542</v>
      </c>
      <c r="M69" s="36">
        <v>2944.21</v>
      </c>
      <c r="N69" s="43">
        <v>22263745</v>
      </c>
      <c r="O69" s="44">
        <v>3595.12</v>
      </c>
      <c r="P69" s="51">
        <v>37878392</v>
      </c>
      <c r="Q69" s="52">
        <v>4090.04</v>
      </c>
      <c r="R69" s="58">
        <v>3652654</v>
      </c>
      <c r="S69" s="17">
        <v>288.14999999999998</v>
      </c>
      <c r="T69" s="101"/>
      <c r="U69" s="35">
        <f t="shared" si="18"/>
        <v>2339035</v>
      </c>
      <c r="V69" s="36">
        <f t="shared" si="19"/>
        <v>3603.26</v>
      </c>
      <c r="W69" s="43">
        <f t="shared" si="20"/>
        <v>2478246</v>
      </c>
      <c r="X69" s="44">
        <f t="shared" si="21"/>
        <v>753.14000000000033</v>
      </c>
      <c r="Y69" s="51">
        <f t="shared" si="22"/>
        <v>14545987</v>
      </c>
      <c r="Z69" s="52">
        <f t="shared" si="23"/>
        <v>5074.8300000000008</v>
      </c>
      <c r="AA69" s="58">
        <f t="shared" si="24"/>
        <v>287543</v>
      </c>
      <c r="AB69" s="17">
        <f t="shared" si="25"/>
        <v>360.11</v>
      </c>
      <c r="AC69" s="101"/>
      <c r="AD69" s="555">
        <f t="shared" si="44"/>
        <v>116382144</v>
      </c>
      <c r="AE69" s="632">
        <f t="shared" si="44"/>
        <v>20708.859999999997</v>
      </c>
    </row>
    <row r="70" spans="1:31" hidden="1" outlineLevel="1">
      <c r="A70" s="114">
        <v>43163</v>
      </c>
      <c r="B70" s="115">
        <f t="shared" si="26"/>
        <v>3</v>
      </c>
      <c r="C70" s="35">
        <v>31420938</v>
      </c>
      <c r="D70" s="36">
        <v>6369.73</v>
      </c>
      <c r="E70" s="43">
        <v>18856076</v>
      </c>
      <c r="F70" s="44">
        <v>3402.25</v>
      </c>
      <c r="G70" s="51">
        <v>43447307</v>
      </c>
      <c r="H70" s="52">
        <v>7750.35</v>
      </c>
      <c r="I70" s="58">
        <v>3295117</v>
      </c>
      <c r="J70" s="17">
        <v>631.88</v>
      </c>
      <c r="K70" s="101"/>
      <c r="L70" s="35">
        <v>29283269</v>
      </c>
      <c r="M70" s="36">
        <v>2781.85</v>
      </c>
      <c r="N70" s="43">
        <v>16482390</v>
      </c>
      <c r="O70" s="44">
        <v>2653.72</v>
      </c>
      <c r="P70" s="51">
        <v>30086334</v>
      </c>
      <c r="Q70" s="52">
        <v>3130.95</v>
      </c>
      <c r="R70" s="58">
        <v>3044396</v>
      </c>
      <c r="S70" s="17">
        <v>281.29000000000002</v>
      </c>
      <c r="T70" s="101"/>
      <c r="U70" s="35">
        <f t="shared" si="18"/>
        <v>2137669</v>
      </c>
      <c r="V70" s="36">
        <f t="shared" si="19"/>
        <v>3587.8799999999997</v>
      </c>
      <c r="W70" s="43">
        <f t="shared" si="20"/>
        <v>2373686</v>
      </c>
      <c r="X70" s="44">
        <f t="shared" si="21"/>
        <v>748.5300000000002</v>
      </c>
      <c r="Y70" s="51">
        <f t="shared" si="22"/>
        <v>13360973</v>
      </c>
      <c r="Z70" s="52">
        <f t="shared" si="23"/>
        <v>4619.4000000000005</v>
      </c>
      <c r="AA70" s="58">
        <f t="shared" si="24"/>
        <v>250721</v>
      </c>
      <c r="AB70" s="17">
        <f t="shared" si="25"/>
        <v>350.59</v>
      </c>
      <c r="AC70" s="101"/>
      <c r="AD70" s="555">
        <f t="shared" si="44"/>
        <v>97019438</v>
      </c>
      <c r="AE70" s="632">
        <f t="shared" si="44"/>
        <v>18154.210000000003</v>
      </c>
    </row>
    <row r="71" spans="1:31" hidden="1" outlineLevel="1">
      <c r="A71" s="114">
        <v>43164</v>
      </c>
      <c r="B71" s="115">
        <f t="shared" si="26"/>
        <v>3</v>
      </c>
      <c r="C71" s="35">
        <v>31390509</v>
      </c>
      <c r="D71" s="36">
        <v>6862.33</v>
      </c>
      <c r="E71" s="43">
        <v>18003210</v>
      </c>
      <c r="F71" s="44">
        <v>3471.4</v>
      </c>
      <c r="G71" s="51">
        <v>44219945</v>
      </c>
      <c r="H71" s="52">
        <v>8280.6200000000008</v>
      </c>
      <c r="I71" s="58">
        <v>3247116</v>
      </c>
      <c r="J71" s="17">
        <v>673.1</v>
      </c>
      <c r="K71" s="101"/>
      <c r="L71" s="35">
        <v>29355346</v>
      </c>
      <c r="M71" s="36">
        <v>3050.61</v>
      </c>
      <c r="N71" s="43">
        <v>15980030</v>
      </c>
      <c r="O71" s="44">
        <v>2788.74</v>
      </c>
      <c r="P71" s="51">
        <v>29781356</v>
      </c>
      <c r="Q71" s="52">
        <v>3315.45</v>
      </c>
      <c r="R71" s="58">
        <v>3023033</v>
      </c>
      <c r="S71" s="17">
        <v>302.45999999999998</v>
      </c>
      <c r="T71" s="101"/>
      <c r="U71" s="35">
        <f t="shared" si="18"/>
        <v>2035163</v>
      </c>
      <c r="V71" s="36">
        <f t="shared" si="19"/>
        <v>3811.72</v>
      </c>
      <c r="W71" s="43">
        <f t="shared" si="20"/>
        <v>2023180</v>
      </c>
      <c r="X71" s="44">
        <f t="shared" si="21"/>
        <v>682.66000000000031</v>
      </c>
      <c r="Y71" s="51">
        <f t="shared" si="22"/>
        <v>14438589</v>
      </c>
      <c r="Z71" s="52">
        <f t="shared" si="23"/>
        <v>4965.170000000001</v>
      </c>
      <c r="AA71" s="58">
        <f t="shared" si="24"/>
        <v>224083</v>
      </c>
      <c r="AB71" s="17">
        <f t="shared" si="25"/>
        <v>370.64000000000004</v>
      </c>
      <c r="AC71" s="101"/>
      <c r="AD71" s="555">
        <f t="shared" si="44"/>
        <v>96860780</v>
      </c>
      <c r="AE71" s="632">
        <f t="shared" si="44"/>
        <v>19287.449999999997</v>
      </c>
    </row>
    <row r="72" spans="1:31" hidden="1" outlineLevel="1">
      <c r="A72" s="114">
        <v>43165</v>
      </c>
      <c r="B72" s="115">
        <f t="shared" si="26"/>
        <v>3</v>
      </c>
      <c r="C72" s="35">
        <v>32072075</v>
      </c>
      <c r="D72" s="36">
        <v>7975.44</v>
      </c>
      <c r="E72" s="43">
        <v>18046316</v>
      </c>
      <c r="F72" s="44">
        <v>3801.05</v>
      </c>
      <c r="G72" s="51">
        <v>45581452</v>
      </c>
      <c r="H72" s="52">
        <v>9635</v>
      </c>
      <c r="I72" s="58">
        <v>3222160</v>
      </c>
      <c r="J72" s="17">
        <v>774.03</v>
      </c>
      <c r="K72" s="101"/>
      <c r="L72" s="35">
        <v>30015100</v>
      </c>
      <c r="M72" s="36">
        <v>3925.95</v>
      </c>
      <c r="N72" s="43">
        <v>15990582</v>
      </c>
      <c r="O72" s="44">
        <v>3128.07</v>
      </c>
      <c r="P72" s="51">
        <v>29884063</v>
      </c>
      <c r="Q72" s="52">
        <v>3917.08</v>
      </c>
      <c r="R72" s="58">
        <v>3001179</v>
      </c>
      <c r="S72" s="17">
        <v>384.39</v>
      </c>
      <c r="T72" s="101"/>
      <c r="U72" s="35">
        <f t="shared" si="18"/>
        <v>2056975</v>
      </c>
      <c r="V72" s="36">
        <f t="shared" si="19"/>
        <v>4049.49</v>
      </c>
      <c r="W72" s="43">
        <f t="shared" si="20"/>
        <v>2055734</v>
      </c>
      <c r="X72" s="44">
        <f t="shared" si="21"/>
        <v>672.98</v>
      </c>
      <c r="Y72" s="51">
        <f t="shared" si="22"/>
        <v>15697389</v>
      </c>
      <c r="Z72" s="52">
        <f t="shared" si="23"/>
        <v>5717.92</v>
      </c>
      <c r="AA72" s="58">
        <f t="shared" si="24"/>
        <v>220981</v>
      </c>
      <c r="AB72" s="17">
        <f t="shared" si="25"/>
        <v>389.64</v>
      </c>
      <c r="AC72" s="101"/>
      <c r="AD72" s="555">
        <f t="shared" si="44"/>
        <v>98922003</v>
      </c>
      <c r="AE72" s="632">
        <f t="shared" si="44"/>
        <v>22185.519999999997</v>
      </c>
    </row>
    <row r="73" spans="1:31" hidden="1" outlineLevel="1">
      <c r="A73" s="114">
        <v>43166</v>
      </c>
      <c r="B73" s="115">
        <f t="shared" si="26"/>
        <v>3</v>
      </c>
      <c r="C73" s="35">
        <v>32335526</v>
      </c>
      <c r="D73" s="36">
        <v>7655.73</v>
      </c>
      <c r="E73" s="43">
        <v>19242301</v>
      </c>
      <c r="F73" s="44">
        <v>3825.76</v>
      </c>
      <c r="G73" s="51">
        <v>52161023</v>
      </c>
      <c r="H73" s="52">
        <v>10938.93</v>
      </c>
      <c r="I73" s="58">
        <v>4376526</v>
      </c>
      <c r="J73" s="17">
        <v>848.17</v>
      </c>
      <c r="K73" s="101"/>
      <c r="L73" s="35">
        <v>30225899</v>
      </c>
      <c r="M73" s="36">
        <v>3450.54</v>
      </c>
      <c r="N73" s="43">
        <v>17049277</v>
      </c>
      <c r="O73" s="44">
        <v>3128.12</v>
      </c>
      <c r="P73" s="51">
        <v>32081892</v>
      </c>
      <c r="Q73" s="52">
        <v>3988.58</v>
      </c>
      <c r="R73" s="58">
        <v>4116126</v>
      </c>
      <c r="S73" s="17">
        <v>396.28</v>
      </c>
      <c r="T73" s="101"/>
      <c r="U73" s="35">
        <f t="shared" ref="U73:U138" si="45">C73-L73</f>
        <v>2109627</v>
      </c>
      <c r="V73" s="36">
        <f t="shared" ref="V73:V138" si="46">D73-M73</f>
        <v>4205.1899999999996</v>
      </c>
      <c r="W73" s="43">
        <f t="shared" ref="W73:W138" si="47">E73-N73</f>
        <v>2193024</v>
      </c>
      <c r="X73" s="44">
        <f t="shared" ref="X73:X138" si="48">F73-O73</f>
        <v>697.64000000000033</v>
      </c>
      <c r="Y73" s="51">
        <f t="shared" ref="Y73:Y138" si="49">G73-P73</f>
        <v>20079131</v>
      </c>
      <c r="Z73" s="52">
        <f t="shared" ref="Z73:Z138" si="50">H73-Q73</f>
        <v>6950.35</v>
      </c>
      <c r="AA73" s="58">
        <f t="shared" ref="AA73:AA138" si="51">I73-R73</f>
        <v>260400</v>
      </c>
      <c r="AB73" s="17">
        <f t="shared" ref="AB73:AB138" si="52">J73-S73</f>
        <v>451.89</v>
      </c>
      <c r="AC73" s="101"/>
      <c r="AD73" s="555">
        <f t="shared" si="44"/>
        <v>108115376</v>
      </c>
      <c r="AE73" s="632">
        <f t="shared" si="44"/>
        <v>23268.589999999997</v>
      </c>
    </row>
    <row r="74" spans="1:31" hidden="1" outlineLevel="1">
      <c r="A74" s="114">
        <v>43167</v>
      </c>
      <c r="B74" s="115">
        <f t="shared" si="26"/>
        <v>3</v>
      </c>
      <c r="C74" s="35">
        <v>31862308</v>
      </c>
      <c r="D74" s="36">
        <v>7520.06</v>
      </c>
      <c r="E74" s="43">
        <v>18352319</v>
      </c>
      <c r="F74" s="44">
        <v>3609.8</v>
      </c>
      <c r="G74" s="51">
        <v>48689342</v>
      </c>
      <c r="H74" s="52">
        <v>11033.24</v>
      </c>
      <c r="I74" s="58">
        <v>4480461</v>
      </c>
      <c r="J74" s="17">
        <v>859.92</v>
      </c>
      <c r="K74" s="101"/>
      <c r="L74" s="35">
        <v>29763509</v>
      </c>
      <c r="M74" s="36">
        <v>3284.62</v>
      </c>
      <c r="N74" s="43">
        <v>16297580</v>
      </c>
      <c r="O74" s="44">
        <v>2888.93</v>
      </c>
      <c r="P74" s="51">
        <v>30002672</v>
      </c>
      <c r="Q74" s="52">
        <v>3437.8</v>
      </c>
      <c r="R74" s="58">
        <v>4212545</v>
      </c>
      <c r="S74" s="17">
        <v>372.94</v>
      </c>
      <c r="T74" s="101"/>
      <c r="U74" s="35">
        <f t="shared" si="45"/>
        <v>2098799</v>
      </c>
      <c r="V74" s="36">
        <f t="shared" si="46"/>
        <v>4235.4400000000005</v>
      </c>
      <c r="W74" s="43">
        <f t="shared" si="47"/>
        <v>2054739</v>
      </c>
      <c r="X74" s="44">
        <f t="shared" si="48"/>
        <v>720.87000000000035</v>
      </c>
      <c r="Y74" s="51">
        <f t="shared" si="49"/>
        <v>18686670</v>
      </c>
      <c r="Z74" s="52">
        <f t="shared" si="50"/>
        <v>7595.44</v>
      </c>
      <c r="AA74" s="58">
        <f t="shared" si="51"/>
        <v>267916</v>
      </c>
      <c r="AB74" s="17">
        <f t="shared" si="52"/>
        <v>486.97999999999996</v>
      </c>
      <c r="AC74" s="101"/>
      <c r="AD74" s="555">
        <f t="shared" si="44"/>
        <v>103384430</v>
      </c>
      <c r="AE74" s="632">
        <f t="shared" si="44"/>
        <v>23023.019999999997</v>
      </c>
    </row>
    <row r="75" spans="1:31" hidden="1" outlineLevel="1">
      <c r="A75" s="114">
        <v>43168</v>
      </c>
      <c r="B75" s="115">
        <f t="shared" si="26"/>
        <v>3</v>
      </c>
      <c r="C75" s="35">
        <v>32921167</v>
      </c>
      <c r="D75" s="36">
        <v>7504.11</v>
      </c>
      <c r="E75" s="43">
        <v>22676849</v>
      </c>
      <c r="F75" s="44">
        <v>4323</v>
      </c>
      <c r="G75" s="51">
        <v>48653455</v>
      </c>
      <c r="H75" s="52">
        <v>10370.36</v>
      </c>
      <c r="I75" s="58">
        <v>4527988</v>
      </c>
      <c r="J75" s="17">
        <v>843.42</v>
      </c>
      <c r="K75" s="101"/>
      <c r="L75" s="35">
        <v>30651784</v>
      </c>
      <c r="M75" s="36">
        <v>3215.01</v>
      </c>
      <c r="N75" s="43">
        <v>20602254</v>
      </c>
      <c r="O75" s="44">
        <v>3652.27</v>
      </c>
      <c r="P75" s="51">
        <v>32958112</v>
      </c>
      <c r="Q75" s="52">
        <v>3779.66</v>
      </c>
      <c r="R75" s="58">
        <v>4243627</v>
      </c>
      <c r="S75" s="17">
        <v>376.74</v>
      </c>
      <c r="T75" s="101"/>
      <c r="U75" s="35">
        <f t="shared" si="45"/>
        <v>2269383</v>
      </c>
      <c r="V75" s="36">
        <f t="shared" si="46"/>
        <v>4289.0999999999995</v>
      </c>
      <c r="W75" s="43">
        <f t="shared" si="47"/>
        <v>2074595</v>
      </c>
      <c r="X75" s="44">
        <f t="shared" si="48"/>
        <v>670.73</v>
      </c>
      <c r="Y75" s="51">
        <f t="shared" si="49"/>
        <v>15695343</v>
      </c>
      <c r="Z75" s="52">
        <f t="shared" si="50"/>
        <v>6590.7000000000007</v>
      </c>
      <c r="AA75" s="58">
        <f t="shared" si="51"/>
        <v>284361</v>
      </c>
      <c r="AB75" s="17">
        <f t="shared" si="52"/>
        <v>466.67999999999995</v>
      </c>
      <c r="AC75" s="101"/>
      <c r="AD75" s="555">
        <f t="shared" si="44"/>
        <v>108779459</v>
      </c>
      <c r="AE75" s="632">
        <f t="shared" si="44"/>
        <v>23040.89</v>
      </c>
    </row>
    <row r="76" spans="1:31" hidden="1" outlineLevel="1">
      <c r="A76" s="114">
        <v>43169</v>
      </c>
      <c r="B76" s="115">
        <f t="shared" si="26"/>
        <v>3</v>
      </c>
      <c r="C76" s="35">
        <v>34952693</v>
      </c>
      <c r="D76" s="36">
        <v>6988.71</v>
      </c>
      <c r="E76" s="43">
        <v>23742909</v>
      </c>
      <c r="F76" s="44">
        <v>4091.77</v>
      </c>
      <c r="G76" s="51">
        <v>50106474</v>
      </c>
      <c r="H76" s="52">
        <v>9815.2199999999993</v>
      </c>
      <c r="I76" s="58">
        <v>5051550</v>
      </c>
      <c r="J76" s="17">
        <v>830.75</v>
      </c>
      <c r="K76" s="101"/>
      <c r="L76" s="35">
        <v>32494655</v>
      </c>
      <c r="M76" s="36">
        <v>2947.15</v>
      </c>
      <c r="N76" s="43">
        <v>21815221</v>
      </c>
      <c r="O76" s="44">
        <v>3487.5</v>
      </c>
      <c r="P76" s="51">
        <v>35926110</v>
      </c>
      <c r="Q76" s="52">
        <v>3697.45</v>
      </c>
      <c r="R76" s="58">
        <v>4695212</v>
      </c>
      <c r="S76" s="17">
        <v>352.06</v>
      </c>
      <c r="T76" s="101"/>
      <c r="U76" s="35">
        <f t="shared" si="45"/>
        <v>2458038</v>
      </c>
      <c r="V76" s="36">
        <f t="shared" si="46"/>
        <v>4041.56</v>
      </c>
      <c r="W76" s="43">
        <f t="shared" si="47"/>
        <v>1927688</v>
      </c>
      <c r="X76" s="44">
        <f t="shared" si="48"/>
        <v>604.27</v>
      </c>
      <c r="Y76" s="51">
        <f t="shared" si="49"/>
        <v>14180364</v>
      </c>
      <c r="Z76" s="52">
        <f t="shared" si="50"/>
        <v>6117.7699999999995</v>
      </c>
      <c r="AA76" s="58">
        <f t="shared" si="51"/>
        <v>356338</v>
      </c>
      <c r="AB76" s="17">
        <f t="shared" si="52"/>
        <v>478.69</v>
      </c>
      <c r="AC76" s="101"/>
      <c r="AD76" s="555">
        <f t="shared" si="44"/>
        <v>113853626</v>
      </c>
      <c r="AE76" s="632">
        <f t="shared" si="44"/>
        <v>21726.449999999997</v>
      </c>
    </row>
    <row r="77" spans="1:31" hidden="1" outlineLevel="1">
      <c r="A77" s="114">
        <v>43170</v>
      </c>
      <c r="B77" s="115">
        <f t="shared" si="26"/>
        <v>3</v>
      </c>
      <c r="C77" s="35">
        <v>29676298</v>
      </c>
      <c r="D77" s="36">
        <v>7052.22</v>
      </c>
      <c r="E77" s="43">
        <v>17615778</v>
      </c>
      <c r="F77" s="44">
        <v>3669.5</v>
      </c>
      <c r="G77" s="51">
        <v>40897832</v>
      </c>
      <c r="H77" s="52">
        <v>9909.5499999999993</v>
      </c>
      <c r="I77" s="58">
        <v>4116145</v>
      </c>
      <c r="J77" s="17">
        <v>824.67</v>
      </c>
      <c r="K77" s="101"/>
      <c r="L77" s="35">
        <v>27542421</v>
      </c>
      <c r="M77" s="36">
        <v>3153.03</v>
      </c>
      <c r="N77" s="43">
        <v>15875120</v>
      </c>
      <c r="O77" s="44">
        <v>3084.15</v>
      </c>
      <c r="P77" s="51">
        <v>29777398</v>
      </c>
      <c r="Q77" s="52">
        <v>3933.97</v>
      </c>
      <c r="R77" s="58">
        <v>3829095</v>
      </c>
      <c r="S77" s="17">
        <v>374.97</v>
      </c>
      <c r="T77" s="101"/>
      <c r="U77" s="35">
        <f t="shared" si="45"/>
        <v>2133877</v>
      </c>
      <c r="V77" s="36">
        <f t="shared" si="46"/>
        <v>3899.19</v>
      </c>
      <c r="W77" s="43">
        <f t="shared" si="47"/>
        <v>1740658</v>
      </c>
      <c r="X77" s="44">
        <f t="shared" si="48"/>
        <v>585.34999999999991</v>
      </c>
      <c r="Y77" s="51">
        <f t="shared" si="49"/>
        <v>11120434</v>
      </c>
      <c r="Z77" s="52">
        <f t="shared" si="50"/>
        <v>5975.58</v>
      </c>
      <c r="AA77" s="58">
        <f t="shared" si="51"/>
        <v>287050</v>
      </c>
      <c r="AB77" s="17">
        <f t="shared" si="52"/>
        <v>449.69999999999993</v>
      </c>
      <c r="AC77" s="101"/>
      <c r="AD77" s="555">
        <f t="shared" si="44"/>
        <v>92306053</v>
      </c>
      <c r="AE77" s="632">
        <f t="shared" si="44"/>
        <v>21455.94</v>
      </c>
    </row>
    <row r="78" spans="1:31" hidden="1" outlineLevel="1">
      <c r="A78" s="114">
        <v>43171</v>
      </c>
      <c r="B78" s="115">
        <f t="shared" si="26"/>
        <v>3</v>
      </c>
      <c r="C78" s="35">
        <v>32121041</v>
      </c>
      <c r="D78" s="36">
        <v>7532.03</v>
      </c>
      <c r="E78" s="43">
        <v>18054301</v>
      </c>
      <c r="F78" s="44">
        <v>4061.8</v>
      </c>
      <c r="G78" s="51">
        <v>43830750</v>
      </c>
      <c r="H78" s="52">
        <v>10950.68</v>
      </c>
      <c r="I78" s="58">
        <v>4190526</v>
      </c>
      <c r="J78" s="17">
        <v>875.72</v>
      </c>
      <c r="K78" s="101"/>
      <c r="L78" s="35">
        <v>29971676</v>
      </c>
      <c r="M78" s="36">
        <v>3377.4</v>
      </c>
      <c r="N78" s="43">
        <v>16234498</v>
      </c>
      <c r="O78" s="44">
        <v>3372.53</v>
      </c>
      <c r="P78" s="51">
        <v>29895078</v>
      </c>
      <c r="Q78" s="52">
        <v>3722.44</v>
      </c>
      <c r="R78" s="58">
        <v>3927486</v>
      </c>
      <c r="S78" s="17">
        <v>402.55</v>
      </c>
      <c r="T78" s="101"/>
      <c r="U78" s="35">
        <f t="shared" si="45"/>
        <v>2149365</v>
      </c>
      <c r="V78" s="36">
        <f t="shared" si="46"/>
        <v>4154.6299999999992</v>
      </c>
      <c r="W78" s="43">
        <f t="shared" si="47"/>
        <v>1819803</v>
      </c>
      <c r="X78" s="44">
        <f t="shared" si="48"/>
        <v>689.27</v>
      </c>
      <c r="Y78" s="51">
        <f t="shared" si="49"/>
        <v>13935672</v>
      </c>
      <c r="Z78" s="52">
        <f t="shared" si="50"/>
        <v>7228.24</v>
      </c>
      <c r="AA78" s="58">
        <f t="shared" si="51"/>
        <v>263040</v>
      </c>
      <c r="AB78" s="17">
        <f t="shared" si="52"/>
        <v>473.17</v>
      </c>
      <c r="AC78" s="101"/>
      <c r="AD78" s="555">
        <f t="shared" si="44"/>
        <v>98196618</v>
      </c>
      <c r="AE78" s="632">
        <f t="shared" si="44"/>
        <v>23420.230000000003</v>
      </c>
    </row>
    <row r="79" spans="1:31" hidden="1" outlineLevel="1">
      <c r="A79" s="114">
        <v>43172</v>
      </c>
      <c r="B79" s="115">
        <f t="shared" si="26"/>
        <v>3</v>
      </c>
      <c r="C79" s="35">
        <v>30926278</v>
      </c>
      <c r="D79" s="36">
        <v>8477.2199999999993</v>
      </c>
      <c r="E79" s="43">
        <v>17126059</v>
      </c>
      <c r="F79" s="44">
        <v>5311.76</v>
      </c>
      <c r="G79" s="51">
        <v>46121465</v>
      </c>
      <c r="H79" s="52">
        <v>14606.92</v>
      </c>
      <c r="I79" s="58">
        <v>4137864</v>
      </c>
      <c r="J79" s="17">
        <v>1043.08</v>
      </c>
      <c r="K79" s="101"/>
      <c r="L79" s="35">
        <v>28783693</v>
      </c>
      <c r="M79" s="36">
        <v>4151.7700000000004</v>
      </c>
      <c r="N79" s="43">
        <v>15445458</v>
      </c>
      <c r="O79" s="44">
        <v>4551.53</v>
      </c>
      <c r="P79" s="51">
        <v>28699779</v>
      </c>
      <c r="Q79" s="52">
        <v>4642.8</v>
      </c>
      <c r="R79" s="58">
        <v>3868632</v>
      </c>
      <c r="S79" s="17">
        <v>524.58000000000004</v>
      </c>
      <c r="T79" s="101"/>
      <c r="U79" s="35">
        <f t="shared" si="45"/>
        <v>2142585</v>
      </c>
      <c r="V79" s="36">
        <f t="shared" si="46"/>
        <v>4325.4499999999989</v>
      </c>
      <c r="W79" s="43">
        <f t="shared" si="47"/>
        <v>1680601</v>
      </c>
      <c r="X79" s="44">
        <f t="shared" si="48"/>
        <v>760.23000000000047</v>
      </c>
      <c r="Y79" s="51">
        <f t="shared" si="49"/>
        <v>17421686</v>
      </c>
      <c r="Z79" s="52">
        <f t="shared" si="50"/>
        <v>9964.119999999999</v>
      </c>
      <c r="AA79" s="58">
        <f t="shared" si="51"/>
        <v>269232</v>
      </c>
      <c r="AB79" s="17">
        <f t="shared" si="52"/>
        <v>518.49999999999989</v>
      </c>
      <c r="AC79" s="101"/>
      <c r="AD79" s="555">
        <f t="shared" si="44"/>
        <v>98311666</v>
      </c>
      <c r="AE79" s="632">
        <f t="shared" si="44"/>
        <v>29438.980000000003</v>
      </c>
    </row>
    <row r="80" spans="1:31" hidden="1" outlineLevel="1">
      <c r="A80" s="114">
        <v>43173</v>
      </c>
      <c r="B80" s="115">
        <f t="shared" si="26"/>
        <v>3</v>
      </c>
      <c r="C80" s="35">
        <v>32053347</v>
      </c>
      <c r="D80" s="36">
        <v>8798.99</v>
      </c>
      <c r="E80" s="43">
        <v>17623598</v>
      </c>
      <c r="F80" s="44">
        <v>4808.62</v>
      </c>
      <c r="G80" s="51">
        <v>48080302</v>
      </c>
      <c r="H80" s="52">
        <v>14718.17</v>
      </c>
      <c r="I80" s="58">
        <v>4348692</v>
      </c>
      <c r="J80" s="17">
        <v>1120.93</v>
      </c>
      <c r="K80" s="101"/>
      <c r="L80" s="35">
        <v>29881461</v>
      </c>
      <c r="M80" s="36">
        <v>4379.82</v>
      </c>
      <c r="N80" s="43">
        <v>15889725</v>
      </c>
      <c r="O80" s="44">
        <v>3960.21</v>
      </c>
      <c r="P80" s="51">
        <v>29440759</v>
      </c>
      <c r="Q80" s="52">
        <v>4633.04</v>
      </c>
      <c r="R80" s="58">
        <v>4083964</v>
      </c>
      <c r="S80" s="17">
        <v>585.08000000000004</v>
      </c>
      <c r="T80" s="101"/>
      <c r="U80" s="35">
        <f t="shared" si="45"/>
        <v>2171886</v>
      </c>
      <c r="V80" s="36">
        <f t="shared" si="46"/>
        <v>4419.17</v>
      </c>
      <c r="W80" s="43">
        <f t="shared" si="47"/>
        <v>1733873</v>
      </c>
      <c r="X80" s="44">
        <f t="shared" si="48"/>
        <v>848.40999999999985</v>
      </c>
      <c r="Y80" s="51">
        <f t="shared" si="49"/>
        <v>18639543</v>
      </c>
      <c r="Z80" s="52">
        <f t="shared" si="50"/>
        <v>10085.130000000001</v>
      </c>
      <c r="AA80" s="58">
        <f t="shared" si="51"/>
        <v>264728</v>
      </c>
      <c r="AB80" s="17">
        <f t="shared" si="52"/>
        <v>535.85</v>
      </c>
      <c r="AC80" s="101"/>
      <c r="AD80" s="555">
        <f t="shared" si="44"/>
        <v>102105939</v>
      </c>
      <c r="AE80" s="632">
        <f t="shared" si="44"/>
        <v>29446.71</v>
      </c>
    </row>
    <row r="81" spans="1:31" hidden="1" outlineLevel="1">
      <c r="A81" s="114">
        <v>43174</v>
      </c>
      <c r="B81" s="115">
        <f t="shared" si="26"/>
        <v>3</v>
      </c>
      <c r="C81" s="35">
        <v>32187277</v>
      </c>
      <c r="D81" s="36">
        <v>9008.0300000000007</v>
      </c>
      <c r="E81" s="43">
        <v>17731984</v>
      </c>
      <c r="F81" s="44">
        <v>5008.8900000000003</v>
      </c>
      <c r="G81" s="51">
        <v>50530266</v>
      </c>
      <c r="H81" s="52">
        <v>16750.13</v>
      </c>
      <c r="I81" s="58">
        <v>4400082</v>
      </c>
      <c r="J81" s="17">
        <v>1136.9100000000001</v>
      </c>
      <c r="K81" s="101"/>
      <c r="L81" s="35">
        <v>30006492</v>
      </c>
      <c r="M81" s="36">
        <v>4375.33</v>
      </c>
      <c r="N81" s="43">
        <v>16049432</v>
      </c>
      <c r="O81" s="44">
        <v>4242.3500000000004</v>
      </c>
      <c r="P81" s="51">
        <v>30719318</v>
      </c>
      <c r="Q81" s="52">
        <v>4858.54</v>
      </c>
      <c r="R81" s="58">
        <v>4128448</v>
      </c>
      <c r="S81" s="17">
        <v>589.16</v>
      </c>
      <c r="T81" s="101"/>
      <c r="U81" s="35">
        <f t="shared" si="45"/>
        <v>2180785</v>
      </c>
      <c r="V81" s="36">
        <f t="shared" si="46"/>
        <v>4632.7000000000007</v>
      </c>
      <c r="W81" s="43">
        <f t="shared" si="47"/>
        <v>1682552</v>
      </c>
      <c r="X81" s="44">
        <f t="shared" si="48"/>
        <v>766.54</v>
      </c>
      <c r="Y81" s="51">
        <f t="shared" si="49"/>
        <v>19810948</v>
      </c>
      <c r="Z81" s="52">
        <f t="shared" si="50"/>
        <v>11891.59</v>
      </c>
      <c r="AA81" s="58">
        <f t="shared" si="51"/>
        <v>271634</v>
      </c>
      <c r="AB81" s="17">
        <f t="shared" si="52"/>
        <v>547.75000000000011</v>
      </c>
      <c r="AC81" s="101"/>
      <c r="AD81" s="555">
        <f t="shared" si="44"/>
        <v>104849609</v>
      </c>
      <c r="AE81" s="632">
        <f t="shared" si="44"/>
        <v>31903.960000000003</v>
      </c>
    </row>
    <row r="82" spans="1:31" hidden="1" outlineLevel="1">
      <c r="A82" s="114">
        <v>43175</v>
      </c>
      <c r="B82" s="115">
        <f t="shared" si="26"/>
        <v>3</v>
      </c>
      <c r="C82" s="35">
        <v>33710617</v>
      </c>
      <c r="D82" s="36">
        <v>8470.09</v>
      </c>
      <c r="E82" s="43">
        <v>26802929</v>
      </c>
      <c r="F82" s="44">
        <v>5630.85</v>
      </c>
      <c r="G82" s="51">
        <v>53038202</v>
      </c>
      <c r="H82" s="52">
        <v>16067.91</v>
      </c>
      <c r="I82" s="58">
        <v>4767456</v>
      </c>
      <c r="J82" s="17">
        <v>1123.99</v>
      </c>
      <c r="K82" s="101"/>
      <c r="L82" s="35">
        <v>31430475</v>
      </c>
      <c r="M82" s="36">
        <v>3995.92</v>
      </c>
      <c r="N82" s="43">
        <v>20958517</v>
      </c>
      <c r="O82" s="44">
        <v>4883.18</v>
      </c>
      <c r="P82" s="51">
        <v>33831737</v>
      </c>
      <c r="Q82" s="52">
        <v>4977.95</v>
      </c>
      <c r="R82" s="58">
        <v>4467224</v>
      </c>
      <c r="S82" s="17">
        <v>564.03</v>
      </c>
      <c r="T82" s="101"/>
      <c r="U82" s="35">
        <f t="shared" si="45"/>
        <v>2280142</v>
      </c>
      <c r="V82" s="36">
        <f t="shared" si="46"/>
        <v>4474.17</v>
      </c>
      <c r="W82" s="43">
        <f t="shared" si="47"/>
        <v>5844412</v>
      </c>
      <c r="X82" s="44">
        <f t="shared" si="48"/>
        <v>747.67000000000007</v>
      </c>
      <c r="Y82" s="51">
        <f t="shared" si="49"/>
        <v>19206465</v>
      </c>
      <c r="Z82" s="52">
        <f t="shared" si="50"/>
        <v>11089.96</v>
      </c>
      <c r="AA82" s="58">
        <f t="shared" si="51"/>
        <v>300232</v>
      </c>
      <c r="AB82" s="17">
        <f t="shared" si="52"/>
        <v>559.96</v>
      </c>
      <c r="AC82" s="101"/>
      <c r="AD82" s="555">
        <f t="shared" si="44"/>
        <v>118319204</v>
      </c>
      <c r="AE82" s="632">
        <f t="shared" si="44"/>
        <v>31292.84</v>
      </c>
    </row>
    <row r="83" spans="1:31" hidden="1" outlineLevel="1">
      <c r="A83" s="114">
        <v>43176</v>
      </c>
      <c r="B83" s="115">
        <f t="shared" si="26"/>
        <v>3</v>
      </c>
      <c r="C83" s="35">
        <v>36660873</v>
      </c>
      <c r="D83" s="36">
        <v>8028.85</v>
      </c>
      <c r="E83" s="43">
        <v>27329991</v>
      </c>
      <c r="F83" s="44">
        <v>6493.11</v>
      </c>
      <c r="G83" s="51">
        <v>61621182</v>
      </c>
      <c r="H83" s="52">
        <v>15864.94</v>
      </c>
      <c r="I83" s="58">
        <v>5326120</v>
      </c>
      <c r="J83" s="17">
        <v>1050.1600000000001</v>
      </c>
      <c r="K83" s="101"/>
      <c r="L83" s="35">
        <v>34199020</v>
      </c>
      <c r="M83" s="36">
        <v>3745.27</v>
      </c>
      <c r="N83" s="43">
        <v>21977103</v>
      </c>
      <c r="O83" s="44">
        <v>4609.13</v>
      </c>
      <c r="P83" s="51">
        <v>39751814</v>
      </c>
      <c r="Q83" s="52">
        <v>5553.42</v>
      </c>
      <c r="R83" s="58">
        <v>4985879</v>
      </c>
      <c r="S83" s="17">
        <v>523.51</v>
      </c>
      <c r="T83" s="101"/>
      <c r="U83" s="35">
        <f t="shared" si="45"/>
        <v>2461853</v>
      </c>
      <c r="V83" s="36">
        <f t="shared" si="46"/>
        <v>4283.58</v>
      </c>
      <c r="W83" s="43">
        <f t="shared" si="47"/>
        <v>5352888</v>
      </c>
      <c r="X83" s="44">
        <f t="shared" si="48"/>
        <v>1883.9799999999996</v>
      </c>
      <c r="Y83" s="51">
        <f t="shared" si="49"/>
        <v>21869368</v>
      </c>
      <c r="Z83" s="52">
        <f t="shared" si="50"/>
        <v>10311.52</v>
      </c>
      <c r="AA83" s="58">
        <f t="shared" si="51"/>
        <v>340241</v>
      </c>
      <c r="AB83" s="17">
        <f t="shared" si="52"/>
        <v>526.65000000000009</v>
      </c>
      <c r="AC83" s="101"/>
      <c r="AD83" s="555">
        <f t="shared" si="44"/>
        <v>130938166</v>
      </c>
      <c r="AE83" s="632">
        <f t="shared" si="44"/>
        <v>31437.06</v>
      </c>
    </row>
    <row r="84" spans="1:31" hidden="1" outlineLevel="1">
      <c r="A84" s="114">
        <v>43177</v>
      </c>
      <c r="B84" s="115">
        <f t="shared" si="26"/>
        <v>3</v>
      </c>
      <c r="C84" s="35">
        <v>33543972</v>
      </c>
      <c r="D84" s="36">
        <v>8022.28</v>
      </c>
      <c r="E84" s="43">
        <v>21703646</v>
      </c>
      <c r="F84" s="44">
        <v>5384.55</v>
      </c>
      <c r="G84" s="51">
        <v>61116393</v>
      </c>
      <c r="H84" s="52">
        <v>20081.22</v>
      </c>
      <c r="I84" s="58">
        <v>5066045</v>
      </c>
      <c r="J84" s="17">
        <v>1089.54</v>
      </c>
      <c r="K84" s="101"/>
      <c r="L84" s="35">
        <v>31219494</v>
      </c>
      <c r="M84" s="36">
        <v>3794.38</v>
      </c>
      <c r="N84" s="43">
        <v>16786832</v>
      </c>
      <c r="O84" s="44">
        <v>3504.38</v>
      </c>
      <c r="P84" s="51">
        <v>32474805</v>
      </c>
      <c r="Q84" s="52">
        <v>4395.33</v>
      </c>
      <c r="R84" s="58">
        <v>4616366</v>
      </c>
      <c r="S84" s="17">
        <v>520.29999999999995</v>
      </c>
      <c r="T84" s="101"/>
      <c r="U84" s="35">
        <f t="shared" si="45"/>
        <v>2324478</v>
      </c>
      <c r="V84" s="36">
        <f t="shared" si="46"/>
        <v>4227.8999999999996</v>
      </c>
      <c r="W84" s="43">
        <f t="shared" si="47"/>
        <v>4916814</v>
      </c>
      <c r="X84" s="44">
        <f t="shared" si="48"/>
        <v>1880.17</v>
      </c>
      <c r="Y84" s="51">
        <f t="shared" si="49"/>
        <v>28641588</v>
      </c>
      <c r="Z84" s="52">
        <f t="shared" si="50"/>
        <v>15685.890000000001</v>
      </c>
      <c r="AA84" s="58">
        <f t="shared" si="51"/>
        <v>449679</v>
      </c>
      <c r="AB84" s="17">
        <f t="shared" si="52"/>
        <v>569.24</v>
      </c>
      <c r="AC84" s="101"/>
      <c r="AD84" s="555">
        <f t="shared" si="44"/>
        <v>121430056</v>
      </c>
      <c r="AE84" s="632">
        <f t="shared" si="44"/>
        <v>34577.590000000004</v>
      </c>
    </row>
    <row r="85" spans="1:31" hidden="1" outlineLevel="1">
      <c r="A85" s="114">
        <v>43178</v>
      </c>
      <c r="B85" s="115">
        <f t="shared" si="26"/>
        <v>3</v>
      </c>
      <c r="C85" s="35">
        <v>33155412</v>
      </c>
      <c r="D85" s="36">
        <v>8825.51</v>
      </c>
      <c r="E85" s="43">
        <v>20012845</v>
      </c>
      <c r="F85" s="44">
        <v>5781.78</v>
      </c>
      <c r="G85" s="51">
        <v>53833191</v>
      </c>
      <c r="H85" s="52">
        <v>17016.43</v>
      </c>
      <c r="I85" s="58">
        <v>5262250</v>
      </c>
      <c r="J85" s="17">
        <v>1322.61</v>
      </c>
      <c r="K85" s="101"/>
      <c r="L85" s="35">
        <v>30936038</v>
      </c>
      <c r="M85" s="36">
        <v>4357.03</v>
      </c>
      <c r="N85" s="43">
        <v>15456900</v>
      </c>
      <c r="O85" s="44">
        <v>3871.31</v>
      </c>
      <c r="P85" s="51">
        <v>30834992</v>
      </c>
      <c r="Q85" s="52">
        <v>4635.58</v>
      </c>
      <c r="R85" s="58">
        <v>4739690</v>
      </c>
      <c r="S85" s="17">
        <v>592.13</v>
      </c>
      <c r="T85" s="101"/>
      <c r="U85" s="35">
        <f t="shared" si="45"/>
        <v>2219374</v>
      </c>
      <c r="V85" s="36">
        <f t="shared" si="46"/>
        <v>4468.4800000000005</v>
      </c>
      <c r="W85" s="43">
        <f t="shared" si="47"/>
        <v>4555945</v>
      </c>
      <c r="X85" s="44">
        <f t="shared" si="48"/>
        <v>1910.4699999999998</v>
      </c>
      <c r="Y85" s="51">
        <f t="shared" si="49"/>
        <v>22998199</v>
      </c>
      <c r="Z85" s="52">
        <f t="shared" si="50"/>
        <v>12380.85</v>
      </c>
      <c r="AA85" s="58">
        <f t="shared" si="51"/>
        <v>522560</v>
      </c>
      <c r="AB85" s="17">
        <f t="shared" si="52"/>
        <v>730.4799999999999</v>
      </c>
      <c r="AC85" s="101"/>
      <c r="AD85" s="555">
        <f t="shared" si="44"/>
        <v>112263698</v>
      </c>
      <c r="AE85" s="632">
        <f t="shared" si="44"/>
        <v>32946.33</v>
      </c>
    </row>
    <row r="86" spans="1:31" hidden="1" outlineLevel="1">
      <c r="A86" s="114">
        <v>43179</v>
      </c>
      <c r="B86" s="115">
        <f t="shared" si="26"/>
        <v>3</v>
      </c>
      <c r="C86" s="35">
        <v>32619509</v>
      </c>
      <c r="D86" s="36">
        <v>9599.98</v>
      </c>
      <c r="E86" s="43">
        <v>19485233</v>
      </c>
      <c r="F86" s="44">
        <v>6216.58</v>
      </c>
      <c r="G86" s="51">
        <v>52237400</v>
      </c>
      <c r="H86" s="52">
        <v>18219.09</v>
      </c>
      <c r="I86" s="58">
        <v>5758857</v>
      </c>
      <c r="J86" s="17">
        <v>1366.75</v>
      </c>
      <c r="K86" s="101"/>
      <c r="L86" s="35">
        <v>30357268</v>
      </c>
      <c r="M86" s="36">
        <v>4866.1899999999996</v>
      </c>
      <c r="N86" s="43">
        <v>15181176</v>
      </c>
      <c r="O86" s="44">
        <v>4390.72</v>
      </c>
      <c r="P86" s="51">
        <v>31622010</v>
      </c>
      <c r="Q86" s="52">
        <v>6651.41</v>
      </c>
      <c r="R86" s="58">
        <v>5348962</v>
      </c>
      <c r="S86" s="17">
        <v>718.66</v>
      </c>
      <c r="T86" s="101"/>
      <c r="U86" s="35">
        <f t="shared" si="45"/>
        <v>2262241</v>
      </c>
      <c r="V86" s="36">
        <f t="shared" si="46"/>
        <v>4733.79</v>
      </c>
      <c r="W86" s="43">
        <f t="shared" si="47"/>
        <v>4304057</v>
      </c>
      <c r="X86" s="44">
        <f t="shared" si="48"/>
        <v>1825.8599999999997</v>
      </c>
      <c r="Y86" s="51">
        <f t="shared" si="49"/>
        <v>20615390</v>
      </c>
      <c r="Z86" s="52">
        <f t="shared" si="50"/>
        <v>11567.68</v>
      </c>
      <c r="AA86" s="58">
        <f t="shared" si="51"/>
        <v>409895</v>
      </c>
      <c r="AB86" s="17">
        <f t="shared" si="52"/>
        <v>648.09</v>
      </c>
      <c r="AC86" s="101"/>
      <c r="AD86" s="555">
        <f t="shared" si="44"/>
        <v>110100999</v>
      </c>
      <c r="AE86" s="632">
        <f t="shared" si="44"/>
        <v>35402.400000000001</v>
      </c>
    </row>
    <row r="87" spans="1:31" hidden="1" outlineLevel="1">
      <c r="A87" s="114">
        <v>43180</v>
      </c>
      <c r="B87" s="115">
        <f t="shared" si="26"/>
        <v>3</v>
      </c>
      <c r="C87" s="35">
        <v>32725820</v>
      </c>
      <c r="D87" s="36">
        <v>9884.85</v>
      </c>
      <c r="E87" s="43">
        <v>19823714</v>
      </c>
      <c r="F87" s="44">
        <v>6280.3</v>
      </c>
      <c r="G87" s="51">
        <v>57307110</v>
      </c>
      <c r="H87" s="52">
        <v>22655.15</v>
      </c>
      <c r="I87" s="58">
        <v>6302779</v>
      </c>
      <c r="J87" s="17">
        <v>1494.96</v>
      </c>
      <c r="K87" s="101"/>
      <c r="L87" s="35">
        <v>30471034</v>
      </c>
      <c r="M87" s="36">
        <v>4942.25</v>
      </c>
      <c r="N87" s="43">
        <v>15399874</v>
      </c>
      <c r="O87" s="44">
        <v>4390.34</v>
      </c>
      <c r="P87" s="51">
        <v>30723648</v>
      </c>
      <c r="Q87" s="52">
        <v>6390.19</v>
      </c>
      <c r="R87" s="58">
        <v>5719110</v>
      </c>
      <c r="S87" s="17">
        <v>868.77</v>
      </c>
      <c r="T87" s="101"/>
      <c r="U87" s="35">
        <f t="shared" si="45"/>
        <v>2254786</v>
      </c>
      <c r="V87" s="36">
        <f t="shared" si="46"/>
        <v>4942.6000000000004</v>
      </c>
      <c r="W87" s="43">
        <f t="shared" si="47"/>
        <v>4423840</v>
      </c>
      <c r="X87" s="44">
        <f t="shared" si="48"/>
        <v>1889.96</v>
      </c>
      <c r="Y87" s="51">
        <f t="shared" si="49"/>
        <v>26583462</v>
      </c>
      <c r="Z87" s="52">
        <f t="shared" si="50"/>
        <v>16264.960000000003</v>
      </c>
      <c r="AA87" s="58">
        <f t="shared" si="51"/>
        <v>583669</v>
      </c>
      <c r="AB87" s="17">
        <f t="shared" si="52"/>
        <v>626.19000000000005</v>
      </c>
      <c r="AC87" s="101"/>
      <c r="AD87" s="555">
        <f t="shared" si="44"/>
        <v>116159423</v>
      </c>
      <c r="AE87" s="632">
        <f t="shared" si="44"/>
        <v>40315.26</v>
      </c>
    </row>
    <row r="88" spans="1:31" hidden="1" outlineLevel="1">
      <c r="A88" s="114">
        <v>43181</v>
      </c>
      <c r="B88" s="115">
        <f t="shared" si="26"/>
        <v>3</v>
      </c>
      <c r="C88" s="35">
        <v>32162760</v>
      </c>
      <c r="D88" s="36">
        <v>10185.42</v>
      </c>
      <c r="E88" s="43">
        <v>20412306</v>
      </c>
      <c r="F88" s="44">
        <v>6486.62</v>
      </c>
      <c r="G88" s="51">
        <v>60344311</v>
      </c>
      <c r="H88" s="52">
        <v>25532.29</v>
      </c>
      <c r="I88" s="58">
        <v>8438400</v>
      </c>
      <c r="J88" s="17">
        <v>2363.2399999999998</v>
      </c>
      <c r="K88" s="101"/>
      <c r="L88" s="35">
        <v>29970194</v>
      </c>
      <c r="M88" s="36">
        <v>5065.9799999999996</v>
      </c>
      <c r="N88" s="43">
        <v>15846364</v>
      </c>
      <c r="O88" s="44">
        <v>4591.8500000000004</v>
      </c>
      <c r="P88" s="51">
        <v>32321125</v>
      </c>
      <c r="Q88" s="52">
        <v>6432.52</v>
      </c>
      <c r="R88" s="58">
        <v>6858633</v>
      </c>
      <c r="S88" s="17">
        <v>987.64</v>
      </c>
      <c r="T88" s="101"/>
      <c r="U88" s="35">
        <f t="shared" si="45"/>
        <v>2192566</v>
      </c>
      <c r="V88" s="36">
        <f t="shared" si="46"/>
        <v>5119.4400000000005</v>
      </c>
      <c r="W88" s="43">
        <f t="shared" si="47"/>
        <v>4565942</v>
      </c>
      <c r="X88" s="44">
        <f t="shared" si="48"/>
        <v>1894.7699999999995</v>
      </c>
      <c r="Y88" s="51">
        <f t="shared" si="49"/>
        <v>28023186</v>
      </c>
      <c r="Z88" s="52">
        <f t="shared" si="50"/>
        <v>19099.77</v>
      </c>
      <c r="AA88" s="58">
        <f t="shared" si="51"/>
        <v>1579767</v>
      </c>
      <c r="AB88" s="17">
        <f t="shared" si="52"/>
        <v>1375.6</v>
      </c>
      <c r="AC88" s="101"/>
      <c r="AD88" s="555">
        <f t="shared" si="44"/>
        <v>121357777</v>
      </c>
      <c r="AE88" s="632">
        <f t="shared" si="44"/>
        <v>44567.57</v>
      </c>
    </row>
    <row r="89" spans="1:31" hidden="1" outlineLevel="1">
      <c r="A89" s="114">
        <v>43182</v>
      </c>
      <c r="B89" s="115">
        <f t="shared" si="26"/>
        <v>3</v>
      </c>
      <c r="C89" s="35">
        <v>33461325</v>
      </c>
      <c r="D89" s="36">
        <v>10518.06</v>
      </c>
      <c r="E89" s="43">
        <v>24677662</v>
      </c>
      <c r="F89" s="44">
        <v>7972.49</v>
      </c>
      <c r="G89" s="51">
        <v>57952693</v>
      </c>
      <c r="H89" s="52">
        <v>22267.52</v>
      </c>
      <c r="I89" s="58">
        <v>6970394</v>
      </c>
      <c r="J89" s="17">
        <v>1718.3</v>
      </c>
      <c r="K89" s="101"/>
      <c r="L89" s="35">
        <v>31213830</v>
      </c>
      <c r="M89" s="36">
        <v>5481.01</v>
      </c>
      <c r="N89" s="43">
        <v>20088395</v>
      </c>
      <c r="O89" s="44">
        <v>6052.04</v>
      </c>
      <c r="P89" s="51">
        <v>34084430</v>
      </c>
      <c r="Q89" s="52">
        <v>8214.64</v>
      </c>
      <c r="R89" s="58">
        <v>6242987</v>
      </c>
      <c r="S89" s="17">
        <v>863.78</v>
      </c>
      <c r="T89" s="101"/>
      <c r="U89" s="35">
        <f t="shared" si="45"/>
        <v>2247495</v>
      </c>
      <c r="V89" s="36">
        <f t="shared" si="46"/>
        <v>5037.0499999999993</v>
      </c>
      <c r="W89" s="43">
        <f t="shared" si="47"/>
        <v>4589267</v>
      </c>
      <c r="X89" s="44">
        <f t="shared" si="48"/>
        <v>1920.4499999999998</v>
      </c>
      <c r="Y89" s="51">
        <f t="shared" si="49"/>
        <v>23868263</v>
      </c>
      <c r="Z89" s="52">
        <f t="shared" si="50"/>
        <v>14052.880000000001</v>
      </c>
      <c r="AA89" s="58">
        <f t="shared" si="51"/>
        <v>727407</v>
      </c>
      <c r="AB89" s="17">
        <f t="shared" si="52"/>
        <v>854.52</v>
      </c>
      <c r="AC89" s="101"/>
      <c r="AD89" s="555">
        <f t="shared" si="44"/>
        <v>123062074</v>
      </c>
      <c r="AE89" s="632">
        <f t="shared" si="44"/>
        <v>42476.37</v>
      </c>
    </row>
    <row r="90" spans="1:31" hidden="1" outlineLevel="1">
      <c r="A90" s="114">
        <v>43183</v>
      </c>
      <c r="B90" s="115">
        <f t="shared" si="26"/>
        <v>3</v>
      </c>
      <c r="C90" s="35">
        <v>36698460</v>
      </c>
      <c r="D90" s="36">
        <v>10117.709999999999</v>
      </c>
      <c r="E90" s="43">
        <v>26707887</v>
      </c>
      <c r="F90" s="44">
        <v>7570.49</v>
      </c>
      <c r="G90" s="51">
        <v>67331236</v>
      </c>
      <c r="H90" s="52">
        <v>23559.62</v>
      </c>
      <c r="I90" s="58">
        <v>7981097</v>
      </c>
      <c r="J90" s="17">
        <v>1642.72</v>
      </c>
      <c r="K90" s="101"/>
      <c r="L90" s="35">
        <v>34233410</v>
      </c>
      <c r="M90" s="36">
        <v>5250.37</v>
      </c>
      <c r="N90" s="43">
        <v>21661008</v>
      </c>
      <c r="O90" s="44">
        <v>5653.03</v>
      </c>
      <c r="P90" s="51">
        <v>38594379</v>
      </c>
      <c r="Q90" s="52">
        <v>7810.81</v>
      </c>
      <c r="R90" s="58">
        <v>7042159</v>
      </c>
      <c r="S90" s="17">
        <v>788.13</v>
      </c>
      <c r="T90" s="101"/>
      <c r="U90" s="35">
        <f t="shared" si="45"/>
        <v>2465050</v>
      </c>
      <c r="V90" s="36">
        <f t="shared" si="46"/>
        <v>4867.3399999999992</v>
      </c>
      <c r="W90" s="43">
        <f t="shared" si="47"/>
        <v>5046879</v>
      </c>
      <c r="X90" s="44">
        <f t="shared" si="48"/>
        <v>1917.46</v>
      </c>
      <c r="Y90" s="51">
        <f t="shared" si="49"/>
        <v>28736857</v>
      </c>
      <c r="Z90" s="52">
        <f t="shared" si="50"/>
        <v>15748.809999999998</v>
      </c>
      <c r="AA90" s="58">
        <f t="shared" si="51"/>
        <v>938938</v>
      </c>
      <c r="AB90" s="17">
        <f t="shared" si="52"/>
        <v>854.59</v>
      </c>
      <c r="AC90" s="101"/>
      <c r="AD90" s="555">
        <f t="shared" si="44"/>
        <v>138718680</v>
      </c>
      <c r="AE90" s="632">
        <f t="shared" si="44"/>
        <v>42890.539999999994</v>
      </c>
    </row>
    <row r="91" spans="1:31" hidden="1" outlineLevel="1">
      <c r="A91" s="114">
        <v>43184</v>
      </c>
      <c r="B91" s="115">
        <f t="shared" si="26"/>
        <v>3</v>
      </c>
      <c r="C91" s="35">
        <v>33712621</v>
      </c>
      <c r="D91" s="36">
        <v>10003.26</v>
      </c>
      <c r="E91" s="43">
        <v>21754894</v>
      </c>
      <c r="F91" s="44">
        <v>6450.26</v>
      </c>
      <c r="G91" s="51">
        <v>64293625</v>
      </c>
      <c r="H91" s="52">
        <v>25180.799999999999</v>
      </c>
      <c r="I91" s="58">
        <v>7694599</v>
      </c>
      <c r="J91" s="17">
        <v>1655.7</v>
      </c>
      <c r="K91" s="101"/>
      <c r="L91" s="35">
        <v>31435095</v>
      </c>
      <c r="M91" s="36">
        <v>5156.58</v>
      </c>
      <c r="N91" s="43">
        <v>16936213</v>
      </c>
      <c r="O91" s="44">
        <v>4584.13</v>
      </c>
      <c r="P91" s="51">
        <v>31812261</v>
      </c>
      <c r="Q91" s="52">
        <v>5990.32</v>
      </c>
      <c r="R91" s="58">
        <v>6671964</v>
      </c>
      <c r="S91" s="17">
        <v>784.11</v>
      </c>
      <c r="T91" s="101"/>
      <c r="U91" s="35">
        <f t="shared" si="45"/>
        <v>2277526</v>
      </c>
      <c r="V91" s="36">
        <f t="shared" si="46"/>
        <v>4846.68</v>
      </c>
      <c r="W91" s="43">
        <f t="shared" si="47"/>
        <v>4818681</v>
      </c>
      <c r="X91" s="44">
        <f t="shared" si="48"/>
        <v>1866.13</v>
      </c>
      <c r="Y91" s="51">
        <f t="shared" si="49"/>
        <v>32481364</v>
      </c>
      <c r="Z91" s="52">
        <f t="shared" si="50"/>
        <v>19190.48</v>
      </c>
      <c r="AA91" s="58">
        <f t="shared" si="51"/>
        <v>1022635</v>
      </c>
      <c r="AB91" s="17">
        <f t="shared" si="52"/>
        <v>871.59</v>
      </c>
      <c r="AC91" s="101"/>
      <c r="AD91" s="555">
        <f t="shared" si="44"/>
        <v>127455739</v>
      </c>
      <c r="AE91" s="632">
        <f t="shared" si="44"/>
        <v>43290.02</v>
      </c>
    </row>
    <row r="92" spans="1:31" hidden="1" outlineLevel="1">
      <c r="A92" s="114">
        <v>43185</v>
      </c>
      <c r="B92" s="115">
        <f t="shared" si="26"/>
        <v>3</v>
      </c>
      <c r="C92" s="35">
        <v>32413889</v>
      </c>
      <c r="D92" s="36">
        <v>10310.85</v>
      </c>
      <c r="E92" s="43">
        <v>22885074</v>
      </c>
      <c r="F92" s="44">
        <v>6426.9</v>
      </c>
      <c r="G92" s="51">
        <v>65290185</v>
      </c>
      <c r="H92" s="52">
        <v>28428.7</v>
      </c>
      <c r="I92" s="58">
        <v>7751851</v>
      </c>
      <c r="J92" s="17">
        <v>1781.92</v>
      </c>
      <c r="K92" s="101"/>
      <c r="L92" s="35">
        <v>30238889</v>
      </c>
      <c r="M92" s="36">
        <v>5404.28</v>
      </c>
      <c r="N92" s="43">
        <v>18126454</v>
      </c>
      <c r="O92" s="44">
        <v>4289.04</v>
      </c>
      <c r="P92" s="51">
        <v>30608478</v>
      </c>
      <c r="Q92" s="52">
        <v>5580.48</v>
      </c>
      <c r="R92" s="58">
        <v>6621727</v>
      </c>
      <c r="S92" s="17">
        <v>803.66</v>
      </c>
      <c r="T92" s="101"/>
      <c r="U92" s="35">
        <f t="shared" si="45"/>
        <v>2175000</v>
      </c>
      <c r="V92" s="36">
        <f t="shared" si="46"/>
        <v>4906.5700000000006</v>
      </c>
      <c r="W92" s="43">
        <f t="shared" si="47"/>
        <v>4758620</v>
      </c>
      <c r="X92" s="44">
        <f t="shared" si="48"/>
        <v>2137.8599999999997</v>
      </c>
      <c r="Y92" s="51">
        <f t="shared" si="49"/>
        <v>34681707</v>
      </c>
      <c r="Z92" s="52">
        <f t="shared" si="50"/>
        <v>22848.22</v>
      </c>
      <c r="AA92" s="58">
        <f t="shared" si="51"/>
        <v>1130124</v>
      </c>
      <c r="AB92" s="17">
        <f t="shared" si="52"/>
        <v>978.2600000000001</v>
      </c>
      <c r="AC92" s="101"/>
      <c r="AD92" s="555">
        <f t="shared" si="44"/>
        <v>128340999</v>
      </c>
      <c r="AE92" s="632">
        <f t="shared" si="44"/>
        <v>46948.369999999995</v>
      </c>
    </row>
    <row r="93" spans="1:31" hidden="1" outlineLevel="1">
      <c r="A93" s="114">
        <v>43186</v>
      </c>
      <c r="B93" s="115">
        <f t="shared" ref="B93:B158" si="53">MONTH(A93)</f>
        <v>3</v>
      </c>
      <c r="C93" s="35">
        <v>31965581</v>
      </c>
      <c r="D93" s="36">
        <v>10640.59</v>
      </c>
      <c r="E93" s="43">
        <v>21138103</v>
      </c>
      <c r="F93" s="44">
        <v>6618.54</v>
      </c>
      <c r="G93" s="51">
        <v>66220201</v>
      </c>
      <c r="H93" s="52">
        <v>28467.68</v>
      </c>
      <c r="I93" s="58">
        <v>8066465</v>
      </c>
      <c r="J93" s="17">
        <v>1795.15</v>
      </c>
      <c r="K93" s="101"/>
      <c r="L93" s="35">
        <v>29766904</v>
      </c>
      <c r="M93" s="36">
        <v>5452.69</v>
      </c>
      <c r="N93" s="43">
        <v>15850338</v>
      </c>
      <c r="O93" s="44">
        <v>4125.8</v>
      </c>
      <c r="P93" s="51">
        <v>30370252</v>
      </c>
      <c r="Q93" s="52">
        <v>5510.08</v>
      </c>
      <c r="R93" s="58">
        <v>7056835</v>
      </c>
      <c r="S93" s="17">
        <v>824.15</v>
      </c>
      <c r="T93" s="101"/>
      <c r="U93" s="35">
        <f t="shared" si="45"/>
        <v>2198677</v>
      </c>
      <c r="V93" s="36">
        <f t="shared" si="46"/>
        <v>5187.9000000000005</v>
      </c>
      <c r="W93" s="43">
        <f t="shared" si="47"/>
        <v>5287765</v>
      </c>
      <c r="X93" s="44">
        <f t="shared" si="48"/>
        <v>2492.7399999999998</v>
      </c>
      <c r="Y93" s="51">
        <f t="shared" si="49"/>
        <v>35849949</v>
      </c>
      <c r="Z93" s="52">
        <f t="shared" si="50"/>
        <v>22957.599999999999</v>
      </c>
      <c r="AA93" s="58">
        <f t="shared" si="51"/>
        <v>1009630</v>
      </c>
      <c r="AB93" s="17">
        <f t="shared" si="52"/>
        <v>971.00000000000011</v>
      </c>
      <c r="AC93" s="101"/>
      <c r="AD93" s="555">
        <f t="shared" ref="AD93:AE97" si="54">SUM(C93,E93,G93,I93)</f>
        <v>127390350</v>
      </c>
      <c r="AE93" s="632">
        <f t="shared" si="54"/>
        <v>47521.96</v>
      </c>
    </row>
    <row r="94" spans="1:31" hidden="1" outlineLevel="1">
      <c r="A94" s="114">
        <v>43187</v>
      </c>
      <c r="B94" s="115">
        <f t="shared" si="53"/>
        <v>3</v>
      </c>
      <c r="C94" s="35">
        <v>32988383</v>
      </c>
      <c r="D94" s="36">
        <v>11138.95</v>
      </c>
      <c r="E94" s="43">
        <v>23132300</v>
      </c>
      <c r="F94" s="44">
        <v>6650.17</v>
      </c>
      <c r="G94" s="51">
        <v>64604361</v>
      </c>
      <c r="H94" s="52">
        <v>27088.799999999999</v>
      </c>
      <c r="I94" s="58">
        <v>8200139</v>
      </c>
      <c r="J94" s="17">
        <v>1830.6</v>
      </c>
      <c r="K94" s="101"/>
      <c r="L94" s="35">
        <v>30753764</v>
      </c>
      <c r="M94" s="36">
        <v>5731.71</v>
      </c>
      <c r="N94" s="43">
        <v>17043757</v>
      </c>
      <c r="O94" s="44">
        <v>4084.23</v>
      </c>
      <c r="P94" s="51">
        <v>31581628</v>
      </c>
      <c r="Q94" s="52">
        <v>5483.51</v>
      </c>
      <c r="R94" s="58">
        <v>7300669</v>
      </c>
      <c r="S94" s="17">
        <v>861.1</v>
      </c>
      <c r="T94" s="101"/>
      <c r="U94" s="35">
        <f t="shared" si="45"/>
        <v>2234619</v>
      </c>
      <c r="V94" s="36">
        <f t="shared" si="46"/>
        <v>5407.2400000000007</v>
      </c>
      <c r="W94" s="43">
        <f t="shared" si="47"/>
        <v>6088543</v>
      </c>
      <c r="X94" s="44">
        <f t="shared" si="48"/>
        <v>2565.94</v>
      </c>
      <c r="Y94" s="51">
        <f t="shared" si="49"/>
        <v>33022733</v>
      </c>
      <c r="Z94" s="52">
        <f t="shared" si="50"/>
        <v>21605.29</v>
      </c>
      <c r="AA94" s="58">
        <f t="shared" si="51"/>
        <v>899470</v>
      </c>
      <c r="AB94" s="17">
        <f t="shared" si="52"/>
        <v>969.49999999999989</v>
      </c>
      <c r="AC94" s="101"/>
      <c r="AD94" s="555">
        <f t="shared" si="54"/>
        <v>128925183</v>
      </c>
      <c r="AE94" s="632">
        <f t="shared" si="54"/>
        <v>46708.52</v>
      </c>
    </row>
    <row r="95" spans="1:31" hidden="1" outlineLevel="1">
      <c r="A95" s="114">
        <v>43188</v>
      </c>
      <c r="B95" s="115">
        <f t="shared" si="53"/>
        <v>3</v>
      </c>
      <c r="C95" s="35">
        <v>33413083</v>
      </c>
      <c r="D95" s="36">
        <v>10883.61</v>
      </c>
      <c r="E95" s="43">
        <v>21524317</v>
      </c>
      <c r="F95" s="44">
        <v>6970.24</v>
      </c>
      <c r="G95" s="51">
        <v>60604480</v>
      </c>
      <c r="H95" s="52">
        <v>23797.77</v>
      </c>
      <c r="I95" s="58">
        <v>7091097</v>
      </c>
      <c r="J95" s="17">
        <v>1918.81</v>
      </c>
      <c r="K95" s="101"/>
      <c r="L95" s="35">
        <v>31150058</v>
      </c>
      <c r="M95" s="36">
        <v>5689.35</v>
      </c>
      <c r="N95" s="43">
        <v>16282260</v>
      </c>
      <c r="O95" s="44">
        <v>4476.0200000000004</v>
      </c>
      <c r="P95" s="51">
        <v>31991366</v>
      </c>
      <c r="Q95" s="52">
        <v>5719.66</v>
      </c>
      <c r="R95" s="58">
        <v>6393149</v>
      </c>
      <c r="S95" s="17">
        <v>898.22</v>
      </c>
      <c r="T95" s="101"/>
      <c r="U95" s="35">
        <f t="shared" si="45"/>
        <v>2263025</v>
      </c>
      <c r="V95" s="36">
        <f t="shared" si="46"/>
        <v>5194.26</v>
      </c>
      <c r="W95" s="43">
        <f t="shared" si="47"/>
        <v>5242057</v>
      </c>
      <c r="X95" s="44">
        <f t="shared" si="48"/>
        <v>2494.2199999999993</v>
      </c>
      <c r="Y95" s="51">
        <f t="shared" si="49"/>
        <v>28613114</v>
      </c>
      <c r="Z95" s="52">
        <f t="shared" si="50"/>
        <v>18078.11</v>
      </c>
      <c r="AA95" s="58">
        <f t="shared" si="51"/>
        <v>697948</v>
      </c>
      <c r="AB95" s="17">
        <f t="shared" si="52"/>
        <v>1020.5899999999999</v>
      </c>
      <c r="AC95" s="101"/>
      <c r="AD95" s="555">
        <f t="shared" si="54"/>
        <v>122632977</v>
      </c>
      <c r="AE95" s="632">
        <f t="shared" si="54"/>
        <v>43570.429999999993</v>
      </c>
    </row>
    <row r="96" spans="1:31" hidden="1" outlineLevel="1">
      <c r="A96" s="114">
        <v>43189</v>
      </c>
      <c r="B96" s="115">
        <f t="shared" si="53"/>
        <v>3</v>
      </c>
      <c r="C96" s="35">
        <v>33366885</v>
      </c>
      <c r="D96" s="36">
        <v>10549.93</v>
      </c>
      <c r="E96" s="43">
        <v>26001782</v>
      </c>
      <c r="F96" s="44">
        <v>7852.49</v>
      </c>
      <c r="G96" s="51">
        <v>77122582</v>
      </c>
      <c r="H96" s="52">
        <v>21395.99</v>
      </c>
      <c r="I96" s="58">
        <v>6799241</v>
      </c>
      <c r="J96" s="17">
        <v>1916.23</v>
      </c>
      <c r="K96" s="101"/>
      <c r="L96" s="35">
        <v>31095195</v>
      </c>
      <c r="M96" s="36">
        <v>5487.68</v>
      </c>
      <c r="N96" s="43">
        <v>20643864</v>
      </c>
      <c r="O96" s="44">
        <v>5574.86</v>
      </c>
      <c r="P96" s="51">
        <v>35130835</v>
      </c>
      <c r="Q96" s="52">
        <v>5985.49</v>
      </c>
      <c r="R96" s="58">
        <v>6081301</v>
      </c>
      <c r="S96" s="17">
        <v>862.51</v>
      </c>
      <c r="T96" s="101"/>
      <c r="U96" s="35">
        <f t="shared" si="45"/>
        <v>2271690</v>
      </c>
      <c r="V96" s="36">
        <f t="shared" si="46"/>
        <v>5062.25</v>
      </c>
      <c r="W96" s="43">
        <f t="shared" si="47"/>
        <v>5357918</v>
      </c>
      <c r="X96" s="44">
        <f t="shared" si="48"/>
        <v>2277.63</v>
      </c>
      <c r="Y96" s="51">
        <f t="shared" si="49"/>
        <v>41991747</v>
      </c>
      <c r="Z96" s="52">
        <f t="shared" si="50"/>
        <v>15410.500000000002</v>
      </c>
      <c r="AA96" s="58">
        <f t="shared" si="51"/>
        <v>717940</v>
      </c>
      <c r="AB96" s="17">
        <f t="shared" si="52"/>
        <v>1053.72</v>
      </c>
      <c r="AC96" s="101"/>
      <c r="AD96" s="555">
        <f t="shared" si="54"/>
        <v>143290490</v>
      </c>
      <c r="AE96" s="632">
        <f t="shared" si="54"/>
        <v>41714.640000000007</v>
      </c>
    </row>
    <row r="97" spans="1:31" hidden="1" outlineLevel="1">
      <c r="A97" s="114">
        <v>43190</v>
      </c>
      <c r="B97" s="115">
        <f t="shared" si="53"/>
        <v>3</v>
      </c>
      <c r="C97" s="35">
        <v>36034518</v>
      </c>
      <c r="D97" s="36">
        <v>8896.18</v>
      </c>
      <c r="E97" s="43">
        <v>25951143</v>
      </c>
      <c r="F97" s="44">
        <v>7383.86</v>
      </c>
      <c r="G97" s="51">
        <v>74491469</v>
      </c>
      <c r="H97" s="52">
        <v>18364.87</v>
      </c>
      <c r="I97" s="58">
        <v>7307373</v>
      </c>
      <c r="J97" s="17">
        <v>1700.58</v>
      </c>
      <c r="K97" s="101"/>
      <c r="L97" s="35">
        <v>33643675</v>
      </c>
      <c r="M97" s="36">
        <v>4760.5600000000004</v>
      </c>
      <c r="N97" s="43">
        <v>20163790</v>
      </c>
      <c r="O97" s="44">
        <v>5050.92</v>
      </c>
      <c r="P97" s="51">
        <v>38300213</v>
      </c>
      <c r="Q97" s="52">
        <v>5878.29</v>
      </c>
      <c r="R97" s="58">
        <v>6470661</v>
      </c>
      <c r="S97" s="17">
        <v>739.1</v>
      </c>
      <c r="T97" s="101"/>
      <c r="U97" s="35">
        <f t="shared" si="45"/>
        <v>2390843</v>
      </c>
      <c r="V97" s="36">
        <f t="shared" si="46"/>
        <v>4135.62</v>
      </c>
      <c r="W97" s="43">
        <f t="shared" si="47"/>
        <v>5787353</v>
      </c>
      <c r="X97" s="44">
        <f t="shared" si="48"/>
        <v>2332.9399999999996</v>
      </c>
      <c r="Y97" s="51">
        <f t="shared" si="49"/>
        <v>36191256</v>
      </c>
      <c r="Z97" s="52">
        <f t="shared" si="50"/>
        <v>12486.579999999998</v>
      </c>
      <c r="AA97" s="58">
        <f t="shared" si="51"/>
        <v>836712</v>
      </c>
      <c r="AB97" s="17">
        <f t="shared" si="52"/>
        <v>961.4799999999999</v>
      </c>
      <c r="AC97" s="101"/>
      <c r="AD97" s="555">
        <f t="shared" si="54"/>
        <v>143784503</v>
      </c>
      <c r="AE97" s="632">
        <f t="shared" si="54"/>
        <v>36345.490000000005</v>
      </c>
    </row>
    <row r="98" spans="1:31" collapsed="1">
      <c r="A98" s="104"/>
      <c r="B98" s="104" t="s">
        <v>17</v>
      </c>
      <c r="C98" s="105">
        <f>SUBTOTAL(9,C99:C128)</f>
        <v>1058616918</v>
      </c>
      <c r="D98" s="106">
        <f t="shared" ref="D98:AB98" si="55">SUBTOTAL(9,D99:D128)</f>
        <v>291254.53000000003</v>
      </c>
      <c r="E98" s="107">
        <f t="shared" si="55"/>
        <v>693831478</v>
      </c>
      <c r="F98" s="108">
        <f t="shared" si="55"/>
        <v>170290.55</v>
      </c>
      <c r="G98" s="109">
        <f t="shared" si="55"/>
        <v>1691880706</v>
      </c>
      <c r="H98" s="110">
        <f t="shared" si="55"/>
        <v>465833.50999999989</v>
      </c>
      <c r="I98" s="111">
        <f t="shared" si="55"/>
        <v>358703577</v>
      </c>
      <c r="J98" s="14">
        <f t="shared" si="55"/>
        <v>121615.77</v>
      </c>
      <c r="K98" s="103"/>
      <c r="L98" s="105">
        <f t="shared" si="55"/>
        <v>986462798</v>
      </c>
      <c r="M98" s="106">
        <f t="shared" si="55"/>
        <v>175528.19000000003</v>
      </c>
      <c r="N98" s="107">
        <f t="shared" si="55"/>
        <v>547962867</v>
      </c>
      <c r="O98" s="108">
        <f t="shared" si="55"/>
        <v>116613.42000000001</v>
      </c>
      <c r="P98" s="109">
        <f t="shared" si="55"/>
        <v>981894209</v>
      </c>
      <c r="Q98" s="110">
        <f t="shared" si="55"/>
        <v>164250.47999999998</v>
      </c>
      <c r="R98" s="111">
        <f t="shared" si="55"/>
        <v>184714554</v>
      </c>
      <c r="S98" s="14">
        <f t="shared" si="55"/>
        <v>23800.710000000006</v>
      </c>
      <c r="T98" s="103"/>
      <c r="U98" s="105">
        <f t="shared" si="55"/>
        <v>72154120</v>
      </c>
      <c r="V98" s="106">
        <f t="shared" si="55"/>
        <v>115726.34</v>
      </c>
      <c r="W98" s="107">
        <f t="shared" si="55"/>
        <v>145868611</v>
      </c>
      <c r="X98" s="108">
        <f t="shared" si="55"/>
        <v>53677.130000000005</v>
      </c>
      <c r="Y98" s="109">
        <f t="shared" si="55"/>
        <v>709986497</v>
      </c>
      <c r="Z98" s="110">
        <f t="shared" si="55"/>
        <v>301583.03000000003</v>
      </c>
      <c r="AA98" s="111">
        <f t="shared" si="55"/>
        <v>173989023</v>
      </c>
      <c r="AB98" s="14">
        <f t="shared" si="55"/>
        <v>97815.059999999983</v>
      </c>
      <c r="AC98" s="103"/>
      <c r="AD98" s="555"/>
      <c r="AE98" s="632"/>
    </row>
    <row r="99" spans="1:31" hidden="1" outlineLevel="1">
      <c r="A99" s="97">
        <v>43191</v>
      </c>
      <c r="B99" s="98">
        <f t="shared" si="53"/>
        <v>4</v>
      </c>
      <c r="C99" s="35">
        <v>32847336</v>
      </c>
      <c r="D99" s="36">
        <v>7660.41</v>
      </c>
      <c r="E99" s="43">
        <v>22107101</v>
      </c>
      <c r="F99" s="44">
        <v>5723.21</v>
      </c>
      <c r="G99" s="51">
        <v>62720052</v>
      </c>
      <c r="H99" s="52">
        <v>14116.45</v>
      </c>
      <c r="I99" s="58">
        <v>6691924</v>
      </c>
      <c r="J99" s="17">
        <v>1356.14</v>
      </c>
      <c r="K99" s="101"/>
      <c r="L99" s="35">
        <v>30508774</v>
      </c>
      <c r="M99" s="36">
        <v>4381.1400000000003</v>
      </c>
      <c r="N99" s="43">
        <v>15701668</v>
      </c>
      <c r="O99" s="44">
        <v>3616.52</v>
      </c>
      <c r="P99" s="51">
        <v>31295923</v>
      </c>
      <c r="Q99" s="52">
        <v>4405.91</v>
      </c>
      <c r="R99" s="58">
        <v>5873925</v>
      </c>
      <c r="S99" s="17">
        <v>641.77</v>
      </c>
      <c r="T99" s="101"/>
      <c r="U99" s="35">
        <f t="shared" si="45"/>
        <v>2338562</v>
      </c>
      <c r="V99" s="36">
        <f t="shared" si="46"/>
        <v>3279.2699999999995</v>
      </c>
      <c r="W99" s="43">
        <f t="shared" si="47"/>
        <v>6405433</v>
      </c>
      <c r="X99" s="44">
        <f t="shared" si="48"/>
        <v>2106.69</v>
      </c>
      <c r="Y99" s="51">
        <f t="shared" si="49"/>
        <v>31424129</v>
      </c>
      <c r="Z99" s="52">
        <f t="shared" si="50"/>
        <v>9710.5400000000009</v>
      </c>
      <c r="AA99" s="58">
        <f t="shared" si="51"/>
        <v>817999</v>
      </c>
      <c r="AB99" s="17">
        <f t="shared" si="52"/>
        <v>714.37000000000012</v>
      </c>
      <c r="AC99" s="101"/>
      <c r="AD99" s="555">
        <f t="shared" ref="AD99:AD160" si="56">SUM(C99,E99,G99,I99)</f>
        <v>124366413</v>
      </c>
      <c r="AE99" s="632">
        <f t="shared" ref="AE99:AE160" si="57">SUM(D99,F99,H99,J99)</f>
        <v>28856.21</v>
      </c>
    </row>
    <row r="100" spans="1:31" hidden="1" outlineLevel="1">
      <c r="A100" s="97">
        <v>43192</v>
      </c>
      <c r="B100" s="98">
        <f t="shared" si="53"/>
        <v>4</v>
      </c>
      <c r="C100" s="35">
        <v>32408154</v>
      </c>
      <c r="D100" s="36">
        <v>8360.5400000000009</v>
      </c>
      <c r="E100" s="43">
        <v>20893311</v>
      </c>
      <c r="F100" s="44">
        <v>4889.6000000000004</v>
      </c>
      <c r="G100" s="51">
        <v>60510362</v>
      </c>
      <c r="H100" s="52">
        <v>14460.02</v>
      </c>
      <c r="I100" s="58">
        <v>7012261</v>
      </c>
      <c r="J100" s="17">
        <v>1562.51</v>
      </c>
      <c r="K100" s="101"/>
      <c r="L100" s="35">
        <v>30199395</v>
      </c>
      <c r="M100" s="36">
        <v>4978.84</v>
      </c>
      <c r="N100" s="43">
        <v>15257634</v>
      </c>
      <c r="O100" s="44">
        <v>3035.68</v>
      </c>
      <c r="P100" s="51">
        <v>29449544</v>
      </c>
      <c r="Q100" s="52">
        <v>4311.75</v>
      </c>
      <c r="R100" s="58">
        <v>5812420</v>
      </c>
      <c r="S100" s="17">
        <v>731.25</v>
      </c>
      <c r="T100" s="101"/>
      <c r="U100" s="35">
        <f t="shared" si="45"/>
        <v>2208759</v>
      </c>
      <c r="V100" s="36">
        <f t="shared" si="46"/>
        <v>3381.7000000000007</v>
      </c>
      <c r="W100" s="43">
        <f t="shared" si="47"/>
        <v>5635677</v>
      </c>
      <c r="X100" s="44">
        <f t="shared" si="48"/>
        <v>1853.9200000000005</v>
      </c>
      <c r="Y100" s="51">
        <f t="shared" si="49"/>
        <v>31060818</v>
      </c>
      <c r="Z100" s="52">
        <f t="shared" si="50"/>
        <v>10148.27</v>
      </c>
      <c r="AA100" s="58">
        <f t="shared" si="51"/>
        <v>1199841</v>
      </c>
      <c r="AB100" s="17">
        <f t="shared" si="52"/>
        <v>831.26</v>
      </c>
      <c r="AC100" s="101"/>
      <c r="AD100" s="555">
        <f t="shared" si="56"/>
        <v>120824088</v>
      </c>
      <c r="AE100" s="632">
        <f t="shared" si="57"/>
        <v>29272.670000000002</v>
      </c>
    </row>
    <row r="101" spans="1:31" hidden="1" outlineLevel="1">
      <c r="A101" s="97">
        <v>43193</v>
      </c>
      <c r="B101" s="98">
        <f t="shared" si="53"/>
        <v>4</v>
      </c>
      <c r="C101" s="35">
        <v>32756350</v>
      </c>
      <c r="D101" s="36">
        <v>8354.92</v>
      </c>
      <c r="E101" s="43">
        <v>20388110</v>
      </c>
      <c r="F101" s="44">
        <v>4805.62</v>
      </c>
      <c r="G101" s="51">
        <v>57486916</v>
      </c>
      <c r="H101" s="52">
        <v>13376.24</v>
      </c>
      <c r="I101" s="58">
        <v>22162928</v>
      </c>
      <c r="J101" s="17">
        <v>2092.02</v>
      </c>
      <c r="K101" s="101"/>
      <c r="L101" s="35">
        <v>30484201</v>
      </c>
      <c r="M101" s="36">
        <v>4884.92</v>
      </c>
      <c r="N101" s="43">
        <v>15593701</v>
      </c>
      <c r="O101" s="44">
        <v>3073.39</v>
      </c>
      <c r="P101" s="51">
        <v>28989770</v>
      </c>
      <c r="Q101" s="52">
        <v>4084.73</v>
      </c>
      <c r="R101" s="58">
        <v>8152566</v>
      </c>
      <c r="S101" s="17">
        <v>721.77</v>
      </c>
      <c r="T101" s="101"/>
      <c r="U101" s="35">
        <f t="shared" si="45"/>
        <v>2272149</v>
      </c>
      <c r="V101" s="36">
        <f t="shared" si="46"/>
        <v>3470</v>
      </c>
      <c r="W101" s="43">
        <f t="shared" si="47"/>
        <v>4794409</v>
      </c>
      <c r="X101" s="44">
        <f t="shared" si="48"/>
        <v>1732.23</v>
      </c>
      <c r="Y101" s="51">
        <f t="shared" si="49"/>
        <v>28497146</v>
      </c>
      <c r="Z101" s="52">
        <f t="shared" si="50"/>
        <v>9291.51</v>
      </c>
      <c r="AA101" s="58">
        <f t="shared" si="51"/>
        <v>14010362</v>
      </c>
      <c r="AB101" s="17">
        <f t="shared" si="52"/>
        <v>1370.25</v>
      </c>
      <c r="AC101" s="101"/>
      <c r="AD101" s="555">
        <f t="shared" si="56"/>
        <v>132794304</v>
      </c>
      <c r="AE101" s="632">
        <f t="shared" si="57"/>
        <v>28628.799999999999</v>
      </c>
    </row>
    <row r="102" spans="1:31" hidden="1" outlineLevel="1">
      <c r="A102" s="97">
        <v>43194</v>
      </c>
      <c r="B102" s="98">
        <f t="shared" si="53"/>
        <v>4</v>
      </c>
      <c r="C102" s="35">
        <v>32829886</v>
      </c>
      <c r="D102" s="36">
        <v>8559.65</v>
      </c>
      <c r="E102" s="43">
        <v>20233415</v>
      </c>
      <c r="F102" s="44">
        <v>4722.22</v>
      </c>
      <c r="G102" s="51">
        <v>57202010</v>
      </c>
      <c r="H102" s="52">
        <v>12404.98</v>
      </c>
      <c r="I102" s="58">
        <v>15899070</v>
      </c>
      <c r="J102" s="17">
        <v>6208.5</v>
      </c>
      <c r="K102" s="101"/>
      <c r="L102" s="35">
        <v>30551502</v>
      </c>
      <c r="M102" s="36">
        <v>5153.74</v>
      </c>
      <c r="N102" s="43">
        <v>15690797</v>
      </c>
      <c r="O102" s="44">
        <v>3052.02</v>
      </c>
      <c r="P102" s="51">
        <v>29282622</v>
      </c>
      <c r="Q102" s="52">
        <v>4022.1</v>
      </c>
      <c r="R102" s="58">
        <v>7634256</v>
      </c>
      <c r="S102" s="17">
        <v>793.36</v>
      </c>
      <c r="T102" s="101"/>
      <c r="U102" s="35">
        <f t="shared" si="45"/>
        <v>2278384</v>
      </c>
      <c r="V102" s="36">
        <f t="shared" si="46"/>
        <v>3405.91</v>
      </c>
      <c r="W102" s="43">
        <f t="shared" si="47"/>
        <v>4542618</v>
      </c>
      <c r="X102" s="44">
        <f t="shared" si="48"/>
        <v>1670.2000000000003</v>
      </c>
      <c r="Y102" s="51">
        <f t="shared" si="49"/>
        <v>27919388</v>
      </c>
      <c r="Z102" s="52">
        <f t="shared" si="50"/>
        <v>8382.8799999999992</v>
      </c>
      <c r="AA102" s="58">
        <f t="shared" si="51"/>
        <v>8264814</v>
      </c>
      <c r="AB102" s="17">
        <f t="shared" si="52"/>
        <v>5415.14</v>
      </c>
      <c r="AC102" s="101"/>
      <c r="AD102" s="555">
        <f t="shared" si="56"/>
        <v>126164381</v>
      </c>
      <c r="AE102" s="632">
        <f t="shared" si="57"/>
        <v>31895.35</v>
      </c>
    </row>
    <row r="103" spans="1:31" hidden="1" outlineLevel="1">
      <c r="A103" s="97">
        <v>43195</v>
      </c>
      <c r="B103" s="98">
        <f t="shared" si="53"/>
        <v>4</v>
      </c>
      <c r="C103" s="35">
        <v>33206215</v>
      </c>
      <c r="D103" s="36">
        <v>9133.17</v>
      </c>
      <c r="E103" s="43">
        <v>20546025</v>
      </c>
      <c r="F103" s="44">
        <v>5888.46</v>
      </c>
      <c r="G103" s="51">
        <v>61404189</v>
      </c>
      <c r="H103" s="52">
        <v>16286.25</v>
      </c>
      <c r="I103" s="58">
        <v>12672146</v>
      </c>
      <c r="J103" s="17">
        <v>5038.53</v>
      </c>
      <c r="K103" s="101"/>
      <c r="L103" s="35">
        <v>30911476</v>
      </c>
      <c r="M103" s="36">
        <v>5613.42</v>
      </c>
      <c r="N103" s="43">
        <v>15616330</v>
      </c>
      <c r="O103" s="44">
        <v>4001.05</v>
      </c>
      <c r="P103" s="51">
        <v>31391129</v>
      </c>
      <c r="Q103" s="52">
        <v>4613.9799999999996</v>
      </c>
      <c r="R103" s="58">
        <v>7046988</v>
      </c>
      <c r="S103" s="17">
        <v>881.07</v>
      </c>
      <c r="T103" s="101"/>
      <c r="U103" s="35">
        <f t="shared" si="45"/>
        <v>2294739</v>
      </c>
      <c r="V103" s="36">
        <f t="shared" si="46"/>
        <v>3519.75</v>
      </c>
      <c r="W103" s="43">
        <f t="shared" si="47"/>
        <v>4929695</v>
      </c>
      <c r="X103" s="44">
        <f t="shared" si="48"/>
        <v>1887.4099999999999</v>
      </c>
      <c r="Y103" s="51">
        <f t="shared" si="49"/>
        <v>30013060</v>
      </c>
      <c r="Z103" s="52">
        <f t="shared" si="50"/>
        <v>11672.27</v>
      </c>
      <c r="AA103" s="58">
        <f t="shared" si="51"/>
        <v>5625158</v>
      </c>
      <c r="AB103" s="17">
        <f t="shared" si="52"/>
        <v>4157.46</v>
      </c>
      <c r="AC103" s="101"/>
      <c r="AD103" s="555">
        <f t="shared" si="56"/>
        <v>127828575</v>
      </c>
      <c r="AE103" s="632">
        <f t="shared" si="57"/>
        <v>36346.410000000003</v>
      </c>
    </row>
    <row r="104" spans="1:31" hidden="1" outlineLevel="1">
      <c r="A104" s="97">
        <v>43196</v>
      </c>
      <c r="B104" s="98">
        <f t="shared" si="53"/>
        <v>4</v>
      </c>
      <c r="C104" s="35">
        <v>35526528</v>
      </c>
      <c r="D104" s="36">
        <v>8412.59</v>
      </c>
      <c r="E104" s="43">
        <v>25429599</v>
      </c>
      <c r="F104" s="44">
        <v>5723.5</v>
      </c>
      <c r="G104" s="51">
        <v>67032638</v>
      </c>
      <c r="H104" s="52">
        <v>15091.82</v>
      </c>
      <c r="I104" s="58">
        <v>13070970</v>
      </c>
      <c r="J104" s="17">
        <v>4377.6499999999996</v>
      </c>
      <c r="K104" s="101"/>
      <c r="L104" s="35">
        <v>33132544</v>
      </c>
      <c r="M104" s="36">
        <v>4902.93</v>
      </c>
      <c r="N104" s="43">
        <v>19996352</v>
      </c>
      <c r="O104" s="44">
        <v>3551.26</v>
      </c>
      <c r="P104" s="51">
        <v>35873821</v>
      </c>
      <c r="Q104" s="52">
        <v>4259.91</v>
      </c>
      <c r="R104" s="58">
        <v>7787321</v>
      </c>
      <c r="S104" s="17">
        <v>842.66</v>
      </c>
      <c r="T104" s="101"/>
      <c r="U104" s="35">
        <f t="shared" si="45"/>
        <v>2393984</v>
      </c>
      <c r="V104" s="36">
        <f t="shared" si="46"/>
        <v>3509.66</v>
      </c>
      <c r="W104" s="43">
        <f t="shared" si="47"/>
        <v>5433247</v>
      </c>
      <c r="X104" s="44">
        <f t="shared" si="48"/>
        <v>2172.2399999999998</v>
      </c>
      <c r="Y104" s="51">
        <f t="shared" si="49"/>
        <v>31158817</v>
      </c>
      <c r="Z104" s="52">
        <f t="shared" si="50"/>
        <v>10831.91</v>
      </c>
      <c r="AA104" s="58">
        <f t="shared" si="51"/>
        <v>5283649</v>
      </c>
      <c r="AB104" s="17">
        <f t="shared" si="52"/>
        <v>3534.99</v>
      </c>
      <c r="AC104" s="101"/>
      <c r="AD104" s="555">
        <f t="shared" si="56"/>
        <v>141059735</v>
      </c>
      <c r="AE104" s="632">
        <f t="shared" si="57"/>
        <v>33605.56</v>
      </c>
    </row>
    <row r="105" spans="1:31" hidden="1" outlineLevel="1">
      <c r="A105" s="97">
        <v>43197</v>
      </c>
      <c r="B105" s="98">
        <f t="shared" si="53"/>
        <v>4</v>
      </c>
      <c r="C105" s="35">
        <v>36676230</v>
      </c>
      <c r="D105" s="36">
        <v>8359.19</v>
      </c>
      <c r="E105" s="43">
        <v>26287698</v>
      </c>
      <c r="F105" s="44">
        <v>5798.69</v>
      </c>
      <c r="G105" s="51">
        <v>63769426</v>
      </c>
      <c r="H105" s="52">
        <v>12854.3</v>
      </c>
      <c r="I105" s="58">
        <v>16065480</v>
      </c>
      <c r="J105" s="17">
        <v>5760.89</v>
      </c>
      <c r="K105" s="101"/>
      <c r="L105" s="35">
        <v>34169815</v>
      </c>
      <c r="M105" s="36">
        <v>4954.29</v>
      </c>
      <c r="N105" s="43">
        <v>20652462</v>
      </c>
      <c r="O105" s="44">
        <v>3612.34</v>
      </c>
      <c r="P105" s="51">
        <v>36331801</v>
      </c>
      <c r="Q105" s="52">
        <v>4418.45</v>
      </c>
      <c r="R105" s="58">
        <v>8584604</v>
      </c>
      <c r="S105" s="17">
        <v>846.79</v>
      </c>
      <c r="T105" s="101"/>
      <c r="U105" s="35">
        <f t="shared" si="45"/>
        <v>2506415</v>
      </c>
      <c r="V105" s="36">
        <f t="shared" si="46"/>
        <v>3404.9000000000005</v>
      </c>
      <c r="W105" s="43">
        <f t="shared" si="47"/>
        <v>5635236</v>
      </c>
      <c r="X105" s="44">
        <f t="shared" si="48"/>
        <v>2186.3499999999995</v>
      </c>
      <c r="Y105" s="51">
        <f t="shared" si="49"/>
        <v>27437625</v>
      </c>
      <c r="Z105" s="52">
        <f t="shared" si="50"/>
        <v>8435.8499999999985</v>
      </c>
      <c r="AA105" s="58">
        <f t="shared" si="51"/>
        <v>7480876</v>
      </c>
      <c r="AB105" s="17">
        <f t="shared" si="52"/>
        <v>4914.1000000000004</v>
      </c>
      <c r="AC105" s="101"/>
      <c r="AD105" s="555">
        <f t="shared" si="56"/>
        <v>142798834</v>
      </c>
      <c r="AE105" s="632">
        <f t="shared" si="57"/>
        <v>32773.07</v>
      </c>
    </row>
    <row r="106" spans="1:31" hidden="1" outlineLevel="1">
      <c r="A106" s="97">
        <v>43198</v>
      </c>
      <c r="B106" s="98">
        <f t="shared" si="53"/>
        <v>4</v>
      </c>
      <c r="C106" s="35">
        <v>32677505</v>
      </c>
      <c r="D106" s="36">
        <v>8085.22</v>
      </c>
      <c r="E106" s="43">
        <v>21232753</v>
      </c>
      <c r="F106" s="44">
        <v>5083.68</v>
      </c>
      <c r="G106" s="51">
        <v>60475522</v>
      </c>
      <c r="H106" s="52">
        <v>12254.51</v>
      </c>
      <c r="I106" s="58">
        <v>17905601</v>
      </c>
      <c r="J106" s="17">
        <v>6632.73</v>
      </c>
      <c r="K106" s="101"/>
      <c r="L106" s="35">
        <v>30333784</v>
      </c>
      <c r="M106" s="36">
        <v>4768.93</v>
      </c>
      <c r="N106" s="43">
        <v>15850079</v>
      </c>
      <c r="O106" s="44">
        <v>3048.97</v>
      </c>
      <c r="P106" s="51">
        <v>30582415</v>
      </c>
      <c r="Q106" s="52">
        <v>3751.9</v>
      </c>
      <c r="R106" s="58">
        <v>7293676</v>
      </c>
      <c r="S106" s="17">
        <v>797.32</v>
      </c>
      <c r="T106" s="101"/>
      <c r="U106" s="35">
        <f t="shared" si="45"/>
        <v>2343721</v>
      </c>
      <c r="V106" s="36">
        <f t="shared" si="46"/>
        <v>3316.29</v>
      </c>
      <c r="W106" s="43">
        <f t="shared" si="47"/>
        <v>5382674</v>
      </c>
      <c r="X106" s="44">
        <f t="shared" si="48"/>
        <v>2034.7100000000005</v>
      </c>
      <c r="Y106" s="51">
        <f t="shared" si="49"/>
        <v>29893107</v>
      </c>
      <c r="Z106" s="52">
        <f t="shared" si="50"/>
        <v>8502.61</v>
      </c>
      <c r="AA106" s="58">
        <f t="shared" si="51"/>
        <v>10611925</v>
      </c>
      <c r="AB106" s="17">
        <f t="shared" si="52"/>
        <v>5835.41</v>
      </c>
      <c r="AC106" s="101"/>
      <c r="AD106" s="555">
        <f t="shared" si="56"/>
        <v>132291381</v>
      </c>
      <c r="AE106" s="632">
        <f t="shared" si="57"/>
        <v>32056.140000000003</v>
      </c>
    </row>
    <row r="107" spans="1:31" hidden="1" outlineLevel="1">
      <c r="A107" s="97">
        <v>43199</v>
      </c>
      <c r="B107" s="98">
        <f t="shared" si="53"/>
        <v>4</v>
      </c>
      <c r="C107" s="35">
        <v>31509784</v>
      </c>
      <c r="D107" s="36">
        <v>8858.69</v>
      </c>
      <c r="E107" s="43">
        <v>19907490</v>
      </c>
      <c r="F107" s="44">
        <v>5590.18</v>
      </c>
      <c r="G107" s="51">
        <v>53798039</v>
      </c>
      <c r="H107" s="52">
        <v>13283.54</v>
      </c>
      <c r="I107" s="58">
        <v>19267150</v>
      </c>
      <c r="J107" s="17">
        <v>8955.56</v>
      </c>
      <c r="K107" s="101"/>
      <c r="L107" s="35">
        <v>29203415</v>
      </c>
      <c r="M107" s="36">
        <v>5279.04</v>
      </c>
      <c r="N107" s="43">
        <v>14894443</v>
      </c>
      <c r="O107" s="44">
        <v>3616.95</v>
      </c>
      <c r="P107" s="51">
        <v>28049432</v>
      </c>
      <c r="Q107" s="52">
        <v>4151.12</v>
      </c>
      <c r="R107" s="58">
        <v>6952535</v>
      </c>
      <c r="S107" s="17">
        <v>881.9</v>
      </c>
      <c r="T107" s="101"/>
      <c r="U107" s="35">
        <f t="shared" si="45"/>
        <v>2306369</v>
      </c>
      <c r="V107" s="36">
        <f t="shared" si="46"/>
        <v>3579.6500000000005</v>
      </c>
      <c r="W107" s="43">
        <f t="shared" si="47"/>
        <v>5013047</v>
      </c>
      <c r="X107" s="44">
        <f t="shared" si="48"/>
        <v>1973.2300000000005</v>
      </c>
      <c r="Y107" s="51">
        <f t="shared" si="49"/>
        <v>25748607</v>
      </c>
      <c r="Z107" s="52">
        <f t="shared" si="50"/>
        <v>9132.4200000000019</v>
      </c>
      <c r="AA107" s="58">
        <f t="shared" si="51"/>
        <v>12314615</v>
      </c>
      <c r="AB107" s="17">
        <f t="shared" si="52"/>
        <v>8073.66</v>
      </c>
      <c r="AC107" s="101"/>
      <c r="AD107" s="555">
        <f t="shared" si="56"/>
        <v>124482463</v>
      </c>
      <c r="AE107" s="632">
        <f t="shared" si="57"/>
        <v>36687.97</v>
      </c>
    </row>
    <row r="108" spans="1:31" hidden="1" outlineLevel="1">
      <c r="A108" s="97">
        <v>43200</v>
      </c>
      <c r="B108" s="98">
        <f t="shared" si="53"/>
        <v>4</v>
      </c>
      <c r="C108" s="35">
        <v>32748484</v>
      </c>
      <c r="D108" s="36">
        <v>9079.68</v>
      </c>
      <c r="E108" s="43">
        <v>20677631</v>
      </c>
      <c r="F108" s="44">
        <v>5518.82</v>
      </c>
      <c r="G108" s="51">
        <v>53025626</v>
      </c>
      <c r="H108" s="52">
        <v>11787.1</v>
      </c>
      <c r="I108" s="58">
        <v>14561951</v>
      </c>
      <c r="J108" s="17">
        <v>5238.1899999999996</v>
      </c>
      <c r="K108" s="101"/>
      <c r="L108" s="35">
        <v>30481780</v>
      </c>
      <c r="M108" s="36">
        <v>5315.05</v>
      </c>
      <c r="N108" s="43">
        <v>15634522</v>
      </c>
      <c r="O108" s="44">
        <v>3444.87</v>
      </c>
      <c r="P108" s="51">
        <v>28617180</v>
      </c>
      <c r="Q108" s="52">
        <v>4057.51</v>
      </c>
      <c r="R108" s="58">
        <v>6263189</v>
      </c>
      <c r="S108" s="17">
        <v>776.55</v>
      </c>
      <c r="T108" s="101"/>
      <c r="U108" s="35">
        <f t="shared" si="45"/>
        <v>2266704</v>
      </c>
      <c r="V108" s="36">
        <f t="shared" si="46"/>
        <v>3764.63</v>
      </c>
      <c r="W108" s="43">
        <f t="shared" si="47"/>
        <v>5043109</v>
      </c>
      <c r="X108" s="44">
        <f t="shared" si="48"/>
        <v>2073.9499999999998</v>
      </c>
      <c r="Y108" s="51">
        <f t="shared" si="49"/>
        <v>24408446</v>
      </c>
      <c r="Z108" s="52">
        <f t="shared" si="50"/>
        <v>7729.59</v>
      </c>
      <c r="AA108" s="58">
        <f t="shared" si="51"/>
        <v>8298762</v>
      </c>
      <c r="AB108" s="17">
        <f t="shared" si="52"/>
        <v>4461.6399999999994</v>
      </c>
      <c r="AC108" s="101"/>
      <c r="AD108" s="555">
        <f t="shared" si="56"/>
        <v>121013692</v>
      </c>
      <c r="AE108" s="632">
        <f t="shared" si="57"/>
        <v>31623.789999999997</v>
      </c>
    </row>
    <row r="109" spans="1:31" hidden="1" outlineLevel="1">
      <c r="A109" s="97">
        <v>43201</v>
      </c>
      <c r="B109" s="98">
        <f t="shared" si="53"/>
        <v>4</v>
      </c>
      <c r="C109" s="35">
        <v>33191278</v>
      </c>
      <c r="D109" s="36">
        <v>9167.4699999999993</v>
      </c>
      <c r="E109" s="43">
        <v>20963300</v>
      </c>
      <c r="F109" s="44">
        <v>5574.02</v>
      </c>
      <c r="G109" s="51">
        <v>50412043</v>
      </c>
      <c r="H109" s="52">
        <v>12242.99</v>
      </c>
      <c r="I109" s="58">
        <v>11699732</v>
      </c>
      <c r="J109" s="17">
        <v>3821.37</v>
      </c>
      <c r="K109" s="101"/>
      <c r="L109" s="35">
        <v>30909165</v>
      </c>
      <c r="M109" s="36">
        <v>5348.6</v>
      </c>
      <c r="N109" s="43">
        <v>15635181</v>
      </c>
      <c r="O109" s="44">
        <v>3420.48</v>
      </c>
      <c r="P109" s="51">
        <v>29324475</v>
      </c>
      <c r="Q109" s="52">
        <v>4537.1099999999997</v>
      </c>
      <c r="R109" s="58">
        <v>6159699</v>
      </c>
      <c r="S109" s="17">
        <v>776.21</v>
      </c>
      <c r="T109" s="101"/>
      <c r="U109" s="35">
        <f t="shared" si="45"/>
        <v>2282113</v>
      </c>
      <c r="V109" s="36">
        <f t="shared" si="46"/>
        <v>3818.869999999999</v>
      </c>
      <c r="W109" s="43">
        <f t="shared" si="47"/>
        <v>5328119</v>
      </c>
      <c r="X109" s="44">
        <f t="shared" si="48"/>
        <v>2153.5400000000004</v>
      </c>
      <c r="Y109" s="51">
        <f t="shared" si="49"/>
        <v>21087568</v>
      </c>
      <c r="Z109" s="52">
        <f t="shared" si="50"/>
        <v>7705.88</v>
      </c>
      <c r="AA109" s="58">
        <f t="shared" si="51"/>
        <v>5540033</v>
      </c>
      <c r="AB109" s="17">
        <f t="shared" si="52"/>
        <v>3045.16</v>
      </c>
      <c r="AC109" s="101"/>
      <c r="AD109" s="555">
        <f t="shared" si="56"/>
        <v>116266353</v>
      </c>
      <c r="AE109" s="632">
        <f t="shared" si="57"/>
        <v>30805.85</v>
      </c>
    </row>
    <row r="110" spans="1:31" hidden="1" outlineLevel="1">
      <c r="A110" s="97">
        <v>43202</v>
      </c>
      <c r="B110" s="98">
        <f t="shared" si="53"/>
        <v>4</v>
      </c>
      <c r="C110" s="35">
        <v>33933329</v>
      </c>
      <c r="D110" s="36">
        <v>9182.5400000000009</v>
      </c>
      <c r="E110" s="43">
        <v>20919919</v>
      </c>
      <c r="F110" s="44">
        <v>5305.97</v>
      </c>
      <c r="G110" s="51">
        <v>49259115</v>
      </c>
      <c r="H110" s="52">
        <v>12446.86</v>
      </c>
      <c r="I110" s="58">
        <v>12275821</v>
      </c>
      <c r="J110" s="17">
        <v>4224.79</v>
      </c>
      <c r="K110" s="101"/>
      <c r="L110" s="35">
        <v>31625521</v>
      </c>
      <c r="M110" s="36">
        <v>5247.19</v>
      </c>
      <c r="N110" s="43">
        <v>16001554</v>
      </c>
      <c r="O110" s="44">
        <v>3445.55</v>
      </c>
      <c r="P110" s="51">
        <v>29108119</v>
      </c>
      <c r="Q110" s="52">
        <v>4361.17</v>
      </c>
      <c r="R110" s="58">
        <v>6079067</v>
      </c>
      <c r="S110" s="17">
        <v>788.86</v>
      </c>
      <c r="T110" s="101"/>
      <c r="U110" s="35">
        <f t="shared" si="45"/>
        <v>2307808</v>
      </c>
      <c r="V110" s="36">
        <f t="shared" si="46"/>
        <v>3935.3500000000013</v>
      </c>
      <c r="W110" s="43">
        <f t="shared" si="47"/>
        <v>4918365</v>
      </c>
      <c r="X110" s="44">
        <f t="shared" si="48"/>
        <v>1860.42</v>
      </c>
      <c r="Y110" s="51">
        <f t="shared" si="49"/>
        <v>20150996</v>
      </c>
      <c r="Z110" s="52">
        <f t="shared" si="50"/>
        <v>8085.6900000000005</v>
      </c>
      <c r="AA110" s="58">
        <f t="shared" si="51"/>
        <v>6196754</v>
      </c>
      <c r="AB110" s="17">
        <f t="shared" si="52"/>
        <v>3435.93</v>
      </c>
      <c r="AC110" s="101"/>
      <c r="AD110" s="555">
        <f t="shared" si="56"/>
        <v>116388184</v>
      </c>
      <c r="AE110" s="632">
        <f t="shared" si="57"/>
        <v>31160.160000000003</v>
      </c>
    </row>
    <row r="111" spans="1:31" hidden="1" outlineLevel="1">
      <c r="A111" s="97">
        <v>43203</v>
      </c>
      <c r="B111" s="98">
        <f t="shared" si="53"/>
        <v>4</v>
      </c>
      <c r="C111" s="35">
        <v>35608814</v>
      </c>
      <c r="D111" s="36">
        <v>8702.4500000000007</v>
      </c>
      <c r="E111" s="43">
        <v>24430701</v>
      </c>
      <c r="F111" s="44">
        <v>5792.28</v>
      </c>
      <c r="G111" s="51">
        <v>53145659</v>
      </c>
      <c r="H111" s="52">
        <v>11800.56</v>
      </c>
      <c r="I111" s="58">
        <v>14747698</v>
      </c>
      <c r="J111" s="17">
        <v>4851.34</v>
      </c>
      <c r="K111" s="101"/>
      <c r="L111" s="35">
        <v>33128077</v>
      </c>
      <c r="M111" s="36">
        <v>4966.24</v>
      </c>
      <c r="N111" s="43">
        <v>20429088</v>
      </c>
      <c r="O111" s="44">
        <v>4359.6400000000003</v>
      </c>
      <c r="P111" s="51">
        <v>32536972</v>
      </c>
      <c r="Q111" s="52">
        <v>4568.3100000000004</v>
      </c>
      <c r="R111" s="58">
        <v>6829564</v>
      </c>
      <c r="S111" s="17">
        <v>786.61</v>
      </c>
      <c r="T111" s="101"/>
      <c r="U111" s="35">
        <f t="shared" si="45"/>
        <v>2480737</v>
      </c>
      <c r="V111" s="36">
        <f t="shared" si="46"/>
        <v>3736.2100000000009</v>
      </c>
      <c r="W111" s="43">
        <f t="shared" si="47"/>
        <v>4001613</v>
      </c>
      <c r="X111" s="44">
        <f t="shared" si="48"/>
        <v>1432.6399999999994</v>
      </c>
      <c r="Y111" s="51">
        <f t="shared" si="49"/>
        <v>20608687</v>
      </c>
      <c r="Z111" s="52">
        <f t="shared" si="50"/>
        <v>7232.2499999999991</v>
      </c>
      <c r="AA111" s="58">
        <f t="shared" si="51"/>
        <v>7918134</v>
      </c>
      <c r="AB111" s="17">
        <f t="shared" si="52"/>
        <v>4064.73</v>
      </c>
      <c r="AC111" s="101"/>
      <c r="AD111" s="555">
        <f t="shared" si="56"/>
        <v>127932872</v>
      </c>
      <c r="AE111" s="632">
        <f t="shared" si="57"/>
        <v>31146.63</v>
      </c>
    </row>
    <row r="112" spans="1:31" hidden="1" outlineLevel="1">
      <c r="A112" s="97">
        <v>43204</v>
      </c>
      <c r="B112" s="98">
        <f t="shared" si="53"/>
        <v>4</v>
      </c>
      <c r="C112" s="35">
        <v>38931125</v>
      </c>
      <c r="D112" s="36">
        <v>8671.06</v>
      </c>
      <c r="E112" s="43">
        <v>25287483</v>
      </c>
      <c r="F112" s="44">
        <v>5303.02</v>
      </c>
      <c r="G112" s="51">
        <v>59992238</v>
      </c>
      <c r="H112" s="52">
        <v>12526.58</v>
      </c>
      <c r="I112" s="58">
        <v>21772454</v>
      </c>
      <c r="J112" s="17">
        <v>8709.77</v>
      </c>
      <c r="K112" s="101"/>
      <c r="L112" s="35">
        <v>36323808</v>
      </c>
      <c r="M112" s="36">
        <v>4973.08</v>
      </c>
      <c r="N112" s="43">
        <v>21515375</v>
      </c>
      <c r="O112" s="44">
        <v>3901.38</v>
      </c>
      <c r="P112" s="51">
        <v>36714995</v>
      </c>
      <c r="Q112" s="52">
        <v>5206.84</v>
      </c>
      <c r="R112" s="58">
        <v>8226583</v>
      </c>
      <c r="S112" s="17">
        <v>863.49</v>
      </c>
      <c r="T112" s="101"/>
      <c r="U112" s="35">
        <f t="shared" si="45"/>
        <v>2607317</v>
      </c>
      <c r="V112" s="36">
        <f t="shared" si="46"/>
        <v>3697.9799999999996</v>
      </c>
      <c r="W112" s="43">
        <f t="shared" si="47"/>
        <v>3772108</v>
      </c>
      <c r="X112" s="44">
        <f t="shared" si="48"/>
        <v>1401.6400000000003</v>
      </c>
      <c r="Y112" s="51">
        <f t="shared" si="49"/>
        <v>23277243</v>
      </c>
      <c r="Z112" s="52">
        <f t="shared" si="50"/>
        <v>7319.74</v>
      </c>
      <c r="AA112" s="58">
        <f t="shared" si="51"/>
        <v>13545871</v>
      </c>
      <c r="AB112" s="17">
        <f t="shared" si="52"/>
        <v>7846.2800000000007</v>
      </c>
      <c r="AC112" s="101"/>
      <c r="AD112" s="555">
        <f t="shared" si="56"/>
        <v>145983300</v>
      </c>
      <c r="AE112" s="632">
        <f t="shared" si="57"/>
        <v>35210.43</v>
      </c>
    </row>
    <row r="113" spans="1:31" hidden="1" outlineLevel="1">
      <c r="A113" s="97">
        <v>43205</v>
      </c>
      <c r="B113" s="98">
        <f t="shared" si="53"/>
        <v>4</v>
      </c>
      <c r="C113" s="35">
        <v>34903073</v>
      </c>
      <c r="D113" s="36">
        <v>8877.5400000000009</v>
      </c>
      <c r="E113" s="43">
        <v>20824972</v>
      </c>
      <c r="F113" s="44">
        <v>5236.2</v>
      </c>
      <c r="G113" s="51">
        <v>56142267</v>
      </c>
      <c r="H113" s="52">
        <v>13709.8</v>
      </c>
      <c r="I113" s="58">
        <v>20421072</v>
      </c>
      <c r="J113" s="17">
        <v>9207.9500000000007</v>
      </c>
      <c r="K113" s="101"/>
      <c r="L113" s="35">
        <v>32496184</v>
      </c>
      <c r="M113" s="36">
        <v>5263.5</v>
      </c>
      <c r="N113" s="43">
        <v>17187719</v>
      </c>
      <c r="O113" s="44">
        <v>3916.35</v>
      </c>
      <c r="P113" s="51">
        <v>32114905</v>
      </c>
      <c r="Q113" s="52">
        <v>5232.37</v>
      </c>
      <c r="R113" s="58">
        <v>7267545</v>
      </c>
      <c r="S113" s="17">
        <v>949.7</v>
      </c>
      <c r="T113" s="101"/>
      <c r="U113" s="35">
        <f t="shared" si="45"/>
        <v>2406889</v>
      </c>
      <c r="V113" s="36">
        <f t="shared" si="46"/>
        <v>3614.0400000000009</v>
      </c>
      <c r="W113" s="43">
        <f t="shared" si="47"/>
        <v>3637253</v>
      </c>
      <c r="X113" s="44">
        <f t="shared" si="48"/>
        <v>1319.85</v>
      </c>
      <c r="Y113" s="51">
        <f t="shared" si="49"/>
        <v>24027362</v>
      </c>
      <c r="Z113" s="52">
        <f t="shared" si="50"/>
        <v>8477.43</v>
      </c>
      <c r="AA113" s="58">
        <f t="shared" si="51"/>
        <v>13153527</v>
      </c>
      <c r="AB113" s="17">
        <f t="shared" si="52"/>
        <v>8258.25</v>
      </c>
      <c r="AC113" s="101"/>
      <c r="AD113" s="555">
        <f t="shared" si="56"/>
        <v>132291384</v>
      </c>
      <c r="AE113" s="632">
        <f t="shared" si="57"/>
        <v>37031.490000000005</v>
      </c>
    </row>
    <row r="114" spans="1:31" hidden="1" outlineLevel="1">
      <c r="A114" s="97">
        <v>43206</v>
      </c>
      <c r="B114" s="98">
        <f t="shared" si="53"/>
        <v>4</v>
      </c>
      <c r="C114" s="35">
        <v>35182558</v>
      </c>
      <c r="D114" s="36">
        <v>9499.2099999999991</v>
      </c>
      <c r="E114" s="43">
        <v>26059719</v>
      </c>
      <c r="F114" s="44">
        <v>5239.99</v>
      </c>
      <c r="G114" s="51">
        <v>51749187</v>
      </c>
      <c r="H114" s="52">
        <v>15108.7</v>
      </c>
      <c r="I114" s="58">
        <v>12224917</v>
      </c>
      <c r="J114" s="17">
        <v>5097.22</v>
      </c>
      <c r="K114" s="101"/>
      <c r="L114" s="35">
        <v>32786975</v>
      </c>
      <c r="M114" s="36">
        <v>5667.97</v>
      </c>
      <c r="N114" s="43">
        <v>21288312</v>
      </c>
      <c r="O114" s="44">
        <v>3805.7</v>
      </c>
      <c r="P114" s="51">
        <v>29696043</v>
      </c>
      <c r="Q114" s="52">
        <v>5109.0200000000004</v>
      </c>
      <c r="R114" s="58">
        <v>6156887</v>
      </c>
      <c r="S114" s="17">
        <v>924.17</v>
      </c>
      <c r="T114" s="101"/>
      <c r="U114" s="35">
        <f t="shared" si="45"/>
        <v>2395583</v>
      </c>
      <c r="V114" s="36">
        <f t="shared" si="46"/>
        <v>3831.2399999999989</v>
      </c>
      <c r="W114" s="43">
        <f t="shared" si="47"/>
        <v>4771407</v>
      </c>
      <c r="X114" s="44">
        <f t="shared" si="48"/>
        <v>1434.29</v>
      </c>
      <c r="Y114" s="51">
        <f t="shared" si="49"/>
        <v>22053144</v>
      </c>
      <c r="Z114" s="52">
        <f t="shared" si="50"/>
        <v>9999.68</v>
      </c>
      <c r="AA114" s="58">
        <f t="shared" si="51"/>
        <v>6068030</v>
      </c>
      <c r="AB114" s="17">
        <f t="shared" si="52"/>
        <v>4173.05</v>
      </c>
      <c r="AC114" s="101"/>
      <c r="AD114" s="555">
        <f t="shared" si="56"/>
        <v>125216381</v>
      </c>
      <c r="AE114" s="632">
        <f t="shared" si="57"/>
        <v>34945.120000000003</v>
      </c>
    </row>
    <row r="115" spans="1:31" hidden="1" outlineLevel="1">
      <c r="A115" s="97">
        <v>43207</v>
      </c>
      <c r="B115" s="98">
        <f t="shared" si="53"/>
        <v>4</v>
      </c>
      <c r="C115" s="35">
        <v>35072608</v>
      </c>
      <c r="D115" s="36">
        <v>10381.040000000001</v>
      </c>
      <c r="E115" s="43">
        <v>21143976</v>
      </c>
      <c r="F115" s="44">
        <v>5516.66</v>
      </c>
      <c r="G115" s="51">
        <v>52138776</v>
      </c>
      <c r="H115" s="52">
        <v>17105.490000000002</v>
      </c>
      <c r="I115" s="58">
        <v>7239427</v>
      </c>
      <c r="J115" s="17">
        <v>2374.33</v>
      </c>
      <c r="K115" s="101"/>
      <c r="L115" s="35">
        <v>32681494</v>
      </c>
      <c r="M115" s="36">
        <v>6418.27</v>
      </c>
      <c r="N115" s="43">
        <v>16391196</v>
      </c>
      <c r="O115" s="44">
        <v>4012.6</v>
      </c>
      <c r="P115" s="51">
        <v>30399530</v>
      </c>
      <c r="Q115" s="52">
        <v>6684.61</v>
      </c>
      <c r="R115" s="58">
        <v>4824659</v>
      </c>
      <c r="S115" s="17">
        <v>819.75</v>
      </c>
      <c r="T115" s="101"/>
      <c r="U115" s="35">
        <f t="shared" si="45"/>
        <v>2391114</v>
      </c>
      <c r="V115" s="36">
        <f t="shared" si="46"/>
        <v>3962.7700000000004</v>
      </c>
      <c r="W115" s="43">
        <f t="shared" si="47"/>
        <v>4752780</v>
      </c>
      <c r="X115" s="44">
        <f t="shared" si="48"/>
        <v>1504.06</v>
      </c>
      <c r="Y115" s="51">
        <f t="shared" si="49"/>
        <v>21739246</v>
      </c>
      <c r="Z115" s="52">
        <f t="shared" si="50"/>
        <v>10420.880000000001</v>
      </c>
      <c r="AA115" s="58">
        <f t="shared" si="51"/>
        <v>2414768</v>
      </c>
      <c r="AB115" s="17">
        <f t="shared" si="52"/>
        <v>1554.58</v>
      </c>
      <c r="AC115" s="101"/>
      <c r="AD115" s="555">
        <f t="shared" si="56"/>
        <v>115594787</v>
      </c>
      <c r="AE115" s="632">
        <f t="shared" si="57"/>
        <v>35377.520000000004</v>
      </c>
    </row>
    <row r="116" spans="1:31" hidden="1" outlineLevel="1">
      <c r="A116" s="97">
        <v>43208</v>
      </c>
      <c r="B116" s="98">
        <f t="shared" si="53"/>
        <v>4</v>
      </c>
      <c r="C116" s="35">
        <v>35503103</v>
      </c>
      <c r="D116" s="36">
        <v>10283.27</v>
      </c>
      <c r="E116" s="43">
        <v>21225539</v>
      </c>
      <c r="F116" s="44">
        <v>4863.43</v>
      </c>
      <c r="G116" s="51">
        <v>54077587</v>
      </c>
      <c r="H116" s="52">
        <v>16865.080000000002</v>
      </c>
      <c r="I116" s="58">
        <v>6354644</v>
      </c>
      <c r="J116" s="17">
        <v>1834.67</v>
      </c>
      <c r="K116" s="101"/>
      <c r="L116" s="35">
        <v>33056587</v>
      </c>
      <c r="M116" s="36">
        <v>6287.91</v>
      </c>
      <c r="N116" s="43">
        <v>16872046</v>
      </c>
      <c r="O116" s="44">
        <v>3521.86</v>
      </c>
      <c r="P116" s="51">
        <v>31711892</v>
      </c>
      <c r="Q116" s="52">
        <v>6162.63</v>
      </c>
      <c r="R116" s="58">
        <v>4677924</v>
      </c>
      <c r="S116" s="17">
        <v>759.48</v>
      </c>
      <c r="T116" s="101"/>
      <c r="U116" s="35">
        <f t="shared" si="45"/>
        <v>2446516</v>
      </c>
      <c r="V116" s="36">
        <f t="shared" si="46"/>
        <v>3995.3600000000006</v>
      </c>
      <c r="W116" s="43">
        <f t="shared" si="47"/>
        <v>4353493</v>
      </c>
      <c r="X116" s="44">
        <f t="shared" si="48"/>
        <v>1341.5700000000002</v>
      </c>
      <c r="Y116" s="51">
        <f t="shared" si="49"/>
        <v>22365695</v>
      </c>
      <c r="Z116" s="52">
        <f t="shared" si="50"/>
        <v>10702.45</v>
      </c>
      <c r="AA116" s="58">
        <f t="shared" si="51"/>
        <v>1676720</v>
      </c>
      <c r="AB116" s="17">
        <f t="shared" si="52"/>
        <v>1075.19</v>
      </c>
      <c r="AC116" s="101"/>
      <c r="AD116" s="555">
        <f t="shared" si="56"/>
        <v>117160873</v>
      </c>
      <c r="AE116" s="632">
        <f t="shared" si="57"/>
        <v>33846.450000000004</v>
      </c>
    </row>
    <row r="117" spans="1:31" hidden="1" outlineLevel="1">
      <c r="A117" s="97">
        <v>43209</v>
      </c>
      <c r="B117" s="98">
        <f t="shared" si="53"/>
        <v>4</v>
      </c>
      <c r="C117" s="35">
        <v>35945960</v>
      </c>
      <c r="D117" s="36">
        <v>10792.58</v>
      </c>
      <c r="E117" s="43">
        <v>21285137</v>
      </c>
      <c r="F117" s="44">
        <v>5004.7299999999996</v>
      </c>
      <c r="G117" s="51">
        <v>52963102</v>
      </c>
      <c r="H117" s="52">
        <v>17534.099999999999</v>
      </c>
      <c r="I117" s="58">
        <v>6667114</v>
      </c>
      <c r="J117" s="17">
        <v>1921.16</v>
      </c>
      <c r="K117" s="101"/>
      <c r="L117" s="35">
        <v>33512880</v>
      </c>
      <c r="M117" s="36">
        <v>6600.08</v>
      </c>
      <c r="N117" s="43">
        <v>17038293</v>
      </c>
      <c r="O117" s="44">
        <v>3583.39</v>
      </c>
      <c r="P117" s="51">
        <v>32099499</v>
      </c>
      <c r="Q117" s="52">
        <v>6298.65</v>
      </c>
      <c r="R117" s="58">
        <v>4906546</v>
      </c>
      <c r="S117" s="17">
        <v>786.82</v>
      </c>
      <c r="T117" s="101"/>
      <c r="U117" s="35">
        <f t="shared" si="45"/>
        <v>2433080</v>
      </c>
      <c r="V117" s="36">
        <f t="shared" si="46"/>
        <v>4192.5</v>
      </c>
      <c r="W117" s="43">
        <f t="shared" si="47"/>
        <v>4246844</v>
      </c>
      <c r="X117" s="44">
        <f t="shared" si="48"/>
        <v>1421.3399999999997</v>
      </c>
      <c r="Y117" s="51">
        <f t="shared" si="49"/>
        <v>20863603</v>
      </c>
      <c r="Z117" s="52">
        <f t="shared" si="50"/>
        <v>11235.449999999999</v>
      </c>
      <c r="AA117" s="58">
        <f t="shared" si="51"/>
        <v>1760568</v>
      </c>
      <c r="AB117" s="17">
        <f t="shared" si="52"/>
        <v>1134.3400000000001</v>
      </c>
      <c r="AC117" s="101"/>
      <c r="AD117" s="555">
        <f t="shared" si="56"/>
        <v>116861313</v>
      </c>
      <c r="AE117" s="632">
        <f t="shared" si="57"/>
        <v>35252.57</v>
      </c>
    </row>
    <row r="118" spans="1:31" hidden="1" outlineLevel="1">
      <c r="A118" s="97">
        <v>43210</v>
      </c>
      <c r="B118" s="98">
        <f t="shared" si="53"/>
        <v>4</v>
      </c>
      <c r="C118" s="35">
        <v>36189531</v>
      </c>
      <c r="D118" s="36">
        <v>10669.57</v>
      </c>
      <c r="E118" s="43">
        <v>24449601</v>
      </c>
      <c r="F118" s="44">
        <v>5777.91</v>
      </c>
      <c r="G118" s="51">
        <v>59226894</v>
      </c>
      <c r="H118" s="52">
        <v>19818.64</v>
      </c>
      <c r="I118" s="58">
        <v>6710288</v>
      </c>
      <c r="J118" s="17">
        <v>1730.92</v>
      </c>
      <c r="K118" s="101"/>
      <c r="L118" s="35">
        <v>33722914</v>
      </c>
      <c r="M118" s="36">
        <v>6643.2</v>
      </c>
      <c r="N118" s="43">
        <v>20777800</v>
      </c>
      <c r="O118" s="44">
        <v>4359.05</v>
      </c>
      <c r="P118" s="51">
        <v>33134686</v>
      </c>
      <c r="Q118" s="52">
        <v>6863.61</v>
      </c>
      <c r="R118" s="58">
        <v>5044615</v>
      </c>
      <c r="S118" s="17">
        <v>766.62</v>
      </c>
      <c r="T118" s="101"/>
      <c r="U118" s="35">
        <f t="shared" si="45"/>
        <v>2466617</v>
      </c>
      <c r="V118" s="36">
        <f t="shared" si="46"/>
        <v>4026.37</v>
      </c>
      <c r="W118" s="43">
        <f t="shared" si="47"/>
        <v>3671801</v>
      </c>
      <c r="X118" s="44">
        <f t="shared" si="48"/>
        <v>1418.8599999999997</v>
      </c>
      <c r="Y118" s="51">
        <f t="shared" si="49"/>
        <v>26092208</v>
      </c>
      <c r="Z118" s="52">
        <f t="shared" si="50"/>
        <v>12955.029999999999</v>
      </c>
      <c r="AA118" s="58">
        <f t="shared" si="51"/>
        <v>1665673</v>
      </c>
      <c r="AB118" s="17">
        <f t="shared" si="52"/>
        <v>964.30000000000007</v>
      </c>
      <c r="AC118" s="101"/>
      <c r="AD118" s="555">
        <f t="shared" si="56"/>
        <v>126576314</v>
      </c>
      <c r="AE118" s="632">
        <f t="shared" si="57"/>
        <v>37997.039999999994</v>
      </c>
    </row>
    <row r="119" spans="1:31" hidden="1" outlineLevel="1">
      <c r="A119" s="97">
        <v>43211</v>
      </c>
      <c r="B119" s="98">
        <f t="shared" si="53"/>
        <v>4</v>
      </c>
      <c r="C119" s="35">
        <v>38837802</v>
      </c>
      <c r="D119" s="36">
        <v>10559.3</v>
      </c>
      <c r="E119" s="43">
        <v>26158983</v>
      </c>
      <c r="F119" s="44">
        <v>5812.29</v>
      </c>
      <c r="G119" s="51">
        <v>67317208</v>
      </c>
      <c r="H119" s="52">
        <v>22777.040000000001</v>
      </c>
      <c r="I119" s="58">
        <v>6838886</v>
      </c>
      <c r="J119" s="17">
        <v>1733.94</v>
      </c>
      <c r="K119" s="101"/>
      <c r="L119" s="35">
        <v>36259568</v>
      </c>
      <c r="M119" s="36">
        <v>6729.81</v>
      </c>
      <c r="N119" s="43">
        <v>22166212</v>
      </c>
      <c r="O119" s="44">
        <v>4320.33</v>
      </c>
      <c r="P119" s="51">
        <v>36889482</v>
      </c>
      <c r="Q119" s="52">
        <v>7515.47</v>
      </c>
      <c r="R119" s="58">
        <v>5359638</v>
      </c>
      <c r="S119" s="17">
        <v>820.65</v>
      </c>
      <c r="T119" s="101"/>
      <c r="U119" s="35">
        <f t="shared" si="45"/>
        <v>2578234</v>
      </c>
      <c r="V119" s="36">
        <f t="shared" si="46"/>
        <v>3829.4899999999989</v>
      </c>
      <c r="W119" s="43">
        <f t="shared" si="47"/>
        <v>3992771</v>
      </c>
      <c r="X119" s="44">
        <f t="shared" si="48"/>
        <v>1491.96</v>
      </c>
      <c r="Y119" s="51">
        <f t="shared" si="49"/>
        <v>30427726</v>
      </c>
      <c r="Z119" s="52">
        <f t="shared" si="50"/>
        <v>15261.57</v>
      </c>
      <c r="AA119" s="58">
        <f t="shared" si="51"/>
        <v>1479248</v>
      </c>
      <c r="AB119" s="17">
        <f t="shared" si="52"/>
        <v>913.29000000000008</v>
      </c>
      <c r="AC119" s="101"/>
      <c r="AD119" s="555">
        <f t="shared" si="56"/>
        <v>139152879</v>
      </c>
      <c r="AE119" s="632">
        <f t="shared" si="57"/>
        <v>40882.570000000007</v>
      </c>
    </row>
    <row r="120" spans="1:31" hidden="1" outlineLevel="1">
      <c r="A120" s="97">
        <v>43212</v>
      </c>
      <c r="B120" s="98">
        <f t="shared" si="53"/>
        <v>4</v>
      </c>
      <c r="C120" s="35">
        <v>35145077</v>
      </c>
      <c r="D120" s="36">
        <v>10679.98</v>
      </c>
      <c r="E120" s="43">
        <v>21211423</v>
      </c>
      <c r="F120" s="44">
        <v>5358.11</v>
      </c>
      <c r="G120" s="51">
        <v>61723902</v>
      </c>
      <c r="H120" s="52">
        <v>22229.98</v>
      </c>
      <c r="I120" s="58">
        <v>6163980</v>
      </c>
      <c r="J120" s="17">
        <v>1716.78</v>
      </c>
      <c r="K120" s="101"/>
      <c r="L120" s="35">
        <v>32721345</v>
      </c>
      <c r="M120" s="36">
        <v>6732.12</v>
      </c>
      <c r="N120" s="43">
        <v>17059361</v>
      </c>
      <c r="O120" s="44">
        <v>3827.42</v>
      </c>
      <c r="P120" s="51">
        <v>31560827</v>
      </c>
      <c r="Q120" s="52">
        <v>6628.36</v>
      </c>
      <c r="R120" s="58">
        <v>4853178</v>
      </c>
      <c r="S120" s="17">
        <v>813.49</v>
      </c>
      <c r="T120" s="101"/>
      <c r="U120" s="35">
        <f t="shared" si="45"/>
        <v>2423732</v>
      </c>
      <c r="V120" s="36">
        <f t="shared" si="46"/>
        <v>3947.8599999999997</v>
      </c>
      <c r="W120" s="43">
        <f t="shared" si="47"/>
        <v>4152062</v>
      </c>
      <c r="X120" s="44">
        <f t="shared" si="48"/>
        <v>1530.6899999999996</v>
      </c>
      <c r="Y120" s="51">
        <f t="shared" si="49"/>
        <v>30163075</v>
      </c>
      <c r="Z120" s="52">
        <f t="shared" si="50"/>
        <v>15601.619999999999</v>
      </c>
      <c r="AA120" s="58">
        <f t="shared" si="51"/>
        <v>1310802</v>
      </c>
      <c r="AB120" s="17">
        <f t="shared" si="52"/>
        <v>903.29</v>
      </c>
      <c r="AC120" s="101"/>
      <c r="AD120" s="555">
        <f t="shared" si="56"/>
        <v>124244382</v>
      </c>
      <c r="AE120" s="632">
        <f t="shared" si="57"/>
        <v>39984.85</v>
      </c>
    </row>
    <row r="121" spans="1:31" hidden="1" outlineLevel="1">
      <c r="A121" s="97">
        <v>43213</v>
      </c>
      <c r="B121" s="98">
        <f t="shared" si="53"/>
        <v>4</v>
      </c>
      <c r="C121" s="35">
        <v>34308753</v>
      </c>
      <c r="D121" s="36">
        <v>11215.1</v>
      </c>
      <c r="E121" s="43">
        <v>20323249</v>
      </c>
      <c r="F121" s="44">
        <v>5583.36</v>
      </c>
      <c r="G121" s="51">
        <v>56142406</v>
      </c>
      <c r="H121" s="52">
        <v>21528.799999999999</v>
      </c>
      <c r="I121" s="58">
        <v>5859061</v>
      </c>
      <c r="J121" s="17">
        <v>1735.29</v>
      </c>
      <c r="K121" s="101"/>
      <c r="L121" s="35">
        <v>31899499</v>
      </c>
      <c r="M121" s="36">
        <v>7114.56</v>
      </c>
      <c r="N121" s="43">
        <v>16373380</v>
      </c>
      <c r="O121" s="44">
        <v>4076.98</v>
      </c>
      <c r="P121" s="51">
        <v>30159212</v>
      </c>
      <c r="Q121" s="52">
        <v>6494.28</v>
      </c>
      <c r="R121" s="58">
        <v>4535345</v>
      </c>
      <c r="S121" s="17">
        <v>778.63</v>
      </c>
      <c r="T121" s="101"/>
      <c r="U121" s="35">
        <f t="shared" si="45"/>
        <v>2409254</v>
      </c>
      <c r="V121" s="36">
        <f t="shared" si="46"/>
        <v>4100.54</v>
      </c>
      <c r="W121" s="43">
        <f t="shared" si="47"/>
        <v>3949869</v>
      </c>
      <c r="X121" s="44">
        <f t="shared" si="48"/>
        <v>1506.3799999999997</v>
      </c>
      <c r="Y121" s="51">
        <f t="shared" si="49"/>
        <v>25983194</v>
      </c>
      <c r="Z121" s="52">
        <f t="shared" si="50"/>
        <v>15034.52</v>
      </c>
      <c r="AA121" s="58">
        <f t="shared" si="51"/>
        <v>1323716</v>
      </c>
      <c r="AB121" s="17">
        <f t="shared" si="52"/>
        <v>956.66</v>
      </c>
      <c r="AC121" s="101"/>
      <c r="AD121" s="555">
        <f t="shared" si="56"/>
        <v>116633469</v>
      </c>
      <c r="AE121" s="632">
        <f t="shared" si="57"/>
        <v>40062.549999999996</v>
      </c>
    </row>
    <row r="122" spans="1:31" hidden="1" outlineLevel="1">
      <c r="A122" s="97">
        <v>43214</v>
      </c>
      <c r="B122" s="98">
        <f t="shared" si="53"/>
        <v>4</v>
      </c>
      <c r="C122" s="35">
        <v>39107145</v>
      </c>
      <c r="D122" s="36">
        <v>11951.07</v>
      </c>
      <c r="E122" s="43">
        <v>25482993</v>
      </c>
      <c r="F122" s="44">
        <v>6345.48</v>
      </c>
      <c r="G122" s="51">
        <v>64551857</v>
      </c>
      <c r="H122" s="52">
        <v>23377.08</v>
      </c>
      <c r="I122" s="58">
        <v>6602107</v>
      </c>
      <c r="J122" s="17">
        <v>1706.3</v>
      </c>
      <c r="K122" s="101"/>
      <c r="L122" s="35">
        <v>36676381</v>
      </c>
      <c r="M122" s="36">
        <v>7670.49</v>
      </c>
      <c r="N122" s="43">
        <v>21460716</v>
      </c>
      <c r="O122" s="44">
        <v>4725.8100000000004</v>
      </c>
      <c r="P122" s="51">
        <v>36486395</v>
      </c>
      <c r="Q122" s="52">
        <v>6905.77</v>
      </c>
      <c r="R122" s="58">
        <v>5272151</v>
      </c>
      <c r="S122" s="17">
        <v>806.02</v>
      </c>
      <c r="T122" s="101"/>
      <c r="U122" s="35">
        <f t="shared" si="45"/>
        <v>2430764</v>
      </c>
      <c r="V122" s="36">
        <f t="shared" si="46"/>
        <v>4280.58</v>
      </c>
      <c r="W122" s="43">
        <f t="shared" si="47"/>
        <v>4022277</v>
      </c>
      <c r="X122" s="44">
        <f t="shared" si="48"/>
        <v>1619.6699999999992</v>
      </c>
      <c r="Y122" s="51">
        <f t="shared" si="49"/>
        <v>28065462</v>
      </c>
      <c r="Z122" s="52">
        <f t="shared" si="50"/>
        <v>16471.310000000001</v>
      </c>
      <c r="AA122" s="58">
        <f t="shared" si="51"/>
        <v>1329956</v>
      </c>
      <c r="AB122" s="17">
        <f t="shared" si="52"/>
        <v>900.28</v>
      </c>
      <c r="AC122" s="101"/>
      <c r="AD122" s="555">
        <f t="shared" si="56"/>
        <v>135744102</v>
      </c>
      <c r="AE122" s="632">
        <f t="shared" si="57"/>
        <v>43379.930000000008</v>
      </c>
    </row>
    <row r="123" spans="1:31" hidden="1" outlineLevel="1">
      <c r="A123" s="97">
        <v>43215</v>
      </c>
      <c r="B123" s="98">
        <f t="shared" si="53"/>
        <v>4</v>
      </c>
      <c r="C123" s="35">
        <v>36214942</v>
      </c>
      <c r="D123" s="36">
        <v>11093.37</v>
      </c>
      <c r="E123" s="43">
        <v>21545020</v>
      </c>
      <c r="F123" s="44">
        <v>5363.91</v>
      </c>
      <c r="G123" s="51">
        <v>57980767</v>
      </c>
      <c r="H123" s="52">
        <v>19424.04</v>
      </c>
      <c r="I123" s="58">
        <v>6314228</v>
      </c>
      <c r="J123" s="17">
        <v>1837.66</v>
      </c>
      <c r="K123" s="101"/>
      <c r="L123" s="35">
        <v>33766242</v>
      </c>
      <c r="M123" s="36">
        <v>6715.11</v>
      </c>
      <c r="N123" s="43">
        <v>17428023</v>
      </c>
      <c r="O123" s="44">
        <v>3668.1</v>
      </c>
      <c r="P123" s="51">
        <v>34610598</v>
      </c>
      <c r="Q123" s="52">
        <v>5697.95</v>
      </c>
      <c r="R123" s="58">
        <v>4914621</v>
      </c>
      <c r="S123" s="17">
        <v>709.76</v>
      </c>
      <c r="T123" s="101"/>
      <c r="U123" s="35">
        <f t="shared" si="45"/>
        <v>2448700</v>
      </c>
      <c r="V123" s="36">
        <f t="shared" si="46"/>
        <v>4378.2600000000011</v>
      </c>
      <c r="W123" s="43">
        <f t="shared" si="47"/>
        <v>4116997</v>
      </c>
      <c r="X123" s="44">
        <f t="shared" si="48"/>
        <v>1695.81</v>
      </c>
      <c r="Y123" s="51">
        <f t="shared" si="49"/>
        <v>23370169</v>
      </c>
      <c r="Z123" s="52">
        <f t="shared" si="50"/>
        <v>13726.09</v>
      </c>
      <c r="AA123" s="58">
        <f t="shared" si="51"/>
        <v>1399607</v>
      </c>
      <c r="AB123" s="17">
        <f t="shared" si="52"/>
        <v>1127.9000000000001</v>
      </c>
      <c r="AC123" s="101"/>
      <c r="AD123" s="555">
        <f t="shared" si="56"/>
        <v>122054957</v>
      </c>
      <c r="AE123" s="632">
        <f t="shared" si="57"/>
        <v>37718.980000000003</v>
      </c>
    </row>
    <row r="124" spans="1:31" hidden="1" outlineLevel="1">
      <c r="A124" s="97">
        <v>43216</v>
      </c>
      <c r="B124" s="98">
        <f t="shared" si="53"/>
        <v>4</v>
      </c>
      <c r="C124" s="35">
        <v>35524081</v>
      </c>
      <c r="D124" s="36">
        <v>11718.64</v>
      </c>
      <c r="E124" s="43">
        <v>21625195</v>
      </c>
      <c r="F124" s="44">
        <v>5845.84</v>
      </c>
      <c r="G124" s="51">
        <v>49573200</v>
      </c>
      <c r="H124" s="52">
        <v>17781.95</v>
      </c>
      <c r="I124" s="58">
        <v>6018870</v>
      </c>
      <c r="J124" s="17">
        <v>1831.14</v>
      </c>
      <c r="K124" s="101"/>
      <c r="L124" s="35">
        <v>33065436</v>
      </c>
      <c r="M124" s="36">
        <v>7148.85</v>
      </c>
      <c r="N124" s="43">
        <v>17185768</v>
      </c>
      <c r="O124" s="44">
        <v>4045.72</v>
      </c>
      <c r="P124" s="51">
        <v>33005497</v>
      </c>
      <c r="Q124" s="52">
        <v>6290.41</v>
      </c>
      <c r="R124" s="58">
        <v>4624721</v>
      </c>
      <c r="S124" s="17">
        <v>750.58</v>
      </c>
      <c r="T124" s="101"/>
      <c r="U124" s="35">
        <f t="shared" si="45"/>
        <v>2458645</v>
      </c>
      <c r="V124" s="36">
        <f t="shared" si="46"/>
        <v>4569.7899999999991</v>
      </c>
      <c r="W124" s="43">
        <f t="shared" si="47"/>
        <v>4439427</v>
      </c>
      <c r="X124" s="44">
        <f t="shared" si="48"/>
        <v>1800.1200000000003</v>
      </c>
      <c r="Y124" s="51">
        <f t="shared" si="49"/>
        <v>16567703</v>
      </c>
      <c r="Z124" s="52">
        <f t="shared" si="50"/>
        <v>11491.54</v>
      </c>
      <c r="AA124" s="58">
        <f t="shared" si="51"/>
        <v>1394149</v>
      </c>
      <c r="AB124" s="17">
        <f t="shared" si="52"/>
        <v>1080.56</v>
      </c>
      <c r="AC124" s="101"/>
      <c r="AD124" s="555">
        <f t="shared" si="56"/>
        <v>112741346</v>
      </c>
      <c r="AE124" s="632">
        <f t="shared" si="57"/>
        <v>37177.57</v>
      </c>
    </row>
    <row r="125" spans="1:31" hidden="1" outlineLevel="1">
      <c r="A125" s="97">
        <v>43217</v>
      </c>
      <c r="B125" s="98">
        <f t="shared" si="53"/>
        <v>4</v>
      </c>
      <c r="C125" s="35">
        <v>37180600</v>
      </c>
      <c r="D125" s="36">
        <v>11303.42</v>
      </c>
      <c r="E125" s="43">
        <v>27350647</v>
      </c>
      <c r="F125" s="44">
        <v>7155.97</v>
      </c>
      <c r="G125" s="51">
        <v>47415417</v>
      </c>
      <c r="H125" s="52">
        <v>12886.45</v>
      </c>
      <c r="I125" s="58">
        <v>15250292</v>
      </c>
      <c r="J125" s="17">
        <v>6542.25</v>
      </c>
      <c r="K125" s="101"/>
      <c r="L125" s="35">
        <v>34676432</v>
      </c>
      <c r="M125" s="36">
        <v>6835.82</v>
      </c>
      <c r="N125" s="43">
        <v>21774869</v>
      </c>
      <c r="O125" s="44">
        <v>5066.72</v>
      </c>
      <c r="P125" s="51">
        <v>36283204</v>
      </c>
      <c r="Q125" s="52">
        <v>6459.26</v>
      </c>
      <c r="R125" s="58">
        <v>5655845</v>
      </c>
      <c r="S125" s="17">
        <v>812.43</v>
      </c>
      <c r="T125" s="101"/>
      <c r="U125" s="35">
        <f t="shared" si="45"/>
        <v>2504168</v>
      </c>
      <c r="V125" s="36">
        <f t="shared" si="46"/>
        <v>4467.6000000000004</v>
      </c>
      <c r="W125" s="43">
        <f t="shared" si="47"/>
        <v>5575778</v>
      </c>
      <c r="X125" s="44">
        <f t="shared" si="48"/>
        <v>2089.25</v>
      </c>
      <c r="Y125" s="51">
        <f t="shared" si="49"/>
        <v>11132213</v>
      </c>
      <c r="Z125" s="52">
        <f t="shared" si="50"/>
        <v>6427.1900000000005</v>
      </c>
      <c r="AA125" s="58">
        <f t="shared" si="51"/>
        <v>9594447</v>
      </c>
      <c r="AB125" s="17">
        <f t="shared" si="52"/>
        <v>5729.82</v>
      </c>
      <c r="AC125" s="101"/>
      <c r="AD125" s="555">
        <f t="shared" si="56"/>
        <v>127196956</v>
      </c>
      <c r="AE125" s="632">
        <f t="shared" si="57"/>
        <v>37888.089999999997</v>
      </c>
    </row>
    <row r="126" spans="1:31" hidden="1" outlineLevel="1">
      <c r="A126" s="97">
        <v>43218</v>
      </c>
      <c r="B126" s="98">
        <f t="shared" si="53"/>
        <v>4</v>
      </c>
      <c r="C126" s="35">
        <v>38846430</v>
      </c>
      <c r="D126" s="36">
        <v>11176.38</v>
      </c>
      <c r="E126" s="43">
        <v>28670040</v>
      </c>
      <c r="F126" s="44">
        <v>7166.83</v>
      </c>
      <c r="G126" s="51">
        <v>54044680</v>
      </c>
      <c r="H126" s="52">
        <v>14901.22</v>
      </c>
      <c r="I126" s="58">
        <v>14062173</v>
      </c>
      <c r="J126" s="17">
        <v>4905.38</v>
      </c>
      <c r="K126" s="101"/>
      <c r="L126" s="35">
        <v>36219914</v>
      </c>
      <c r="M126" s="36">
        <v>6769.44</v>
      </c>
      <c r="N126" s="43">
        <v>22457696</v>
      </c>
      <c r="O126" s="44">
        <v>4968.72</v>
      </c>
      <c r="P126" s="51">
        <v>41161304</v>
      </c>
      <c r="Q126" s="52">
        <v>7766.37</v>
      </c>
      <c r="R126" s="58">
        <v>5813976</v>
      </c>
      <c r="S126" s="17">
        <v>758.71</v>
      </c>
      <c r="T126" s="101"/>
      <c r="U126" s="35">
        <f t="shared" si="45"/>
        <v>2626516</v>
      </c>
      <c r="V126" s="36">
        <f t="shared" si="46"/>
        <v>4406.9399999999996</v>
      </c>
      <c r="W126" s="43">
        <f t="shared" si="47"/>
        <v>6212344</v>
      </c>
      <c r="X126" s="44">
        <f t="shared" si="48"/>
        <v>2198.1099999999997</v>
      </c>
      <c r="Y126" s="51">
        <f t="shared" si="49"/>
        <v>12883376</v>
      </c>
      <c r="Z126" s="52">
        <f t="shared" si="50"/>
        <v>7134.8499999999995</v>
      </c>
      <c r="AA126" s="58">
        <f t="shared" si="51"/>
        <v>8248197</v>
      </c>
      <c r="AB126" s="17">
        <f t="shared" si="52"/>
        <v>4146.67</v>
      </c>
      <c r="AC126" s="101"/>
      <c r="AD126" s="555">
        <f t="shared" si="56"/>
        <v>135623323</v>
      </c>
      <c r="AE126" s="632">
        <f t="shared" si="57"/>
        <v>38149.81</v>
      </c>
    </row>
    <row r="127" spans="1:31" hidden="1" outlineLevel="1">
      <c r="A127" s="97">
        <v>43219</v>
      </c>
      <c r="B127" s="98">
        <f t="shared" si="53"/>
        <v>4</v>
      </c>
      <c r="C127" s="35">
        <v>38154566</v>
      </c>
      <c r="D127" s="36">
        <v>10519.03</v>
      </c>
      <c r="E127" s="43">
        <v>28954895</v>
      </c>
      <c r="F127" s="44">
        <v>7423.75</v>
      </c>
      <c r="G127" s="51">
        <v>48608710</v>
      </c>
      <c r="H127" s="52">
        <v>13392.68</v>
      </c>
      <c r="I127" s="58">
        <v>13065888</v>
      </c>
      <c r="J127" s="17">
        <v>3992.7</v>
      </c>
      <c r="K127" s="101"/>
      <c r="L127" s="35">
        <v>35719867</v>
      </c>
      <c r="M127" s="36">
        <v>6394.01</v>
      </c>
      <c r="N127" s="43">
        <v>22269357</v>
      </c>
      <c r="O127" s="44">
        <v>5032.97</v>
      </c>
      <c r="P127" s="51">
        <v>37936175</v>
      </c>
      <c r="Q127" s="52">
        <v>6940.37</v>
      </c>
      <c r="R127" s="58">
        <v>5953451</v>
      </c>
      <c r="S127" s="17">
        <v>705.86</v>
      </c>
      <c r="T127" s="101"/>
      <c r="U127" s="35">
        <f t="shared" si="45"/>
        <v>2434699</v>
      </c>
      <c r="V127" s="36">
        <f t="shared" si="46"/>
        <v>4125.0200000000004</v>
      </c>
      <c r="W127" s="43">
        <f t="shared" si="47"/>
        <v>6685538</v>
      </c>
      <c r="X127" s="44">
        <f t="shared" si="48"/>
        <v>2390.7799999999997</v>
      </c>
      <c r="Y127" s="51">
        <f t="shared" si="49"/>
        <v>10672535</v>
      </c>
      <c r="Z127" s="52">
        <f t="shared" si="50"/>
        <v>6452.31</v>
      </c>
      <c r="AA127" s="58">
        <f t="shared" si="51"/>
        <v>7112437</v>
      </c>
      <c r="AB127" s="17">
        <f t="shared" si="52"/>
        <v>3286.8399999999997</v>
      </c>
      <c r="AC127" s="101"/>
      <c r="AD127" s="555">
        <f t="shared" si="56"/>
        <v>128784059</v>
      </c>
      <c r="AE127" s="632">
        <f t="shared" si="57"/>
        <v>35328.159999999996</v>
      </c>
    </row>
    <row r="128" spans="1:31" hidden="1" outlineLevel="1">
      <c r="A128" s="97">
        <v>43220</v>
      </c>
      <c r="B128" s="98">
        <f t="shared" si="53"/>
        <v>4</v>
      </c>
      <c r="C128" s="35">
        <v>37649671</v>
      </c>
      <c r="D128" s="36">
        <v>9947.4500000000007</v>
      </c>
      <c r="E128" s="43">
        <v>28215553</v>
      </c>
      <c r="F128" s="44">
        <v>6876.82</v>
      </c>
      <c r="G128" s="51">
        <v>47990911</v>
      </c>
      <c r="H128" s="52">
        <v>12460.26</v>
      </c>
      <c r="I128" s="58">
        <v>13105444</v>
      </c>
      <c r="J128" s="17">
        <v>4618.09</v>
      </c>
      <c r="K128" s="101"/>
      <c r="L128" s="35">
        <v>35237823</v>
      </c>
      <c r="M128" s="36">
        <v>5769.64</v>
      </c>
      <c r="N128" s="43">
        <v>21762933</v>
      </c>
      <c r="O128" s="44">
        <v>4501.6000000000004</v>
      </c>
      <c r="P128" s="51">
        <v>37096762</v>
      </c>
      <c r="Q128" s="52">
        <v>6450.56</v>
      </c>
      <c r="R128" s="58">
        <v>6157059</v>
      </c>
      <c r="S128" s="17">
        <v>708.43</v>
      </c>
      <c r="T128" s="101"/>
      <c r="U128" s="35">
        <f t="shared" si="45"/>
        <v>2411848</v>
      </c>
      <c r="V128" s="36">
        <f t="shared" si="46"/>
        <v>4177.8100000000004</v>
      </c>
      <c r="W128" s="43">
        <f t="shared" si="47"/>
        <v>6452620</v>
      </c>
      <c r="X128" s="44">
        <f t="shared" si="48"/>
        <v>2375.2199999999993</v>
      </c>
      <c r="Y128" s="51">
        <f t="shared" si="49"/>
        <v>10894149</v>
      </c>
      <c r="Z128" s="52">
        <f t="shared" si="50"/>
        <v>6009.7</v>
      </c>
      <c r="AA128" s="58">
        <f t="shared" si="51"/>
        <v>6948385</v>
      </c>
      <c r="AB128" s="17">
        <f t="shared" si="52"/>
        <v>3909.6600000000003</v>
      </c>
      <c r="AC128" s="101"/>
      <c r="AD128" s="555">
        <f t="shared" si="56"/>
        <v>126961579</v>
      </c>
      <c r="AE128" s="632">
        <f t="shared" si="57"/>
        <v>33902.619999999995</v>
      </c>
    </row>
    <row r="129" spans="1:31" collapsed="1">
      <c r="A129" s="104"/>
      <c r="B129" s="104" t="s">
        <v>18</v>
      </c>
      <c r="C129" s="105">
        <f>SUBTOTAL(9,C130:C160)</f>
        <v>1052403518</v>
      </c>
      <c r="D129" s="106">
        <f t="shared" ref="D129:AB129" si="58">SUBTOTAL(9,D130:D160)</f>
        <v>322226.97000000003</v>
      </c>
      <c r="E129" s="107">
        <f t="shared" si="58"/>
        <v>796396532</v>
      </c>
      <c r="F129" s="108">
        <f t="shared" si="58"/>
        <v>206786.54000000004</v>
      </c>
      <c r="G129" s="109">
        <f t="shared" si="58"/>
        <v>1566549832</v>
      </c>
      <c r="H129" s="110">
        <f t="shared" si="58"/>
        <v>484218.78</v>
      </c>
      <c r="I129" s="111">
        <f t="shared" si="58"/>
        <v>401198859</v>
      </c>
      <c r="J129" s="14">
        <f t="shared" si="58"/>
        <v>176027.96000000005</v>
      </c>
      <c r="K129" s="103"/>
      <c r="L129" s="105">
        <f t="shared" si="58"/>
        <v>975013929</v>
      </c>
      <c r="M129" s="106">
        <f t="shared" si="58"/>
        <v>188575.44999999992</v>
      </c>
      <c r="N129" s="107">
        <f t="shared" si="58"/>
        <v>579917316</v>
      </c>
      <c r="O129" s="108">
        <f t="shared" si="58"/>
        <v>122478.54000000001</v>
      </c>
      <c r="P129" s="109">
        <f t="shared" si="58"/>
        <v>1125171537</v>
      </c>
      <c r="Q129" s="110">
        <f t="shared" si="58"/>
        <v>207233.73999999996</v>
      </c>
      <c r="R129" s="111">
        <f t="shared" si="58"/>
        <v>156759564</v>
      </c>
      <c r="S129" s="14">
        <f t="shared" si="58"/>
        <v>22565.05</v>
      </c>
      <c r="T129" s="103"/>
      <c r="U129" s="105">
        <f t="shared" si="58"/>
        <v>77389589</v>
      </c>
      <c r="V129" s="106">
        <f t="shared" si="58"/>
        <v>133651.52000000002</v>
      </c>
      <c r="W129" s="107">
        <f t="shared" si="58"/>
        <v>216479216</v>
      </c>
      <c r="X129" s="108">
        <f t="shared" si="58"/>
        <v>84308.000000000015</v>
      </c>
      <c r="Y129" s="109">
        <f t="shared" si="58"/>
        <v>441378295</v>
      </c>
      <c r="Z129" s="110">
        <f t="shared" si="58"/>
        <v>276985.04000000004</v>
      </c>
      <c r="AA129" s="111">
        <f t="shared" si="58"/>
        <v>244439295</v>
      </c>
      <c r="AB129" s="14">
        <f t="shared" si="58"/>
        <v>153462.91000000003</v>
      </c>
      <c r="AC129" s="103"/>
      <c r="AD129" s="555"/>
      <c r="AE129" s="632"/>
    </row>
    <row r="130" spans="1:31" hidden="1" outlineLevel="1">
      <c r="A130" s="114">
        <v>43221</v>
      </c>
      <c r="B130" s="115">
        <f t="shared" si="53"/>
        <v>5</v>
      </c>
      <c r="C130" s="35">
        <v>33345790</v>
      </c>
      <c r="D130" s="36">
        <v>8961.33</v>
      </c>
      <c r="E130" s="43">
        <v>22726652</v>
      </c>
      <c r="F130" s="44">
        <v>5896.44</v>
      </c>
      <c r="G130" s="51">
        <v>41860829</v>
      </c>
      <c r="H130" s="52">
        <v>10472.83</v>
      </c>
      <c r="I130" s="58">
        <v>14687335</v>
      </c>
      <c r="J130" s="17">
        <v>5375.45</v>
      </c>
      <c r="K130" s="101"/>
      <c r="L130" s="35">
        <v>30999290</v>
      </c>
      <c r="M130" s="36">
        <v>5333.68</v>
      </c>
      <c r="N130" s="43">
        <v>16786776</v>
      </c>
      <c r="O130" s="44">
        <v>3797.29</v>
      </c>
      <c r="P130" s="51">
        <v>31245004</v>
      </c>
      <c r="Q130" s="52">
        <v>5103.54</v>
      </c>
      <c r="R130" s="58">
        <v>5233724</v>
      </c>
      <c r="S130" s="17">
        <v>652.98</v>
      </c>
      <c r="T130" s="101"/>
      <c r="U130" s="35">
        <f t="shared" si="45"/>
        <v>2346500</v>
      </c>
      <c r="V130" s="36">
        <f t="shared" si="46"/>
        <v>3627.6499999999996</v>
      </c>
      <c r="W130" s="43">
        <f t="shared" si="47"/>
        <v>5939876</v>
      </c>
      <c r="X130" s="44">
        <f t="shared" si="48"/>
        <v>2099.1499999999996</v>
      </c>
      <c r="Y130" s="51">
        <f t="shared" si="49"/>
        <v>10615825</v>
      </c>
      <c r="Z130" s="52">
        <f t="shared" si="50"/>
        <v>5369.29</v>
      </c>
      <c r="AA130" s="58">
        <f t="shared" si="51"/>
        <v>9453611</v>
      </c>
      <c r="AB130" s="17">
        <f t="shared" si="52"/>
        <v>4722.4699999999993</v>
      </c>
      <c r="AC130" s="101"/>
      <c r="AD130" s="555">
        <f t="shared" si="56"/>
        <v>112620606</v>
      </c>
      <c r="AE130" s="632">
        <f t="shared" si="57"/>
        <v>30706.05</v>
      </c>
    </row>
    <row r="131" spans="1:31" hidden="1" outlineLevel="1">
      <c r="A131" s="114">
        <v>43222</v>
      </c>
      <c r="B131" s="115">
        <f t="shared" si="53"/>
        <v>5</v>
      </c>
      <c r="C131" s="35">
        <v>33130367</v>
      </c>
      <c r="D131" s="36">
        <v>10640.19</v>
      </c>
      <c r="E131" s="43">
        <v>20638779</v>
      </c>
      <c r="F131" s="44">
        <v>6267.69</v>
      </c>
      <c r="G131" s="51">
        <v>40644519</v>
      </c>
      <c r="H131" s="52">
        <v>13141.34</v>
      </c>
      <c r="I131" s="58">
        <v>15016765</v>
      </c>
      <c r="J131" s="17">
        <v>6625.81</v>
      </c>
      <c r="K131" s="101"/>
      <c r="L131" s="35">
        <v>30739046</v>
      </c>
      <c r="M131" s="36">
        <v>6689.39</v>
      </c>
      <c r="N131" s="43">
        <v>15760635</v>
      </c>
      <c r="O131" s="44">
        <v>4462.3599999999997</v>
      </c>
      <c r="P131" s="51">
        <v>30866274</v>
      </c>
      <c r="Q131" s="52">
        <v>7354.95</v>
      </c>
      <c r="R131" s="58">
        <v>4955285</v>
      </c>
      <c r="S131" s="17">
        <v>881.96</v>
      </c>
      <c r="T131" s="101"/>
      <c r="U131" s="35">
        <f t="shared" si="45"/>
        <v>2391321</v>
      </c>
      <c r="V131" s="36">
        <f t="shared" si="46"/>
        <v>3950.8</v>
      </c>
      <c r="W131" s="43">
        <f t="shared" si="47"/>
        <v>4878144</v>
      </c>
      <c r="X131" s="44">
        <f t="shared" si="48"/>
        <v>1805.33</v>
      </c>
      <c r="Y131" s="51">
        <f t="shared" si="49"/>
        <v>9778245</v>
      </c>
      <c r="Z131" s="52">
        <f t="shared" si="50"/>
        <v>5786.39</v>
      </c>
      <c r="AA131" s="58">
        <f t="shared" si="51"/>
        <v>10061480</v>
      </c>
      <c r="AB131" s="17">
        <f t="shared" si="52"/>
        <v>5743.85</v>
      </c>
      <c r="AC131" s="101"/>
      <c r="AD131" s="555">
        <f t="shared" si="56"/>
        <v>109430430</v>
      </c>
      <c r="AE131" s="632">
        <f t="shared" si="57"/>
        <v>36675.03</v>
      </c>
    </row>
    <row r="132" spans="1:31" hidden="1" outlineLevel="1">
      <c r="A132" s="114">
        <v>43223</v>
      </c>
      <c r="B132" s="115">
        <f t="shared" si="53"/>
        <v>5</v>
      </c>
      <c r="C132" s="35">
        <v>33501062</v>
      </c>
      <c r="D132" s="36">
        <v>10064.030000000001</v>
      </c>
      <c r="E132" s="43">
        <v>20559860</v>
      </c>
      <c r="F132" s="44">
        <v>5572.34</v>
      </c>
      <c r="G132" s="51">
        <v>40525014</v>
      </c>
      <c r="H132" s="52">
        <v>11506.42</v>
      </c>
      <c r="I132" s="58">
        <v>15847363</v>
      </c>
      <c r="J132" s="17">
        <v>7883.05</v>
      </c>
      <c r="K132" s="101"/>
      <c r="L132" s="35">
        <v>30852041</v>
      </c>
      <c r="M132" s="36">
        <v>5867.18</v>
      </c>
      <c r="N132" s="43">
        <v>15789594</v>
      </c>
      <c r="O132" s="44">
        <v>3731.41</v>
      </c>
      <c r="P132" s="51">
        <v>30647767</v>
      </c>
      <c r="Q132" s="52">
        <v>5318.58</v>
      </c>
      <c r="R132" s="58">
        <v>5087081</v>
      </c>
      <c r="S132" s="17">
        <v>735.25</v>
      </c>
      <c r="T132" s="101"/>
      <c r="U132" s="35">
        <f t="shared" si="45"/>
        <v>2649021</v>
      </c>
      <c r="V132" s="36">
        <f t="shared" si="46"/>
        <v>4196.8500000000004</v>
      </c>
      <c r="W132" s="43">
        <f t="shared" si="47"/>
        <v>4770266</v>
      </c>
      <c r="X132" s="44">
        <f t="shared" si="48"/>
        <v>1840.9300000000003</v>
      </c>
      <c r="Y132" s="51">
        <f t="shared" si="49"/>
        <v>9877247</v>
      </c>
      <c r="Z132" s="52">
        <f t="shared" si="50"/>
        <v>6187.84</v>
      </c>
      <c r="AA132" s="58">
        <f t="shared" si="51"/>
        <v>10760282</v>
      </c>
      <c r="AB132" s="17">
        <f t="shared" si="52"/>
        <v>7147.8</v>
      </c>
      <c r="AC132" s="101"/>
      <c r="AD132" s="555">
        <f t="shared" si="56"/>
        <v>110433299</v>
      </c>
      <c r="AE132" s="632">
        <f t="shared" si="57"/>
        <v>35025.840000000004</v>
      </c>
    </row>
    <row r="133" spans="1:31" hidden="1" outlineLevel="1">
      <c r="A133" s="114">
        <v>43224</v>
      </c>
      <c r="B133" s="115">
        <f t="shared" si="53"/>
        <v>5</v>
      </c>
      <c r="C133" s="35">
        <v>34785572</v>
      </c>
      <c r="D133" s="36">
        <v>10589.32</v>
      </c>
      <c r="E133" s="43">
        <v>25745750</v>
      </c>
      <c r="F133" s="44">
        <v>6218.19</v>
      </c>
      <c r="G133" s="51">
        <v>43173744</v>
      </c>
      <c r="H133" s="52">
        <v>11519.51</v>
      </c>
      <c r="I133" s="58">
        <v>15534523</v>
      </c>
      <c r="J133" s="17">
        <v>6874.28</v>
      </c>
      <c r="K133" s="101"/>
      <c r="L133" s="35">
        <v>32256502</v>
      </c>
      <c r="M133" s="36">
        <v>6261.44</v>
      </c>
      <c r="N133" s="43">
        <v>19875675</v>
      </c>
      <c r="O133" s="44">
        <v>4096.1499999999996</v>
      </c>
      <c r="P133" s="51">
        <v>33327861</v>
      </c>
      <c r="Q133" s="52">
        <v>5381.63</v>
      </c>
      <c r="R133" s="58">
        <v>6026154</v>
      </c>
      <c r="S133" s="17">
        <v>833.71</v>
      </c>
      <c r="T133" s="101"/>
      <c r="U133" s="35">
        <f t="shared" si="45"/>
        <v>2529070</v>
      </c>
      <c r="V133" s="36">
        <f t="shared" si="46"/>
        <v>4327.88</v>
      </c>
      <c r="W133" s="43">
        <f t="shared" si="47"/>
        <v>5870075</v>
      </c>
      <c r="X133" s="44">
        <f t="shared" si="48"/>
        <v>2122.04</v>
      </c>
      <c r="Y133" s="51">
        <f t="shared" si="49"/>
        <v>9845883</v>
      </c>
      <c r="Z133" s="52">
        <f t="shared" si="50"/>
        <v>6137.88</v>
      </c>
      <c r="AA133" s="58">
        <f t="shared" si="51"/>
        <v>9508369</v>
      </c>
      <c r="AB133" s="17">
        <f t="shared" si="52"/>
        <v>6040.57</v>
      </c>
      <c r="AC133" s="101"/>
      <c r="AD133" s="555">
        <f t="shared" si="56"/>
        <v>119239589</v>
      </c>
      <c r="AE133" s="632">
        <f t="shared" si="57"/>
        <v>35201.299999999996</v>
      </c>
    </row>
    <row r="134" spans="1:31" hidden="1" outlineLevel="1">
      <c r="A134" s="114">
        <v>43225</v>
      </c>
      <c r="B134" s="115">
        <f t="shared" si="53"/>
        <v>5</v>
      </c>
      <c r="C134" s="35">
        <v>37654626</v>
      </c>
      <c r="D134" s="36">
        <v>10253.92</v>
      </c>
      <c r="E134" s="43">
        <v>27901413</v>
      </c>
      <c r="F134" s="44">
        <v>6454.04</v>
      </c>
      <c r="G134" s="51">
        <v>48452296</v>
      </c>
      <c r="H134" s="52">
        <v>12094.64</v>
      </c>
      <c r="I134" s="58">
        <v>17249462</v>
      </c>
      <c r="J134" s="17">
        <v>6884.86</v>
      </c>
      <c r="K134" s="101"/>
      <c r="L134" s="35">
        <v>35016604</v>
      </c>
      <c r="M134" s="36">
        <v>6332.56</v>
      </c>
      <c r="N134" s="43">
        <v>20493831</v>
      </c>
      <c r="O134" s="44">
        <v>3904.53</v>
      </c>
      <c r="P134" s="51">
        <v>37456422</v>
      </c>
      <c r="Q134" s="52">
        <v>5655.76</v>
      </c>
      <c r="R134" s="58">
        <v>6913208</v>
      </c>
      <c r="S134" s="17">
        <v>920.8</v>
      </c>
      <c r="T134" s="101"/>
      <c r="U134" s="35">
        <f t="shared" si="45"/>
        <v>2638022</v>
      </c>
      <c r="V134" s="36">
        <f t="shared" si="46"/>
        <v>3921.3599999999997</v>
      </c>
      <c r="W134" s="43">
        <f t="shared" si="47"/>
        <v>7407582</v>
      </c>
      <c r="X134" s="44">
        <f t="shared" si="48"/>
        <v>2549.5099999999998</v>
      </c>
      <c r="Y134" s="51">
        <f t="shared" si="49"/>
        <v>10995874</v>
      </c>
      <c r="Z134" s="52">
        <f t="shared" si="50"/>
        <v>6438.8799999999992</v>
      </c>
      <c r="AA134" s="58">
        <f t="shared" si="51"/>
        <v>10336254</v>
      </c>
      <c r="AB134" s="17">
        <f t="shared" si="52"/>
        <v>5964.0599999999995</v>
      </c>
      <c r="AC134" s="101"/>
      <c r="AD134" s="555">
        <f t="shared" si="56"/>
        <v>131257797</v>
      </c>
      <c r="AE134" s="632">
        <f t="shared" si="57"/>
        <v>35687.46</v>
      </c>
    </row>
    <row r="135" spans="1:31" hidden="1" outlineLevel="1">
      <c r="A135" s="114">
        <v>43226</v>
      </c>
      <c r="B135" s="115">
        <f t="shared" si="53"/>
        <v>5</v>
      </c>
      <c r="C135" s="35">
        <v>34081678</v>
      </c>
      <c r="D135" s="36">
        <v>9632.4500000000007</v>
      </c>
      <c r="E135" s="43">
        <v>22819950</v>
      </c>
      <c r="F135" s="44">
        <v>5761.83</v>
      </c>
      <c r="G135" s="51">
        <v>42845284</v>
      </c>
      <c r="H135" s="52">
        <v>12010.37</v>
      </c>
      <c r="I135" s="58">
        <v>15547650</v>
      </c>
      <c r="J135" s="17">
        <v>6369.72</v>
      </c>
      <c r="K135" s="101"/>
      <c r="L135" s="35">
        <v>31667355</v>
      </c>
      <c r="M135" s="36">
        <v>5819.3</v>
      </c>
      <c r="N135" s="43">
        <v>15446233</v>
      </c>
      <c r="O135" s="44">
        <v>3084.18</v>
      </c>
      <c r="P135" s="51">
        <v>31123137</v>
      </c>
      <c r="Q135" s="52">
        <v>4755.71</v>
      </c>
      <c r="R135" s="58">
        <v>5637621</v>
      </c>
      <c r="S135" s="17">
        <v>778.59</v>
      </c>
      <c r="T135" s="101"/>
      <c r="U135" s="35">
        <f t="shared" si="45"/>
        <v>2414323</v>
      </c>
      <c r="V135" s="36">
        <f t="shared" si="46"/>
        <v>3813.1500000000005</v>
      </c>
      <c r="W135" s="43">
        <f t="shared" si="47"/>
        <v>7373717</v>
      </c>
      <c r="X135" s="44">
        <f t="shared" si="48"/>
        <v>2677.65</v>
      </c>
      <c r="Y135" s="51">
        <f t="shared" si="49"/>
        <v>11722147</v>
      </c>
      <c r="Z135" s="52">
        <f t="shared" si="50"/>
        <v>7254.6600000000008</v>
      </c>
      <c r="AA135" s="58">
        <f t="shared" si="51"/>
        <v>9910029</v>
      </c>
      <c r="AB135" s="17">
        <f t="shared" si="52"/>
        <v>5591.13</v>
      </c>
      <c r="AC135" s="101"/>
      <c r="AD135" s="555">
        <f t="shared" si="56"/>
        <v>115294562</v>
      </c>
      <c r="AE135" s="632">
        <f t="shared" si="57"/>
        <v>33774.370000000003</v>
      </c>
    </row>
    <row r="136" spans="1:31" hidden="1" outlineLevel="1">
      <c r="A136" s="114">
        <v>43227</v>
      </c>
      <c r="B136" s="115">
        <f t="shared" si="53"/>
        <v>5</v>
      </c>
      <c r="C136" s="35">
        <v>33447472</v>
      </c>
      <c r="D136" s="36">
        <v>10629.92</v>
      </c>
      <c r="E136" s="43">
        <v>20403072</v>
      </c>
      <c r="F136" s="44">
        <v>5710.88</v>
      </c>
      <c r="G136" s="51">
        <v>41986260</v>
      </c>
      <c r="H136" s="52">
        <v>14351.75</v>
      </c>
      <c r="I136" s="58">
        <v>15697044</v>
      </c>
      <c r="J136" s="17">
        <v>7799.41</v>
      </c>
      <c r="K136" s="101"/>
      <c r="L136" s="35">
        <v>31157986</v>
      </c>
      <c r="M136" s="36">
        <v>6356.57</v>
      </c>
      <c r="N136" s="43">
        <v>14862402</v>
      </c>
      <c r="O136" s="44">
        <v>3511.36</v>
      </c>
      <c r="P136" s="51">
        <v>29883193</v>
      </c>
      <c r="Q136" s="52">
        <v>5272.28</v>
      </c>
      <c r="R136" s="58">
        <v>5017453</v>
      </c>
      <c r="S136" s="17">
        <v>806.73</v>
      </c>
      <c r="T136" s="101"/>
      <c r="U136" s="35">
        <f t="shared" si="45"/>
        <v>2289486</v>
      </c>
      <c r="V136" s="36">
        <f t="shared" si="46"/>
        <v>4273.3500000000004</v>
      </c>
      <c r="W136" s="43">
        <f t="shared" si="47"/>
        <v>5540670</v>
      </c>
      <c r="X136" s="44">
        <f t="shared" si="48"/>
        <v>2199.52</v>
      </c>
      <c r="Y136" s="51">
        <f t="shared" si="49"/>
        <v>12103067</v>
      </c>
      <c r="Z136" s="52">
        <f t="shared" si="50"/>
        <v>9079.4700000000012</v>
      </c>
      <c r="AA136" s="58">
        <f t="shared" si="51"/>
        <v>10679591</v>
      </c>
      <c r="AB136" s="17">
        <f t="shared" si="52"/>
        <v>6992.68</v>
      </c>
      <c r="AC136" s="101"/>
      <c r="AD136" s="555">
        <f t="shared" si="56"/>
        <v>111533848</v>
      </c>
      <c r="AE136" s="632">
        <f t="shared" si="57"/>
        <v>38491.96</v>
      </c>
    </row>
    <row r="137" spans="1:31" hidden="1" outlineLevel="1">
      <c r="A137" s="114">
        <v>43228</v>
      </c>
      <c r="B137" s="115">
        <f t="shared" si="53"/>
        <v>5</v>
      </c>
      <c r="C137" s="35">
        <v>33525081</v>
      </c>
      <c r="D137" s="36">
        <v>10881.93</v>
      </c>
      <c r="E137" s="43">
        <v>21493689</v>
      </c>
      <c r="F137" s="44">
        <v>5857.72</v>
      </c>
      <c r="G137" s="51">
        <v>41726535</v>
      </c>
      <c r="H137" s="52">
        <v>13993.39</v>
      </c>
      <c r="I137" s="58">
        <v>17494092</v>
      </c>
      <c r="J137" s="17">
        <v>8270.9500000000007</v>
      </c>
      <c r="K137" s="101"/>
      <c r="L137" s="35">
        <v>31180817</v>
      </c>
      <c r="M137" s="36">
        <v>6432.34</v>
      </c>
      <c r="N137" s="43">
        <v>16013922</v>
      </c>
      <c r="O137" s="44">
        <v>3617.49</v>
      </c>
      <c r="P137" s="51">
        <v>30345937</v>
      </c>
      <c r="Q137" s="52">
        <v>5468.6</v>
      </c>
      <c r="R137" s="58">
        <v>5185654</v>
      </c>
      <c r="S137" s="17">
        <v>782.41</v>
      </c>
      <c r="T137" s="101"/>
      <c r="U137" s="35">
        <f t="shared" si="45"/>
        <v>2344264</v>
      </c>
      <c r="V137" s="36">
        <f t="shared" si="46"/>
        <v>4449.59</v>
      </c>
      <c r="W137" s="43">
        <f t="shared" si="47"/>
        <v>5479767</v>
      </c>
      <c r="X137" s="44">
        <f t="shared" si="48"/>
        <v>2240.2300000000005</v>
      </c>
      <c r="Y137" s="51">
        <f t="shared" si="49"/>
        <v>11380598</v>
      </c>
      <c r="Z137" s="52">
        <f t="shared" si="50"/>
        <v>8524.7899999999991</v>
      </c>
      <c r="AA137" s="58">
        <f t="shared" si="51"/>
        <v>12308438</v>
      </c>
      <c r="AB137" s="17">
        <f t="shared" si="52"/>
        <v>7488.5400000000009</v>
      </c>
      <c r="AC137" s="101"/>
      <c r="AD137" s="555">
        <f t="shared" si="56"/>
        <v>114239397</v>
      </c>
      <c r="AE137" s="632">
        <f t="shared" si="57"/>
        <v>39003.990000000005</v>
      </c>
    </row>
    <row r="138" spans="1:31" hidden="1" outlineLevel="1">
      <c r="A138" s="114">
        <v>43229</v>
      </c>
      <c r="B138" s="115">
        <f t="shared" si="53"/>
        <v>5</v>
      </c>
      <c r="C138" s="35">
        <v>32599457</v>
      </c>
      <c r="D138" s="36">
        <v>10846.69</v>
      </c>
      <c r="E138" s="43">
        <v>21598372</v>
      </c>
      <c r="F138" s="44">
        <v>5541.48</v>
      </c>
      <c r="G138" s="51">
        <v>42682477</v>
      </c>
      <c r="H138" s="52">
        <v>13289.17</v>
      </c>
      <c r="I138" s="58">
        <v>17851428</v>
      </c>
      <c r="J138" s="17">
        <v>8200.1</v>
      </c>
      <c r="K138" s="101"/>
      <c r="L138" s="35">
        <v>30290181</v>
      </c>
      <c r="M138" s="36">
        <v>6287.5</v>
      </c>
      <c r="N138" s="43">
        <v>16127221</v>
      </c>
      <c r="O138" s="44">
        <v>3503.13</v>
      </c>
      <c r="P138" s="51">
        <v>31964582</v>
      </c>
      <c r="Q138" s="52">
        <v>6097.23</v>
      </c>
      <c r="R138" s="58">
        <v>5337721</v>
      </c>
      <c r="S138" s="17">
        <v>806.03</v>
      </c>
      <c r="T138" s="101"/>
      <c r="U138" s="35">
        <f t="shared" si="45"/>
        <v>2309276</v>
      </c>
      <c r="V138" s="36">
        <f t="shared" si="46"/>
        <v>4559.1900000000005</v>
      </c>
      <c r="W138" s="43">
        <f t="shared" si="47"/>
        <v>5471151</v>
      </c>
      <c r="X138" s="44">
        <f t="shared" si="48"/>
        <v>2038.3499999999995</v>
      </c>
      <c r="Y138" s="51">
        <f t="shared" si="49"/>
        <v>10717895</v>
      </c>
      <c r="Z138" s="52">
        <f t="shared" si="50"/>
        <v>7191.9400000000005</v>
      </c>
      <c r="AA138" s="58">
        <f t="shared" si="51"/>
        <v>12513707</v>
      </c>
      <c r="AB138" s="17">
        <f t="shared" si="52"/>
        <v>7394.0700000000006</v>
      </c>
      <c r="AC138" s="101"/>
      <c r="AD138" s="555">
        <f t="shared" si="56"/>
        <v>114731734</v>
      </c>
      <c r="AE138" s="632">
        <f t="shared" si="57"/>
        <v>37877.439999999995</v>
      </c>
    </row>
    <row r="139" spans="1:31" hidden="1" outlineLevel="1">
      <c r="A139" s="114">
        <v>43230</v>
      </c>
      <c r="B139" s="115">
        <f t="shared" si="53"/>
        <v>5</v>
      </c>
      <c r="C139" s="35">
        <v>33559087</v>
      </c>
      <c r="D139" s="36">
        <v>11228.05</v>
      </c>
      <c r="E139" s="43">
        <v>21383389</v>
      </c>
      <c r="F139" s="44">
        <v>5338.54</v>
      </c>
      <c r="G139" s="51">
        <v>45405122</v>
      </c>
      <c r="H139" s="52">
        <v>14507.78</v>
      </c>
      <c r="I139" s="58">
        <v>16774848</v>
      </c>
      <c r="J139" s="17">
        <v>6861.78</v>
      </c>
      <c r="K139" s="101"/>
      <c r="L139" s="35">
        <v>31126962</v>
      </c>
      <c r="M139" s="36">
        <v>6644.56</v>
      </c>
      <c r="N139" s="43">
        <v>16302614</v>
      </c>
      <c r="O139" s="44">
        <v>3440.53</v>
      </c>
      <c r="P139" s="51">
        <v>33508309</v>
      </c>
      <c r="Q139" s="52">
        <v>6538.95</v>
      </c>
      <c r="R139" s="58">
        <v>5348488</v>
      </c>
      <c r="S139" s="17">
        <v>807.01</v>
      </c>
      <c r="T139" s="101"/>
      <c r="U139" s="35">
        <f t="shared" ref="U139:U204" si="59">C139-L139</f>
        <v>2432125</v>
      </c>
      <c r="V139" s="36">
        <f t="shared" ref="V139:V204" si="60">D139-M139</f>
        <v>4583.4899999999989</v>
      </c>
      <c r="W139" s="43">
        <f t="shared" ref="W139:W204" si="61">E139-N139</f>
        <v>5080775</v>
      </c>
      <c r="X139" s="44">
        <f t="shared" ref="X139:X204" si="62">F139-O139</f>
        <v>1898.0099999999998</v>
      </c>
      <c r="Y139" s="51">
        <f t="shared" ref="Y139:Y204" si="63">G139-P139</f>
        <v>11896813</v>
      </c>
      <c r="Z139" s="52">
        <f t="shared" ref="Z139:Z204" si="64">H139-Q139</f>
        <v>7968.8300000000008</v>
      </c>
      <c r="AA139" s="58">
        <f t="shared" ref="AA139:AA204" si="65">I139-R139</f>
        <v>11426360</v>
      </c>
      <c r="AB139" s="17">
        <f t="shared" ref="AB139:AB204" si="66">J139-S139</f>
        <v>6054.7699999999995</v>
      </c>
      <c r="AC139" s="101"/>
      <c r="AD139" s="555">
        <f t="shared" si="56"/>
        <v>117122446</v>
      </c>
      <c r="AE139" s="632">
        <f t="shared" si="57"/>
        <v>37936.15</v>
      </c>
    </row>
    <row r="140" spans="1:31" hidden="1" outlineLevel="1">
      <c r="A140" s="114">
        <v>43231</v>
      </c>
      <c r="B140" s="115">
        <f t="shared" si="53"/>
        <v>5</v>
      </c>
      <c r="C140" s="35">
        <v>35030444</v>
      </c>
      <c r="D140" s="36">
        <v>10427.52</v>
      </c>
      <c r="E140" s="43">
        <v>25025748</v>
      </c>
      <c r="F140" s="44">
        <v>5738.86</v>
      </c>
      <c r="G140" s="51">
        <v>52245216</v>
      </c>
      <c r="H140" s="52">
        <v>15681.01</v>
      </c>
      <c r="I140" s="58">
        <v>15723754</v>
      </c>
      <c r="J140" s="17">
        <v>6520.78</v>
      </c>
      <c r="K140" s="101"/>
      <c r="L140" s="35">
        <v>32584011</v>
      </c>
      <c r="M140" s="36">
        <v>5951.12</v>
      </c>
      <c r="N140" s="43">
        <v>19862398</v>
      </c>
      <c r="O140" s="44">
        <v>3796.92</v>
      </c>
      <c r="P140" s="51">
        <v>39008032</v>
      </c>
      <c r="Q140" s="52">
        <v>7333.55</v>
      </c>
      <c r="R140" s="58">
        <v>5393364</v>
      </c>
      <c r="S140" s="17">
        <v>685.61</v>
      </c>
      <c r="T140" s="101"/>
      <c r="U140" s="35">
        <f t="shared" si="59"/>
        <v>2446433</v>
      </c>
      <c r="V140" s="36">
        <f t="shared" si="60"/>
        <v>4476.4000000000005</v>
      </c>
      <c r="W140" s="43">
        <f t="shared" si="61"/>
        <v>5163350</v>
      </c>
      <c r="X140" s="44">
        <f t="shared" si="62"/>
        <v>1941.9399999999996</v>
      </c>
      <c r="Y140" s="51">
        <f t="shared" si="63"/>
        <v>13237184</v>
      </c>
      <c r="Z140" s="52">
        <f t="shared" si="64"/>
        <v>8347.4599999999991</v>
      </c>
      <c r="AA140" s="58">
        <f t="shared" si="65"/>
        <v>10330390</v>
      </c>
      <c r="AB140" s="17">
        <f t="shared" si="66"/>
        <v>5835.17</v>
      </c>
      <c r="AC140" s="101"/>
      <c r="AD140" s="555">
        <f t="shared" si="56"/>
        <v>128025162</v>
      </c>
      <c r="AE140" s="632">
        <f t="shared" si="57"/>
        <v>38368.17</v>
      </c>
    </row>
    <row r="141" spans="1:31" hidden="1" outlineLevel="1">
      <c r="A141" s="114">
        <v>43232</v>
      </c>
      <c r="B141" s="115">
        <f t="shared" si="53"/>
        <v>5</v>
      </c>
      <c r="C141" s="35">
        <v>36413518</v>
      </c>
      <c r="D141" s="36">
        <v>9919.7900000000009</v>
      </c>
      <c r="E141" s="43">
        <v>26922901</v>
      </c>
      <c r="F141" s="44">
        <v>6038.92</v>
      </c>
      <c r="G141" s="51">
        <v>58045927</v>
      </c>
      <c r="H141" s="52">
        <v>16759.21</v>
      </c>
      <c r="I141" s="58">
        <v>15383435</v>
      </c>
      <c r="J141" s="17">
        <v>6063.71</v>
      </c>
      <c r="K141" s="101"/>
      <c r="L141" s="35">
        <v>33822627</v>
      </c>
      <c r="M141" s="36">
        <v>5721.99</v>
      </c>
      <c r="N141" s="43">
        <v>20658588</v>
      </c>
      <c r="O141" s="44">
        <v>3664.42</v>
      </c>
      <c r="P141" s="51">
        <v>42585251</v>
      </c>
      <c r="Q141" s="52">
        <v>8302.27</v>
      </c>
      <c r="R141" s="58">
        <v>5622595</v>
      </c>
      <c r="S141" s="17">
        <v>664.65</v>
      </c>
      <c r="T141" s="101"/>
      <c r="U141" s="35">
        <f t="shared" si="59"/>
        <v>2590891</v>
      </c>
      <c r="V141" s="36">
        <f t="shared" si="60"/>
        <v>4197.8000000000011</v>
      </c>
      <c r="W141" s="43">
        <f t="shared" si="61"/>
        <v>6264313</v>
      </c>
      <c r="X141" s="44">
        <f t="shared" si="62"/>
        <v>2374.5</v>
      </c>
      <c r="Y141" s="51">
        <f t="shared" si="63"/>
        <v>15460676</v>
      </c>
      <c r="Z141" s="52">
        <f t="shared" si="64"/>
        <v>8456.9399999999987</v>
      </c>
      <c r="AA141" s="58">
        <f t="shared" si="65"/>
        <v>9760840</v>
      </c>
      <c r="AB141" s="17">
        <f t="shared" si="66"/>
        <v>5399.06</v>
      </c>
      <c r="AC141" s="101"/>
      <c r="AD141" s="555">
        <f t="shared" si="56"/>
        <v>136765781</v>
      </c>
      <c r="AE141" s="632">
        <f t="shared" si="57"/>
        <v>38781.629999999997</v>
      </c>
    </row>
    <row r="142" spans="1:31" hidden="1" outlineLevel="1">
      <c r="A142" s="114">
        <v>43233</v>
      </c>
      <c r="B142" s="115">
        <f t="shared" si="53"/>
        <v>5</v>
      </c>
      <c r="C142" s="35">
        <v>32615961</v>
      </c>
      <c r="D142" s="36">
        <v>9702.43</v>
      </c>
      <c r="E142" s="43">
        <v>21880071</v>
      </c>
      <c r="F142" s="44">
        <v>5378.72</v>
      </c>
      <c r="G142" s="51">
        <v>49889906</v>
      </c>
      <c r="H142" s="52">
        <v>13404.16</v>
      </c>
      <c r="I142" s="58">
        <v>16757881</v>
      </c>
      <c r="J142" s="17">
        <v>7879.12</v>
      </c>
      <c r="K142" s="101"/>
      <c r="L142" s="35">
        <v>30293509</v>
      </c>
      <c r="M142" s="36">
        <v>5653.45</v>
      </c>
      <c r="N142" s="43">
        <v>15243367</v>
      </c>
      <c r="O142" s="44">
        <v>2781.92</v>
      </c>
      <c r="P142" s="51">
        <v>34970521</v>
      </c>
      <c r="Q142" s="52">
        <v>6261.01</v>
      </c>
      <c r="R142" s="58">
        <v>5351356</v>
      </c>
      <c r="S142" s="17">
        <v>681.89</v>
      </c>
      <c r="T142" s="101"/>
      <c r="U142" s="35">
        <f t="shared" si="59"/>
        <v>2322452</v>
      </c>
      <c r="V142" s="36">
        <f t="shared" si="60"/>
        <v>4048.9800000000005</v>
      </c>
      <c r="W142" s="43">
        <f t="shared" si="61"/>
        <v>6636704</v>
      </c>
      <c r="X142" s="44">
        <f t="shared" si="62"/>
        <v>2596.8000000000002</v>
      </c>
      <c r="Y142" s="51">
        <f t="shared" si="63"/>
        <v>14919385</v>
      </c>
      <c r="Z142" s="52">
        <f t="shared" si="64"/>
        <v>7143.15</v>
      </c>
      <c r="AA142" s="58">
        <f t="shared" si="65"/>
        <v>11406525</v>
      </c>
      <c r="AB142" s="17">
        <f t="shared" si="66"/>
        <v>7197.23</v>
      </c>
      <c r="AC142" s="101"/>
      <c r="AD142" s="555">
        <f t="shared" si="56"/>
        <v>121143819</v>
      </c>
      <c r="AE142" s="632">
        <f t="shared" si="57"/>
        <v>36364.43</v>
      </c>
    </row>
    <row r="143" spans="1:31" hidden="1" outlineLevel="1">
      <c r="A143" s="114">
        <v>43234</v>
      </c>
      <c r="B143" s="115">
        <f t="shared" si="53"/>
        <v>5</v>
      </c>
      <c r="C143" s="35">
        <v>32996845</v>
      </c>
      <c r="D143" s="36">
        <v>10258.85</v>
      </c>
      <c r="E143" s="43">
        <v>22969040</v>
      </c>
      <c r="F143" s="44">
        <v>6431.16</v>
      </c>
      <c r="G143" s="51">
        <v>51575877</v>
      </c>
      <c r="H143" s="52">
        <v>14998.97</v>
      </c>
      <c r="I143" s="58">
        <v>15138297</v>
      </c>
      <c r="J143" s="17">
        <v>7387.57</v>
      </c>
      <c r="K143" s="101"/>
      <c r="L143" s="35">
        <v>30685471</v>
      </c>
      <c r="M143" s="36">
        <v>5891.56</v>
      </c>
      <c r="N143" s="43">
        <v>15198561</v>
      </c>
      <c r="O143" s="44">
        <v>3079.39</v>
      </c>
      <c r="P143" s="51">
        <v>35554315</v>
      </c>
      <c r="Q143" s="52">
        <v>5774.89</v>
      </c>
      <c r="R143" s="58">
        <v>5230144</v>
      </c>
      <c r="S143" s="17">
        <v>756.62</v>
      </c>
      <c r="T143" s="101"/>
      <c r="U143" s="35">
        <f t="shared" si="59"/>
        <v>2311374</v>
      </c>
      <c r="V143" s="36">
        <f t="shared" si="60"/>
        <v>4367.29</v>
      </c>
      <c r="W143" s="43">
        <f t="shared" si="61"/>
        <v>7770479</v>
      </c>
      <c r="X143" s="44">
        <f t="shared" si="62"/>
        <v>3351.77</v>
      </c>
      <c r="Y143" s="51">
        <f t="shared" si="63"/>
        <v>16021562</v>
      </c>
      <c r="Z143" s="52">
        <f t="shared" si="64"/>
        <v>9224.0799999999981</v>
      </c>
      <c r="AA143" s="58">
        <f t="shared" si="65"/>
        <v>9908153</v>
      </c>
      <c r="AB143" s="17">
        <f t="shared" si="66"/>
        <v>6630.95</v>
      </c>
      <c r="AC143" s="101"/>
      <c r="AD143" s="555">
        <f t="shared" si="56"/>
        <v>122680059</v>
      </c>
      <c r="AE143" s="632">
        <f t="shared" si="57"/>
        <v>39076.550000000003</v>
      </c>
    </row>
    <row r="144" spans="1:31" hidden="1" outlineLevel="1">
      <c r="A144" s="114">
        <v>43235</v>
      </c>
      <c r="B144" s="115">
        <f t="shared" si="53"/>
        <v>5</v>
      </c>
      <c r="C144" s="35">
        <v>33003880</v>
      </c>
      <c r="D144" s="36">
        <v>10231.129999999999</v>
      </c>
      <c r="E144" s="43">
        <v>30766970</v>
      </c>
      <c r="F144" s="44">
        <v>7048.04</v>
      </c>
      <c r="G144" s="51">
        <v>54578509</v>
      </c>
      <c r="H144" s="52">
        <v>15650.53</v>
      </c>
      <c r="I144" s="58">
        <v>12675762</v>
      </c>
      <c r="J144" s="17">
        <v>3857.39</v>
      </c>
      <c r="K144" s="101"/>
      <c r="L144" s="35">
        <v>30687304</v>
      </c>
      <c r="M144" s="36">
        <v>5710.56</v>
      </c>
      <c r="N144" s="43">
        <v>16755711</v>
      </c>
      <c r="O144" s="44">
        <v>3083.29</v>
      </c>
      <c r="P144" s="51">
        <v>37208612</v>
      </c>
      <c r="Q144" s="52">
        <v>5690.54</v>
      </c>
      <c r="R144" s="58">
        <v>5204587</v>
      </c>
      <c r="S144" s="17">
        <v>693.93</v>
      </c>
      <c r="T144" s="101"/>
      <c r="U144" s="35">
        <f t="shared" si="59"/>
        <v>2316576</v>
      </c>
      <c r="V144" s="36">
        <f t="shared" si="60"/>
        <v>4520.5699999999988</v>
      </c>
      <c r="W144" s="43">
        <f t="shared" si="61"/>
        <v>14011259</v>
      </c>
      <c r="X144" s="44">
        <f t="shared" si="62"/>
        <v>3964.75</v>
      </c>
      <c r="Y144" s="51">
        <f t="shared" si="63"/>
        <v>17369897</v>
      </c>
      <c r="Z144" s="52">
        <f t="shared" si="64"/>
        <v>9959.9900000000016</v>
      </c>
      <c r="AA144" s="58">
        <f t="shared" si="65"/>
        <v>7471175</v>
      </c>
      <c r="AB144" s="17">
        <f t="shared" si="66"/>
        <v>3163.46</v>
      </c>
      <c r="AC144" s="101"/>
      <c r="AD144" s="555">
        <f t="shared" si="56"/>
        <v>131025121</v>
      </c>
      <c r="AE144" s="632">
        <f t="shared" si="57"/>
        <v>36787.089999999997</v>
      </c>
    </row>
    <row r="145" spans="1:31" hidden="1" outlineLevel="1">
      <c r="A145" s="114">
        <v>43236</v>
      </c>
      <c r="B145" s="115">
        <f t="shared" si="53"/>
        <v>5</v>
      </c>
      <c r="C145" s="35">
        <v>32877609</v>
      </c>
      <c r="D145" s="36">
        <v>10447.31</v>
      </c>
      <c r="E145" s="43">
        <v>28440727</v>
      </c>
      <c r="F145" s="44">
        <v>7707.85</v>
      </c>
      <c r="G145" s="51">
        <v>54653543</v>
      </c>
      <c r="H145" s="52">
        <v>17687.78</v>
      </c>
      <c r="I145" s="58">
        <v>11847053</v>
      </c>
      <c r="J145" s="17">
        <v>5143.8500000000004</v>
      </c>
      <c r="K145" s="101"/>
      <c r="L145" s="35">
        <v>30548593</v>
      </c>
      <c r="M145" s="36">
        <v>5928.17</v>
      </c>
      <c r="N145" s="43">
        <v>17936811</v>
      </c>
      <c r="O145" s="44">
        <v>3489</v>
      </c>
      <c r="P145" s="51">
        <v>37477150</v>
      </c>
      <c r="Q145" s="52">
        <v>6267.1</v>
      </c>
      <c r="R145" s="58">
        <v>5117668</v>
      </c>
      <c r="S145" s="17">
        <v>743.4</v>
      </c>
      <c r="T145" s="101"/>
      <c r="U145" s="35">
        <f t="shared" si="59"/>
        <v>2329016</v>
      </c>
      <c r="V145" s="36">
        <f t="shared" si="60"/>
        <v>4519.1399999999994</v>
      </c>
      <c r="W145" s="43">
        <f t="shared" si="61"/>
        <v>10503916</v>
      </c>
      <c r="X145" s="44">
        <f t="shared" si="62"/>
        <v>4218.8500000000004</v>
      </c>
      <c r="Y145" s="51">
        <f t="shared" si="63"/>
        <v>17176393</v>
      </c>
      <c r="Z145" s="52">
        <f t="shared" si="64"/>
        <v>11420.679999999998</v>
      </c>
      <c r="AA145" s="58">
        <f t="shared" si="65"/>
        <v>6729385</v>
      </c>
      <c r="AB145" s="17">
        <f t="shared" si="66"/>
        <v>4400.4500000000007</v>
      </c>
      <c r="AC145" s="101"/>
      <c r="AD145" s="555">
        <f t="shared" si="56"/>
        <v>127818932</v>
      </c>
      <c r="AE145" s="632">
        <f t="shared" si="57"/>
        <v>40986.79</v>
      </c>
    </row>
    <row r="146" spans="1:31" hidden="1" outlineLevel="1">
      <c r="A146" s="114">
        <v>43237</v>
      </c>
      <c r="B146" s="115">
        <f t="shared" si="53"/>
        <v>5</v>
      </c>
      <c r="C146" s="35">
        <v>33712898</v>
      </c>
      <c r="D146" s="36">
        <v>10180.530000000001</v>
      </c>
      <c r="E146" s="43">
        <v>27067078</v>
      </c>
      <c r="F146" s="44">
        <v>6601.37</v>
      </c>
      <c r="G146" s="51">
        <v>55522894</v>
      </c>
      <c r="H146" s="52">
        <v>17870.419999999998</v>
      </c>
      <c r="I146" s="58">
        <v>10980105</v>
      </c>
      <c r="J146" s="17">
        <v>4135.49</v>
      </c>
      <c r="K146" s="101"/>
      <c r="L146" s="35">
        <v>31330223</v>
      </c>
      <c r="M146" s="36">
        <v>5689.76</v>
      </c>
      <c r="N146" s="43">
        <v>19151446</v>
      </c>
      <c r="O146" s="44">
        <v>3495.95</v>
      </c>
      <c r="P146" s="51">
        <v>39039259</v>
      </c>
      <c r="Q146" s="52">
        <v>7314.27</v>
      </c>
      <c r="R146" s="58">
        <v>4729252</v>
      </c>
      <c r="S146" s="17">
        <v>651.88</v>
      </c>
      <c r="T146" s="101"/>
      <c r="U146" s="35">
        <f t="shared" si="59"/>
        <v>2382675</v>
      </c>
      <c r="V146" s="36">
        <f t="shared" si="60"/>
        <v>4490.7700000000004</v>
      </c>
      <c r="W146" s="43">
        <f t="shared" si="61"/>
        <v>7915632</v>
      </c>
      <c r="X146" s="44">
        <f t="shared" si="62"/>
        <v>3105.42</v>
      </c>
      <c r="Y146" s="51">
        <f t="shared" si="63"/>
        <v>16483635</v>
      </c>
      <c r="Z146" s="52">
        <f t="shared" si="64"/>
        <v>10556.149999999998</v>
      </c>
      <c r="AA146" s="58">
        <f t="shared" si="65"/>
        <v>6250853</v>
      </c>
      <c r="AB146" s="17">
        <f t="shared" si="66"/>
        <v>3483.6099999999997</v>
      </c>
      <c r="AC146" s="101"/>
      <c r="AD146" s="555">
        <f t="shared" si="56"/>
        <v>127282975</v>
      </c>
      <c r="AE146" s="632">
        <f t="shared" si="57"/>
        <v>38787.81</v>
      </c>
    </row>
    <row r="147" spans="1:31" hidden="1" outlineLevel="1">
      <c r="A147" s="114">
        <v>43238</v>
      </c>
      <c r="B147" s="115">
        <f t="shared" si="53"/>
        <v>5</v>
      </c>
      <c r="C147" s="35">
        <v>34649387</v>
      </c>
      <c r="D147" s="36">
        <v>10079.549999999999</v>
      </c>
      <c r="E147" s="43">
        <v>29349841</v>
      </c>
      <c r="F147" s="44">
        <v>6767.74</v>
      </c>
      <c r="G147" s="51">
        <v>57573234</v>
      </c>
      <c r="H147" s="52">
        <v>18070.16</v>
      </c>
      <c r="I147" s="58">
        <v>12086936</v>
      </c>
      <c r="J147" s="17">
        <v>5100.26</v>
      </c>
      <c r="K147" s="101"/>
      <c r="L147" s="35">
        <v>32154953</v>
      </c>
      <c r="M147" s="36">
        <v>5657.29</v>
      </c>
      <c r="N147" s="43">
        <v>21863744</v>
      </c>
      <c r="O147" s="44">
        <v>3817.04</v>
      </c>
      <c r="P147" s="51">
        <v>41842322</v>
      </c>
      <c r="Q147" s="52">
        <v>8095.31</v>
      </c>
      <c r="R147" s="58">
        <v>4909664</v>
      </c>
      <c r="S147" s="17">
        <v>670.95</v>
      </c>
      <c r="T147" s="101"/>
      <c r="U147" s="35">
        <f t="shared" si="59"/>
        <v>2494434</v>
      </c>
      <c r="V147" s="36">
        <f t="shared" si="60"/>
        <v>4422.2599999999993</v>
      </c>
      <c r="W147" s="43">
        <f t="shared" si="61"/>
        <v>7486097</v>
      </c>
      <c r="X147" s="44">
        <f t="shared" si="62"/>
        <v>2950.7</v>
      </c>
      <c r="Y147" s="51">
        <f t="shared" si="63"/>
        <v>15730912</v>
      </c>
      <c r="Z147" s="52">
        <f t="shared" si="64"/>
        <v>9974.8499999999985</v>
      </c>
      <c r="AA147" s="58">
        <f t="shared" si="65"/>
        <v>7177272</v>
      </c>
      <c r="AB147" s="17">
        <f t="shared" si="66"/>
        <v>4429.3100000000004</v>
      </c>
      <c r="AC147" s="101"/>
      <c r="AD147" s="555">
        <f t="shared" si="56"/>
        <v>133659398</v>
      </c>
      <c r="AE147" s="632">
        <f t="shared" si="57"/>
        <v>40017.71</v>
      </c>
    </row>
    <row r="148" spans="1:31" hidden="1" outlineLevel="1">
      <c r="A148" s="114">
        <v>43239</v>
      </c>
      <c r="B148" s="115">
        <f t="shared" si="53"/>
        <v>5</v>
      </c>
      <c r="C148" s="35">
        <v>36516186</v>
      </c>
      <c r="D148" s="36">
        <v>10386.549999999999</v>
      </c>
      <c r="E148" s="43">
        <v>29766840</v>
      </c>
      <c r="F148" s="44">
        <v>6898.39</v>
      </c>
      <c r="G148" s="51">
        <v>58999456</v>
      </c>
      <c r="H148" s="52">
        <v>19239.52</v>
      </c>
      <c r="I148" s="58">
        <v>14177910</v>
      </c>
      <c r="J148" s="17">
        <v>6150.73</v>
      </c>
      <c r="K148" s="101"/>
      <c r="L148" s="35">
        <v>33910819</v>
      </c>
      <c r="M148" s="36">
        <v>6115.63</v>
      </c>
      <c r="N148" s="43">
        <v>22399539</v>
      </c>
      <c r="O148" s="44">
        <v>4000.66</v>
      </c>
      <c r="P148" s="51">
        <v>42613477</v>
      </c>
      <c r="Q148" s="52">
        <v>8900.77</v>
      </c>
      <c r="R148" s="58">
        <v>4792503</v>
      </c>
      <c r="S148" s="17">
        <v>645.54</v>
      </c>
      <c r="T148" s="101"/>
      <c r="U148" s="35">
        <f t="shared" si="59"/>
        <v>2605367</v>
      </c>
      <c r="V148" s="36">
        <f t="shared" si="60"/>
        <v>4270.9199999999992</v>
      </c>
      <c r="W148" s="43">
        <f t="shared" si="61"/>
        <v>7367301</v>
      </c>
      <c r="X148" s="44">
        <f t="shared" si="62"/>
        <v>2897.7300000000005</v>
      </c>
      <c r="Y148" s="51">
        <f t="shared" si="63"/>
        <v>16385979</v>
      </c>
      <c r="Z148" s="52">
        <f t="shared" si="64"/>
        <v>10338.75</v>
      </c>
      <c r="AA148" s="58">
        <f t="shared" si="65"/>
        <v>9385407</v>
      </c>
      <c r="AB148" s="17">
        <f t="shared" si="66"/>
        <v>5505.19</v>
      </c>
      <c r="AC148" s="101"/>
      <c r="AD148" s="555">
        <f t="shared" si="56"/>
        <v>139460392</v>
      </c>
      <c r="AE148" s="632">
        <f t="shared" si="57"/>
        <v>42675.19</v>
      </c>
    </row>
    <row r="149" spans="1:31" hidden="1" outlineLevel="1">
      <c r="A149" s="114">
        <v>43240</v>
      </c>
      <c r="B149" s="115">
        <f t="shared" si="53"/>
        <v>5</v>
      </c>
      <c r="C149" s="35">
        <v>34012749</v>
      </c>
      <c r="D149" s="36">
        <v>9931.7199999999993</v>
      </c>
      <c r="E149" s="43">
        <v>26109945</v>
      </c>
      <c r="F149" s="44">
        <v>6829.38</v>
      </c>
      <c r="G149" s="51">
        <v>51113221</v>
      </c>
      <c r="H149" s="52">
        <v>15667.32</v>
      </c>
      <c r="I149" s="58">
        <v>12304505</v>
      </c>
      <c r="J149" s="17">
        <v>5304.38</v>
      </c>
      <c r="K149" s="101"/>
      <c r="L149" s="35">
        <v>31563131</v>
      </c>
      <c r="M149" s="36">
        <v>5874.86</v>
      </c>
      <c r="N149" s="43">
        <v>18387285</v>
      </c>
      <c r="O149" s="44">
        <v>4025.63</v>
      </c>
      <c r="P149" s="51">
        <v>36317208</v>
      </c>
      <c r="Q149" s="52">
        <v>6960.78</v>
      </c>
      <c r="R149" s="58">
        <v>4507071</v>
      </c>
      <c r="S149" s="17">
        <v>582.70000000000005</v>
      </c>
      <c r="T149" s="101"/>
      <c r="U149" s="35">
        <f t="shared" si="59"/>
        <v>2449618</v>
      </c>
      <c r="V149" s="36">
        <f t="shared" si="60"/>
        <v>4056.8599999999997</v>
      </c>
      <c r="W149" s="43">
        <f t="shared" si="61"/>
        <v>7722660</v>
      </c>
      <c r="X149" s="44">
        <f t="shared" si="62"/>
        <v>2803.75</v>
      </c>
      <c r="Y149" s="51">
        <f t="shared" si="63"/>
        <v>14796013</v>
      </c>
      <c r="Z149" s="52">
        <f t="shared" si="64"/>
        <v>8706.5400000000009</v>
      </c>
      <c r="AA149" s="58">
        <f t="shared" si="65"/>
        <v>7797434</v>
      </c>
      <c r="AB149" s="17">
        <f t="shared" si="66"/>
        <v>4721.68</v>
      </c>
      <c r="AC149" s="101"/>
      <c r="AD149" s="555">
        <f t="shared" si="56"/>
        <v>123540420</v>
      </c>
      <c r="AE149" s="632">
        <f t="shared" si="57"/>
        <v>37732.799999999996</v>
      </c>
    </row>
    <row r="150" spans="1:31" hidden="1" outlineLevel="1">
      <c r="A150" s="114">
        <v>43241</v>
      </c>
      <c r="B150" s="115">
        <f t="shared" si="53"/>
        <v>5</v>
      </c>
      <c r="C150" s="35">
        <v>32630445</v>
      </c>
      <c r="D150" s="36">
        <v>10622.55</v>
      </c>
      <c r="E150" s="43">
        <v>25659625</v>
      </c>
      <c r="F150" s="44">
        <v>7239.86</v>
      </c>
      <c r="G150" s="51">
        <v>49152087</v>
      </c>
      <c r="H150" s="52">
        <v>17009.900000000001</v>
      </c>
      <c r="I150" s="58">
        <v>10131757</v>
      </c>
      <c r="J150" s="17">
        <v>4957.29</v>
      </c>
      <c r="K150" s="101"/>
      <c r="L150" s="35">
        <v>30286863</v>
      </c>
      <c r="M150" s="36">
        <v>6341.78</v>
      </c>
      <c r="N150" s="43">
        <v>18049608</v>
      </c>
      <c r="O150" s="44">
        <v>4224.7</v>
      </c>
      <c r="P150" s="51">
        <v>34280503</v>
      </c>
      <c r="Q150" s="52">
        <v>7148.4</v>
      </c>
      <c r="R150" s="58">
        <v>4385246</v>
      </c>
      <c r="S150" s="17">
        <v>727.13</v>
      </c>
      <c r="T150" s="101"/>
      <c r="U150" s="35">
        <f t="shared" si="59"/>
        <v>2343582</v>
      </c>
      <c r="V150" s="36">
        <f t="shared" si="60"/>
        <v>4280.7699999999995</v>
      </c>
      <c r="W150" s="43">
        <f t="shared" si="61"/>
        <v>7610017</v>
      </c>
      <c r="X150" s="44">
        <f t="shared" si="62"/>
        <v>3015.16</v>
      </c>
      <c r="Y150" s="51">
        <f t="shared" si="63"/>
        <v>14871584</v>
      </c>
      <c r="Z150" s="52">
        <f t="shared" si="64"/>
        <v>9861.5000000000018</v>
      </c>
      <c r="AA150" s="58">
        <f t="shared" si="65"/>
        <v>5746511</v>
      </c>
      <c r="AB150" s="17">
        <f t="shared" si="66"/>
        <v>4230.16</v>
      </c>
      <c r="AC150" s="101"/>
      <c r="AD150" s="555">
        <f t="shared" si="56"/>
        <v>117573914</v>
      </c>
      <c r="AE150" s="632">
        <f t="shared" si="57"/>
        <v>39829.599999999999</v>
      </c>
    </row>
    <row r="151" spans="1:31" hidden="1" outlineLevel="1">
      <c r="A151" s="114">
        <v>43242</v>
      </c>
      <c r="B151" s="115">
        <f t="shared" si="53"/>
        <v>5</v>
      </c>
      <c r="C151" s="35">
        <v>32936727</v>
      </c>
      <c r="D151" s="36">
        <v>11203.55</v>
      </c>
      <c r="E151" s="43">
        <v>26205896</v>
      </c>
      <c r="F151" s="44">
        <v>7398.26</v>
      </c>
      <c r="G151" s="51">
        <v>49399340</v>
      </c>
      <c r="H151" s="52">
        <v>17621.57</v>
      </c>
      <c r="I151" s="58">
        <v>9498038</v>
      </c>
      <c r="J151" s="17">
        <v>4744.18</v>
      </c>
      <c r="K151" s="101"/>
      <c r="L151" s="35">
        <v>30468714</v>
      </c>
      <c r="M151" s="36">
        <v>6796.16</v>
      </c>
      <c r="N151" s="43">
        <v>18679555</v>
      </c>
      <c r="O151" s="44">
        <v>4378.6400000000003</v>
      </c>
      <c r="P151" s="51">
        <v>34446098</v>
      </c>
      <c r="Q151" s="52">
        <v>6806.53</v>
      </c>
      <c r="R151" s="58">
        <v>4481674</v>
      </c>
      <c r="S151" s="17">
        <v>734.47</v>
      </c>
      <c r="T151" s="101"/>
      <c r="U151" s="35">
        <f t="shared" si="59"/>
        <v>2468013</v>
      </c>
      <c r="V151" s="36">
        <f t="shared" si="60"/>
        <v>4407.3899999999994</v>
      </c>
      <c r="W151" s="43">
        <f t="shared" si="61"/>
        <v>7526341</v>
      </c>
      <c r="X151" s="44">
        <f t="shared" si="62"/>
        <v>3019.62</v>
      </c>
      <c r="Y151" s="51">
        <f t="shared" si="63"/>
        <v>14953242</v>
      </c>
      <c r="Z151" s="52">
        <f t="shared" si="64"/>
        <v>10815.04</v>
      </c>
      <c r="AA151" s="58">
        <f t="shared" si="65"/>
        <v>5016364</v>
      </c>
      <c r="AB151" s="17">
        <f t="shared" si="66"/>
        <v>4009.71</v>
      </c>
      <c r="AC151" s="101"/>
      <c r="AD151" s="555">
        <f t="shared" si="56"/>
        <v>118040001</v>
      </c>
      <c r="AE151" s="632">
        <f t="shared" si="57"/>
        <v>40967.56</v>
      </c>
    </row>
    <row r="152" spans="1:31" hidden="1" outlineLevel="1">
      <c r="A152" s="114">
        <v>43243</v>
      </c>
      <c r="B152" s="115">
        <f t="shared" si="53"/>
        <v>5</v>
      </c>
      <c r="C152" s="35">
        <v>33852166</v>
      </c>
      <c r="D152" s="36">
        <v>11057.18</v>
      </c>
      <c r="E152" s="43">
        <v>26123982</v>
      </c>
      <c r="F152" s="44">
        <v>7023.92</v>
      </c>
      <c r="G152" s="51">
        <v>55256129</v>
      </c>
      <c r="H152" s="52">
        <v>18777.36</v>
      </c>
      <c r="I152" s="58">
        <v>9561561</v>
      </c>
      <c r="J152" s="17">
        <v>5176.8500000000004</v>
      </c>
      <c r="K152" s="101"/>
      <c r="L152" s="35">
        <v>31292038</v>
      </c>
      <c r="M152" s="36">
        <v>6618.72</v>
      </c>
      <c r="N152" s="43">
        <v>18984138</v>
      </c>
      <c r="O152" s="44">
        <v>4105.88</v>
      </c>
      <c r="P152" s="51">
        <v>37240968</v>
      </c>
      <c r="Q152" s="52">
        <v>6690.33</v>
      </c>
      <c r="R152" s="58">
        <v>4505415</v>
      </c>
      <c r="S152" s="17">
        <v>715.79</v>
      </c>
      <c r="T152" s="101"/>
      <c r="U152" s="35">
        <f t="shared" si="59"/>
        <v>2560128</v>
      </c>
      <c r="V152" s="36">
        <f t="shared" si="60"/>
        <v>4438.46</v>
      </c>
      <c r="W152" s="43">
        <f t="shared" si="61"/>
        <v>7139844</v>
      </c>
      <c r="X152" s="44">
        <f t="shared" si="62"/>
        <v>2918.04</v>
      </c>
      <c r="Y152" s="51">
        <f t="shared" si="63"/>
        <v>18015161</v>
      </c>
      <c r="Z152" s="52">
        <f t="shared" si="64"/>
        <v>12087.03</v>
      </c>
      <c r="AA152" s="58">
        <f t="shared" si="65"/>
        <v>5056146</v>
      </c>
      <c r="AB152" s="17">
        <f t="shared" si="66"/>
        <v>4461.0600000000004</v>
      </c>
      <c r="AC152" s="101"/>
      <c r="AD152" s="555">
        <f t="shared" si="56"/>
        <v>124793838</v>
      </c>
      <c r="AE152" s="632">
        <f t="shared" si="57"/>
        <v>42035.31</v>
      </c>
    </row>
    <row r="153" spans="1:31" hidden="1" outlineLevel="1">
      <c r="A153" s="114">
        <v>43244</v>
      </c>
      <c r="B153" s="115">
        <f t="shared" si="53"/>
        <v>5</v>
      </c>
      <c r="C153" s="35">
        <v>34436570</v>
      </c>
      <c r="D153" s="36">
        <v>12802.6</v>
      </c>
      <c r="E153" s="43">
        <v>25212571</v>
      </c>
      <c r="F153" s="44">
        <v>8208.9699999999993</v>
      </c>
      <c r="G153" s="51">
        <v>51829631</v>
      </c>
      <c r="H153" s="52">
        <v>17784.580000000002</v>
      </c>
      <c r="I153" s="58">
        <v>9789183</v>
      </c>
      <c r="J153" s="17">
        <v>5571.41</v>
      </c>
      <c r="K153" s="101"/>
      <c r="L153" s="35">
        <v>31664133</v>
      </c>
      <c r="M153" s="36">
        <v>8311.4699999999993</v>
      </c>
      <c r="N153" s="43">
        <v>19556134</v>
      </c>
      <c r="O153" s="44">
        <v>5790.72</v>
      </c>
      <c r="P153" s="51">
        <v>36218382</v>
      </c>
      <c r="Q153" s="52">
        <v>8363.15</v>
      </c>
      <c r="R153" s="58">
        <v>4414516</v>
      </c>
      <c r="S153" s="17">
        <v>904.31</v>
      </c>
      <c r="T153" s="101"/>
      <c r="U153" s="35">
        <f t="shared" si="59"/>
        <v>2772437</v>
      </c>
      <c r="V153" s="36">
        <f t="shared" si="60"/>
        <v>4491.130000000001</v>
      </c>
      <c r="W153" s="43">
        <f t="shared" si="61"/>
        <v>5656437</v>
      </c>
      <c r="X153" s="44">
        <f t="shared" si="62"/>
        <v>2418.2499999999991</v>
      </c>
      <c r="Y153" s="51">
        <f t="shared" si="63"/>
        <v>15611249</v>
      </c>
      <c r="Z153" s="52">
        <f t="shared" si="64"/>
        <v>9421.4300000000021</v>
      </c>
      <c r="AA153" s="58">
        <f t="shared" si="65"/>
        <v>5374667</v>
      </c>
      <c r="AB153" s="17">
        <f t="shared" si="66"/>
        <v>4667.1000000000004</v>
      </c>
      <c r="AC153" s="101"/>
      <c r="AD153" s="555">
        <f t="shared" si="56"/>
        <v>121267955</v>
      </c>
      <c r="AE153" s="632">
        <f t="shared" si="57"/>
        <v>44367.56</v>
      </c>
    </row>
    <row r="154" spans="1:31" hidden="1" outlineLevel="1">
      <c r="A154" s="114">
        <v>43245</v>
      </c>
      <c r="B154" s="115">
        <f t="shared" si="53"/>
        <v>5</v>
      </c>
      <c r="C154" s="35">
        <v>35099093</v>
      </c>
      <c r="D154" s="36">
        <v>10916.48</v>
      </c>
      <c r="E154" s="43">
        <v>26621018</v>
      </c>
      <c r="F154" s="44">
        <v>6990.37</v>
      </c>
      <c r="G154" s="51">
        <v>56662287</v>
      </c>
      <c r="H154" s="52">
        <v>17955.560000000001</v>
      </c>
      <c r="I154" s="58">
        <v>10298219</v>
      </c>
      <c r="J154" s="17">
        <v>5506.67</v>
      </c>
      <c r="K154" s="101"/>
      <c r="L154" s="35">
        <v>32377198</v>
      </c>
      <c r="M154" s="36">
        <v>6421.09</v>
      </c>
      <c r="N154" s="43">
        <v>20847265</v>
      </c>
      <c r="O154" s="44">
        <v>4547.97</v>
      </c>
      <c r="P154" s="51">
        <v>40547828</v>
      </c>
      <c r="Q154" s="52">
        <v>7666.71</v>
      </c>
      <c r="R154" s="58">
        <v>4456939</v>
      </c>
      <c r="S154" s="17">
        <v>704.22</v>
      </c>
      <c r="T154" s="101"/>
      <c r="U154" s="35">
        <f t="shared" si="59"/>
        <v>2721895</v>
      </c>
      <c r="V154" s="36">
        <f t="shared" si="60"/>
        <v>4495.3899999999994</v>
      </c>
      <c r="W154" s="43">
        <f t="shared" si="61"/>
        <v>5773753</v>
      </c>
      <c r="X154" s="44">
        <f t="shared" si="62"/>
        <v>2442.3999999999996</v>
      </c>
      <c r="Y154" s="51">
        <f t="shared" si="63"/>
        <v>16114459</v>
      </c>
      <c r="Z154" s="52">
        <f t="shared" si="64"/>
        <v>10288.850000000002</v>
      </c>
      <c r="AA154" s="58">
        <f t="shared" si="65"/>
        <v>5841280</v>
      </c>
      <c r="AB154" s="17">
        <f t="shared" si="66"/>
        <v>4802.45</v>
      </c>
      <c r="AC154" s="101"/>
      <c r="AD154" s="555">
        <f t="shared" si="56"/>
        <v>128680617</v>
      </c>
      <c r="AE154" s="632">
        <f t="shared" si="57"/>
        <v>41369.08</v>
      </c>
    </row>
    <row r="155" spans="1:31" hidden="1" outlineLevel="1">
      <c r="A155" s="114">
        <v>43246</v>
      </c>
      <c r="B155" s="115">
        <f t="shared" si="53"/>
        <v>5</v>
      </c>
      <c r="C155" s="35">
        <v>36143383</v>
      </c>
      <c r="D155" s="36">
        <v>10769.2</v>
      </c>
      <c r="E155" s="43">
        <v>28458581</v>
      </c>
      <c r="F155" s="44">
        <v>7764.26</v>
      </c>
      <c r="G155" s="51">
        <v>57376203</v>
      </c>
      <c r="H155" s="52">
        <v>18407.18</v>
      </c>
      <c r="I155" s="58">
        <v>10808074</v>
      </c>
      <c r="J155" s="17">
        <v>5194.51</v>
      </c>
      <c r="K155" s="101"/>
      <c r="L155" s="35">
        <v>33392048</v>
      </c>
      <c r="M155" s="36">
        <v>6350.83</v>
      </c>
      <c r="N155" s="43">
        <v>22061284</v>
      </c>
      <c r="O155" s="44">
        <v>5168.84</v>
      </c>
      <c r="P155" s="51">
        <v>40021933</v>
      </c>
      <c r="Q155" s="52">
        <v>7863.16</v>
      </c>
      <c r="R155" s="58">
        <v>4586114</v>
      </c>
      <c r="S155" s="17">
        <v>710.09</v>
      </c>
      <c r="T155" s="101"/>
      <c r="U155" s="35">
        <f t="shared" si="59"/>
        <v>2751335</v>
      </c>
      <c r="V155" s="36">
        <f t="shared" si="60"/>
        <v>4418.3700000000008</v>
      </c>
      <c r="W155" s="43">
        <f t="shared" si="61"/>
        <v>6397297</v>
      </c>
      <c r="X155" s="44">
        <f t="shared" si="62"/>
        <v>2595.42</v>
      </c>
      <c r="Y155" s="51">
        <f t="shared" si="63"/>
        <v>17354270</v>
      </c>
      <c r="Z155" s="52">
        <f t="shared" si="64"/>
        <v>10544.02</v>
      </c>
      <c r="AA155" s="58">
        <f t="shared" si="65"/>
        <v>6221960</v>
      </c>
      <c r="AB155" s="17">
        <f t="shared" si="66"/>
        <v>4484.42</v>
      </c>
      <c r="AC155" s="101"/>
      <c r="AD155" s="555">
        <f t="shared" si="56"/>
        <v>132786241</v>
      </c>
      <c r="AE155" s="632">
        <f t="shared" si="57"/>
        <v>42135.15</v>
      </c>
    </row>
    <row r="156" spans="1:31" hidden="1" outlineLevel="1">
      <c r="A156" s="114">
        <v>43247</v>
      </c>
      <c r="B156" s="115">
        <f t="shared" si="53"/>
        <v>5</v>
      </c>
      <c r="C156" s="35">
        <v>34565519</v>
      </c>
      <c r="D156" s="36">
        <v>10808.44</v>
      </c>
      <c r="E156" s="43">
        <v>27292966</v>
      </c>
      <c r="F156" s="44">
        <v>7337.7</v>
      </c>
      <c r="G156" s="51">
        <v>54684235</v>
      </c>
      <c r="H156" s="52">
        <v>16651.2</v>
      </c>
      <c r="I156" s="58">
        <v>9008983</v>
      </c>
      <c r="J156" s="17">
        <v>3781</v>
      </c>
      <c r="K156" s="101"/>
      <c r="L156" s="35">
        <v>31778751</v>
      </c>
      <c r="M156" s="36">
        <v>6358.8</v>
      </c>
      <c r="N156" s="43">
        <v>20526780</v>
      </c>
      <c r="O156" s="44">
        <v>4652.03</v>
      </c>
      <c r="P156" s="51">
        <v>39931265</v>
      </c>
      <c r="Q156" s="52">
        <v>7751.25</v>
      </c>
      <c r="R156" s="58">
        <v>4551727</v>
      </c>
      <c r="S156" s="17">
        <v>646.82000000000005</v>
      </c>
      <c r="T156" s="101"/>
      <c r="U156" s="35">
        <f t="shared" si="59"/>
        <v>2786768</v>
      </c>
      <c r="V156" s="36">
        <f t="shared" si="60"/>
        <v>4449.6400000000003</v>
      </c>
      <c r="W156" s="43">
        <f t="shared" si="61"/>
        <v>6766186</v>
      </c>
      <c r="X156" s="44">
        <f t="shared" si="62"/>
        <v>2685.67</v>
      </c>
      <c r="Y156" s="51">
        <f t="shared" si="63"/>
        <v>14752970</v>
      </c>
      <c r="Z156" s="52">
        <f t="shared" si="64"/>
        <v>8899.9500000000007</v>
      </c>
      <c r="AA156" s="58">
        <f t="shared" si="65"/>
        <v>4457256</v>
      </c>
      <c r="AB156" s="17">
        <f t="shared" si="66"/>
        <v>3134.18</v>
      </c>
      <c r="AC156" s="101"/>
      <c r="AD156" s="555">
        <f t="shared" si="56"/>
        <v>125551703</v>
      </c>
      <c r="AE156" s="632">
        <f t="shared" si="57"/>
        <v>38578.339999999997</v>
      </c>
    </row>
    <row r="157" spans="1:31" hidden="1" outlineLevel="1">
      <c r="A157" s="114">
        <v>43248</v>
      </c>
      <c r="B157" s="115">
        <f t="shared" si="53"/>
        <v>5</v>
      </c>
      <c r="C157" s="35">
        <v>32795060</v>
      </c>
      <c r="D157" s="36">
        <v>10041.629999999999</v>
      </c>
      <c r="E157" s="43">
        <v>28857007</v>
      </c>
      <c r="F157" s="44">
        <v>7941.03</v>
      </c>
      <c r="G157" s="51">
        <v>53333388</v>
      </c>
      <c r="H157" s="52">
        <v>16088.87</v>
      </c>
      <c r="I157" s="58">
        <v>8263240</v>
      </c>
      <c r="J157" s="17">
        <v>3205.07</v>
      </c>
      <c r="K157" s="101"/>
      <c r="L157" s="35">
        <v>30194475</v>
      </c>
      <c r="M157" s="36">
        <v>5769.83</v>
      </c>
      <c r="N157" s="43">
        <v>20946713</v>
      </c>
      <c r="O157" s="44">
        <v>4571.3100000000004</v>
      </c>
      <c r="P157" s="51">
        <v>38786327</v>
      </c>
      <c r="Q157" s="52">
        <v>7145.58</v>
      </c>
      <c r="R157" s="58">
        <v>4744748</v>
      </c>
      <c r="S157" s="17">
        <v>685.43</v>
      </c>
      <c r="T157" s="101"/>
      <c r="U157" s="35">
        <f t="shared" si="59"/>
        <v>2600585</v>
      </c>
      <c r="V157" s="36">
        <f t="shared" si="60"/>
        <v>4271.7999999999993</v>
      </c>
      <c r="W157" s="43">
        <f t="shared" si="61"/>
        <v>7910294</v>
      </c>
      <c r="X157" s="44">
        <f t="shared" si="62"/>
        <v>3369.7199999999993</v>
      </c>
      <c r="Y157" s="51">
        <f t="shared" si="63"/>
        <v>14547061</v>
      </c>
      <c r="Z157" s="52">
        <f t="shared" si="64"/>
        <v>8943.2900000000009</v>
      </c>
      <c r="AA157" s="58">
        <f t="shared" si="65"/>
        <v>3518492</v>
      </c>
      <c r="AB157" s="17">
        <f t="shared" si="66"/>
        <v>2519.6400000000003</v>
      </c>
      <c r="AC157" s="101"/>
      <c r="AD157" s="555">
        <f t="shared" si="56"/>
        <v>123248695</v>
      </c>
      <c r="AE157" s="632">
        <f t="shared" si="57"/>
        <v>37276.6</v>
      </c>
    </row>
    <row r="158" spans="1:31" hidden="1" outlineLevel="1">
      <c r="A158" s="114">
        <v>43249</v>
      </c>
      <c r="B158" s="115">
        <f t="shared" si="53"/>
        <v>5</v>
      </c>
      <c r="C158" s="35">
        <v>33229334</v>
      </c>
      <c r="D158" s="36">
        <v>9868.9</v>
      </c>
      <c r="E158" s="43">
        <v>29613524</v>
      </c>
      <c r="F158" s="44">
        <v>7969.37</v>
      </c>
      <c r="G158" s="51">
        <v>53324127</v>
      </c>
      <c r="H158" s="52">
        <v>16899.240000000002</v>
      </c>
      <c r="I158" s="58">
        <v>8632228</v>
      </c>
      <c r="J158" s="17">
        <v>3155.55</v>
      </c>
      <c r="K158" s="101"/>
      <c r="L158" s="35">
        <v>30621441</v>
      </c>
      <c r="M158" s="36">
        <v>5403.68</v>
      </c>
      <c r="N158" s="43">
        <v>21473488</v>
      </c>
      <c r="O158" s="44">
        <v>4357.38</v>
      </c>
      <c r="P158" s="51">
        <v>37723660</v>
      </c>
      <c r="Q158" s="52">
        <v>6371.15</v>
      </c>
      <c r="R158" s="58">
        <v>5242899</v>
      </c>
      <c r="S158" s="17">
        <v>703.91</v>
      </c>
      <c r="T158" s="101"/>
      <c r="U158" s="35">
        <f t="shared" si="59"/>
        <v>2607893</v>
      </c>
      <c r="V158" s="36">
        <f t="shared" si="60"/>
        <v>4465.2199999999993</v>
      </c>
      <c r="W158" s="43">
        <f t="shared" si="61"/>
        <v>8140036</v>
      </c>
      <c r="X158" s="44">
        <f t="shared" si="62"/>
        <v>3611.99</v>
      </c>
      <c r="Y158" s="51">
        <f t="shared" si="63"/>
        <v>15600467</v>
      </c>
      <c r="Z158" s="52">
        <f t="shared" si="64"/>
        <v>10528.090000000002</v>
      </c>
      <c r="AA158" s="58">
        <f t="shared" si="65"/>
        <v>3389329</v>
      </c>
      <c r="AB158" s="17">
        <f t="shared" si="66"/>
        <v>2451.6400000000003</v>
      </c>
      <c r="AC158" s="101"/>
      <c r="AD158" s="555">
        <f t="shared" si="56"/>
        <v>124799213</v>
      </c>
      <c r="AE158" s="632">
        <f t="shared" si="57"/>
        <v>37893.060000000005</v>
      </c>
    </row>
    <row r="159" spans="1:31" hidden="1" outlineLevel="1">
      <c r="A159" s="114">
        <v>43250</v>
      </c>
      <c r="B159" s="115">
        <f t="shared" ref="B159:B225" si="67">MONTH(A159)</f>
        <v>5</v>
      </c>
      <c r="C159" s="35">
        <v>32713707</v>
      </c>
      <c r="D159" s="36">
        <v>9679.4599999999991</v>
      </c>
      <c r="E159" s="43">
        <v>29499019</v>
      </c>
      <c r="F159" s="44">
        <v>7786.16</v>
      </c>
      <c r="G159" s="51">
        <v>55877741</v>
      </c>
      <c r="H159" s="52">
        <v>18937.759999999998</v>
      </c>
      <c r="I159" s="58">
        <v>8648503</v>
      </c>
      <c r="J159" s="17">
        <v>3341.76</v>
      </c>
      <c r="K159" s="101"/>
      <c r="L159" s="35">
        <v>30025681</v>
      </c>
      <c r="M159" s="36">
        <v>5229.8999999999996</v>
      </c>
      <c r="N159" s="43">
        <v>21874637</v>
      </c>
      <c r="O159" s="44">
        <v>4387.57</v>
      </c>
      <c r="P159" s="51">
        <v>37743875</v>
      </c>
      <c r="Q159" s="52">
        <v>6688.06</v>
      </c>
      <c r="R159" s="58">
        <v>4916192</v>
      </c>
      <c r="S159" s="17">
        <v>645.87</v>
      </c>
      <c r="T159" s="101"/>
      <c r="U159" s="35">
        <f t="shared" si="59"/>
        <v>2688026</v>
      </c>
      <c r="V159" s="36">
        <f t="shared" si="60"/>
        <v>4449.5599999999995</v>
      </c>
      <c r="W159" s="43">
        <f t="shared" si="61"/>
        <v>7624382</v>
      </c>
      <c r="X159" s="44">
        <f t="shared" si="62"/>
        <v>3398.59</v>
      </c>
      <c r="Y159" s="51">
        <f t="shared" si="63"/>
        <v>18133866</v>
      </c>
      <c r="Z159" s="52">
        <f t="shared" si="64"/>
        <v>12249.699999999997</v>
      </c>
      <c r="AA159" s="58">
        <f t="shared" si="65"/>
        <v>3732311</v>
      </c>
      <c r="AB159" s="17">
        <f t="shared" si="66"/>
        <v>2695.8900000000003</v>
      </c>
      <c r="AC159" s="101"/>
      <c r="AD159" s="555">
        <f t="shared" si="56"/>
        <v>126738970</v>
      </c>
      <c r="AE159" s="632">
        <f t="shared" si="57"/>
        <v>39745.14</v>
      </c>
    </row>
    <row r="160" spans="1:31" hidden="1" outlineLevel="1">
      <c r="A160" s="114">
        <v>43251</v>
      </c>
      <c r="B160" s="115">
        <f t="shared" si="67"/>
        <v>5</v>
      </c>
      <c r="C160" s="35">
        <v>32541845</v>
      </c>
      <c r="D160" s="36">
        <v>9163.77</v>
      </c>
      <c r="E160" s="43">
        <v>29282256</v>
      </c>
      <c r="F160" s="44">
        <v>7067.06</v>
      </c>
      <c r="G160" s="51">
        <v>56154801</v>
      </c>
      <c r="H160" s="52">
        <v>16169.28</v>
      </c>
      <c r="I160" s="58">
        <v>7782925</v>
      </c>
      <c r="J160" s="17">
        <v>2704.98</v>
      </c>
      <c r="K160" s="101"/>
      <c r="L160" s="35">
        <v>30045162</v>
      </c>
      <c r="M160" s="36">
        <v>4754.28</v>
      </c>
      <c r="N160" s="43">
        <v>22001361</v>
      </c>
      <c r="O160" s="44">
        <v>3910.85</v>
      </c>
      <c r="P160" s="51">
        <v>41246065</v>
      </c>
      <c r="Q160" s="52">
        <v>6891.7</v>
      </c>
      <c r="R160" s="58">
        <v>4873501</v>
      </c>
      <c r="S160" s="17">
        <v>604.37</v>
      </c>
      <c r="T160" s="101"/>
      <c r="U160" s="35">
        <f t="shared" si="59"/>
        <v>2496683</v>
      </c>
      <c r="V160" s="36">
        <f t="shared" si="60"/>
        <v>4409.4900000000007</v>
      </c>
      <c r="W160" s="43">
        <f t="shared" si="61"/>
        <v>7280895</v>
      </c>
      <c r="X160" s="44">
        <f t="shared" si="62"/>
        <v>3156.2100000000005</v>
      </c>
      <c r="Y160" s="51">
        <f t="shared" si="63"/>
        <v>14908736</v>
      </c>
      <c r="Z160" s="52">
        <f t="shared" si="64"/>
        <v>9277.5800000000017</v>
      </c>
      <c r="AA160" s="58">
        <f t="shared" si="65"/>
        <v>2909424</v>
      </c>
      <c r="AB160" s="17">
        <f t="shared" si="66"/>
        <v>2100.61</v>
      </c>
      <c r="AC160" s="101"/>
      <c r="AD160" s="555">
        <f t="shared" si="56"/>
        <v>125761827</v>
      </c>
      <c r="AE160" s="632">
        <f t="shared" si="57"/>
        <v>35105.090000000004</v>
      </c>
    </row>
    <row r="161" spans="1:31" collapsed="1">
      <c r="A161" s="104"/>
      <c r="B161" s="104" t="s">
        <v>19</v>
      </c>
      <c r="C161" s="105">
        <f>SUBTOTAL(9,C162:C191)</f>
        <v>948155811</v>
      </c>
      <c r="D161" s="106">
        <f t="shared" ref="D161:AB161" si="68">SUBTOTAL(9,D162:D191)</f>
        <v>300283.6399999999</v>
      </c>
      <c r="E161" s="107">
        <f t="shared" si="68"/>
        <v>913021074</v>
      </c>
      <c r="F161" s="108">
        <f t="shared" si="68"/>
        <v>232102.97999999998</v>
      </c>
      <c r="G161" s="109">
        <f t="shared" si="68"/>
        <v>1633168605</v>
      </c>
      <c r="H161" s="110">
        <f t="shared" si="68"/>
        <v>474496.89000000007</v>
      </c>
      <c r="I161" s="111">
        <f t="shared" si="68"/>
        <v>164515860</v>
      </c>
      <c r="J161" s="14">
        <f t="shared" si="68"/>
        <v>51696.229999999996</v>
      </c>
      <c r="K161" s="103"/>
      <c r="L161" s="105">
        <f t="shared" si="68"/>
        <v>871337365</v>
      </c>
      <c r="M161" s="106">
        <f t="shared" si="68"/>
        <v>163293.01999999999</v>
      </c>
      <c r="N161" s="107">
        <f t="shared" si="68"/>
        <v>684471205</v>
      </c>
      <c r="O161" s="108">
        <f t="shared" si="68"/>
        <v>123175.16000000003</v>
      </c>
      <c r="P161" s="109">
        <f t="shared" si="68"/>
        <v>1192784173</v>
      </c>
      <c r="Q161" s="110">
        <f t="shared" si="68"/>
        <v>189982.19999999995</v>
      </c>
      <c r="R161" s="111">
        <f t="shared" si="68"/>
        <v>122963683</v>
      </c>
      <c r="S161" s="14">
        <f t="shared" si="68"/>
        <v>15439.14</v>
      </c>
      <c r="T161" s="103"/>
      <c r="U161" s="105">
        <f t="shared" si="68"/>
        <v>76818446</v>
      </c>
      <c r="V161" s="106">
        <f t="shared" si="68"/>
        <v>136990.62</v>
      </c>
      <c r="W161" s="107">
        <f t="shared" si="68"/>
        <v>228549869</v>
      </c>
      <c r="X161" s="108">
        <f t="shared" si="68"/>
        <v>108927.82</v>
      </c>
      <c r="Y161" s="109">
        <f t="shared" si="68"/>
        <v>440384432</v>
      </c>
      <c r="Z161" s="110">
        <f t="shared" si="68"/>
        <v>284514.69</v>
      </c>
      <c r="AA161" s="111">
        <f t="shared" si="68"/>
        <v>41552177</v>
      </c>
      <c r="AB161" s="14">
        <f t="shared" si="68"/>
        <v>36257.089999999997</v>
      </c>
      <c r="AC161" s="103"/>
      <c r="AD161" s="555"/>
      <c r="AE161" s="632"/>
    </row>
    <row r="162" spans="1:31" hidden="1" outlineLevel="1">
      <c r="A162" s="97">
        <v>43252</v>
      </c>
      <c r="B162" s="98">
        <f t="shared" si="67"/>
        <v>6</v>
      </c>
      <c r="C162" s="35">
        <v>32869845</v>
      </c>
      <c r="D162" s="36">
        <v>8423.32</v>
      </c>
      <c r="E162" s="43">
        <v>28769811</v>
      </c>
      <c r="F162" s="44">
        <v>6189.73</v>
      </c>
      <c r="G162" s="51">
        <v>55648746</v>
      </c>
      <c r="H162" s="52">
        <v>12939.16</v>
      </c>
      <c r="I162" s="58">
        <v>7099209</v>
      </c>
      <c r="J162" s="17">
        <v>2059.4899999999998</v>
      </c>
      <c r="K162" s="101"/>
      <c r="L162" s="35">
        <v>30266492</v>
      </c>
      <c r="M162" s="36">
        <v>4254.34</v>
      </c>
      <c r="N162" s="43">
        <v>21704448</v>
      </c>
      <c r="O162" s="44">
        <v>3384.88</v>
      </c>
      <c r="P162" s="51">
        <v>42628644</v>
      </c>
      <c r="Q162" s="52">
        <v>5703.8</v>
      </c>
      <c r="R162" s="58">
        <v>4756819</v>
      </c>
      <c r="S162" s="17">
        <v>489.92</v>
      </c>
      <c r="T162" s="101"/>
      <c r="U162" s="35">
        <f t="shared" si="59"/>
        <v>2603353</v>
      </c>
      <c r="V162" s="36">
        <f t="shared" si="60"/>
        <v>4168.9799999999996</v>
      </c>
      <c r="W162" s="43">
        <f t="shared" si="61"/>
        <v>7065363</v>
      </c>
      <c r="X162" s="44">
        <f t="shared" si="62"/>
        <v>2804.8499999999995</v>
      </c>
      <c r="Y162" s="51">
        <f t="shared" si="63"/>
        <v>13020102</v>
      </c>
      <c r="Z162" s="52">
        <f t="shared" si="64"/>
        <v>7235.36</v>
      </c>
      <c r="AA162" s="58">
        <f t="shared" si="65"/>
        <v>2342390</v>
      </c>
      <c r="AB162" s="17">
        <f t="shared" si="66"/>
        <v>1569.5699999999997</v>
      </c>
      <c r="AC162" s="101"/>
      <c r="AD162" s="555">
        <f t="shared" ref="AD162:AD225" si="69">SUM(C162,E162,G162,I162)</f>
        <v>124387611</v>
      </c>
      <c r="AE162" s="632">
        <f t="shared" ref="AE162:AE225" si="70">SUM(D162,F162,H162,J162)</f>
        <v>29611.699999999997</v>
      </c>
    </row>
    <row r="163" spans="1:31" hidden="1" outlineLevel="1">
      <c r="A163" s="97">
        <v>43253</v>
      </c>
      <c r="B163" s="98">
        <f t="shared" si="67"/>
        <v>6</v>
      </c>
      <c r="C163" s="35">
        <v>35171134</v>
      </c>
      <c r="D163" s="36">
        <v>8323.1200000000008</v>
      </c>
      <c r="E163" s="43">
        <v>31681965</v>
      </c>
      <c r="F163" s="44">
        <v>6575.76</v>
      </c>
      <c r="G163" s="51">
        <v>60071893</v>
      </c>
      <c r="H163" s="52">
        <v>14220.07</v>
      </c>
      <c r="I163" s="58">
        <v>7403631</v>
      </c>
      <c r="J163" s="17">
        <v>2066.64</v>
      </c>
      <c r="K163" s="101"/>
      <c r="L163" s="35">
        <v>32435038</v>
      </c>
      <c r="M163" s="36">
        <v>4196.6899999999996</v>
      </c>
      <c r="N163" s="43">
        <v>23292037</v>
      </c>
      <c r="O163" s="44">
        <v>3408.27</v>
      </c>
      <c r="P163" s="51">
        <v>45791095</v>
      </c>
      <c r="Q163" s="52">
        <v>6050.98</v>
      </c>
      <c r="R163" s="58">
        <v>4803004</v>
      </c>
      <c r="S163" s="17">
        <v>445.78</v>
      </c>
      <c r="T163" s="101"/>
      <c r="U163" s="35">
        <f t="shared" si="59"/>
        <v>2736096</v>
      </c>
      <c r="V163" s="36">
        <f t="shared" si="60"/>
        <v>4126.4300000000012</v>
      </c>
      <c r="W163" s="43">
        <f t="shared" si="61"/>
        <v>8389928</v>
      </c>
      <c r="X163" s="44">
        <f t="shared" si="62"/>
        <v>3167.4900000000002</v>
      </c>
      <c r="Y163" s="51">
        <f t="shared" si="63"/>
        <v>14280798</v>
      </c>
      <c r="Z163" s="52">
        <f t="shared" si="64"/>
        <v>8169.09</v>
      </c>
      <c r="AA163" s="58">
        <f t="shared" si="65"/>
        <v>2600627</v>
      </c>
      <c r="AB163" s="17">
        <f t="shared" si="66"/>
        <v>1620.86</v>
      </c>
      <c r="AC163" s="101"/>
      <c r="AD163" s="555">
        <f t="shared" si="69"/>
        <v>134328623</v>
      </c>
      <c r="AE163" s="632">
        <f t="shared" si="70"/>
        <v>31185.59</v>
      </c>
    </row>
    <row r="164" spans="1:31" hidden="1" outlineLevel="1">
      <c r="A164" s="97">
        <v>43254</v>
      </c>
      <c r="B164" s="98">
        <f t="shared" si="67"/>
        <v>6</v>
      </c>
      <c r="C164" s="35">
        <v>32565782</v>
      </c>
      <c r="D164" s="36">
        <v>8707.48</v>
      </c>
      <c r="E164" s="43">
        <v>31207648</v>
      </c>
      <c r="F164" s="44">
        <v>6881.87</v>
      </c>
      <c r="G164" s="51">
        <v>57319932</v>
      </c>
      <c r="H164" s="52">
        <v>16230.75</v>
      </c>
      <c r="I164" s="58">
        <v>7922198</v>
      </c>
      <c r="J164" s="17">
        <v>2442.4899999999998</v>
      </c>
      <c r="K164" s="101"/>
      <c r="L164" s="35">
        <v>29928189</v>
      </c>
      <c r="M164" s="36">
        <v>4601.43</v>
      </c>
      <c r="N164" s="43">
        <v>22360413</v>
      </c>
      <c r="O164" s="44">
        <v>3486.83</v>
      </c>
      <c r="P164" s="51">
        <v>42833029</v>
      </c>
      <c r="Q164" s="52">
        <v>6785.44</v>
      </c>
      <c r="R164" s="58">
        <v>4619677</v>
      </c>
      <c r="S164" s="17">
        <v>435.26</v>
      </c>
      <c r="T164" s="101"/>
      <c r="U164" s="35">
        <f t="shared" si="59"/>
        <v>2637593</v>
      </c>
      <c r="V164" s="36">
        <f t="shared" si="60"/>
        <v>4106.0499999999993</v>
      </c>
      <c r="W164" s="43">
        <f t="shared" si="61"/>
        <v>8847235</v>
      </c>
      <c r="X164" s="44">
        <f t="shared" si="62"/>
        <v>3395.04</v>
      </c>
      <c r="Y164" s="51">
        <f t="shared" si="63"/>
        <v>14486903</v>
      </c>
      <c r="Z164" s="52">
        <f t="shared" si="64"/>
        <v>9445.3100000000013</v>
      </c>
      <c r="AA164" s="58">
        <f t="shared" si="65"/>
        <v>3302521</v>
      </c>
      <c r="AB164" s="17">
        <f t="shared" si="66"/>
        <v>2007.2299999999998</v>
      </c>
      <c r="AC164" s="101"/>
      <c r="AD164" s="555">
        <f t="shared" si="69"/>
        <v>129015560</v>
      </c>
      <c r="AE164" s="632">
        <f t="shared" si="70"/>
        <v>34262.589999999997</v>
      </c>
    </row>
    <row r="165" spans="1:31" hidden="1" outlineLevel="1">
      <c r="A165" s="97">
        <v>43255</v>
      </c>
      <c r="B165" s="98">
        <f t="shared" si="67"/>
        <v>6</v>
      </c>
      <c r="C165" s="35">
        <v>31656497</v>
      </c>
      <c r="D165" s="36">
        <v>9338.7999999999993</v>
      </c>
      <c r="E165" s="43">
        <v>30066386</v>
      </c>
      <c r="F165" s="44">
        <v>6967.9</v>
      </c>
      <c r="G165" s="51">
        <v>54677075</v>
      </c>
      <c r="H165" s="52">
        <v>15270.7</v>
      </c>
      <c r="I165" s="58">
        <v>8490882</v>
      </c>
      <c r="J165" s="17">
        <v>3321.38</v>
      </c>
      <c r="K165" s="101"/>
      <c r="L165" s="35">
        <v>29180230</v>
      </c>
      <c r="M165" s="36">
        <v>5072.3999999999996</v>
      </c>
      <c r="N165" s="43">
        <v>21350421</v>
      </c>
      <c r="O165" s="44">
        <v>3472.48</v>
      </c>
      <c r="P165" s="51">
        <v>41907307</v>
      </c>
      <c r="Q165" s="52">
        <v>6340.4</v>
      </c>
      <c r="R165" s="58">
        <v>4781310</v>
      </c>
      <c r="S165" s="17">
        <v>507.83</v>
      </c>
      <c r="T165" s="101"/>
      <c r="U165" s="35">
        <f t="shared" si="59"/>
        <v>2476267</v>
      </c>
      <c r="V165" s="36">
        <f t="shared" si="60"/>
        <v>4266.3999999999996</v>
      </c>
      <c r="W165" s="43">
        <f t="shared" si="61"/>
        <v>8715965</v>
      </c>
      <c r="X165" s="44">
        <f t="shared" si="62"/>
        <v>3495.4199999999996</v>
      </c>
      <c r="Y165" s="51">
        <f t="shared" si="63"/>
        <v>12769768</v>
      </c>
      <c r="Z165" s="52">
        <f t="shared" si="64"/>
        <v>8930.3000000000011</v>
      </c>
      <c r="AA165" s="58">
        <f t="shared" si="65"/>
        <v>3709572</v>
      </c>
      <c r="AB165" s="17">
        <f t="shared" si="66"/>
        <v>2813.55</v>
      </c>
      <c r="AC165" s="101"/>
      <c r="AD165" s="555">
        <f t="shared" si="69"/>
        <v>124890840</v>
      </c>
      <c r="AE165" s="632">
        <f t="shared" si="70"/>
        <v>34898.78</v>
      </c>
    </row>
    <row r="166" spans="1:31" hidden="1" outlineLevel="1">
      <c r="A166" s="97">
        <v>43256</v>
      </c>
      <c r="B166" s="98">
        <f t="shared" si="67"/>
        <v>6</v>
      </c>
      <c r="C166" s="35">
        <v>32137732</v>
      </c>
      <c r="D166" s="36">
        <v>9659.44</v>
      </c>
      <c r="E166" s="43">
        <v>31051018</v>
      </c>
      <c r="F166" s="44">
        <v>7961.76</v>
      </c>
      <c r="G166" s="51">
        <v>50830774</v>
      </c>
      <c r="H166" s="52">
        <v>12596.48</v>
      </c>
      <c r="I166" s="58">
        <v>7036583</v>
      </c>
      <c r="J166" s="17">
        <v>2397.0300000000002</v>
      </c>
      <c r="K166" s="101"/>
      <c r="L166" s="35">
        <v>29684603</v>
      </c>
      <c r="M166" s="36">
        <v>5221.29</v>
      </c>
      <c r="N166" s="43">
        <v>21443498</v>
      </c>
      <c r="O166" s="44">
        <v>3900.01</v>
      </c>
      <c r="P166" s="51">
        <v>40670334</v>
      </c>
      <c r="Q166" s="52">
        <v>5741.74</v>
      </c>
      <c r="R166" s="58">
        <v>4514674</v>
      </c>
      <c r="S166" s="17">
        <v>533.44000000000005</v>
      </c>
      <c r="T166" s="101"/>
      <c r="U166" s="35">
        <f t="shared" si="59"/>
        <v>2453129</v>
      </c>
      <c r="V166" s="36">
        <f t="shared" si="60"/>
        <v>4438.1500000000005</v>
      </c>
      <c r="W166" s="43">
        <f t="shared" si="61"/>
        <v>9607520</v>
      </c>
      <c r="X166" s="44">
        <f t="shared" si="62"/>
        <v>4061.75</v>
      </c>
      <c r="Y166" s="51">
        <f t="shared" si="63"/>
        <v>10160440</v>
      </c>
      <c r="Z166" s="52">
        <f t="shared" si="64"/>
        <v>6854.74</v>
      </c>
      <c r="AA166" s="58">
        <f t="shared" si="65"/>
        <v>2521909</v>
      </c>
      <c r="AB166" s="17">
        <f t="shared" si="66"/>
        <v>1863.5900000000001</v>
      </c>
      <c r="AC166" s="101"/>
      <c r="AD166" s="555">
        <f t="shared" si="69"/>
        <v>121056107</v>
      </c>
      <c r="AE166" s="632">
        <f t="shared" si="70"/>
        <v>32614.71</v>
      </c>
    </row>
    <row r="167" spans="1:31" hidden="1" outlineLevel="1">
      <c r="A167" s="97">
        <v>43257</v>
      </c>
      <c r="B167" s="98">
        <f t="shared" si="67"/>
        <v>6</v>
      </c>
      <c r="C167" s="35">
        <v>32045376</v>
      </c>
      <c r="D167" s="36">
        <v>10223.34</v>
      </c>
      <c r="E167" s="43">
        <v>30509052</v>
      </c>
      <c r="F167" s="44">
        <v>7716.35</v>
      </c>
      <c r="G167" s="51">
        <v>49594094</v>
      </c>
      <c r="H167" s="52">
        <v>11639.34</v>
      </c>
      <c r="I167" s="58">
        <v>5323525</v>
      </c>
      <c r="J167" s="17">
        <v>1402.86</v>
      </c>
      <c r="K167" s="101"/>
      <c r="L167" s="35">
        <v>29538237</v>
      </c>
      <c r="M167" s="36">
        <v>5687.02</v>
      </c>
      <c r="N167" s="43">
        <v>21242372</v>
      </c>
      <c r="O167" s="44">
        <v>3902.43</v>
      </c>
      <c r="P167" s="51">
        <v>41028305</v>
      </c>
      <c r="Q167" s="52">
        <v>6027.5</v>
      </c>
      <c r="R167" s="58">
        <v>4298254</v>
      </c>
      <c r="S167" s="17">
        <v>550.9</v>
      </c>
      <c r="T167" s="101"/>
      <c r="U167" s="35">
        <f t="shared" si="59"/>
        <v>2507139</v>
      </c>
      <c r="V167" s="36">
        <f t="shared" si="60"/>
        <v>4536.32</v>
      </c>
      <c r="W167" s="43">
        <f t="shared" si="61"/>
        <v>9266680</v>
      </c>
      <c r="X167" s="44">
        <f t="shared" si="62"/>
        <v>3813.9200000000005</v>
      </c>
      <c r="Y167" s="51">
        <f t="shared" si="63"/>
        <v>8565789</v>
      </c>
      <c r="Z167" s="52">
        <f t="shared" si="64"/>
        <v>5611.84</v>
      </c>
      <c r="AA167" s="58">
        <f t="shared" si="65"/>
        <v>1025271</v>
      </c>
      <c r="AB167" s="17">
        <f t="shared" si="66"/>
        <v>851.95999999999992</v>
      </c>
      <c r="AC167" s="101"/>
      <c r="AD167" s="555">
        <f t="shared" si="69"/>
        <v>117472047</v>
      </c>
      <c r="AE167" s="632">
        <f t="shared" si="70"/>
        <v>30981.890000000003</v>
      </c>
    </row>
    <row r="168" spans="1:31" hidden="1" outlineLevel="1">
      <c r="A168" s="97">
        <v>43258</v>
      </c>
      <c r="B168" s="98">
        <f t="shared" si="67"/>
        <v>6</v>
      </c>
      <c r="C168" s="35">
        <v>31377688</v>
      </c>
      <c r="D168" s="36">
        <v>10364.01</v>
      </c>
      <c r="E168" s="43">
        <v>27886930</v>
      </c>
      <c r="F168" s="44">
        <v>6585.95</v>
      </c>
      <c r="G168" s="51">
        <v>47247370</v>
      </c>
      <c r="H168" s="52">
        <v>11297.19</v>
      </c>
      <c r="I168" s="58">
        <v>5476604</v>
      </c>
      <c r="J168" s="17">
        <v>1674.79</v>
      </c>
      <c r="K168" s="101"/>
      <c r="L168" s="35">
        <v>28900935</v>
      </c>
      <c r="M168" s="36">
        <v>5662.83</v>
      </c>
      <c r="N168" s="43">
        <v>21079360</v>
      </c>
      <c r="O168" s="44">
        <v>3793.08</v>
      </c>
      <c r="P168" s="51">
        <v>39315739</v>
      </c>
      <c r="Q168" s="52">
        <v>5752.27</v>
      </c>
      <c r="R168" s="58">
        <v>4221328</v>
      </c>
      <c r="S168" s="17">
        <v>509.39</v>
      </c>
      <c r="T168" s="101"/>
      <c r="U168" s="35">
        <f t="shared" si="59"/>
        <v>2476753</v>
      </c>
      <c r="V168" s="36">
        <f t="shared" si="60"/>
        <v>4701.18</v>
      </c>
      <c r="W168" s="43">
        <f t="shared" si="61"/>
        <v>6807570</v>
      </c>
      <c r="X168" s="44">
        <f t="shared" si="62"/>
        <v>2792.87</v>
      </c>
      <c r="Y168" s="51">
        <f t="shared" si="63"/>
        <v>7931631</v>
      </c>
      <c r="Z168" s="52">
        <f t="shared" si="64"/>
        <v>5544.92</v>
      </c>
      <c r="AA168" s="58">
        <f t="shared" si="65"/>
        <v>1255276</v>
      </c>
      <c r="AB168" s="17">
        <f t="shared" si="66"/>
        <v>1165.4000000000001</v>
      </c>
      <c r="AC168" s="101"/>
      <c r="AD168" s="555">
        <f t="shared" si="69"/>
        <v>111988592</v>
      </c>
      <c r="AE168" s="632">
        <f t="shared" si="70"/>
        <v>29921.940000000002</v>
      </c>
    </row>
    <row r="169" spans="1:31" hidden="1" outlineLevel="1">
      <c r="A169" s="97">
        <v>43259</v>
      </c>
      <c r="B169" s="98">
        <f t="shared" si="67"/>
        <v>6</v>
      </c>
      <c r="C169" s="35">
        <v>31823820</v>
      </c>
      <c r="D169" s="36">
        <v>9712.52</v>
      </c>
      <c r="E169" s="43">
        <v>29501578</v>
      </c>
      <c r="F169" s="44">
        <v>6967.58</v>
      </c>
      <c r="G169" s="51">
        <v>48875687</v>
      </c>
      <c r="H169" s="52">
        <v>11981.12</v>
      </c>
      <c r="I169" s="58">
        <v>6871333</v>
      </c>
      <c r="J169" s="17">
        <v>3105.84</v>
      </c>
      <c r="K169" s="101"/>
      <c r="L169" s="35">
        <v>29321441</v>
      </c>
      <c r="M169" s="36">
        <v>5147.67</v>
      </c>
      <c r="N169" s="43">
        <v>23073293</v>
      </c>
      <c r="O169" s="44">
        <v>4165.58</v>
      </c>
      <c r="P169" s="51">
        <v>39978682</v>
      </c>
      <c r="Q169" s="52">
        <v>6161.34</v>
      </c>
      <c r="R169" s="58">
        <v>4318661</v>
      </c>
      <c r="S169" s="17">
        <v>555.4</v>
      </c>
      <c r="T169" s="101"/>
      <c r="U169" s="35">
        <f t="shared" si="59"/>
        <v>2502379</v>
      </c>
      <c r="V169" s="36">
        <f t="shared" si="60"/>
        <v>4564.8500000000004</v>
      </c>
      <c r="W169" s="43">
        <f t="shared" si="61"/>
        <v>6428285</v>
      </c>
      <c r="X169" s="44">
        <f t="shared" si="62"/>
        <v>2802</v>
      </c>
      <c r="Y169" s="51">
        <f t="shared" si="63"/>
        <v>8897005</v>
      </c>
      <c r="Z169" s="52">
        <f t="shared" si="64"/>
        <v>5819.7800000000007</v>
      </c>
      <c r="AA169" s="58">
        <f t="shared" si="65"/>
        <v>2552672</v>
      </c>
      <c r="AB169" s="17">
        <f t="shared" si="66"/>
        <v>2550.44</v>
      </c>
      <c r="AC169" s="101"/>
      <c r="AD169" s="555">
        <f t="shared" si="69"/>
        <v>117072418</v>
      </c>
      <c r="AE169" s="632">
        <f t="shared" si="70"/>
        <v>31767.06</v>
      </c>
    </row>
    <row r="170" spans="1:31" hidden="1" outlineLevel="1">
      <c r="A170" s="97">
        <v>43260</v>
      </c>
      <c r="B170" s="98">
        <f t="shared" si="67"/>
        <v>6</v>
      </c>
      <c r="C170" s="35">
        <v>33244749</v>
      </c>
      <c r="D170" s="36">
        <v>9524.2199999999993</v>
      </c>
      <c r="E170" s="43">
        <v>31006245</v>
      </c>
      <c r="F170" s="44">
        <v>7187.82</v>
      </c>
      <c r="G170" s="51">
        <v>52182047</v>
      </c>
      <c r="H170" s="52">
        <v>11689.05</v>
      </c>
      <c r="I170" s="58">
        <v>7348752</v>
      </c>
      <c r="J170" s="17">
        <v>3026.3</v>
      </c>
      <c r="K170" s="101"/>
      <c r="L170" s="35">
        <v>30673595</v>
      </c>
      <c r="M170" s="36">
        <v>5083.59</v>
      </c>
      <c r="N170" s="43">
        <v>24066660</v>
      </c>
      <c r="O170" s="44">
        <v>4042</v>
      </c>
      <c r="P170" s="51">
        <v>41707846</v>
      </c>
      <c r="Q170" s="52">
        <v>6078.28</v>
      </c>
      <c r="R170" s="58">
        <v>4498169</v>
      </c>
      <c r="S170" s="17">
        <v>545.77</v>
      </c>
      <c r="T170" s="101"/>
      <c r="U170" s="35">
        <f t="shared" si="59"/>
        <v>2571154</v>
      </c>
      <c r="V170" s="36">
        <f t="shared" si="60"/>
        <v>4440.6299999999992</v>
      </c>
      <c r="W170" s="43">
        <f t="shared" si="61"/>
        <v>6939585</v>
      </c>
      <c r="X170" s="44">
        <f t="shared" si="62"/>
        <v>3145.8199999999997</v>
      </c>
      <c r="Y170" s="51">
        <f t="shared" si="63"/>
        <v>10474201</v>
      </c>
      <c r="Z170" s="52">
        <f t="shared" si="64"/>
        <v>5610.7699999999995</v>
      </c>
      <c r="AA170" s="58">
        <f t="shared" si="65"/>
        <v>2850583</v>
      </c>
      <c r="AB170" s="17">
        <f t="shared" si="66"/>
        <v>2480.5300000000002</v>
      </c>
      <c r="AC170" s="101"/>
      <c r="AD170" s="555">
        <f t="shared" si="69"/>
        <v>123781793</v>
      </c>
      <c r="AE170" s="632">
        <f t="shared" si="70"/>
        <v>31427.39</v>
      </c>
    </row>
    <row r="171" spans="1:31" hidden="1" outlineLevel="1">
      <c r="A171" s="97">
        <v>43261</v>
      </c>
      <c r="B171" s="98">
        <f t="shared" si="67"/>
        <v>6</v>
      </c>
      <c r="C171" s="35">
        <v>30837615</v>
      </c>
      <c r="D171" s="36">
        <v>9394.23</v>
      </c>
      <c r="E171" s="43">
        <v>30116685</v>
      </c>
      <c r="F171" s="44">
        <v>7362.64</v>
      </c>
      <c r="G171" s="51">
        <v>49111384</v>
      </c>
      <c r="H171" s="52">
        <v>11477.96</v>
      </c>
      <c r="I171" s="58">
        <v>6168131</v>
      </c>
      <c r="J171" s="17">
        <v>2162.7600000000002</v>
      </c>
      <c r="K171" s="101"/>
      <c r="L171" s="35">
        <v>28337097</v>
      </c>
      <c r="M171" s="36">
        <v>5139.1499999999996</v>
      </c>
      <c r="N171" s="43">
        <v>22720406</v>
      </c>
      <c r="O171" s="44">
        <v>4058.05</v>
      </c>
      <c r="P171" s="51">
        <v>37983334</v>
      </c>
      <c r="Q171" s="52">
        <v>5864.47</v>
      </c>
      <c r="R171" s="58">
        <v>4153341</v>
      </c>
      <c r="S171" s="17">
        <v>527.59</v>
      </c>
      <c r="T171" s="101"/>
      <c r="U171" s="35">
        <f t="shared" si="59"/>
        <v>2500518</v>
      </c>
      <c r="V171" s="36">
        <f t="shared" si="60"/>
        <v>4255.08</v>
      </c>
      <c r="W171" s="43">
        <f t="shared" si="61"/>
        <v>7396279</v>
      </c>
      <c r="X171" s="44">
        <f t="shared" si="62"/>
        <v>3304.59</v>
      </c>
      <c r="Y171" s="51">
        <f t="shared" si="63"/>
        <v>11128050</v>
      </c>
      <c r="Z171" s="52">
        <f t="shared" si="64"/>
        <v>5613.4899999999989</v>
      </c>
      <c r="AA171" s="58">
        <f t="shared" si="65"/>
        <v>2014790</v>
      </c>
      <c r="AB171" s="17">
        <f t="shared" si="66"/>
        <v>1635.17</v>
      </c>
      <c r="AC171" s="101"/>
      <c r="AD171" s="555">
        <f t="shared" si="69"/>
        <v>116233815</v>
      </c>
      <c r="AE171" s="632">
        <f t="shared" si="70"/>
        <v>30397.589999999997</v>
      </c>
    </row>
    <row r="172" spans="1:31" hidden="1" outlineLevel="1">
      <c r="A172" s="97">
        <v>43262</v>
      </c>
      <c r="B172" s="98">
        <f t="shared" si="67"/>
        <v>6</v>
      </c>
      <c r="C172" s="35">
        <v>30108135</v>
      </c>
      <c r="D172" s="36">
        <v>9090.76</v>
      </c>
      <c r="E172" s="43">
        <v>29505277</v>
      </c>
      <c r="F172" s="44">
        <v>7365.04</v>
      </c>
      <c r="G172" s="51">
        <v>47132044</v>
      </c>
      <c r="H172" s="52">
        <v>11086.37</v>
      </c>
      <c r="I172" s="58">
        <v>5503362</v>
      </c>
      <c r="J172" s="17">
        <v>1790.35</v>
      </c>
      <c r="K172" s="101"/>
      <c r="L172" s="35">
        <v>27794389</v>
      </c>
      <c r="M172" s="36">
        <v>4770.8999999999996</v>
      </c>
      <c r="N172" s="43">
        <v>21786274</v>
      </c>
      <c r="O172" s="44">
        <v>3941.29</v>
      </c>
      <c r="P172" s="51">
        <v>36837348</v>
      </c>
      <c r="Q172" s="52">
        <v>5299.56</v>
      </c>
      <c r="R172" s="58">
        <v>4137721</v>
      </c>
      <c r="S172" s="17">
        <v>553.47</v>
      </c>
      <c r="T172" s="101"/>
      <c r="U172" s="35">
        <f t="shared" si="59"/>
        <v>2313746</v>
      </c>
      <c r="V172" s="36">
        <f t="shared" si="60"/>
        <v>4319.8600000000006</v>
      </c>
      <c r="W172" s="43">
        <f t="shared" si="61"/>
        <v>7719003</v>
      </c>
      <c r="X172" s="44">
        <f t="shared" si="62"/>
        <v>3423.75</v>
      </c>
      <c r="Y172" s="51">
        <f t="shared" si="63"/>
        <v>10294696</v>
      </c>
      <c r="Z172" s="52">
        <f t="shared" si="64"/>
        <v>5786.81</v>
      </c>
      <c r="AA172" s="58">
        <f t="shared" si="65"/>
        <v>1365641</v>
      </c>
      <c r="AB172" s="17">
        <f t="shared" si="66"/>
        <v>1236.8799999999999</v>
      </c>
      <c r="AC172" s="101"/>
      <c r="AD172" s="555">
        <f t="shared" si="69"/>
        <v>112248818</v>
      </c>
      <c r="AE172" s="632">
        <f t="shared" si="70"/>
        <v>29332.519999999997</v>
      </c>
    </row>
    <row r="173" spans="1:31" hidden="1" outlineLevel="1">
      <c r="A173" s="97">
        <v>43263</v>
      </c>
      <c r="B173" s="98">
        <f t="shared" si="67"/>
        <v>6</v>
      </c>
      <c r="C173" s="35">
        <v>30788541</v>
      </c>
      <c r="D173" s="36">
        <v>9392.2199999999993</v>
      </c>
      <c r="E173" s="43">
        <v>30418114</v>
      </c>
      <c r="F173" s="44">
        <v>8394.68</v>
      </c>
      <c r="G173" s="51">
        <v>47199735</v>
      </c>
      <c r="H173" s="52">
        <v>11414.65</v>
      </c>
      <c r="I173" s="58">
        <v>5626013</v>
      </c>
      <c r="J173" s="17">
        <v>1714.02</v>
      </c>
      <c r="K173" s="101"/>
      <c r="L173" s="35">
        <v>28455049</v>
      </c>
      <c r="M173" s="36">
        <v>4960.8999999999996</v>
      </c>
      <c r="N173" s="43">
        <v>22400348</v>
      </c>
      <c r="O173" s="44">
        <v>4230.42</v>
      </c>
      <c r="P173" s="51">
        <v>36768806</v>
      </c>
      <c r="Q173" s="52">
        <v>5296.56</v>
      </c>
      <c r="R173" s="58">
        <v>4313716</v>
      </c>
      <c r="S173" s="17">
        <v>600.28</v>
      </c>
      <c r="T173" s="101"/>
      <c r="U173" s="35">
        <f t="shared" si="59"/>
        <v>2333492</v>
      </c>
      <c r="V173" s="36">
        <f t="shared" si="60"/>
        <v>4431.32</v>
      </c>
      <c r="W173" s="43">
        <f t="shared" si="61"/>
        <v>8017766</v>
      </c>
      <c r="X173" s="44">
        <f t="shared" si="62"/>
        <v>4164.26</v>
      </c>
      <c r="Y173" s="51">
        <f t="shared" si="63"/>
        <v>10430929</v>
      </c>
      <c r="Z173" s="52">
        <f t="shared" si="64"/>
        <v>6118.0899999999992</v>
      </c>
      <c r="AA173" s="58">
        <f t="shared" si="65"/>
        <v>1312297</v>
      </c>
      <c r="AB173" s="17">
        <f t="shared" si="66"/>
        <v>1113.74</v>
      </c>
      <c r="AC173" s="101"/>
      <c r="AD173" s="555">
        <f t="shared" si="69"/>
        <v>114032403</v>
      </c>
      <c r="AE173" s="632">
        <f t="shared" si="70"/>
        <v>30915.570000000003</v>
      </c>
    </row>
    <row r="174" spans="1:31" hidden="1" outlineLevel="1">
      <c r="A174" s="97">
        <v>43264</v>
      </c>
      <c r="B174" s="98">
        <f t="shared" si="67"/>
        <v>6</v>
      </c>
      <c r="C174" s="35">
        <v>31524218</v>
      </c>
      <c r="D174" s="36">
        <v>9745.8700000000008</v>
      </c>
      <c r="E174" s="43">
        <v>31574127</v>
      </c>
      <c r="F174" s="44">
        <v>8275.52</v>
      </c>
      <c r="G174" s="51">
        <v>50619255</v>
      </c>
      <c r="H174" s="52">
        <v>12321.87</v>
      </c>
      <c r="I174" s="58">
        <v>5382943</v>
      </c>
      <c r="J174" s="17">
        <v>1772.19</v>
      </c>
      <c r="K174" s="101"/>
      <c r="L174" s="35">
        <v>29147299</v>
      </c>
      <c r="M174" s="36">
        <v>5197.7</v>
      </c>
      <c r="N174" s="43">
        <v>24160590</v>
      </c>
      <c r="O174" s="44">
        <v>4346.8900000000003</v>
      </c>
      <c r="P174" s="51">
        <v>38995399</v>
      </c>
      <c r="Q174" s="52">
        <v>5599.74</v>
      </c>
      <c r="R174" s="58">
        <v>4293220</v>
      </c>
      <c r="S174" s="17">
        <v>634.01</v>
      </c>
      <c r="T174" s="101"/>
      <c r="U174" s="35">
        <f t="shared" si="59"/>
        <v>2376919</v>
      </c>
      <c r="V174" s="36">
        <f t="shared" si="60"/>
        <v>4548.170000000001</v>
      </c>
      <c r="W174" s="43">
        <f t="shared" si="61"/>
        <v>7413537</v>
      </c>
      <c r="X174" s="44">
        <f t="shared" si="62"/>
        <v>3928.63</v>
      </c>
      <c r="Y174" s="51">
        <f t="shared" si="63"/>
        <v>11623856</v>
      </c>
      <c r="Z174" s="52">
        <f t="shared" si="64"/>
        <v>6722.130000000001</v>
      </c>
      <c r="AA174" s="58">
        <f t="shared" si="65"/>
        <v>1089723</v>
      </c>
      <c r="AB174" s="17">
        <f t="shared" si="66"/>
        <v>1138.18</v>
      </c>
      <c r="AC174" s="101"/>
      <c r="AD174" s="555">
        <f t="shared" si="69"/>
        <v>119100543</v>
      </c>
      <c r="AE174" s="632">
        <f t="shared" si="70"/>
        <v>32115.45</v>
      </c>
    </row>
    <row r="175" spans="1:31" hidden="1" outlineLevel="1">
      <c r="A175" s="97">
        <v>43265</v>
      </c>
      <c r="B175" s="98">
        <f t="shared" si="67"/>
        <v>6</v>
      </c>
      <c r="C175" s="35">
        <v>30533261</v>
      </c>
      <c r="D175" s="36">
        <v>10253.43</v>
      </c>
      <c r="E175" s="43">
        <v>30466581</v>
      </c>
      <c r="F175" s="44">
        <v>7802.34</v>
      </c>
      <c r="G175" s="51">
        <v>48606676</v>
      </c>
      <c r="H175" s="52">
        <v>12837.06</v>
      </c>
      <c r="I175" s="58">
        <v>5182047</v>
      </c>
      <c r="J175" s="17">
        <v>1721.86</v>
      </c>
      <c r="K175" s="101"/>
      <c r="L175" s="35">
        <v>28172178</v>
      </c>
      <c r="M175" s="36">
        <v>5461.07</v>
      </c>
      <c r="N175" s="43">
        <v>23928020</v>
      </c>
      <c r="O175" s="44">
        <v>4314.09</v>
      </c>
      <c r="P175" s="51">
        <v>36850048</v>
      </c>
      <c r="Q175" s="52">
        <v>5480.46</v>
      </c>
      <c r="R175" s="58">
        <v>4250358</v>
      </c>
      <c r="S175" s="17">
        <v>650.64</v>
      </c>
      <c r="T175" s="101"/>
      <c r="U175" s="35">
        <f t="shared" si="59"/>
        <v>2361083</v>
      </c>
      <c r="V175" s="36">
        <f t="shared" si="60"/>
        <v>4792.3600000000006</v>
      </c>
      <c r="W175" s="43">
        <f t="shared" si="61"/>
        <v>6538561</v>
      </c>
      <c r="X175" s="44">
        <f t="shared" si="62"/>
        <v>3488.25</v>
      </c>
      <c r="Y175" s="51">
        <f t="shared" si="63"/>
        <v>11756628</v>
      </c>
      <c r="Z175" s="52">
        <f t="shared" si="64"/>
        <v>7356.5999999999995</v>
      </c>
      <c r="AA175" s="58">
        <f t="shared" si="65"/>
        <v>931689</v>
      </c>
      <c r="AB175" s="17">
        <f t="shared" si="66"/>
        <v>1071.2199999999998</v>
      </c>
      <c r="AC175" s="101"/>
      <c r="AD175" s="555">
        <f t="shared" si="69"/>
        <v>114788565</v>
      </c>
      <c r="AE175" s="632">
        <f t="shared" si="70"/>
        <v>32614.690000000002</v>
      </c>
    </row>
    <row r="176" spans="1:31" hidden="1" outlineLevel="1">
      <c r="A176" s="97">
        <v>43266</v>
      </c>
      <c r="B176" s="98">
        <f t="shared" si="67"/>
        <v>6</v>
      </c>
      <c r="C176" s="35">
        <v>30402744</v>
      </c>
      <c r="D176" s="36">
        <v>10189.07</v>
      </c>
      <c r="E176" s="43">
        <v>30648777</v>
      </c>
      <c r="F176" s="44">
        <v>7529.42</v>
      </c>
      <c r="G176" s="51">
        <v>52569955</v>
      </c>
      <c r="H176" s="52">
        <v>14282</v>
      </c>
      <c r="I176" s="58">
        <v>5157184</v>
      </c>
      <c r="J176" s="17">
        <v>1829.22</v>
      </c>
      <c r="K176" s="101"/>
      <c r="L176" s="35">
        <v>27955215</v>
      </c>
      <c r="M176" s="36">
        <v>5333.83</v>
      </c>
      <c r="N176" s="43">
        <v>24630869</v>
      </c>
      <c r="O176" s="44">
        <v>4307.01</v>
      </c>
      <c r="P176" s="51">
        <v>38330627</v>
      </c>
      <c r="Q176" s="52">
        <v>5781.29</v>
      </c>
      <c r="R176" s="58">
        <v>4074813</v>
      </c>
      <c r="S176" s="17">
        <v>597.35</v>
      </c>
      <c r="T176" s="101"/>
      <c r="U176" s="35">
        <f t="shared" si="59"/>
        <v>2447529</v>
      </c>
      <c r="V176" s="36">
        <f t="shared" si="60"/>
        <v>4855.24</v>
      </c>
      <c r="W176" s="43">
        <f t="shared" si="61"/>
        <v>6017908</v>
      </c>
      <c r="X176" s="44">
        <f t="shared" si="62"/>
        <v>3222.41</v>
      </c>
      <c r="Y176" s="51">
        <f t="shared" si="63"/>
        <v>14239328</v>
      </c>
      <c r="Z176" s="52">
        <f t="shared" si="64"/>
        <v>8500.7099999999991</v>
      </c>
      <c r="AA176" s="58">
        <f t="shared" si="65"/>
        <v>1082371</v>
      </c>
      <c r="AB176" s="17">
        <f t="shared" si="66"/>
        <v>1231.8699999999999</v>
      </c>
      <c r="AC176" s="101"/>
      <c r="AD176" s="555">
        <f t="shared" si="69"/>
        <v>118778660</v>
      </c>
      <c r="AE176" s="632">
        <f t="shared" si="70"/>
        <v>33829.71</v>
      </c>
    </row>
    <row r="177" spans="1:31" hidden="1" outlineLevel="1">
      <c r="A177" s="97">
        <v>43267</v>
      </c>
      <c r="B177" s="98">
        <f t="shared" si="67"/>
        <v>6</v>
      </c>
      <c r="C177" s="35">
        <v>31595026</v>
      </c>
      <c r="D177" s="36">
        <v>9715.39</v>
      </c>
      <c r="E177" s="43">
        <v>32374446</v>
      </c>
      <c r="F177" s="44">
        <v>7680.74</v>
      </c>
      <c r="G177" s="51">
        <v>58424442</v>
      </c>
      <c r="H177" s="52">
        <v>16348.84</v>
      </c>
      <c r="I177" s="58">
        <v>5445500</v>
      </c>
      <c r="J177" s="17">
        <v>1874.41</v>
      </c>
      <c r="K177" s="101"/>
      <c r="L177" s="35">
        <v>29036290</v>
      </c>
      <c r="M177" s="36">
        <v>5062.55</v>
      </c>
      <c r="N177" s="43">
        <v>25534539</v>
      </c>
      <c r="O177" s="44">
        <v>4345.6499999999996</v>
      </c>
      <c r="P177" s="51">
        <v>40362977</v>
      </c>
      <c r="Q177" s="52">
        <v>5734.74</v>
      </c>
      <c r="R177" s="58">
        <v>4261662</v>
      </c>
      <c r="S177" s="17">
        <v>565.36</v>
      </c>
      <c r="T177" s="101"/>
      <c r="U177" s="35">
        <f t="shared" si="59"/>
        <v>2558736</v>
      </c>
      <c r="V177" s="36">
        <f t="shared" si="60"/>
        <v>4652.8399999999992</v>
      </c>
      <c r="W177" s="43">
        <f t="shared" si="61"/>
        <v>6839907</v>
      </c>
      <c r="X177" s="44">
        <f t="shared" si="62"/>
        <v>3335.09</v>
      </c>
      <c r="Y177" s="51">
        <f t="shared" si="63"/>
        <v>18061465</v>
      </c>
      <c r="Z177" s="52">
        <f t="shared" si="64"/>
        <v>10614.1</v>
      </c>
      <c r="AA177" s="58">
        <f t="shared" si="65"/>
        <v>1183838</v>
      </c>
      <c r="AB177" s="17">
        <f t="shared" si="66"/>
        <v>1309.0500000000002</v>
      </c>
      <c r="AC177" s="101"/>
      <c r="AD177" s="555">
        <f t="shared" si="69"/>
        <v>127839414</v>
      </c>
      <c r="AE177" s="632">
        <f t="shared" si="70"/>
        <v>35619.380000000005</v>
      </c>
    </row>
    <row r="178" spans="1:31" hidden="1" outlineLevel="1">
      <c r="A178" s="97">
        <v>43268</v>
      </c>
      <c r="B178" s="98">
        <f t="shared" si="67"/>
        <v>6</v>
      </c>
      <c r="C178" s="35">
        <v>30503158</v>
      </c>
      <c r="D178" s="36">
        <v>9283.14</v>
      </c>
      <c r="E178" s="43">
        <v>32478191</v>
      </c>
      <c r="F178" s="44">
        <v>8630.68</v>
      </c>
      <c r="G178" s="51">
        <v>59744632</v>
      </c>
      <c r="H178" s="52">
        <v>17994.52</v>
      </c>
      <c r="I178" s="58">
        <v>5745145</v>
      </c>
      <c r="J178" s="17">
        <v>1812.79</v>
      </c>
      <c r="K178" s="101"/>
      <c r="L178" s="35">
        <v>28066392</v>
      </c>
      <c r="M178" s="36">
        <v>4895.51</v>
      </c>
      <c r="N178" s="43">
        <v>24323975</v>
      </c>
      <c r="O178" s="44">
        <v>4404.91</v>
      </c>
      <c r="P178" s="51">
        <v>41423794</v>
      </c>
      <c r="Q178" s="52">
        <v>7175.87</v>
      </c>
      <c r="R178" s="58">
        <v>4519856</v>
      </c>
      <c r="S178" s="17">
        <v>566.26</v>
      </c>
      <c r="T178" s="101"/>
      <c r="U178" s="35">
        <f t="shared" si="59"/>
        <v>2436766</v>
      </c>
      <c r="V178" s="36">
        <f t="shared" si="60"/>
        <v>4387.6299999999992</v>
      </c>
      <c r="W178" s="43">
        <f t="shared" si="61"/>
        <v>8154216</v>
      </c>
      <c r="X178" s="44">
        <f t="shared" si="62"/>
        <v>4225.7700000000004</v>
      </c>
      <c r="Y178" s="51">
        <f t="shared" si="63"/>
        <v>18320838</v>
      </c>
      <c r="Z178" s="52">
        <f t="shared" si="64"/>
        <v>10818.650000000001</v>
      </c>
      <c r="AA178" s="58">
        <f t="shared" si="65"/>
        <v>1225289</v>
      </c>
      <c r="AB178" s="17">
        <f t="shared" si="66"/>
        <v>1246.53</v>
      </c>
      <c r="AC178" s="101"/>
      <c r="AD178" s="555">
        <f t="shared" si="69"/>
        <v>128471126</v>
      </c>
      <c r="AE178" s="632">
        <f t="shared" si="70"/>
        <v>37721.129999999997</v>
      </c>
    </row>
    <row r="179" spans="1:31" hidden="1" outlineLevel="1">
      <c r="A179" s="97">
        <v>43269</v>
      </c>
      <c r="B179" s="98">
        <f t="shared" si="67"/>
        <v>6</v>
      </c>
      <c r="C179" s="35">
        <v>29071482</v>
      </c>
      <c r="D179" s="36">
        <v>9313.27</v>
      </c>
      <c r="E179" s="43">
        <v>30956498</v>
      </c>
      <c r="F179" s="44">
        <v>8994.42</v>
      </c>
      <c r="G179" s="51">
        <v>57560795</v>
      </c>
      <c r="H179" s="52">
        <v>19590</v>
      </c>
      <c r="I179" s="58">
        <v>5597351</v>
      </c>
      <c r="J179" s="17">
        <v>1669.57</v>
      </c>
      <c r="K179" s="101"/>
      <c r="L179" s="35">
        <v>26739423</v>
      </c>
      <c r="M179" s="36">
        <v>4995.9399999999996</v>
      </c>
      <c r="N179" s="43">
        <v>22320782</v>
      </c>
      <c r="O179" s="44">
        <v>4355.91</v>
      </c>
      <c r="P179" s="51">
        <v>39757303</v>
      </c>
      <c r="Q179" s="52">
        <v>7671.59</v>
      </c>
      <c r="R179" s="58">
        <v>4464378</v>
      </c>
      <c r="S179" s="17">
        <v>570.11</v>
      </c>
      <c r="T179" s="101"/>
      <c r="U179" s="35">
        <f t="shared" si="59"/>
        <v>2332059</v>
      </c>
      <c r="V179" s="36">
        <f t="shared" si="60"/>
        <v>4317.3300000000008</v>
      </c>
      <c r="W179" s="43">
        <f t="shared" si="61"/>
        <v>8635716</v>
      </c>
      <c r="X179" s="44">
        <f t="shared" si="62"/>
        <v>4638.51</v>
      </c>
      <c r="Y179" s="51">
        <f t="shared" si="63"/>
        <v>17803492</v>
      </c>
      <c r="Z179" s="52">
        <f t="shared" si="64"/>
        <v>11918.41</v>
      </c>
      <c r="AA179" s="58">
        <f t="shared" si="65"/>
        <v>1132973</v>
      </c>
      <c r="AB179" s="17">
        <f t="shared" si="66"/>
        <v>1099.46</v>
      </c>
      <c r="AC179" s="101"/>
      <c r="AD179" s="555">
        <f t="shared" si="69"/>
        <v>123186126</v>
      </c>
      <c r="AE179" s="632">
        <f t="shared" si="70"/>
        <v>39567.26</v>
      </c>
    </row>
    <row r="180" spans="1:31" hidden="1" outlineLevel="1">
      <c r="A180" s="97">
        <v>43270</v>
      </c>
      <c r="B180" s="98">
        <f t="shared" si="67"/>
        <v>6</v>
      </c>
      <c r="C180" s="35">
        <v>29170973</v>
      </c>
      <c r="D180" s="36">
        <v>9558.4</v>
      </c>
      <c r="E180" s="43">
        <v>33259550</v>
      </c>
      <c r="F180" s="44">
        <v>10465.73</v>
      </c>
      <c r="G180" s="51">
        <v>61235295</v>
      </c>
      <c r="H180" s="52">
        <v>21604.560000000001</v>
      </c>
      <c r="I180" s="58">
        <v>4736896</v>
      </c>
      <c r="J180" s="17">
        <v>1496.25</v>
      </c>
      <c r="K180" s="101"/>
      <c r="L180" s="35">
        <v>26721769</v>
      </c>
      <c r="M180" s="36">
        <v>5010.07</v>
      </c>
      <c r="N180" s="43">
        <v>21978855</v>
      </c>
      <c r="O180" s="44">
        <v>4282.91</v>
      </c>
      <c r="P180" s="51">
        <v>38671732</v>
      </c>
      <c r="Q180" s="52">
        <v>6992.48</v>
      </c>
      <c r="R180" s="58">
        <v>3786867</v>
      </c>
      <c r="S180" s="17">
        <v>551.17999999999995</v>
      </c>
      <c r="T180" s="101"/>
      <c r="U180" s="35">
        <f t="shared" si="59"/>
        <v>2449204</v>
      </c>
      <c r="V180" s="36">
        <f t="shared" si="60"/>
        <v>4548.33</v>
      </c>
      <c r="W180" s="43">
        <f t="shared" si="61"/>
        <v>11280695</v>
      </c>
      <c r="X180" s="44">
        <f t="shared" si="62"/>
        <v>6182.82</v>
      </c>
      <c r="Y180" s="51">
        <f t="shared" si="63"/>
        <v>22563563</v>
      </c>
      <c r="Z180" s="52">
        <f t="shared" si="64"/>
        <v>14612.080000000002</v>
      </c>
      <c r="AA180" s="58">
        <f t="shared" si="65"/>
        <v>950029</v>
      </c>
      <c r="AB180" s="17">
        <f t="shared" si="66"/>
        <v>945.07</v>
      </c>
      <c r="AC180" s="101"/>
      <c r="AD180" s="555">
        <f t="shared" si="69"/>
        <v>128402714</v>
      </c>
      <c r="AE180" s="632">
        <f t="shared" si="70"/>
        <v>43124.94</v>
      </c>
    </row>
    <row r="181" spans="1:31" hidden="1" outlineLevel="1">
      <c r="A181" s="97">
        <v>43271</v>
      </c>
      <c r="B181" s="98">
        <f t="shared" si="67"/>
        <v>6</v>
      </c>
      <c r="C181" s="35">
        <v>28978379</v>
      </c>
      <c r="D181" s="36">
        <v>10365.879999999999</v>
      </c>
      <c r="E181" s="43">
        <v>33527716</v>
      </c>
      <c r="F181" s="44">
        <v>11165.15</v>
      </c>
      <c r="G181" s="51">
        <v>60440233</v>
      </c>
      <c r="H181" s="52">
        <v>24402.02</v>
      </c>
      <c r="I181" s="58">
        <v>4136031</v>
      </c>
      <c r="J181" s="17">
        <v>1398.32</v>
      </c>
      <c r="K181" s="101"/>
      <c r="L181" s="35">
        <v>26489920</v>
      </c>
      <c r="M181" s="36">
        <v>5728.77</v>
      </c>
      <c r="N181" s="43">
        <v>22033594</v>
      </c>
      <c r="O181" s="44">
        <v>4871.7</v>
      </c>
      <c r="P181" s="51">
        <v>37270305</v>
      </c>
      <c r="Q181" s="52">
        <v>7351.95</v>
      </c>
      <c r="R181" s="58">
        <v>3341259</v>
      </c>
      <c r="S181" s="17">
        <v>566.97</v>
      </c>
      <c r="T181" s="101"/>
      <c r="U181" s="35">
        <f t="shared" si="59"/>
        <v>2488459</v>
      </c>
      <c r="V181" s="36">
        <f t="shared" si="60"/>
        <v>4637.1099999999988</v>
      </c>
      <c r="W181" s="43">
        <f t="shared" si="61"/>
        <v>11494122</v>
      </c>
      <c r="X181" s="44">
        <f t="shared" si="62"/>
        <v>6293.45</v>
      </c>
      <c r="Y181" s="51">
        <f t="shared" si="63"/>
        <v>23169928</v>
      </c>
      <c r="Z181" s="52">
        <f t="shared" si="64"/>
        <v>17050.07</v>
      </c>
      <c r="AA181" s="58">
        <f t="shared" si="65"/>
        <v>794772</v>
      </c>
      <c r="AB181" s="17">
        <f t="shared" si="66"/>
        <v>831.34999999999991</v>
      </c>
      <c r="AC181" s="101"/>
      <c r="AD181" s="555">
        <f t="shared" si="69"/>
        <v>127082359</v>
      </c>
      <c r="AE181" s="632">
        <f t="shared" si="70"/>
        <v>47331.37</v>
      </c>
    </row>
    <row r="182" spans="1:31" hidden="1" outlineLevel="1">
      <c r="A182" s="97">
        <v>43272</v>
      </c>
      <c r="B182" s="98">
        <f t="shared" si="67"/>
        <v>6</v>
      </c>
      <c r="C182" s="35">
        <v>30048284</v>
      </c>
      <c r="D182" s="36">
        <v>10511.49</v>
      </c>
      <c r="E182" s="43">
        <v>32187663</v>
      </c>
      <c r="F182" s="44">
        <v>9567.7199999999993</v>
      </c>
      <c r="G182" s="51">
        <v>55805368</v>
      </c>
      <c r="H182" s="52">
        <v>20445.259999999998</v>
      </c>
      <c r="I182" s="58">
        <v>4165112</v>
      </c>
      <c r="J182" s="17">
        <v>1354.59</v>
      </c>
      <c r="K182" s="101"/>
      <c r="L182" s="35">
        <v>27476417</v>
      </c>
      <c r="M182" s="36">
        <v>5755.85</v>
      </c>
      <c r="N182" s="43">
        <v>22281454</v>
      </c>
      <c r="O182" s="44">
        <v>4393.29</v>
      </c>
      <c r="P182" s="51">
        <v>36118669</v>
      </c>
      <c r="Q182" s="52">
        <v>6540.84</v>
      </c>
      <c r="R182" s="58">
        <v>3418107</v>
      </c>
      <c r="S182" s="17">
        <v>524.99</v>
      </c>
      <c r="T182" s="101"/>
      <c r="U182" s="35">
        <f t="shared" si="59"/>
        <v>2571867</v>
      </c>
      <c r="V182" s="36">
        <f t="shared" si="60"/>
        <v>4755.6399999999994</v>
      </c>
      <c r="W182" s="43">
        <f t="shared" si="61"/>
        <v>9906209</v>
      </c>
      <c r="X182" s="44">
        <f t="shared" si="62"/>
        <v>5174.4299999999994</v>
      </c>
      <c r="Y182" s="51">
        <f t="shared" si="63"/>
        <v>19686699</v>
      </c>
      <c r="Z182" s="52">
        <f t="shared" si="64"/>
        <v>13904.419999999998</v>
      </c>
      <c r="AA182" s="58">
        <f t="shared" si="65"/>
        <v>747005</v>
      </c>
      <c r="AB182" s="17">
        <f t="shared" si="66"/>
        <v>829.59999999999991</v>
      </c>
      <c r="AC182" s="101"/>
      <c r="AD182" s="555">
        <f t="shared" si="69"/>
        <v>122206427</v>
      </c>
      <c r="AE182" s="632">
        <f t="shared" si="70"/>
        <v>41879.06</v>
      </c>
    </row>
    <row r="183" spans="1:31" hidden="1" outlineLevel="1">
      <c r="A183" s="97">
        <v>43273</v>
      </c>
      <c r="B183" s="98">
        <f t="shared" si="67"/>
        <v>6</v>
      </c>
      <c r="C183" s="35">
        <v>30889096</v>
      </c>
      <c r="D183" s="36">
        <v>10822.96</v>
      </c>
      <c r="E183" s="43">
        <v>31072152</v>
      </c>
      <c r="F183" s="44">
        <v>8749.0499999999993</v>
      </c>
      <c r="G183" s="51">
        <v>54897852</v>
      </c>
      <c r="H183" s="52">
        <v>18319.400000000001</v>
      </c>
      <c r="I183" s="58">
        <v>3890416</v>
      </c>
      <c r="J183" s="17">
        <v>1051.83</v>
      </c>
      <c r="K183" s="101"/>
      <c r="L183" s="35">
        <v>28194906</v>
      </c>
      <c r="M183" s="36">
        <v>6073.55</v>
      </c>
      <c r="N183" s="43">
        <v>22475072</v>
      </c>
      <c r="O183" s="44">
        <v>4477.8599999999997</v>
      </c>
      <c r="P183" s="51">
        <v>38426781</v>
      </c>
      <c r="Q183" s="52">
        <v>7846.99</v>
      </c>
      <c r="R183" s="58">
        <v>3252027</v>
      </c>
      <c r="S183" s="17">
        <v>438.87</v>
      </c>
      <c r="T183" s="101"/>
      <c r="U183" s="35">
        <f t="shared" si="59"/>
        <v>2694190</v>
      </c>
      <c r="V183" s="36">
        <f t="shared" si="60"/>
        <v>4749.4099999999989</v>
      </c>
      <c r="W183" s="43">
        <f t="shared" si="61"/>
        <v>8597080</v>
      </c>
      <c r="X183" s="44">
        <f t="shared" si="62"/>
        <v>4271.1899999999996</v>
      </c>
      <c r="Y183" s="51">
        <f t="shared" si="63"/>
        <v>16471071</v>
      </c>
      <c r="Z183" s="52">
        <f t="shared" si="64"/>
        <v>10472.410000000002</v>
      </c>
      <c r="AA183" s="58">
        <f t="shared" si="65"/>
        <v>638389</v>
      </c>
      <c r="AB183" s="17">
        <f t="shared" si="66"/>
        <v>612.95999999999992</v>
      </c>
      <c r="AC183" s="101"/>
      <c r="AD183" s="555">
        <f t="shared" si="69"/>
        <v>120749516</v>
      </c>
      <c r="AE183" s="632">
        <f t="shared" si="70"/>
        <v>38943.240000000005</v>
      </c>
    </row>
    <row r="184" spans="1:31" hidden="1" outlineLevel="1">
      <c r="A184" s="97">
        <v>43274</v>
      </c>
      <c r="B184" s="98">
        <f t="shared" si="67"/>
        <v>6</v>
      </c>
      <c r="C184" s="35">
        <v>33599396</v>
      </c>
      <c r="D184" s="36">
        <v>11067.34</v>
      </c>
      <c r="E184" s="43">
        <v>30020274</v>
      </c>
      <c r="F184" s="44">
        <v>7679.84</v>
      </c>
      <c r="G184" s="51">
        <v>57184794</v>
      </c>
      <c r="H184" s="52">
        <v>16877.71</v>
      </c>
      <c r="I184" s="58">
        <v>4956386</v>
      </c>
      <c r="J184" s="17">
        <v>1615.17</v>
      </c>
      <c r="K184" s="101"/>
      <c r="L184" s="35">
        <v>30797637</v>
      </c>
      <c r="M184" s="36">
        <v>6329.72</v>
      </c>
      <c r="N184" s="43">
        <v>23464713</v>
      </c>
      <c r="O184" s="44">
        <v>4494.7700000000004</v>
      </c>
      <c r="P184" s="51">
        <v>40331503</v>
      </c>
      <c r="Q184" s="52">
        <v>7085.9</v>
      </c>
      <c r="R184" s="58">
        <v>3482113</v>
      </c>
      <c r="S184" s="17">
        <v>419.23</v>
      </c>
      <c r="T184" s="101"/>
      <c r="U184" s="35">
        <f t="shared" si="59"/>
        <v>2801759</v>
      </c>
      <c r="V184" s="36">
        <f t="shared" si="60"/>
        <v>4737.62</v>
      </c>
      <c r="W184" s="43">
        <f t="shared" si="61"/>
        <v>6555561</v>
      </c>
      <c r="X184" s="44">
        <f t="shared" si="62"/>
        <v>3185.0699999999997</v>
      </c>
      <c r="Y184" s="51">
        <f t="shared" si="63"/>
        <v>16853291</v>
      </c>
      <c r="Z184" s="52">
        <f t="shared" si="64"/>
        <v>9791.81</v>
      </c>
      <c r="AA184" s="58">
        <f t="shared" si="65"/>
        <v>1474273</v>
      </c>
      <c r="AB184" s="17">
        <f t="shared" si="66"/>
        <v>1195.94</v>
      </c>
      <c r="AC184" s="101"/>
      <c r="AD184" s="555">
        <f t="shared" si="69"/>
        <v>125760850</v>
      </c>
      <c r="AE184" s="632">
        <f t="shared" si="70"/>
        <v>37240.06</v>
      </c>
    </row>
    <row r="185" spans="1:31" hidden="1" outlineLevel="1">
      <c r="A185" s="97">
        <v>43275</v>
      </c>
      <c r="B185" s="98">
        <f t="shared" si="67"/>
        <v>6</v>
      </c>
      <c r="C185" s="35">
        <v>31825179</v>
      </c>
      <c r="D185" s="36">
        <v>10544.55</v>
      </c>
      <c r="E185" s="43">
        <v>27543780</v>
      </c>
      <c r="F185" s="44">
        <v>7071.12</v>
      </c>
      <c r="G185" s="51">
        <v>56137956</v>
      </c>
      <c r="H185" s="52">
        <v>18667.3</v>
      </c>
      <c r="I185" s="58">
        <v>4137307</v>
      </c>
      <c r="J185" s="17">
        <v>991.76</v>
      </c>
      <c r="K185" s="101"/>
      <c r="L185" s="35">
        <v>29228318</v>
      </c>
      <c r="M185" s="36">
        <v>5957.66</v>
      </c>
      <c r="N185" s="43">
        <v>21767652</v>
      </c>
      <c r="O185" s="44">
        <v>4301.18</v>
      </c>
      <c r="P185" s="51">
        <v>39863812</v>
      </c>
      <c r="Q185" s="52">
        <v>7968.94</v>
      </c>
      <c r="R185" s="58">
        <v>3438645</v>
      </c>
      <c r="S185" s="17">
        <v>393.63</v>
      </c>
      <c r="T185" s="101"/>
      <c r="U185" s="35">
        <f t="shared" si="59"/>
        <v>2596861</v>
      </c>
      <c r="V185" s="36">
        <f t="shared" si="60"/>
        <v>4586.8899999999994</v>
      </c>
      <c r="W185" s="43">
        <f t="shared" si="61"/>
        <v>5776128</v>
      </c>
      <c r="X185" s="44">
        <f t="shared" si="62"/>
        <v>2769.9399999999996</v>
      </c>
      <c r="Y185" s="51">
        <f t="shared" si="63"/>
        <v>16274144</v>
      </c>
      <c r="Z185" s="52">
        <f t="shared" si="64"/>
        <v>10698.36</v>
      </c>
      <c r="AA185" s="58">
        <f t="shared" si="65"/>
        <v>698662</v>
      </c>
      <c r="AB185" s="17">
        <f t="shared" si="66"/>
        <v>598.13</v>
      </c>
      <c r="AC185" s="101"/>
      <c r="AD185" s="555">
        <f t="shared" si="69"/>
        <v>119644222</v>
      </c>
      <c r="AE185" s="632">
        <f t="shared" si="70"/>
        <v>37274.730000000003</v>
      </c>
    </row>
    <row r="186" spans="1:31" hidden="1" outlineLevel="1">
      <c r="A186" s="97">
        <v>43276</v>
      </c>
      <c r="B186" s="98">
        <f t="shared" si="67"/>
        <v>6</v>
      </c>
      <c r="C186" s="35">
        <v>31741432</v>
      </c>
      <c r="D186" s="36">
        <v>10905.93</v>
      </c>
      <c r="E186" s="43">
        <v>26048903</v>
      </c>
      <c r="F186" s="44">
        <v>6741.11</v>
      </c>
      <c r="G186" s="51">
        <v>54728194</v>
      </c>
      <c r="H186" s="52">
        <v>17364.84</v>
      </c>
      <c r="I186" s="58">
        <v>3725988</v>
      </c>
      <c r="J186" s="17">
        <v>920.47</v>
      </c>
      <c r="K186" s="101"/>
      <c r="L186" s="35">
        <v>29194611</v>
      </c>
      <c r="M186" s="36">
        <v>6310.45</v>
      </c>
      <c r="N186" s="43">
        <v>20880950</v>
      </c>
      <c r="O186" s="44">
        <v>4226.1099999999997</v>
      </c>
      <c r="P186" s="51">
        <v>40509789</v>
      </c>
      <c r="Q186" s="52">
        <v>7400.14</v>
      </c>
      <c r="R186" s="58">
        <v>3352900</v>
      </c>
      <c r="S186" s="17">
        <v>420.94</v>
      </c>
      <c r="T186" s="101"/>
      <c r="U186" s="35">
        <f t="shared" si="59"/>
        <v>2546821</v>
      </c>
      <c r="V186" s="36">
        <f t="shared" si="60"/>
        <v>4595.4800000000005</v>
      </c>
      <c r="W186" s="43">
        <f t="shared" si="61"/>
        <v>5167953</v>
      </c>
      <c r="X186" s="44">
        <f t="shared" si="62"/>
        <v>2515</v>
      </c>
      <c r="Y186" s="51">
        <f t="shared" si="63"/>
        <v>14218405</v>
      </c>
      <c r="Z186" s="52">
        <f t="shared" si="64"/>
        <v>9964.7000000000007</v>
      </c>
      <c r="AA186" s="58">
        <f t="shared" si="65"/>
        <v>373088</v>
      </c>
      <c r="AB186" s="17">
        <f t="shared" si="66"/>
        <v>499.53000000000003</v>
      </c>
      <c r="AC186" s="101"/>
      <c r="AD186" s="555">
        <f t="shared" si="69"/>
        <v>116244517</v>
      </c>
      <c r="AE186" s="632">
        <f t="shared" si="70"/>
        <v>35932.350000000006</v>
      </c>
    </row>
    <row r="187" spans="1:31" hidden="1" outlineLevel="1">
      <c r="A187" s="97">
        <v>43277</v>
      </c>
      <c r="B187" s="98">
        <f t="shared" si="67"/>
        <v>6</v>
      </c>
      <c r="C187" s="35">
        <v>32325794</v>
      </c>
      <c r="D187" s="36">
        <v>11171.23</v>
      </c>
      <c r="E187" s="43">
        <v>27630397</v>
      </c>
      <c r="F187" s="44">
        <v>6791.58</v>
      </c>
      <c r="G187" s="51">
        <v>53923829</v>
      </c>
      <c r="H187" s="52">
        <v>15650.47</v>
      </c>
      <c r="I187" s="58">
        <v>3962360</v>
      </c>
      <c r="J187" s="17">
        <v>964.31</v>
      </c>
      <c r="K187" s="101"/>
      <c r="L187" s="35">
        <v>29711060</v>
      </c>
      <c r="M187" s="36">
        <v>6277.93</v>
      </c>
      <c r="N187" s="43">
        <v>22074738</v>
      </c>
      <c r="O187" s="44">
        <v>4062.66</v>
      </c>
      <c r="P187" s="51">
        <v>39453717</v>
      </c>
      <c r="Q187" s="52">
        <v>6480.8</v>
      </c>
      <c r="R187" s="58">
        <v>3547427</v>
      </c>
      <c r="S187" s="17">
        <v>435.05</v>
      </c>
      <c r="T187" s="101"/>
      <c r="U187" s="35">
        <f t="shared" si="59"/>
        <v>2614734</v>
      </c>
      <c r="V187" s="36">
        <f t="shared" si="60"/>
        <v>4893.2999999999993</v>
      </c>
      <c r="W187" s="43">
        <f t="shared" si="61"/>
        <v>5555659</v>
      </c>
      <c r="X187" s="44">
        <f t="shared" si="62"/>
        <v>2728.92</v>
      </c>
      <c r="Y187" s="51">
        <f t="shared" si="63"/>
        <v>14470112</v>
      </c>
      <c r="Z187" s="52">
        <f t="shared" si="64"/>
        <v>9169.6699999999983</v>
      </c>
      <c r="AA187" s="58">
        <f t="shared" si="65"/>
        <v>414933</v>
      </c>
      <c r="AB187" s="17">
        <f t="shared" si="66"/>
        <v>529.26</v>
      </c>
      <c r="AC187" s="101"/>
      <c r="AD187" s="555">
        <f t="shared" si="69"/>
        <v>117842380</v>
      </c>
      <c r="AE187" s="632">
        <f t="shared" si="70"/>
        <v>34577.589999999997</v>
      </c>
    </row>
    <row r="188" spans="1:31" hidden="1" outlineLevel="1">
      <c r="A188" s="97">
        <v>43278</v>
      </c>
      <c r="B188" s="98">
        <f t="shared" si="67"/>
        <v>6</v>
      </c>
      <c r="C188" s="35">
        <v>31473932</v>
      </c>
      <c r="D188" s="36">
        <v>11577.69</v>
      </c>
      <c r="E188" s="43">
        <v>29154056</v>
      </c>
      <c r="F188" s="44">
        <v>7240.57</v>
      </c>
      <c r="G188" s="51">
        <v>59228295</v>
      </c>
      <c r="H188" s="52">
        <v>22555.83</v>
      </c>
      <c r="I188" s="58">
        <v>4202094</v>
      </c>
      <c r="J188" s="17">
        <v>1076.51</v>
      </c>
      <c r="K188" s="101"/>
      <c r="L188" s="35">
        <v>28899073</v>
      </c>
      <c r="M188" s="36">
        <v>6641.61</v>
      </c>
      <c r="N188" s="43">
        <v>23414291</v>
      </c>
      <c r="O188" s="44">
        <v>4432.24</v>
      </c>
      <c r="P188" s="51">
        <v>39202404</v>
      </c>
      <c r="Q188" s="52">
        <v>6613.86</v>
      </c>
      <c r="R188" s="58">
        <v>3753943</v>
      </c>
      <c r="S188" s="17">
        <v>501</v>
      </c>
      <c r="T188" s="101"/>
      <c r="U188" s="35">
        <f t="shared" si="59"/>
        <v>2574859</v>
      </c>
      <c r="V188" s="36">
        <f t="shared" si="60"/>
        <v>4936.0800000000008</v>
      </c>
      <c r="W188" s="43">
        <f t="shared" si="61"/>
        <v>5739765</v>
      </c>
      <c r="X188" s="44">
        <f t="shared" si="62"/>
        <v>2808.33</v>
      </c>
      <c r="Y188" s="51">
        <f t="shared" si="63"/>
        <v>20025891</v>
      </c>
      <c r="Z188" s="52">
        <f t="shared" si="64"/>
        <v>15941.970000000001</v>
      </c>
      <c r="AA188" s="58">
        <f t="shared" si="65"/>
        <v>448151</v>
      </c>
      <c r="AB188" s="17">
        <f t="shared" si="66"/>
        <v>575.51</v>
      </c>
      <c r="AC188" s="101"/>
      <c r="AD188" s="555">
        <f t="shared" si="69"/>
        <v>124058377</v>
      </c>
      <c r="AE188" s="632">
        <f t="shared" si="70"/>
        <v>42450.600000000006</v>
      </c>
    </row>
    <row r="189" spans="1:31" hidden="1" outlineLevel="1">
      <c r="A189" s="97">
        <v>43279</v>
      </c>
      <c r="B189" s="98">
        <f t="shared" si="67"/>
        <v>6</v>
      </c>
      <c r="C189" s="35">
        <v>31704852</v>
      </c>
      <c r="D189" s="36">
        <v>11427.46</v>
      </c>
      <c r="E189" s="43">
        <v>29833992</v>
      </c>
      <c r="F189" s="44">
        <v>7157.89</v>
      </c>
      <c r="G189" s="51">
        <v>60283609</v>
      </c>
      <c r="H189" s="52">
        <v>23233.78</v>
      </c>
      <c r="I189" s="58">
        <v>4585953</v>
      </c>
      <c r="J189" s="17">
        <v>1133.0899999999999</v>
      </c>
      <c r="K189" s="101"/>
      <c r="L189" s="35">
        <v>28953084</v>
      </c>
      <c r="M189" s="36">
        <v>6456.18</v>
      </c>
      <c r="N189" s="43">
        <v>23923387</v>
      </c>
      <c r="O189" s="44">
        <v>4262.37</v>
      </c>
      <c r="P189" s="51">
        <v>38322702</v>
      </c>
      <c r="Q189" s="52">
        <v>5946.77</v>
      </c>
      <c r="R189" s="58">
        <v>4109449</v>
      </c>
      <c r="S189" s="17">
        <v>525.79999999999995</v>
      </c>
      <c r="T189" s="101"/>
      <c r="U189" s="35">
        <f t="shared" si="59"/>
        <v>2751768</v>
      </c>
      <c r="V189" s="36">
        <f t="shared" si="60"/>
        <v>4971.2799999999988</v>
      </c>
      <c r="W189" s="43">
        <f t="shared" si="61"/>
        <v>5910605</v>
      </c>
      <c r="X189" s="44">
        <f t="shared" si="62"/>
        <v>2895.5200000000004</v>
      </c>
      <c r="Y189" s="51">
        <f t="shared" si="63"/>
        <v>21960907</v>
      </c>
      <c r="Z189" s="52">
        <f t="shared" si="64"/>
        <v>17287.009999999998</v>
      </c>
      <c r="AA189" s="58">
        <f t="shared" si="65"/>
        <v>476504</v>
      </c>
      <c r="AB189" s="17">
        <f t="shared" si="66"/>
        <v>607.29</v>
      </c>
      <c r="AC189" s="101"/>
      <c r="AD189" s="555">
        <f t="shared" si="69"/>
        <v>126408406</v>
      </c>
      <c r="AE189" s="632">
        <f t="shared" si="70"/>
        <v>42952.219999999994</v>
      </c>
    </row>
    <row r="190" spans="1:31" hidden="1" outlineLevel="1">
      <c r="A190" s="97">
        <v>43280</v>
      </c>
      <c r="B190" s="98">
        <f t="shared" si="67"/>
        <v>6</v>
      </c>
      <c r="C190" s="35">
        <v>33935840</v>
      </c>
      <c r="D190" s="36">
        <v>11704.16</v>
      </c>
      <c r="E190" s="43">
        <v>31073293</v>
      </c>
      <c r="F190" s="44">
        <v>7583.31</v>
      </c>
      <c r="G190" s="51">
        <v>56915936</v>
      </c>
      <c r="H190" s="52">
        <v>16552.89</v>
      </c>
      <c r="I190" s="58">
        <v>4622537</v>
      </c>
      <c r="J190" s="17">
        <v>1035.45</v>
      </c>
      <c r="K190" s="101"/>
      <c r="L190" s="35">
        <v>30938013</v>
      </c>
      <c r="M190" s="36">
        <v>6497.55</v>
      </c>
      <c r="N190" s="43">
        <v>24142655</v>
      </c>
      <c r="O190" s="44">
        <v>3943.33</v>
      </c>
      <c r="P190" s="51">
        <v>40170053</v>
      </c>
      <c r="Q190" s="52">
        <v>5956.62</v>
      </c>
      <c r="R190" s="58">
        <v>4118036</v>
      </c>
      <c r="S190" s="17">
        <v>466.56</v>
      </c>
      <c r="T190" s="101"/>
      <c r="U190" s="35">
        <f t="shared" si="59"/>
        <v>2997827</v>
      </c>
      <c r="V190" s="36">
        <f t="shared" si="60"/>
        <v>5206.6099999999997</v>
      </c>
      <c r="W190" s="43">
        <f t="shared" si="61"/>
        <v>6930638</v>
      </c>
      <c r="X190" s="44">
        <f t="shared" si="62"/>
        <v>3639.9800000000005</v>
      </c>
      <c r="Y190" s="51">
        <f t="shared" si="63"/>
        <v>16745883</v>
      </c>
      <c r="Z190" s="52">
        <f t="shared" si="64"/>
        <v>10596.27</v>
      </c>
      <c r="AA190" s="58">
        <f t="shared" si="65"/>
        <v>504501</v>
      </c>
      <c r="AB190" s="17">
        <f t="shared" si="66"/>
        <v>568.8900000000001</v>
      </c>
      <c r="AC190" s="101"/>
      <c r="AD190" s="555">
        <f t="shared" si="69"/>
        <v>126547606</v>
      </c>
      <c r="AE190" s="632">
        <f t="shared" si="70"/>
        <v>36875.81</v>
      </c>
    </row>
    <row r="191" spans="1:31" hidden="1" outlineLevel="1">
      <c r="A191" s="97">
        <v>43281</v>
      </c>
      <c r="B191" s="98">
        <f t="shared" si="67"/>
        <v>6</v>
      </c>
      <c r="C191" s="35">
        <v>34205851</v>
      </c>
      <c r="D191" s="36">
        <v>9972.92</v>
      </c>
      <c r="E191" s="43">
        <v>31449969</v>
      </c>
      <c r="F191" s="44">
        <v>6819.71</v>
      </c>
      <c r="G191" s="51">
        <v>54970708</v>
      </c>
      <c r="H191" s="52">
        <v>13605.7</v>
      </c>
      <c r="I191" s="58">
        <v>4614387</v>
      </c>
      <c r="J191" s="17">
        <v>814.49</v>
      </c>
      <c r="K191" s="101"/>
      <c r="L191" s="35">
        <v>31100465</v>
      </c>
      <c r="M191" s="36">
        <v>5508.87</v>
      </c>
      <c r="N191" s="43">
        <v>24615539</v>
      </c>
      <c r="O191" s="44">
        <v>3566.96</v>
      </c>
      <c r="P191" s="51">
        <v>41272089</v>
      </c>
      <c r="Q191" s="52">
        <v>5250.88</v>
      </c>
      <c r="R191" s="58">
        <v>4081949</v>
      </c>
      <c r="S191" s="17">
        <v>356.16</v>
      </c>
      <c r="T191" s="101"/>
      <c r="U191" s="35">
        <f t="shared" si="59"/>
        <v>3105386</v>
      </c>
      <c r="V191" s="36">
        <f t="shared" si="60"/>
        <v>4464.05</v>
      </c>
      <c r="W191" s="43">
        <f t="shared" si="61"/>
        <v>6834430</v>
      </c>
      <c r="X191" s="44">
        <f t="shared" si="62"/>
        <v>3252.75</v>
      </c>
      <c r="Y191" s="51">
        <f t="shared" si="63"/>
        <v>13698619</v>
      </c>
      <c r="Z191" s="52">
        <f t="shared" si="64"/>
        <v>8354.82</v>
      </c>
      <c r="AA191" s="58">
        <f t="shared" si="65"/>
        <v>532438</v>
      </c>
      <c r="AB191" s="17">
        <f t="shared" si="66"/>
        <v>458.33</v>
      </c>
      <c r="AC191" s="101"/>
      <c r="AD191" s="555">
        <f t="shared" si="69"/>
        <v>125240915</v>
      </c>
      <c r="AE191" s="632">
        <f t="shared" si="70"/>
        <v>31212.820000000003</v>
      </c>
    </row>
    <row r="192" spans="1:31" collapsed="1">
      <c r="A192" s="104"/>
      <c r="B192" s="104" t="s">
        <v>20</v>
      </c>
      <c r="C192" s="105">
        <f>SUBTOTAL(9,C193:C223)</f>
        <v>1119435530</v>
      </c>
      <c r="D192" s="106">
        <f t="shared" ref="D192:AB192" si="71">SUBTOTAL(9,D193:D223)</f>
        <v>300910.12999999989</v>
      </c>
      <c r="E192" s="107">
        <f t="shared" si="71"/>
        <v>907602165</v>
      </c>
      <c r="F192" s="108">
        <f t="shared" si="71"/>
        <v>204887.84000000003</v>
      </c>
      <c r="G192" s="109">
        <f t="shared" si="71"/>
        <v>1579239144</v>
      </c>
      <c r="H192" s="110">
        <f t="shared" si="71"/>
        <v>370588.48</v>
      </c>
      <c r="I192" s="111">
        <f t="shared" si="71"/>
        <v>214738755</v>
      </c>
      <c r="J192" s="14">
        <f t="shared" si="71"/>
        <v>40203.839999999997</v>
      </c>
      <c r="K192" s="103"/>
      <c r="L192" s="105">
        <f t="shared" si="71"/>
        <v>1020957380</v>
      </c>
      <c r="M192" s="106">
        <f t="shared" si="71"/>
        <v>182824.15</v>
      </c>
      <c r="N192" s="107">
        <f t="shared" si="71"/>
        <v>680408129</v>
      </c>
      <c r="O192" s="108">
        <f t="shared" si="71"/>
        <v>121549.84</v>
      </c>
      <c r="P192" s="109">
        <f t="shared" si="71"/>
        <v>1226568567</v>
      </c>
      <c r="Q192" s="110">
        <f t="shared" si="71"/>
        <v>201595.1699999999</v>
      </c>
      <c r="R192" s="111">
        <f t="shared" si="71"/>
        <v>153441957</v>
      </c>
      <c r="S192" s="14">
        <f t="shared" si="71"/>
        <v>14448.869999999999</v>
      </c>
      <c r="T192" s="103"/>
      <c r="U192" s="105">
        <f t="shared" si="71"/>
        <v>98478150</v>
      </c>
      <c r="V192" s="106">
        <f t="shared" si="71"/>
        <v>118085.97999999998</v>
      </c>
      <c r="W192" s="107">
        <f t="shared" si="71"/>
        <v>227194036</v>
      </c>
      <c r="X192" s="108">
        <f t="shared" si="71"/>
        <v>83338</v>
      </c>
      <c r="Y192" s="109">
        <f t="shared" si="71"/>
        <v>352670577</v>
      </c>
      <c r="Z192" s="110">
        <f t="shared" si="71"/>
        <v>168993.31000000006</v>
      </c>
      <c r="AA192" s="111">
        <f t="shared" si="71"/>
        <v>61296798</v>
      </c>
      <c r="AB192" s="14">
        <f t="shared" si="71"/>
        <v>25754.969999999994</v>
      </c>
      <c r="AC192" s="103"/>
      <c r="AD192" s="555"/>
      <c r="AE192" s="632"/>
    </row>
    <row r="193" spans="1:31" hidden="1" outlineLevel="1">
      <c r="A193" s="114">
        <v>43282</v>
      </c>
      <c r="B193" s="115">
        <f t="shared" si="67"/>
        <v>7</v>
      </c>
      <c r="C193" s="35">
        <v>32193131</v>
      </c>
      <c r="D193" s="36">
        <v>7947.96</v>
      </c>
      <c r="E193" s="43">
        <v>29328974</v>
      </c>
      <c r="F193" s="44">
        <v>5365.99</v>
      </c>
      <c r="G193" s="51">
        <v>51436334</v>
      </c>
      <c r="H193" s="52">
        <v>10894.79</v>
      </c>
      <c r="I193" s="58">
        <v>4550922</v>
      </c>
      <c r="J193" s="17">
        <v>684.14</v>
      </c>
      <c r="K193" s="101"/>
      <c r="L193" s="35">
        <v>29363223</v>
      </c>
      <c r="M193" s="36">
        <v>4535.7299999999996</v>
      </c>
      <c r="N193" s="43">
        <v>22996161</v>
      </c>
      <c r="O193" s="44">
        <v>3034.96</v>
      </c>
      <c r="P193" s="51">
        <v>38359142</v>
      </c>
      <c r="Q193" s="52">
        <v>4334.5600000000004</v>
      </c>
      <c r="R193" s="58">
        <v>4024256</v>
      </c>
      <c r="S193" s="17">
        <v>299.8</v>
      </c>
      <c r="T193" s="101"/>
      <c r="U193" s="35">
        <f t="shared" si="59"/>
        <v>2829908</v>
      </c>
      <c r="V193" s="36">
        <f t="shared" si="60"/>
        <v>3412.2300000000005</v>
      </c>
      <c r="W193" s="43">
        <f t="shared" si="61"/>
        <v>6332813</v>
      </c>
      <c r="X193" s="44">
        <f t="shared" si="62"/>
        <v>2331.0299999999997</v>
      </c>
      <c r="Y193" s="51">
        <f t="shared" si="63"/>
        <v>13077192</v>
      </c>
      <c r="Z193" s="52">
        <f t="shared" si="64"/>
        <v>6560.2300000000005</v>
      </c>
      <c r="AA193" s="58">
        <f t="shared" si="65"/>
        <v>526666</v>
      </c>
      <c r="AB193" s="17">
        <f t="shared" si="66"/>
        <v>384.34</v>
      </c>
      <c r="AC193" s="101"/>
      <c r="AD193" s="555">
        <f t="shared" si="69"/>
        <v>117509361</v>
      </c>
      <c r="AE193" s="632">
        <f t="shared" si="70"/>
        <v>24892.880000000001</v>
      </c>
    </row>
    <row r="194" spans="1:31" hidden="1" outlineLevel="1">
      <c r="A194" s="114">
        <v>43283</v>
      </c>
      <c r="B194" s="115">
        <f t="shared" si="67"/>
        <v>7</v>
      </c>
      <c r="C194" s="35">
        <v>31766300</v>
      </c>
      <c r="D194" s="36">
        <v>8148.76</v>
      </c>
      <c r="E194" s="43">
        <v>29412073</v>
      </c>
      <c r="F194" s="44">
        <v>6223.45</v>
      </c>
      <c r="G194" s="51">
        <v>51741925</v>
      </c>
      <c r="H194" s="52">
        <v>11516.72</v>
      </c>
      <c r="I194" s="58">
        <v>4485715</v>
      </c>
      <c r="J194" s="17">
        <v>754.02</v>
      </c>
      <c r="K194" s="101"/>
      <c r="L194" s="35">
        <v>28884015</v>
      </c>
      <c r="M194" s="36">
        <v>4711.09</v>
      </c>
      <c r="N194" s="43">
        <v>22648602</v>
      </c>
      <c r="O194" s="44">
        <v>3531.83</v>
      </c>
      <c r="P194" s="51">
        <v>38217041</v>
      </c>
      <c r="Q194" s="52">
        <v>4712.2</v>
      </c>
      <c r="R194" s="58">
        <v>3908366</v>
      </c>
      <c r="S194" s="17">
        <v>326.61</v>
      </c>
      <c r="T194" s="101"/>
      <c r="U194" s="35">
        <f t="shared" si="59"/>
        <v>2882285</v>
      </c>
      <c r="V194" s="36">
        <f t="shared" si="60"/>
        <v>3437.67</v>
      </c>
      <c r="W194" s="43">
        <f t="shared" si="61"/>
        <v>6763471</v>
      </c>
      <c r="X194" s="44">
        <f t="shared" si="62"/>
        <v>2691.62</v>
      </c>
      <c r="Y194" s="51">
        <f t="shared" si="63"/>
        <v>13524884</v>
      </c>
      <c r="Z194" s="52">
        <f t="shared" si="64"/>
        <v>6804.5199999999995</v>
      </c>
      <c r="AA194" s="58">
        <f t="shared" si="65"/>
        <v>577349</v>
      </c>
      <c r="AB194" s="17">
        <f t="shared" si="66"/>
        <v>427.40999999999997</v>
      </c>
      <c r="AC194" s="101"/>
      <c r="AD194" s="555">
        <f t="shared" si="69"/>
        <v>117406013</v>
      </c>
      <c r="AE194" s="632">
        <f t="shared" si="70"/>
        <v>26642.95</v>
      </c>
    </row>
    <row r="195" spans="1:31" hidden="1" outlineLevel="1">
      <c r="A195" s="114">
        <v>43284</v>
      </c>
      <c r="B195" s="115">
        <f t="shared" si="67"/>
        <v>7</v>
      </c>
      <c r="C195" s="35">
        <v>31894426</v>
      </c>
      <c r="D195" s="36">
        <v>8186</v>
      </c>
      <c r="E195" s="43">
        <v>30214765</v>
      </c>
      <c r="F195" s="44">
        <v>6580.42</v>
      </c>
      <c r="G195" s="51">
        <v>51240813</v>
      </c>
      <c r="H195" s="52">
        <v>11381.08</v>
      </c>
      <c r="I195" s="58">
        <v>4643326</v>
      </c>
      <c r="J195" s="17">
        <v>866.63</v>
      </c>
      <c r="K195" s="101"/>
      <c r="L195" s="35">
        <v>28854325</v>
      </c>
      <c r="M195" s="36">
        <v>4693.1899999999996</v>
      </c>
      <c r="N195" s="43">
        <v>22789987</v>
      </c>
      <c r="O195" s="44">
        <v>3616.66</v>
      </c>
      <c r="P195" s="51">
        <v>37911746</v>
      </c>
      <c r="Q195" s="52">
        <v>4806.62</v>
      </c>
      <c r="R195" s="58">
        <v>3891069</v>
      </c>
      <c r="S195" s="17">
        <v>332.67</v>
      </c>
      <c r="T195" s="101"/>
      <c r="U195" s="35">
        <f t="shared" si="59"/>
        <v>3040101</v>
      </c>
      <c r="V195" s="36">
        <f t="shared" si="60"/>
        <v>3492.8100000000004</v>
      </c>
      <c r="W195" s="43">
        <f t="shared" si="61"/>
        <v>7424778</v>
      </c>
      <c r="X195" s="44">
        <f t="shared" si="62"/>
        <v>2963.76</v>
      </c>
      <c r="Y195" s="51">
        <f t="shared" si="63"/>
        <v>13329067</v>
      </c>
      <c r="Z195" s="52">
        <f t="shared" si="64"/>
        <v>6574.46</v>
      </c>
      <c r="AA195" s="58">
        <f t="shared" si="65"/>
        <v>752257</v>
      </c>
      <c r="AB195" s="17">
        <f t="shared" si="66"/>
        <v>533.96</v>
      </c>
      <c r="AC195" s="101"/>
      <c r="AD195" s="555">
        <f t="shared" si="69"/>
        <v>117993330</v>
      </c>
      <c r="AE195" s="632">
        <f t="shared" si="70"/>
        <v>27014.13</v>
      </c>
    </row>
    <row r="196" spans="1:31" hidden="1" outlineLevel="1">
      <c r="A196" s="114">
        <v>43285</v>
      </c>
      <c r="B196" s="115">
        <f t="shared" si="67"/>
        <v>7</v>
      </c>
      <c r="C196" s="35">
        <v>33255838</v>
      </c>
      <c r="D196" s="36">
        <v>8593.5499999999993</v>
      </c>
      <c r="E196" s="43">
        <v>29701938</v>
      </c>
      <c r="F196" s="44">
        <v>6480.36</v>
      </c>
      <c r="G196" s="51">
        <v>54027005</v>
      </c>
      <c r="H196" s="52">
        <v>11982.42</v>
      </c>
      <c r="I196" s="58">
        <v>5109850</v>
      </c>
      <c r="J196" s="17">
        <v>984.97</v>
      </c>
      <c r="K196" s="101"/>
      <c r="L196" s="35">
        <v>29783858</v>
      </c>
      <c r="M196" s="36">
        <v>4936.59</v>
      </c>
      <c r="N196" s="43">
        <v>23279853</v>
      </c>
      <c r="O196" s="44">
        <v>4046.31</v>
      </c>
      <c r="P196" s="51">
        <v>40899461</v>
      </c>
      <c r="Q196" s="52">
        <v>5352.22</v>
      </c>
      <c r="R196" s="58">
        <v>4179490</v>
      </c>
      <c r="S196" s="17">
        <v>356.3</v>
      </c>
      <c r="T196" s="101"/>
      <c r="U196" s="35">
        <f t="shared" si="59"/>
        <v>3471980</v>
      </c>
      <c r="V196" s="36">
        <f t="shared" si="60"/>
        <v>3656.9599999999991</v>
      </c>
      <c r="W196" s="43">
        <f t="shared" si="61"/>
        <v>6422085</v>
      </c>
      <c r="X196" s="44">
        <f t="shared" si="62"/>
        <v>2434.0499999999997</v>
      </c>
      <c r="Y196" s="51">
        <f t="shared" si="63"/>
        <v>13127544</v>
      </c>
      <c r="Z196" s="52">
        <f t="shared" si="64"/>
        <v>6630.2</v>
      </c>
      <c r="AA196" s="58">
        <f t="shared" si="65"/>
        <v>930360</v>
      </c>
      <c r="AB196" s="17">
        <f t="shared" si="66"/>
        <v>628.67000000000007</v>
      </c>
      <c r="AC196" s="101"/>
      <c r="AD196" s="555">
        <f t="shared" si="69"/>
        <v>122094631</v>
      </c>
      <c r="AE196" s="632">
        <f t="shared" si="70"/>
        <v>28041.300000000003</v>
      </c>
    </row>
    <row r="197" spans="1:31" hidden="1" outlineLevel="1">
      <c r="A197" s="114">
        <v>43286</v>
      </c>
      <c r="B197" s="115">
        <f t="shared" si="67"/>
        <v>7</v>
      </c>
      <c r="C197" s="35">
        <v>33272155</v>
      </c>
      <c r="D197" s="36">
        <v>8772.07</v>
      </c>
      <c r="E197" s="43">
        <v>29047437</v>
      </c>
      <c r="F197" s="44">
        <v>5963.04</v>
      </c>
      <c r="G197" s="51">
        <v>52535115</v>
      </c>
      <c r="H197" s="52">
        <v>12031.14</v>
      </c>
      <c r="I197" s="58">
        <v>7035679</v>
      </c>
      <c r="J197" s="17">
        <v>1649.26</v>
      </c>
      <c r="K197" s="101"/>
      <c r="L197" s="35">
        <v>29978369</v>
      </c>
      <c r="M197" s="36">
        <v>5173.58</v>
      </c>
      <c r="N197" s="43">
        <v>22824575</v>
      </c>
      <c r="O197" s="44">
        <v>3766.33</v>
      </c>
      <c r="P197" s="51">
        <v>39379515</v>
      </c>
      <c r="Q197" s="52">
        <v>5437.55</v>
      </c>
      <c r="R197" s="58">
        <v>4411694</v>
      </c>
      <c r="S197" s="17">
        <v>413.31</v>
      </c>
      <c r="T197" s="101"/>
      <c r="U197" s="35">
        <f t="shared" si="59"/>
        <v>3293786</v>
      </c>
      <c r="V197" s="36">
        <f t="shared" si="60"/>
        <v>3598.49</v>
      </c>
      <c r="W197" s="43">
        <f t="shared" si="61"/>
        <v>6222862</v>
      </c>
      <c r="X197" s="44">
        <f t="shared" si="62"/>
        <v>2196.71</v>
      </c>
      <c r="Y197" s="51">
        <f t="shared" si="63"/>
        <v>13155600</v>
      </c>
      <c r="Z197" s="52">
        <f t="shared" si="64"/>
        <v>6593.5899999999992</v>
      </c>
      <c r="AA197" s="58">
        <f t="shared" si="65"/>
        <v>2623985</v>
      </c>
      <c r="AB197" s="17">
        <f t="shared" si="66"/>
        <v>1235.95</v>
      </c>
      <c r="AC197" s="101"/>
      <c r="AD197" s="555">
        <f t="shared" si="69"/>
        <v>121890386</v>
      </c>
      <c r="AE197" s="632">
        <f t="shared" si="70"/>
        <v>28415.51</v>
      </c>
    </row>
    <row r="198" spans="1:31" hidden="1" outlineLevel="1">
      <c r="A198" s="114">
        <v>43287</v>
      </c>
      <c r="B198" s="115">
        <f t="shared" si="67"/>
        <v>7</v>
      </c>
      <c r="C198" s="35">
        <v>32407423</v>
      </c>
      <c r="D198" s="36">
        <v>9145.7199999999993</v>
      </c>
      <c r="E198" s="43">
        <v>29885391</v>
      </c>
      <c r="F198" s="44">
        <v>6676.87</v>
      </c>
      <c r="G198" s="51">
        <v>52411949</v>
      </c>
      <c r="H198" s="52">
        <v>13519.46</v>
      </c>
      <c r="I198" s="58">
        <v>7027120</v>
      </c>
      <c r="J198" s="17">
        <v>1660.78</v>
      </c>
      <c r="K198" s="101"/>
      <c r="L198" s="35">
        <v>29536817</v>
      </c>
      <c r="M198" s="36">
        <v>5579.22</v>
      </c>
      <c r="N198" s="43">
        <v>23101979</v>
      </c>
      <c r="O198" s="44">
        <v>4152.04</v>
      </c>
      <c r="P198" s="51">
        <v>39057839</v>
      </c>
      <c r="Q198" s="52">
        <v>6796.98</v>
      </c>
      <c r="R198" s="58">
        <v>4372028</v>
      </c>
      <c r="S198" s="17">
        <v>411.31</v>
      </c>
      <c r="T198" s="101"/>
      <c r="U198" s="35">
        <f t="shared" si="59"/>
        <v>2870606</v>
      </c>
      <c r="V198" s="36">
        <f t="shared" si="60"/>
        <v>3566.4999999999991</v>
      </c>
      <c r="W198" s="43">
        <f t="shared" si="61"/>
        <v>6783412</v>
      </c>
      <c r="X198" s="44">
        <f t="shared" si="62"/>
        <v>2524.83</v>
      </c>
      <c r="Y198" s="51">
        <f t="shared" si="63"/>
        <v>13354110</v>
      </c>
      <c r="Z198" s="52">
        <f t="shared" si="64"/>
        <v>6722.48</v>
      </c>
      <c r="AA198" s="58">
        <f t="shared" si="65"/>
        <v>2655092</v>
      </c>
      <c r="AB198" s="17">
        <f t="shared" si="66"/>
        <v>1249.47</v>
      </c>
      <c r="AC198" s="101"/>
      <c r="AD198" s="555">
        <f t="shared" si="69"/>
        <v>121731883</v>
      </c>
      <c r="AE198" s="632">
        <f t="shared" si="70"/>
        <v>31002.829999999998</v>
      </c>
    </row>
    <row r="199" spans="1:31" hidden="1" outlineLevel="1">
      <c r="A199" s="114">
        <v>43288</v>
      </c>
      <c r="B199" s="115">
        <f t="shared" si="67"/>
        <v>7</v>
      </c>
      <c r="C199" s="35">
        <v>34858704</v>
      </c>
      <c r="D199" s="36">
        <v>8965.5499999999993</v>
      </c>
      <c r="E199" s="43">
        <v>30328428</v>
      </c>
      <c r="F199" s="44">
        <v>6551.68</v>
      </c>
      <c r="G199" s="51">
        <v>56710979</v>
      </c>
      <c r="H199" s="52">
        <v>14727.96</v>
      </c>
      <c r="I199" s="58">
        <v>6633752</v>
      </c>
      <c r="J199" s="17">
        <v>1439.07</v>
      </c>
      <c r="K199" s="101"/>
      <c r="L199" s="35">
        <v>31934109</v>
      </c>
      <c r="M199" s="36">
        <v>5471.06</v>
      </c>
      <c r="N199" s="43">
        <v>23023021</v>
      </c>
      <c r="O199" s="44">
        <v>3942.97</v>
      </c>
      <c r="P199" s="51">
        <v>43307888</v>
      </c>
      <c r="Q199" s="52">
        <v>8279.57</v>
      </c>
      <c r="R199" s="58">
        <v>4694917</v>
      </c>
      <c r="S199" s="17">
        <v>425.44</v>
      </c>
      <c r="T199" s="101"/>
      <c r="U199" s="35">
        <f t="shared" si="59"/>
        <v>2924595</v>
      </c>
      <c r="V199" s="36">
        <f t="shared" si="60"/>
        <v>3494.4899999999989</v>
      </c>
      <c r="W199" s="43">
        <f t="shared" si="61"/>
        <v>7305407</v>
      </c>
      <c r="X199" s="44">
        <f t="shared" si="62"/>
        <v>2608.7100000000005</v>
      </c>
      <c r="Y199" s="51">
        <f t="shared" si="63"/>
        <v>13403091</v>
      </c>
      <c r="Z199" s="52">
        <f t="shared" si="64"/>
        <v>6448.3899999999994</v>
      </c>
      <c r="AA199" s="58">
        <f t="shared" si="65"/>
        <v>1938835</v>
      </c>
      <c r="AB199" s="17">
        <f t="shared" si="66"/>
        <v>1013.6299999999999</v>
      </c>
      <c r="AC199" s="101"/>
      <c r="AD199" s="555">
        <f t="shared" si="69"/>
        <v>128531863</v>
      </c>
      <c r="AE199" s="632">
        <f t="shared" si="70"/>
        <v>31684.26</v>
      </c>
    </row>
    <row r="200" spans="1:31" hidden="1" outlineLevel="1">
      <c r="A200" s="114">
        <v>43289</v>
      </c>
      <c r="B200" s="115">
        <f t="shared" si="67"/>
        <v>7</v>
      </c>
      <c r="C200" s="35">
        <v>34112553</v>
      </c>
      <c r="D200" s="36">
        <v>8730.73</v>
      </c>
      <c r="E200" s="43">
        <v>29476751</v>
      </c>
      <c r="F200" s="44">
        <v>6393.1</v>
      </c>
      <c r="G200" s="51">
        <v>55130987</v>
      </c>
      <c r="H200" s="52">
        <v>13239.11</v>
      </c>
      <c r="I200" s="58">
        <v>6635570</v>
      </c>
      <c r="J200" s="17">
        <v>1278.77</v>
      </c>
      <c r="K200" s="101"/>
      <c r="L200" s="35">
        <v>31296974</v>
      </c>
      <c r="M200" s="36">
        <v>5295.08</v>
      </c>
      <c r="N200" s="43">
        <v>22011982</v>
      </c>
      <c r="O200" s="44">
        <v>3763.07</v>
      </c>
      <c r="P200" s="51">
        <v>42365629</v>
      </c>
      <c r="Q200" s="52">
        <v>7170.52</v>
      </c>
      <c r="R200" s="58">
        <v>5043450</v>
      </c>
      <c r="S200" s="17">
        <v>419.6</v>
      </c>
      <c r="T200" s="101"/>
      <c r="U200" s="35">
        <f t="shared" si="59"/>
        <v>2815579</v>
      </c>
      <c r="V200" s="36">
        <f t="shared" si="60"/>
        <v>3435.6499999999996</v>
      </c>
      <c r="W200" s="43">
        <f t="shared" si="61"/>
        <v>7464769</v>
      </c>
      <c r="X200" s="44">
        <f t="shared" si="62"/>
        <v>2630.03</v>
      </c>
      <c r="Y200" s="51">
        <f t="shared" si="63"/>
        <v>12765358</v>
      </c>
      <c r="Z200" s="52">
        <f t="shared" si="64"/>
        <v>6068.59</v>
      </c>
      <c r="AA200" s="58">
        <f t="shared" si="65"/>
        <v>1592120</v>
      </c>
      <c r="AB200" s="17">
        <f t="shared" si="66"/>
        <v>859.17</v>
      </c>
      <c r="AC200" s="101"/>
      <c r="AD200" s="555">
        <f t="shared" si="69"/>
        <v>125355861</v>
      </c>
      <c r="AE200" s="632">
        <f t="shared" si="70"/>
        <v>29641.710000000003</v>
      </c>
    </row>
    <row r="201" spans="1:31" hidden="1" outlineLevel="1">
      <c r="A201" s="114">
        <v>43290</v>
      </c>
      <c r="B201" s="115">
        <f t="shared" si="67"/>
        <v>7</v>
      </c>
      <c r="C201" s="35">
        <v>34302504</v>
      </c>
      <c r="D201" s="36">
        <v>8752.4</v>
      </c>
      <c r="E201" s="43">
        <v>29200359</v>
      </c>
      <c r="F201" s="44">
        <v>6668.89</v>
      </c>
      <c r="G201" s="51">
        <v>52137471</v>
      </c>
      <c r="H201" s="52">
        <v>11625.44</v>
      </c>
      <c r="I201" s="58">
        <v>6671344</v>
      </c>
      <c r="J201" s="17">
        <v>1330.52</v>
      </c>
      <c r="K201" s="101"/>
      <c r="L201" s="35">
        <v>31418275</v>
      </c>
      <c r="M201" s="36">
        <v>5334.8</v>
      </c>
      <c r="N201" s="43">
        <v>22099287</v>
      </c>
      <c r="O201" s="44">
        <v>4064.88</v>
      </c>
      <c r="P201" s="51">
        <v>40523643</v>
      </c>
      <c r="Q201" s="52">
        <v>6640.04</v>
      </c>
      <c r="R201" s="58">
        <v>5160573</v>
      </c>
      <c r="S201" s="17">
        <v>489.67</v>
      </c>
      <c r="T201" s="101"/>
      <c r="U201" s="35">
        <f t="shared" si="59"/>
        <v>2884229</v>
      </c>
      <c r="V201" s="36">
        <f t="shared" si="60"/>
        <v>3417.5999999999995</v>
      </c>
      <c r="W201" s="43">
        <f t="shared" si="61"/>
        <v>7101072</v>
      </c>
      <c r="X201" s="44">
        <f t="shared" si="62"/>
        <v>2604.0100000000002</v>
      </c>
      <c r="Y201" s="51">
        <f t="shared" si="63"/>
        <v>11613828</v>
      </c>
      <c r="Z201" s="52">
        <f t="shared" si="64"/>
        <v>4985.4000000000005</v>
      </c>
      <c r="AA201" s="58">
        <f t="shared" si="65"/>
        <v>1510771</v>
      </c>
      <c r="AB201" s="17">
        <f t="shared" si="66"/>
        <v>840.84999999999991</v>
      </c>
      <c r="AC201" s="101"/>
      <c r="AD201" s="555">
        <f t="shared" si="69"/>
        <v>122311678</v>
      </c>
      <c r="AE201" s="632">
        <f t="shared" si="70"/>
        <v>28377.250000000004</v>
      </c>
    </row>
    <row r="202" spans="1:31" hidden="1" outlineLevel="1">
      <c r="A202" s="114">
        <v>43291</v>
      </c>
      <c r="B202" s="115">
        <f t="shared" si="67"/>
        <v>7</v>
      </c>
      <c r="C202" s="35">
        <v>33369623</v>
      </c>
      <c r="D202" s="36">
        <v>9255.4699999999993</v>
      </c>
      <c r="E202" s="43">
        <v>28331687</v>
      </c>
      <c r="F202" s="44">
        <v>7626.88</v>
      </c>
      <c r="G202" s="51">
        <v>48253583</v>
      </c>
      <c r="H202" s="52">
        <v>12252.97</v>
      </c>
      <c r="I202" s="58">
        <v>6923180</v>
      </c>
      <c r="J202" s="17">
        <v>1458.21</v>
      </c>
      <c r="K202" s="101"/>
      <c r="L202" s="35">
        <v>30369271</v>
      </c>
      <c r="M202" s="36">
        <v>5611.13</v>
      </c>
      <c r="N202" s="43">
        <v>21107070</v>
      </c>
      <c r="O202" s="44">
        <v>4841.71</v>
      </c>
      <c r="P202" s="51">
        <v>37868316</v>
      </c>
      <c r="Q202" s="52">
        <v>7254.96</v>
      </c>
      <c r="R202" s="58">
        <v>5365483</v>
      </c>
      <c r="S202" s="17">
        <v>585.55999999999995</v>
      </c>
      <c r="T202" s="101"/>
      <c r="U202" s="35">
        <f t="shared" si="59"/>
        <v>3000352</v>
      </c>
      <c r="V202" s="36">
        <f t="shared" si="60"/>
        <v>3644.3399999999992</v>
      </c>
      <c r="W202" s="43">
        <f t="shared" si="61"/>
        <v>7224617</v>
      </c>
      <c r="X202" s="44">
        <f t="shared" si="62"/>
        <v>2785.17</v>
      </c>
      <c r="Y202" s="51">
        <f t="shared" si="63"/>
        <v>10385267</v>
      </c>
      <c r="Z202" s="52">
        <f t="shared" si="64"/>
        <v>4998.0099999999993</v>
      </c>
      <c r="AA202" s="58">
        <f t="shared" si="65"/>
        <v>1557697</v>
      </c>
      <c r="AB202" s="17">
        <f t="shared" si="66"/>
        <v>872.65000000000009</v>
      </c>
      <c r="AC202" s="101"/>
      <c r="AD202" s="555">
        <f t="shared" si="69"/>
        <v>116878073</v>
      </c>
      <c r="AE202" s="632">
        <f t="shared" si="70"/>
        <v>30593.53</v>
      </c>
    </row>
    <row r="203" spans="1:31" hidden="1" outlineLevel="1">
      <c r="A203" s="114">
        <v>43292</v>
      </c>
      <c r="B203" s="115">
        <f t="shared" si="67"/>
        <v>7</v>
      </c>
      <c r="C203" s="35">
        <v>33432513</v>
      </c>
      <c r="D203" s="36">
        <v>10306.15</v>
      </c>
      <c r="E203" s="43">
        <v>32201334</v>
      </c>
      <c r="F203" s="44">
        <v>7715.4</v>
      </c>
      <c r="G203" s="51">
        <v>45264831</v>
      </c>
      <c r="H203" s="52">
        <v>11859.73</v>
      </c>
      <c r="I203" s="58">
        <v>6956360</v>
      </c>
      <c r="J203" s="17">
        <v>1479.33</v>
      </c>
      <c r="K203" s="101"/>
      <c r="L203" s="35">
        <v>30404196</v>
      </c>
      <c r="M203" s="36">
        <v>6600.12</v>
      </c>
      <c r="N203" s="43">
        <v>24243683</v>
      </c>
      <c r="O203" s="44">
        <v>4482.41</v>
      </c>
      <c r="P203" s="51">
        <v>35790424</v>
      </c>
      <c r="Q203" s="52">
        <v>6976.79</v>
      </c>
      <c r="R203" s="58">
        <v>5345901</v>
      </c>
      <c r="S203" s="17">
        <v>602.91</v>
      </c>
      <c r="T203" s="101"/>
      <c r="U203" s="35">
        <f t="shared" si="59"/>
        <v>3028317</v>
      </c>
      <c r="V203" s="36">
        <f t="shared" si="60"/>
        <v>3706.0299999999997</v>
      </c>
      <c r="W203" s="43">
        <f t="shared" si="61"/>
        <v>7957651</v>
      </c>
      <c r="X203" s="44">
        <f t="shared" si="62"/>
        <v>3232.99</v>
      </c>
      <c r="Y203" s="51">
        <f t="shared" si="63"/>
        <v>9474407</v>
      </c>
      <c r="Z203" s="52">
        <f t="shared" si="64"/>
        <v>4882.9399999999996</v>
      </c>
      <c r="AA203" s="58">
        <f t="shared" si="65"/>
        <v>1610459</v>
      </c>
      <c r="AB203" s="17">
        <f t="shared" si="66"/>
        <v>876.42</v>
      </c>
      <c r="AC203" s="101"/>
      <c r="AD203" s="555">
        <f t="shared" si="69"/>
        <v>117855038</v>
      </c>
      <c r="AE203" s="632">
        <f t="shared" si="70"/>
        <v>31360.61</v>
      </c>
    </row>
    <row r="204" spans="1:31" hidden="1" outlineLevel="1">
      <c r="A204" s="114">
        <v>43293</v>
      </c>
      <c r="B204" s="115">
        <f t="shared" si="67"/>
        <v>7</v>
      </c>
      <c r="C204" s="35">
        <v>34883009</v>
      </c>
      <c r="D204" s="36">
        <v>9755.42</v>
      </c>
      <c r="E204" s="43">
        <v>30233414</v>
      </c>
      <c r="F204" s="44">
        <v>6997.81</v>
      </c>
      <c r="G204" s="51">
        <v>45888594</v>
      </c>
      <c r="H204" s="52">
        <v>10574.14</v>
      </c>
      <c r="I204" s="58">
        <v>6899984</v>
      </c>
      <c r="J204" s="17">
        <v>1365.62</v>
      </c>
      <c r="K204" s="101"/>
      <c r="L204" s="35">
        <v>31780047</v>
      </c>
      <c r="M204" s="36">
        <v>5911.2</v>
      </c>
      <c r="N204" s="43">
        <v>22491337</v>
      </c>
      <c r="O204" s="44">
        <v>4042.88</v>
      </c>
      <c r="P204" s="51">
        <v>35737415</v>
      </c>
      <c r="Q204" s="52">
        <v>5826.62</v>
      </c>
      <c r="R204" s="58">
        <v>5105112</v>
      </c>
      <c r="S204" s="17">
        <v>493.6</v>
      </c>
      <c r="T204" s="101"/>
      <c r="U204" s="35">
        <f t="shared" si="59"/>
        <v>3102962</v>
      </c>
      <c r="V204" s="36">
        <f t="shared" si="60"/>
        <v>3844.2200000000003</v>
      </c>
      <c r="W204" s="43">
        <f t="shared" si="61"/>
        <v>7742077</v>
      </c>
      <c r="X204" s="44">
        <f t="shared" si="62"/>
        <v>2954.9300000000003</v>
      </c>
      <c r="Y204" s="51">
        <f t="shared" si="63"/>
        <v>10151179</v>
      </c>
      <c r="Z204" s="52">
        <f t="shared" si="64"/>
        <v>4747.5199999999995</v>
      </c>
      <c r="AA204" s="58">
        <f t="shared" si="65"/>
        <v>1794872</v>
      </c>
      <c r="AB204" s="17">
        <f t="shared" si="66"/>
        <v>872.01999999999987</v>
      </c>
      <c r="AC204" s="101"/>
      <c r="AD204" s="555">
        <f t="shared" si="69"/>
        <v>117905001</v>
      </c>
      <c r="AE204" s="632">
        <f t="shared" si="70"/>
        <v>28692.989999999998</v>
      </c>
    </row>
    <row r="205" spans="1:31" hidden="1" outlineLevel="1">
      <c r="A205" s="114">
        <v>43294</v>
      </c>
      <c r="B205" s="115">
        <f t="shared" si="67"/>
        <v>7</v>
      </c>
      <c r="C205" s="35">
        <v>36083418</v>
      </c>
      <c r="D205" s="36">
        <v>9725.64</v>
      </c>
      <c r="E205" s="43">
        <v>29535332</v>
      </c>
      <c r="F205" s="44">
        <v>6360.31</v>
      </c>
      <c r="G205" s="51">
        <v>46779720</v>
      </c>
      <c r="H205" s="52">
        <v>10937.05</v>
      </c>
      <c r="I205" s="58">
        <v>7633142</v>
      </c>
      <c r="J205" s="17">
        <v>1485.8</v>
      </c>
      <c r="K205" s="101"/>
      <c r="L205" s="35">
        <v>32922881</v>
      </c>
      <c r="M205" s="36">
        <v>5858.05</v>
      </c>
      <c r="N205" s="43">
        <v>22913445</v>
      </c>
      <c r="O205" s="44">
        <v>4009.73</v>
      </c>
      <c r="P205" s="51">
        <v>37156295</v>
      </c>
      <c r="Q205" s="52">
        <v>6349.17</v>
      </c>
      <c r="R205" s="58">
        <v>5233041</v>
      </c>
      <c r="S205" s="17">
        <v>501.04</v>
      </c>
      <c r="T205" s="101"/>
      <c r="U205" s="35">
        <f t="shared" ref="U205:U270" si="72">C205-L205</f>
        <v>3160537</v>
      </c>
      <c r="V205" s="36">
        <f t="shared" ref="V205:V270" si="73">D205-M205</f>
        <v>3867.5899999999992</v>
      </c>
      <c r="W205" s="43">
        <f t="shared" ref="W205:W270" si="74">E205-N205</f>
        <v>6621887</v>
      </c>
      <c r="X205" s="44">
        <f t="shared" ref="X205:X270" si="75">F205-O205</f>
        <v>2350.5800000000004</v>
      </c>
      <c r="Y205" s="51">
        <f t="shared" ref="Y205:Y270" si="76">G205-P205</f>
        <v>9623425</v>
      </c>
      <c r="Z205" s="52">
        <f t="shared" ref="Z205:Z270" si="77">H205-Q205</f>
        <v>4587.8799999999992</v>
      </c>
      <c r="AA205" s="58">
        <f t="shared" ref="AA205:AA270" si="78">I205-R205</f>
        <v>2400101</v>
      </c>
      <c r="AB205" s="17">
        <f t="shared" ref="AB205:AB270" si="79">J205-S205</f>
        <v>984.76</v>
      </c>
      <c r="AC205" s="101"/>
      <c r="AD205" s="555">
        <f t="shared" si="69"/>
        <v>120031612</v>
      </c>
      <c r="AE205" s="632">
        <f t="shared" si="70"/>
        <v>28508.799999999999</v>
      </c>
    </row>
    <row r="206" spans="1:31" hidden="1" outlineLevel="1">
      <c r="A206" s="114">
        <v>43295</v>
      </c>
      <c r="B206" s="115">
        <f t="shared" si="67"/>
        <v>7</v>
      </c>
      <c r="C206" s="35">
        <v>37488453</v>
      </c>
      <c r="D206" s="36">
        <v>9866.07</v>
      </c>
      <c r="E206" s="43">
        <v>30204541</v>
      </c>
      <c r="F206" s="44">
        <v>6545.99</v>
      </c>
      <c r="G206" s="51">
        <v>49631206</v>
      </c>
      <c r="H206" s="52">
        <v>12437.27</v>
      </c>
      <c r="I206" s="58">
        <v>7927688</v>
      </c>
      <c r="J206" s="17">
        <v>1485.95</v>
      </c>
      <c r="K206" s="101"/>
      <c r="L206" s="35">
        <v>34264719</v>
      </c>
      <c r="M206" s="36">
        <v>6010.51</v>
      </c>
      <c r="N206" s="43">
        <v>23772589</v>
      </c>
      <c r="O206" s="44">
        <v>4331.16</v>
      </c>
      <c r="P206" s="51">
        <v>40889558</v>
      </c>
      <c r="Q206" s="52">
        <v>8074.97</v>
      </c>
      <c r="R206" s="58">
        <v>5326565</v>
      </c>
      <c r="S206" s="17">
        <v>520.85</v>
      </c>
      <c r="T206" s="101"/>
      <c r="U206" s="35">
        <f t="shared" si="72"/>
        <v>3223734</v>
      </c>
      <c r="V206" s="36">
        <f t="shared" si="73"/>
        <v>3855.5599999999995</v>
      </c>
      <c r="W206" s="43">
        <f t="shared" si="74"/>
        <v>6431952</v>
      </c>
      <c r="X206" s="44">
        <f t="shared" si="75"/>
        <v>2214.83</v>
      </c>
      <c r="Y206" s="51">
        <f t="shared" si="76"/>
        <v>8741648</v>
      </c>
      <c r="Z206" s="52">
        <f t="shared" si="77"/>
        <v>4362.3</v>
      </c>
      <c r="AA206" s="58">
        <f t="shared" si="78"/>
        <v>2601123</v>
      </c>
      <c r="AB206" s="17">
        <f t="shared" si="79"/>
        <v>965.1</v>
      </c>
      <c r="AC206" s="101"/>
      <c r="AD206" s="555">
        <f t="shared" si="69"/>
        <v>125251888</v>
      </c>
      <c r="AE206" s="632">
        <f t="shared" si="70"/>
        <v>30335.279999999999</v>
      </c>
    </row>
    <row r="207" spans="1:31" hidden="1" outlineLevel="1">
      <c r="A207" s="114">
        <v>43296</v>
      </c>
      <c r="B207" s="115">
        <f t="shared" si="67"/>
        <v>7</v>
      </c>
      <c r="C207" s="35">
        <v>35587059</v>
      </c>
      <c r="D207" s="36">
        <v>8803.49</v>
      </c>
      <c r="E207" s="43">
        <v>29837964</v>
      </c>
      <c r="F207" s="44">
        <v>6696.66</v>
      </c>
      <c r="G207" s="51">
        <v>46400081</v>
      </c>
      <c r="H207" s="52">
        <v>10469.200000000001</v>
      </c>
      <c r="I207" s="58">
        <v>8826128</v>
      </c>
      <c r="J207" s="17">
        <v>1507.52</v>
      </c>
      <c r="K207" s="101"/>
      <c r="L207" s="35">
        <v>32558534</v>
      </c>
      <c r="M207" s="36">
        <v>5174.95</v>
      </c>
      <c r="N207" s="43">
        <v>22210409</v>
      </c>
      <c r="O207" s="44">
        <v>3966.7</v>
      </c>
      <c r="P207" s="51">
        <v>38126685</v>
      </c>
      <c r="Q207" s="52">
        <v>6289.95</v>
      </c>
      <c r="R207" s="58">
        <v>5551960</v>
      </c>
      <c r="S207" s="17">
        <v>475.16</v>
      </c>
      <c r="T207" s="101"/>
      <c r="U207" s="35">
        <f t="shared" si="72"/>
        <v>3028525</v>
      </c>
      <c r="V207" s="36">
        <f t="shared" si="73"/>
        <v>3628.54</v>
      </c>
      <c r="W207" s="43">
        <f t="shared" si="74"/>
        <v>7627555</v>
      </c>
      <c r="X207" s="44">
        <f t="shared" si="75"/>
        <v>2729.96</v>
      </c>
      <c r="Y207" s="51">
        <f t="shared" si="76"/>
        <v>8273396</v>
      </c>
      <c r="Z207" s="52">
        <f t="shared" si="77"/>
        <v>4179.2500000000009</v>
      </c>
      <c r="AA207" s="58">
        <f t="shared" si="78"/>
        <v>3274168</v>
      </c>
      <c r="AB207" s="17">
        <f t="shared" si="79"/>
        <v>1032.3599999999999</v>
      </c>
      <c r="AC207" s="101"/>
      <c r="AD207" s="555">
        <f t="shared" si="69"/>
        <v>120651232</v>
      </c>
      <c r="AE207" s="632">
        <f t="shared" si="70"/>
        <v>27476.87</v>
      </c>
    </row>
    <row r="208" spans="1:31" hidden="1" outlineLevel="1">
      <c r="A208" s="114">
        <v>43297</v>
      </c>
      <c r="B208" s="115">
        <f t="shared" si="67"/>
        <v>7</v>
      </c>
      <c r="C208" s="35">
        <v>35131621</v>
      </c>
      <c r="D208" s="36">
        <v>8861.7099999999991</v>
      </c>
      <c r="E208" s="43">
        <v>30097162</v>
      </c>
      <c r="F208" s="44">
        <v>6989.88</v>
      </c>
      <c r="G208" s="51">
        <v>45133951</v>
      </c>
      <c r="H208" s="52">
        <v>10383.049999999999</v>
      </c>
      <c r="I208" s="58">
        <v>8339268</v>
      </c>
      <c r="J208" s="17">
        <v>1491.11</v>
      </c>
      <c r="K208" s="101"/>
      <c r="L208" s="35">
        <v>32165282</v>
      </c>
      <c r="M208" s="36">
        <v>5226.92</v>
      </c>
      <c r="N208" s="43">
        <v>22077165</v>
      </c>
      <c r="O208" s="44">
        <v>4148.1099999999997</v>
      </c>
      <c r="P208" s="51">
        <v>37339734</v>
      </c>
      <c r="Q208" s="52">
        <v>6234.56</v>
      </c>
      <c r="R208" s="58">
        <v>5562146</v>
      </c>
      <c r="S208" s="17">
        <v>487.76</v>
      </c>
      <c r="T208" s="101"/>
      <c r="U208" s="35">
        <f t="shared" si="72"/>
        <v>2966339</v>
      </c>
      <c r="V208" s="36">
        <f t="shared" si="73"/>
        <v>3634.7899999999991</v>
      </c>
      <c r="W208" s="43">
        <f t="shared" si="74"/>
        <v>8019997</v>
      </c>
      <c r="X208" s="44">
        <f t="shared" si="75"/>
        <v>2841.7700000000004</v>
      </c>
      <c r="Y208" s="51">
        <f t="shared" si="76"/>
        <v>7794217</v>
      </c>
      <c r="Z208" s="52">
        <f t="shared" si="77"/>
        <v>4148.4899999999989</v>
      </c>
      <c r="AA208" s="58">
        <f t="shared" si="78"/>
        <v>2777122</v>
      </c>
      <c r="AB208" s="17">
        <f t="shared" si="79"/>
        <v>1003.3499999999999</v>
      </c>
      <c r="AC208" s="101"/>
      <c r="AD208" s="555">
        <f t="shared" si="69"/>
        <v>118702002</v>
      </c>
      <c r="AE208" s="632">
        <f t="shared" si="70"/>
        <v>27725.75</v>
      </c>
    </row>
    <row r="209" spans="1:31" hidden="1" outlineLevel="1">
      <c r="A209" s="114">
        <v>43298</v>
      </c>
      <c r="B209" s="115">
        <f t="shared" si="67"/>
        <v>7</v>
      </c>
      <c r="C209" s="35">
        <v>35877305</v>
      </c>
      <c r="D209" s="36">
        <v>9596.1299999999992</v>
      </c>
      <c r="E209" s="43">
        <v>30925401</v>
      </c>
      <c r="F209" s="44">
        <v>7429.06</v>
      </c>
      <c r="G209" s="51">
        <v>48867664</v>
      </c>
      <c r="H209" s="52">
        <v>12501.77</v>
      </c>
      <c r="I209" s="58">
        <v>8688912</v>
      </c>
      <c r="J209" s="17">
        <v>1616.73</v>
      </c>
      <c r="K209" s="101"/>
      <c r="L209" s="35">
        <v>32849167</v>
      </c>
      <c r="M209" s="36">
        <v>5698.14</v>
      </c>
      <c r="N209" s="43">
        <v>21958340</v>
      </c>
      <c r="O209" s="44">
        <v>4373.13</v>
      </c>
      <c r="P209" s="51">
        <v>40623900</v>
      </c>
      <c r="Q209" s="52">
        <v>7778.04</v>
      </c>
      <c r="R209" s="58">
        <v>5760869</v>
      </c>
      <c r="S209" s="17">
        <v>519.36</v>
      </c>
      <c r="T209" s="101"/>
      <c r="U209" s="35">
        <f t="shared" si="72"/>
        <v>3028138</v>
      </c>
      <c r="V209" s="36">
        <f t="shared" si="73"/>
        <v>3897.9899999999989</v>
      </c>
      <c r="W209" s="43">
        <f t="shared" si="74"/>
        <v>8967061</v>
      </c>
      <c r="X209" s="44">
        <f t="shared" si="75"/>
        <v>3055.9300000000003</v>
      </c>
      <c r="Y209" s="51">
        <f t="shared" si="76"/>
        <v>8243764</v>
      </c>
      <c r="Z209" s="52">
        <f t="shared" si="77"/>
        <v>4723.7300000000005</v>
      </c>
      <c r="AA209" s="58">
        <f t="shared" si="78"/>
        <v>2928043</v>
      </c>
      <c r="AB209" s="17">
        <f t="shared" si="79"/>
        <v>1097.3699999999999</v>
      </c>
      <c r="AC209" s="101"/>
      <c r="AD209" s="555">
        <f t="shared" si="69"/>
        <v>124359282</v>
      </c>
      <c r="AE209" s="632">
        <f t="shared" si="70"/>
        <v>31143.69</v>
      </c>
    </row>
    <row r="210" spans="1:31" hidden="1" outlineLevel="1">
      <c r="A210" s="114">
        <v>43299</v>
      </c>
      <c r="B210" s="115">
        <f t="shared" si="67"/>
        <v>7</v>
      </c>
      <c r="C210" s="35">
        <v>36887265</v>
      </c>
      <c r="D210" s="36">
        <v>9730.4599999999991</v>
      </c>
      <c r="E210" s="43">
        <v>31701783</v>
      </c>
      <c r="F210" s="44">
        <v>7672.5</v>
      </c>
      <c r="G210" s="51">
        <v>50068218</v>
      </c>
      <c r="H210" s="52">
        <v>11726.69</v>
      </c>
      <c r="I210" s="58">
        <v>9395115</v>
      </c>
      <c r="J210" s="17">
        <v>1615.09</v>
      </c>
      <c r="K210" s="101"/>
      <c r="L210" s="35">
        <v>33764116</v>
      </c>
      <c r="M210" s="36">
        <v>5822.02</v>
      </c>
      <c r="N210" s="43">
        <v>21911720</v>
      </c>
      <c r="O210" s="44">
        <v>4290.34</v>
      </c>
      <c r="P210" s="51">
        <v>41244963</v>
      </c>
      <c r="Q210" s="52">
        <v>6916.74</v>
      </c>
      <c r="R210" s="58">
        <v>5972219</v>
      </c>
      <c r="S210" s="17">
        <v>514.85</v>
      </c>
      <c r="T210" s="101"/>
      <c r="U210" s="35">
        <f t="shared" si="72"/>
        <v>3123149</v>
      </c>
      <c r="V210" s="36">
        <f t="shared" si="73"/>
        <v>3908.4399999999987</v>
      </c>
      <c r="W210" s="43">
        <f t="shared" si="74"/>
        <v>9790063</v>
      </c>
      <c r="X210" s="44">
        <f t="shared" si="75"/>
        <v>3382.16</v>
      </c>
      <c r="Y210" s="51">
        <f t="shared" si="76"/>
        <v>8823255</v>
      </c>
      <c r="Z210" s="52">
        <f t="shared" si="77"/>
        <v>4809.9500000000007</v>
      </c>
      <c r="AA210" s="58">
        <f t="shared" si="78"/>
        <v>3422896</v>
      </c>
      <c r="AB210" s="17">
        <f t="shared" si="79"/>
        <v>1100.2399999999998</v>
      </c>
      <c r="AC210" s="101"/>
      <c r="AD210" s="555">
        <f t="shared" si="69"/>
        <v>128052381</v>
      </c>
      <c r="AE210" s="632">
        <f t="shared" si="70"/>
        <v>30744.74</v>
      </c>
    </row>
    <row r="211" spans="1:31" hidden="1" outlineLevel="1">
      <c r="A211" s="114">
        <v>43300</v>
      </c>
      <c r="B211" s="115">
        <f t="shared" si="67"/>
        <v>7</v>
      </c>
      <c r="C211" s="35">
        <v>38852585</v>
      </c>
      <c r="D211" s="36">
        <v>10115.379999999999</v>
      </c>
      <c r="E211" s="43">
        <v>31002239</v>
      </c>
      <c r="F211" s="44">
        <v>6951.73</v>
      </c>
      <c r="G211" s="51">
        <v>48031343</v>
      </c>
      <c r="H211" s="52">
        <v>10673.89</v>
      </c>
      <c r="I211" s="58">
        <v>9307637</v>
      </c>
      <c r="J211" s="17">
        <v>1441.5</v>
      </c>
      <c r="K211" s="101"/>
      <c r="L211" s="35">
        <v>35602808</v>
      </c>
      <c r="M211" s="36">
        <v>6061.64</v>
      </c>
      <c r="N211" s="43">
        <v>22147871</v>
      </c>
      <c r="O211" s="44">
        <v>4006.63</v>
      </c>
      <c r="P211" s="51">
        <v>38820730</v>
      </c>
      <c r="Q211" s="52">
        <v>6124.12</v>
      </c>
      <c r="R211" s="58">
        <v>6287731</v>
      </c>
      <c r="S211" s="17">
        <v>495.3</v>
      </c>
      <c r="T211" s="101"/>
      <c r="U211" s="35">
        <f t="shared" si="72"/>
        <v>3249777</v>
      </c>
      <c r="V211" s="36">
        <f t="shared" si="73"/>
        <v>4053.7399999999989</v>
      </c>
      <c r="W211" s="43">
        <f t="shared" si="74"/>
        <v>8854368</v>
      </c>
      <c r="X211" s="44">
        <f t="shared" si="75"/>
        <v>2945.0999999999995</v>
      </c>
      <c r="Y211" s="51">
        <f t="shared" si="76"/>
        <v>9210613</v>
      </c>
      <c r="Z211" s="52">
        <f t="shared" si="77"/>
        <v>4549.7699999999995</v>
      </c>
      <c r="AA211" s="58">
        <f t="shared" si="78"/>
        <v>3019906</v>
      </c>
      <c r="AB211" s="17">
        <f t="shared" si="79"/>
        <v>946.2</v>
      </c>
      <c r="AC211" s="101"/>
      <c r="AD211" s="555">
        <f t="shared" si="69"/>
        <v>127193804</v>
      </c>
      <c r="AE211" s="632">
        <f t="shared" si="70"/>
        <v>29182.5</v>
      </c>
    </row>
    <row r="212" spans="1:31" hidden="1" outlineLevel="1">
      <c r="A212" s="114">
        <v>43301</v>
      </c>
      <c r="B212" s="115">
        <f t="shared" si="67"/>
        <v>7</v>
      </c>
      <c r="C212" s="35">
        <v>38827069</v>
      </c>
      <c r="D212" s="36">
        <v>10243.35</v>
      </c>
      <c r="E212" s="43">
        <v>31548085</v>
      </c>
      <c r="F212" s="44">
        <v>7440.8</v>
      </c>
      <c r="G212" s="51">
        <v>49103218</v>
      </c>
      <c r="H212" s="52">
        <v>12037.31</v>
      </c>
      <c r="I212" s="58">
        <v>7706621</v>
      </c>
      <c r="J212" s="17">
        <v>1280.5899999999999</v>
      </c>
      <c r="K212" s="101"/>
      <c r="L212" s="35">
        <v>35377690</v>
      </c>
      <c r="M212" s="36">
        <v>6194.89</v>
      </c>
      <c r="N212" s="43">
        <v>22382031</v>
      </c>
      <c r="O212" s="44">
        <v>4028.18</v>
      </c>
      <c r="P212" s="51">
        <v>40341757</v>
      </c>
      <c r="Q212" s="52">
        <v>7376.12</v>
      </c>
      <c r="R212" s="58">
        <v>5350421</v>
      </c>
      <c r="S212" s="17">
        <v>452.22</v>
      </c>
      <c r="T212" s="101"/>
      <c r="U212" s="35">
        <f t="shared" si="72"/>
        <v>3449379</v>
      </c>
      <c r="V212" s="36">
        <f t="shared" si="73"/>
        <v>4048.46</v>
      </c>
      <c r="W212" s="43">
        <f t="shared" si="74"/>
        <v>9166054</v>
      </c>
      <c r="X212" s="44">
        <f t="shared" si="75"/>
        <v>3412.6200000000003</v>
      </c>
      <c r="Y212" s="51">
        <f t="shared" si="76"/>
        <v>8761461</v>
      </c>
      <c r="Z212" s="52">
        <f t="shared" si="77"/>
        <v>4661.1899999999996</v>
      </c>
      <c r="AA212" s="58">
        <f t="shared" si="78"/>
        <v>2356200</v>
      </c>
      <c r="AB212" s="17">
        <f t="shared" si="79"/>
        <v>828.36999999999989</v>
      </c>
      <c r="AC212" s="101"/>
      <c r="AD212" s="555">
        <f t="shared" si="69"/>
        <v>127184993</v>
      </c>
      <c r="AE212" s="632">
        <f t="shared" si="70"/>
        <v>31002.05</v>
      </c>
    </row>
    <row r="213" spans="1:31" hidden="1" outlineLevel="1">
      <c r="A213" s="114">
        <v>43302</v>
      </c>
      <c r="B213" s="115">
        <f t="shared" si="67"/>
        <v>7</v>
      </c>
      <c r="C213" s="35">
        <v>39192760</v>
      </c>
      <c r="D213" s="36">
        <v>10102</v>
      </c>
      <c r="E213" s="43">
        <v>29524180</v>
      </c>
      <c r="F213" s="44">
        <v>6933.34</v>
      </c>
      <c r="G213" s="51">
        <v>49128224</v>
      </c>
      <c r="H213" s="52">
        <v>12094.45</v>
      </c>
      <c r="I213" s="58">
        <v>7259396</v>
      </c>
      <c r="J213" s="17">
        <v>1254.95</v>
      </c>
      <c r="K213" s="101"/>
      <c r="L213" s="35">
        <v>35652012</v>
      </c>
      <c r="M213" s="36">
        <v>5964.63</v>
      </c>
      <c r="N213" s="43">
        <v>21722908</v>
      </c>
      <c r="O213" s="44">
        <v>3937.55</v>
      </c>
      <c r="P213" s="51">
        <v>40207304</v>
      </c>
      <c r="Q213" s="52">
        <v>7513.1</v>
      </c>
      <c r="R213" s="58">
        <v>5035416</v>
      </c>
      <c r="S213" s="17">
        <v>432.23</v>
      </c>
      <c r="T213" s="101"/>
      <c r="U213" s="35">
        <f t="shared" si="72"/>
        <v>3540748</v>
      </c>
      <c r="V213" s="36">
        <f t="shared" si="73"/>
        <v>4137.37</v>
      </c>
      <c r="W213" s="43">
        <f t="shared" si="74"/>
        <v>7801272</v>
      </c>
      <c r="X213" s="44">
        <f t="shared" si="75"/>
        <v>2995.79</v>
      </c>
      <c r="Y213" s="51">
        <f t="shared" si="76"/>
        <v>8920920</v>
      </c>
      <c r="Z213" s="52">
        <f t="shared" si="77"/>
        <v>4581.3500000000004</v>
      </c>
      <c r="AA213" s="58">
        <f t="shared" si="78"/>
        <v>2223980</v>
      </c>
      <c r="AB213" s="17">
        <f t="shared" si="79"/>
        <v>822.72</v>
      </c>
      <c r="AC213" s="101"/>
      <c r="AD213" s="555">
        <f t="shared" si="69"/>
        <v>125104560</v>
      </c>
      <c r="AE213" s="632">
        <f t="shared" si="70"/>
        <v>30384.74</v>
      </c>
    </row>
    <row r="214" spans="1:31" hidden="1" outlineLevel="1">
      <c r="A214" s="114">
        <v>43303</v>
      </c>
      <c r="B214" s="115">
        <f t="shared" si="67"/>
        <v>7</v>
      </c>
      <c r="C214" s="35">
        <v>36572942</v>
      </c>
      <c r="D214" s="36">
        <v>9380.4599999999991</v>
      </c>
      <c r="E214" s="43">
        <v>26593216</v>
      </c>
      <c r="F214" s="44">
        <v>6136.91</v>
      </c>
      <c r="G214" s="51">
        <v>48670009</v>
      </c>
      <c r="H214" s="52">
        <v>12022.6</v>
      </c>
      <c r="I214" s="58">
        <v>6710259</v>
      </c>
      <c r="J214" s="17">
        <v>1140.94</v>
      </c>
      <c r="K214" s="101"/>
      <c r="L214" s="35">
        <v>33239229</v>
      </c>
      <c r="M214" s="36">
        <v>5486.28</v>
      </c>
      <c r="N214" s="43">
        <v>19796771</v>
      </c>
      <c r="O214" s="44">
        <v>3636.68</v>
      </c>
      <c r="P214" s="51">
        <v>39072984</v>
      </c>
      <c r="Q214" s="52">
        <v>7227.5</v>
      </c>
      <c r="R214" s="58">
        <v>4766511</v>
      </c>
      <c r="S214" s="17">
        <v>398.96</v>
      </c>
      <c r="T214" s="101"/>
      <c r="U214" s="35">
        <f t="shared" si="72"/>
        <v>3333713</v>
      </c>
      <c r="V214" s="36">
        <f t="shared" si="73"/>
        <v>3894.1799999999994</v>
      </c>
      <c r="W214" s="43">
        <f t="shared" si="74"/>
        <v>6796445</v>
      </c>
      <c r="X214" s="44">
        <f t="shared" si="75"/>
        <v>2500.23</v>
      </c>
      <c r="Y214" s="51">
        <f t="shared" si="76"/>
        <v>9597025</v>
      </c>
      <c r="Z214" s="52">
        <f t="shared" si="77"/>
        <v>4795.1000000000004</v>
      </c>
      <c r="AA214" s="58">
        <f t="shared" si="78"/>
        <v>1943748</v>
      </c>
      <c r="AB214" s="17">
        <f t="shared" si="79"/>
        <v>741.98</v>
      </c>
      <c r="AC214" s="101"/>
      <c r="AD214" s="555">
        <f t="shared" si="69"/>
        <v>118546426</v>
      </c>
      <c r="AE214" s="632">
        <f t="shared" si="70"/>
        <v>28680.91</v>
      </c>
    </row>
    <row r="215" spans="1:31" hidden="1" outlineLevel="1">
      <c r="A215" s="114">
        <v>43304</v>
      </c>
      <c r="B215" s="115">
        <f t="shared" si="67"/>
        <v>7</v>
      </c>
      <c r="C215" s="35">
        <v>36880369</v>
      </c>
      <c r="D215" s="36">
        <v>9574.85</v>
      </c>
      <c r="E215" s="43">
        <v>25649018</v>
      </c>
      <c r="F215" s="44">
        <v>5795.7</v>
      </c>
      <c r="G215" s="51">
        <v>48025046</v>
      </c>
      <c r="H215" s="52">
        <v>11435.79</v>
      </c>
      <c r="I215" s="58">
        <v>6606082</v>
      </c>
      <c r="J215" s="17">
        <v>1192.69</v>
      </c>
      <c r="K215" s="101"/>
      <c r="L215" s="35">
        <v>33647371</v>
      </c>
      <c r="M215" s="36">
        <v>5719.74</v>
      </c>
      <c r="N215" s="43">
        <v>19931720</v>
      </c>
      <c r="O215" s="44">
        <v>3620.76</v>
      </c>
      <c r="P215" s="51">
        <v>37418434</v>
      </c>
      <c r="Q215" s="52">
        <v>6364.8</v>
      </c>
      <c r="R215" s="58">
        <v>4824866</v>
      </c>
      <c r="S215" s="17">
        <v>427.69</v>
      </c>
      <c r="T215" s="101"/>
      <c r="U215" s="35">
        <f t="shared" si="72"/>
        <v>3232998</v>
      </c>
      <c r="V215" s="36">
        <f t="shared" si="73"/>
        <v>3855.1100000000006</v>
      </c>
      <c r="W215" s="43">
        <f t="shared" si="74"/>
        <v>5717298</v>
      </c>
      <c r="X215" s="44">
        <f t="shared" si="75"/>
        <v>2174.9399999999996</v>
      </c>
      <c r="Y215" s="51">
        <f t="shared" si="76"/>
        <v>10606612</v>
      </c>
      <c r="Z215" s="52">
        <f t="shared" si="77"/>
        <v>5070.9900000000007</v>
      </c>
      <c r="AA215" s="58">
        <f t="shared" si="78"/>
        <v>1781216</v>
      </c>
      <c r="AB215" s="17">
        <f t="shared" si="79"/>
        <v>765</v>
      </c>
      <c r="AC215" s="101"/>
      <c r="AD215" s="555">
        <f t="shared" si="69"/>
        <v>117160515</v>
      </c>
      <c r="AE215" s="632">
        <f t="shared" si="70"/>
        <v>27999.03</v>
      </c>
    </row>
    <row r="216" spans="1:31" hidden="1" outlineLevel="1">
      <c r="A216" s="114">
        <v>43305</v>
      </c>
      <c r="B216" s="115">
        <f t="shared" si="67"/>
        <v>7</v>
      </c>
      <c r="C216" s="35">
        <v>37022538</v>
      </c>
      <c r="D216" s="36">
        <v>11148.56</v>
      </c>
      <c r="E216" s="43">
        <v>25545972</v>
      </c>
      <c r="F216" s="44">
        <v>5621.71</v>
      </c>
      <c r="G216" s="51">
        <v>47489797</v>
      </c>
      <c r="H216" s="52">
        <v>11818.97</v>
      </c>
      <c r="I216" s="58">
        <v>6752402</v>
      </c>
      <c r="J216" s="17">
        <v>1256.26</v>
      </c>
      <c r="K216" s="101"/>
      <c r="L216" s="35">
        <v>33777724</v>
      </c>
      <c r="M216" s="36">
        <v>7104.35</v>
      </c>
      <c r="N216" s="43">
        <v>19867940</v>
      </c>
      <c r="O216" s="44">
        <v>3545.55</v>
      </c>
      <c r="P216" s="51">
        <v>37206815</v>
      </c>
      <c r="Q216" s="52">
        <v>6688.24</v>
      </c>
      <c r="R216" s="58">
        <v>5074718</v>
      </c>
      <c r="S216" s="17">
        <v>507.68</v>
      </c>
      <c r="T216" s="101"/>
      <c r="U216" s="35">
        <f t="shared" si="72"/>
        <v>3244814</v>
      </c>
      <c r="V216" s="36">
        <f t="shared" si="73"/>
        <v>4044.2099999999991</v>
      </c>
      <c r="W216" s="43">
        <f t="shared" si="74"/>
        <v>5678032</v>
      </c>
      <c r="X216" s="44">
        <f t="shared" si="75"/>
        <v>2076.16</v>
      </c>
      <c r="Y216" s="51">
        <f t="shared" si="76"/>
        <v>10282982</v>
      </c>
      <c r="Z216" s="52">
        <f t="shared" si="77"/>
        <v>5130.7299999999996</v>
      </c>
      <c r="AA216" s="58">
        <f t="shared" si="78"/>
        <v>1677684</v>
      </c>
      <c r="AB216" s="17">
        <f t="shared" si="79"/>
        <v>748.57999999999993</v>
      </c>
      <c r="AC216" s="101"/>
      <c r="AD216" s="555">
        <f t="shared" si="69"/>
        <v>116810709</v>
      </c>
      <c r="AE216" s="632">
        <f t="shared" si="70"/>
        <v>29845.499999999996</v>
      </c>
    </row>
    <row r="217" spans="1:31" hidden="1" outlineLevel="1">
      <c r="A217" s="114">
        <v>43306</v>
      </c>
      <c r="B217" s="115">
        <f t="shared" si="67"/>
        <v>7</v>
      </c>
      <c r="C217" s="35">
        <v>38750055</v>
      </c>
      <c r="D217" s="36">
        <v>11278.83</v>
      </c>
      <c r="E217" s="43">
        <v>26699675</v>
      </c>
      <c r="F217" s="44">
        <v>5917.07</v>
      </c>
      <c r="G217" s="51">
        <v>48391385</v>
      </c>
      <c r="H217" s="52">
        <v>11247.19</v>
      </c>
      <c r="I217" s="58">
        <v>6496121</v>
      </c>
      <c r="J217" s="17">
        <v>1176.1400000000001</v>
      </c>
      <c r="K217" s="101"/>
      <c r="L217" s="35">
        <v>35502649</v>
      </c>
      <c r="M217" s="36">
        <v>7180.98</v>
      </c>
      <c r="N217" s="43">
        <v>20470881</v>
      </c>
      <c r="O217" s="44">
        <v>3868.58</v>
      </c>
      <c r="P217" s="51">
        <v>36822912</v>
      </c>
      <c r="Q217" s="52">
        <v>6069.71</v>
      </c>
      <c r="R217" s="58">
        <v>5037336</v>
      </c>
      <c r="S217" s="17">
        <v>532.5</v>
      </c>
      <c r="T217" s="101"/>
      <c r="U217" s="35">
        <f t="shared" si="72"/>
        <v>3247406</v>
      </c>
      <c r="V217" s="36">
        <f t="shared" si="73"/>
        <v>4097.8500000000004</v>
      </c>
      <c r="W217" s="43">
        <f t="shared" si="74"/>
        <v>6228794</v>
      </c>
      <c r="X217" s="44">
        <f t="shared" si="75"/>
        <v>2048.4899999999998</v>
      </c>
      <c r="Y217" s="51">
        <f t="shared" si="76"/>
        <v>11568473</v>
      </c>
      <c r="Z217" s="52">
        <f t="shared" si="77"/>
        <v>5177.4800000000005</v>
      </c>
      <c r="AA217" s="58">
        <f t="shared" si="78"/>
        <v>1458785</v>
      </c>
      <c r="AB217" s="17">
        <f t="shared" si="79"/>
        <v>643.6400000000001</v>
      </c>
      <c r="AC217" s="101"/>
      <c r="AD217" s="555">
        <f t="shared" si="69"/>
        <v>120337236</v>
      </c>
      <c r="AE217" s="632">
        <f t="shared" si="70"/>
        <v>29619.230000000003</v>
      </c>
    </row>
    <row r="218" spans="1:31" hidden="1" outlineLevel="1">
      <c r="A218" s="114">
        <v>43307</v>
      </c>
      <c r="B218" s="115">
        <f t="shared" si="67"/>
        <v>7</v>
      </c>
      <c r="C218" s="35">
        <v>39113880</v>
      </c>
      <c r="D218" s="36">
        <v>11831.33</v>
      </c>
      <c r="E218" s="43">
        <v>26595747</v>
      </c>
      <c r="F218" s="44">
        <v>6076.4</v>
      </c>
      <c r="G218" s="51">
        <v>50961168</v>
      </c>
      <c r="H218" s="52">
        <v>11924.37</v>
      </c>
      <c r="I218" s="58">
        <v>6537823</v>
      </c>
      <c r="J218" s="17">
        <v>1273.78</v>
      </c>
      <c r="K218" s="101"/>
      <c r="L218" s="35">
        <v>35849900</v>
      </c>
      <c r="M218" s="36">
        <v>7655.91</v>
      </c>
      <c r="N218" s="43">
        <v>20809834</v>
      </c>
      <c r="O218" s="44">
        <v>4028.59</v>
      </c>
      <c r="P218" s="51">
        <v>37263927</v>
      </c>
      <c r="Q218" s="52">
        <v>6290.91</v>
      </c>
      <c r="R218" s="58">
        <v>4887522</v>
      </c>
      <c r="S218" s="17">
        <v>603.66</v>
      </c>
      <c r="T218" s="101"/>
      <c r="U218" s="35">
        <f t="shared" si="72"/>
        <v>3263980</v>
      </c>
      <c r="V218" s="36">
        <f t="shared" si="73"/>
        <v>4175.42</v>
      </c>
      <c r="W218" s="43">
        <f t="shared" si="74"/>
        <v>5785913</v>
      </c>
      <c r="X218" s="44">
        <f t="shared" si="75"/>
        <v>2047.8099999999995</v>
      </c>
      <c r="Y218" s="51">
        <f t="shared" si="76"/>
        <v>13697241</v>
      </c>
      <c r="Z218" s="52">
        <f t="shared" si="77"/>
        <v>5633.4600000000009</v>
      </c>
      <c r="AA218" s="58">
        <f t="shared" si="78"/>
        <v>1650301</v>
      </c>
      <c r="AB218" s="17">
        <f t="shared" si="79"/>
        <v>670.12</v>
      </c>
      <c r="AC218" s="101"/>
      <c r="AD218" s="555">
        <f t="shared" si="69"/>
        <v>123208618</v>
      </c>
      <c r="AE218" s="632">
        <f t="shared" si="70"/>
        <v>31105.879999999997</v>
      </c>
    </row>
    <row r="219" spans="1:31" hidden="1" outlineLevel="1">
      <c r="A219" s="114">
        <v>43308</v>
      </c>
      <c r="B219" s="115">
        <f t="shared" si="67"/>
        <v>7</v>
      </c>
      <c r="C219" s="35">
        <v>40864319</v>
      </c>
      <c r="D219" s="36">
        <v>11727.55</v>
      </c>
      <c r="E219" s="43">
        <v>27957369</v>
      </c>
      <c r="F219" s="44">
        <v>6125.44</v>
      </c>
      <c r="G219" s="51">
        <v>59775907</v>
      </c>
      <c r="H219" s="52">
        <v>14298.09</v>
      </c>
      <c r="I219" s="58">
        <v>6972038</v>
      </c>
      <c r="J219" s="17">
        <v>1258.1600000000001</v>
      </c>
      <c r="K219" s="101"/>
      <c r="L219" s="35">
        <v>37384995</v>
      </c>
      <c r="M219" s="36">
        <v>7404.46</v>
      </c>
      <c r="N219" s="43">
        <v>21285895</v>
      </c>
      <c r="O219" s="44">
        <v>3861.85</v>
      </c>
      <c r="P219" s="51">
        <v>43288022</v>
      </c>
      <c r="Q219" s="52">
        <v>7493.83</v>
      </c>
      <c r="R219" s="58">
        <v>5087099</v>
      </c>
      <c r="S219" s="17">
        <v>538.04</v>
      </c>
      <c r="T219" s="101"/>
      <c r="U219" s="35">
        <f t="shared" si="72"/>
        <v>3479324</v>
      </c>
      <c r="V219" s="36">
        <f t="shared" si="73"/>
        <v>4323.0899999999992</v>
      </c>
      <c r="W219" s="43">
        <f t="shared" si="74"/>
        <v>6671474</v>
      </c>
      <c r="X219" s="44">
        <f t="shared" si="75"/>
        <v>2263.5899999999997</v>
      </c>
      <c r="Y219" s="51">
        <f t="shared" si="76"/>
        <v>16487885</v>
      </c>
      <c r="Z219" s="52">
        <f t="shared" si="77"/>
        <v>6804.26</v>
      </c>
      <c r="AA219" s="58">
        <f t="shared" si="78"/>
        <v>1884939</v>
      </c>
      <c r="AB219" s="17">
        <f t="shared" si="79"/>
        <v>720.12000000000012</v>
      </c>
      <c r="AC219" s="101"/>
      <c r="AD219" s="555">
        <f t="shared" si="69"/>
        <v>135569633</v>
      </c>
      <c r="AE219" s="632">
        <f t="shared" si="70"/>
        <v>33409.24</v>
      </c>
    </row>
    <row r="220" spans="1:31" hidden="1" outlineLevel="1">
      <c r="A220" s="114">
        <v>43309</v>
      </c>
      <c r="B220" s="115">
        <f t="shared" si="67"/>
        <v>7</v>
      </c>
      <c r="C220" s="35">
        <v>41878794</v>
      </c>
      <c r="D220" s="36">
        <v>11552.32</v>
      </c>
      <c r="E220" s="43">
        <v>29593054</v>
      </c>
      <c r="F220" s="44">
        <v>6236.78</v>
      </c>
      <c r="G220" s="51">
        <v>61116593</v>
      </c>
      <c r="H220" s="52">
        <v>13997.5</v>
      </c>
      <c r="I220" s="58">
        <v>7057905</v>
      </c>
      <c r="J220" s="17">
        <v>1195.8599999999999</v>
      </c>
      <c r="K220" s="101"/>
      <c r="L220" s="35">
        <v>38264290</v>
      </c>
      <c r="M220" s="36">
        <v>7250.71</v>
      </c>
      <c r="N220" s="43">
        <v>21526493</v>
      </c>
      <c r="O220" s="44">
        <v>3737.63</v>
      </c>
      <c r="P220" s="51">
        <v>43946576</v>
      </c>
      <c r="Q220" s="52">
        <v>7127.86</v>
      </c>
      <c r="R220" s="58">
        <v>5080231</v>
      </c>
      <c r="S220" s="17">
        <v>507.04</v>
      </c>
      <c r="T220" s="101"/>
      <c r="U220" s="35">
        <f t="shared" si="72"/>
        <v>3614504</v>
      </c>
      <c r="V220" s="36">
        <f t="shared" si="73"/>
        <v>4301.6099999999997</v>
      </c>
      <c r="W220" s="43">
        <f t="shared" si="74"/>
        <v>8066561</v>
      </c>
      <c r="X220" s="44">
        <f t="shared" si="75"/>
        <v>2499.1499999999996</v>
      </c>
      <c r="Y220" s="51">
        <f t="shared" si="76"/>
        <v>17170017</v>
      </c>
      <c r="Z220" s="52">
        <f t="shared" si="77"/>
        <v>6869.64</v>
      </c>
      <c r="AA220" s="58">
        <f t="shared" si="78"/>
        <v>1977674</v>
      </c>
      <c r="AB220" s="17">
        <f t="shared" si="79"/>
        <v>688.81999999999994</v>
      </c>
      <c r="AC220" s="101"/>
      <c r="AD220" s="555">
        <f t="shared" si="69"/>
        <v>139646346</v>
      </c>
      <c r="AE220" s="632">
        <f t="shared" si="70"/>
        <v>32982.46</v>
      </c>
    </row>
    <row r="221" spans="1:31" hidden="1" outlineLevel="1">
      <c r="A221" s="114">
        <v>43310</v>
      </c>
      <c r="B221" s="115">
        <f t="shared" si="67"/>
        <v>7</v>
      </c>
      <c r="C221" s="35">
        <v>39491792</v>
      </c>
      <c r="D221" s="36">
        <v>10563.99</v>
      </c>
      <c r="E221" s="43">
        <v>28003575</v>
      </c>
      <c r="F221" s="44">
        <v>5888.31</v>
      </c>
      <c r="G221" s="51">
        <v>54972014</v>
      </c>
      <c r="H221" s="52">
        <v>12303.04</v>
      </c>
      <c r="I221" s="58">
        <v>6575864</v>
      </c>
      <c r="J221" s="17">
        <v>1098.97</v>
      </c>
      <c r="K221" s="101"/>
      <c r="L221" s="35">
        <v>36087814</v>
      </c>
      <c r="M221" s="36">
        <v>6575.25</v>
      </c>
      <c r="N221" s="43">
        <v>20634489</v>
      </c>
      <c r="O221" s="44">
        <v>3410</v>
      </c>
      <c r="P221" s="51">
        <v>40401258</v>
      </c>
      <c r="Q221" s="52">
        <v>5963.1</v>
      </c>
      <c r="R221" s="58">
        <v>4664026</v>
      </c>
      <c r="S221" s="17">
        <v>465.96</v>
      </c>
      <c r="T221" s="101"/>
      <c r="U221" s="35">
        <f t="shared" si="72"/>
        <v>3403978</v>
      </c>
      <c r="V221" s="36">
        <f t="shared" si="73"/>
        <v>3988.74</v>
      </c>
      <c r="W221" s="43">
        <f t="shared" si="74"/>
        <v>7369086</v>
      </c>
      <c r="X221" s="44">
        <f t="shared" si="75"/>
        <v>2478.3100000000004</v>
      </c>
      <c r="Y221" s="51">
        <f t="shared" si="76"/>
        <v>14570756</v>
      </c>
      <c r="Z221" s="52">
        <f t="shared" si="77"/>
        <v>6339.9400000000005</v>
      </c>
      <c r="AA221" s="58">
        <f t="shared" si="78"/>
        <v>1911838</v>
      </c>
      <c r="AB221" s="17">
        <f t="shared" si="79"/>
        <v>633.01</v>
      </c>
      <c r="AC221" s="101"/>
      <c r="AD221" s="555">
        <f t="shared" si="69"/>
        <v>129043245</v>
      </c>
      <c r="AE221" s="632">
        <f t="shared" si="70"/>
        <v>29854.31</v>
      </c>
    </row>
    <row r="222" spans="1:31" hidden="1" outlineLevel="1">
      <c r="A222" s="114">
        <v>43311</v>
      </c>
      <c r="B222" s="115">
        <f t="shared" si="67"/>
        <v>7</v>
      </c>
      <c r="C222" s="35">
        <v>37335650</v>
      </c>
      <c r="D222" s="36">
        <v>10513.18</v>
      </c>
      <c r="E222" s="43">
        <v>28900002</v>
      </c>
      <c r="F222" s="44">
        <v>6569.6</v>
      </c>
      <c r="G222" s="51">
        <v>53868426</v>
      </c>
      <c r="H222" s="52">
        <v>11722.57</v>
      </c>
      <c r="I222" s="58">
        <v>6321809</v>
      </c>
      <c r="J222" s="17">
        <v>1281.99</v>
      </c>
      <c r="K222" s="101"/>
      <c r="L222" s="35">
        <v>34016079</v>
      </c>
      <c r="M222" s="36">
        <v>6650.3</v>
      </c>
      <c r="N222" s="43">
        <v>21230017</v>
      </c>
      <c r="O222" s="44">
        <v>3912.83</v>
      </c>
      <c r="P222" s="51">
        <v>41850793</v>
      </c>
      <c r="Q222" s="52">
        <v>6237.77</v>
      </c>
      <c r="R222" s="58">
        <v>4282600</v>
      </c>
      <c r="S222" s="17">
        <v>486.94</v>
      </c>
      <c r="T222" s="101"/>
      <c r="U222" s="35">
        <f t="shared" si="72"/>
        <v>3319571</v>
      </c>
      <c r="V222" s="36">
        <f t="shared" si="73"/>
        <v>3862.88</v>
      </c>
      <c r="W222" s="43">
        <f t="shared" si="74"/>
        <v>7669985</v>
      </c>
      <c r="X222" s="44">
        <f t="shared" si="75"/>
        <v>2656.7700000000004</v>
      </c>
      <c r="Y222" s="51">
        <f t="shared" si="76"/>
        <v>12017633</v>
      </c>
      <c r="Z222" s="52">
        <f t="shared" si="77"/>
        <v>5484.7999999999993</v>
      </c>
      <c r="AA222" s="58">
        <f t="shared" si="78"/>
        <v>2039209</v>
      </c>
      <c r="AB222" s="17">
        <f t="shared" si="79"/>
        <v>795.05</v>
      </c>
      <c r="AC222" s="101"/>
      <c r="AD222" s="555">
        <f t="shared" si="69"/>
        <v>126425887</v>
      </c>
      <c r="AE222" s="632">
        <f t="shared" si="70"/>
        <v>30087.34</v>
      </c>
    </row>
    <row r="223" spans="1:31" hidden="1" outlineLevel="1">
      <c r="A223" s="114">
        <v>43312</v>
      </c>
      <c r="B223" s="115">
        <f t="shared" si="67"/>
        <v>7</v>
      </c>
      <c r="C223" s="35">
        <v>37849477</v>
      </c>
      <c r="D223" s="36">
        <v>9735.0499999999993</v>
      </c>
      <c r="E223" s="43">
        <v>30325299</v>
      </c>
      <c r="F223" s="44">
        <v>8255.76</v>
      </c>
      <c r="G223" s="51">
        <v>56045588</v>
      </c>
      <c r="H223" s="52">
        <v>10952.72</v>
      </c>
      <c r="I223" s="58">
        <v>6051743</v>
      </c>
      <c r="J223" s="17">
        <v>1198.49</v>
      </c>
      <c r="K223" s="101"/>
      <c r="L223" s="35">
        <v>34426641</v>
      </c>
      <c r="M223" s="36">
        <v>5931.63</v>
      </c>
      <c r="N223" s="43">
        <v>21140074</v>
      </c>
      <c r="O223" s="44">
        <v>3549.79</v>
      </c>
      <c r="P223" s="51">
        <v>45127861</v>
      </c>
      <c r="Q223" s="52">
        <v>5886.05</v>
      </c>
      <c r="R223" s="58">
        <v>4154341</v>
      </c>
      <c r="S223" s="17">
        <v>424.85</v>
      </c>
      <c r="T223" s="101"/>
      <c r="U223" s="35">
        <f t="shared" si="72"/>
        <v>3422836</v>
      </c>
      <c r="V223" s="36">
        <f t="shared" si="73"/>
        <v>3803.4199999999992</v>
      </c>
      <c r="W223" s="43">
        <f t="shared" si="74"/>
        <v>9185225</v>
      </c>
      <c r="X223" s="44">
        <f t="shared" si="75"/>
        <v>4705.97</v>
      </c>
      <c r="Y223" s="51">
        <f t="shared" si="76"/>
        <v>10917727</v>
      </c>
      <c r="Z223" s="52">
        <f t="shared" si="77"/>
        <v>5066.6699999999992</v>
      </c>
      <c r="AA223" s="58">
        <f t="shared" si="78"/>
        <v>1897402</v>
      </c>
      <c r="AB223" s="17">
        <f t="shared" si="79"/>
        <v>773.64</v>
      </c>
      <c r="AC223" s="101"/>
      <c r="AD223" s="555">
        <f t="shared" si="69"/>
        <v>130272107</v>
      </c>
      <c r="AE223" s="632">
        <f t="shared" si="70"/>
        <v>30142.02</v>
      </c>
    </row>
    <row r="224" spans="1:31" collapsed="1">
      <c r="A224" s="104"/>
      <c r="B224" s="104" t="s">
        <v>21</v>
      </c>
      <c r="C224" s="105">
        <f>SUBTOTAL(9,C225:C255)</f>
        <v>1169289491</v>
      </c>
      <c r="D224" s="106">
        <f t="shared" ref="D224" si="80">SUBTOTAL(9,D225:D255)</f>
        <v>338941.66300017678</v>
      </c>
      <c r="E224" s="107">
        <f t="shared" ref="E224" si="81">SUBTOTAL(9,E225:E255)</f>
        <v>810832920</v>
      </c>
      <c r="F224" s="108">
        <f t="shared" ref="F224" si="82">SUBTOTAL(9,F225:F255)</f>
        <v>233306.64100001781</v>
      </c>
      <c r="G224" s="109">
        <f t="shared" ref="G224" si="83">SUBTOTAL(9,G225:G255)</f>
        <v>1631049134</v>
      </c>
      <c r="H224" s="110">
        <f t="shared" ref="H224" si="84">SUBTOTAL(9,H225:H255)</f>
        <v>441063.94500021177</v>
      </c>
      <c r="I224" s="111">
        <f t="shared" ref="I224" si="85">SUBTOTAL(9,I225:I255)</f>
        <v>192008896</v>
      </c>
      <c r="J224" s="14">
        <f t="shared" ref="J224" si="86">SUBTOTAL(9,J225:J255)</f>
        <v>42278.220999997204</v>
      </c>
      <c r="K224" s="103"/>
      <c r="L224" s="105">
        <f t="shared" ref="L224" si="87">SUBTOTAL(9,L225:L255)</f>
        <v>1057393463</v>
      </c>
      <c r="M224" s="106">
        <f t="shared" ref="M224" si="88">SUBTOTAL(9,M225:M255)</f>
        <v>218040.19800009488</v>
      </c>
      <c r="N224" s="107">
        <f t="shared" ref="N224" si="89">SUBTOTAL(9,N225:N255)</f>
        <v>618827481</v>
      </c>
      <c r="O224" s="108">
        <f t="shared" ref="O224" si="90">SUBTOTAL(9,O225:O255)</f>
        <v>151945.83000000729</v>
      </c>
      <c r="P224" s="109">
        <f t="shared" ref="P224" si="91">SUBTOTAL(9,P225:P255)</f>
        <v>1214920738</v>
      </c>
      <c r="Q224" s="110">
        <f t="shared" ref="Q224" si="92">SUBTOTAL(9,Q225:Q255)</f>
        <v>253866.68900010208</v>
      </c>
      <c r="R224" s="111">
        <f t="shared" ref="R224" si="93">SUBTOTAL(9,R225:R255)</f>
        <v>125940833</v>
      </c>
      <c r="S224" s="14">
        <f t="shared" ref="S224" si="94">SUBTOTAL(9,S225:S255)</f>
        <v>13653.256999999603</v>
      </c>
      <c r="T224" s="103"/>
      <c r="U224" s="105">
        <f t="shared" ref="U224" si="95">SUBTOTAL(9,U225:U255)</f>
        <v>111896028</v>
      </c>
      <c r="V224" s="106">
        <f t="shared" ref="V224" si="96">SUBTOTAL(9,V225:V255)</f>
        <v>120901.46500008198</v>
      </c>
      <c r="W224" s="107">
        <f t="shared" ref="W224" si="97">SUBTOTAL(9,W225:W255)</f>
        <v>192005439</v>
      </c>
      <c r="X224" s="108">
        <f t="shared" ref="X224" si="98">SUBTOTAL(9,X225:X255)</f>
        <v>81360.811000010523</v>
      </c>
      <c r="Y224" s="109">
        <f t="shared" ref="Y224" si="99">SUBTOTAL(9,Y225:Y255)</f>
        <v>416128396</v>
      </c>
      <c r="Z224" s="110">
        <f t="shared" ref="Z224" si="100">SUBTOTAL(9,Z225:Z255)</f>
        <v>187197.25600010963</v>
      </c>
      <c r="AA224" s="111">
        <f t="shared" ref="AA224" si="101">SUBTOTAL(9,AA225:AA255)</f>
        <v>66068063</v>
      </c>
      <c r="AB224" s="14">
        <f t="shared" ref="AB224" si="102">SUBTOTAL(9,AB225:AB255)</f>
        <v>28624.963999997599</v>
      </c>
      <c r="AC224" s="103"/>
      <c r="AD224" s="555"/>
      <c r="AE224" s="632"/>
    </row>
    <row r="225" spans="1:31" hidden="1" outlineLevel="1">
      <c r="A225" s="97">
        <v>43313</v>
      </c>
      <c r="B225" s="98">
        <f t="shared" si="67"/>
        <v>8</v>
      </c>
      <c r="C225" s="35">
        <v>39544401</v>
      </c>
      <c r="D225" s="36">
        <v>10365.879999999999</v>
      </c>
      <c r="E225" s="43">
        <v>30347827</v>
      </c>
      <c r="F225" s="44">
        <v>9281.2000000000007</v>
      </c>
      <c r="G225" s="51">
        <v>49973157</v>
      </c>
      <c r="H225" s="52">
        <v>10995.59</v>
      </c>
      <c r="I225" s="58">
        <v>5901222</v>
      </c>
      <c r="J225" s="17">
        <v>1210.83</v>
      </c>
      <c r="K225" s="101"/>
      <c r="L225" s="35">
        <v>35548848</v>
      </c>
      <c r="M225" s="36">
        <v>6738.7</v>
      </c>
      <c r="N225" s="43">
        <v>20265691</v>
      </c>
      <c r="O225" s="44">
        <v>3979.07</v>
      </c>
      <c r="P225" s="51">
        <v>40495382</v>
      </c>
      <c r="Q225" s="52">
        <v>6505.98</v>
      </c>
      <c r="R225" s="58">
        <v>4185939</v>
      </c>
      <c r="S225" s="17">
        <v>479.18</v>
      </c>
      <c r="T225" s="101"/>
      <c r="U225" s="35">
        <f t="shared" si="72"/>
        <v>3995553</v>
      </c>
      <c r="V225" s="36">
        <f t="shared" si="73"/>
        <v>3627.1799999999994</v>
      </c>
      <c r="W225" s="43">
        <f t="shared" si="74"/>
        <v>10082136</v>
      </c>
      <c r="X225" s="44">
        <f t="shared" si="75"/>
        <v>5302.130000000001</v>
      </c>
      <c r="Y225" s="51">
        <f t="shared" si="76"/>
        <v>9477775</v>
      </c>
      <c r="Z225" s="52">
        <f t="shared" si="77"/>
        <v>4489.6100000000006</v>
      </c>
      <c r="AA225" s="58">
        <f t="shared" si="78"/>
        <v>1715283</v>
      </c>
      <c r="AB225" s="17">
        <f t="shared" si="79"/>
        <v>731.64999999999986</v>
      </c>
      <c r="AC225" s="101"/>
      <c r="AD225" s="555">
        <f t="shared" si="69"/>
        <v>125766607</v>
      </c>
      <c r="AE225" s="632">
        <f t="shared" si="70"/>
        <v>31853.5</v>
      </c>
    </row>
    <row r="226" spans="1:31" hidden="1" outlineLevel="1">
      <c r="A226" s="97">
        <v>43314</v>
      </c>
      <c r="B226" s="98">
        <f t="shared" ref="B226:B291" si="103">MONTH(A226)</f>
        <v>8</v>
      </c>
      <c r="C226" s="35">
        <v>39226248</v>
      </c>
      <c r="D226" s="36">
        <v>10105</v>
      </c>
      <c r="E226" s="43">
        <v>28863418</v>
      </c>
      <c r="F226" s="44">
        <v>7313.13</v>
      </c>
      <c r="G226" s="51">
        <v>47961270</v>
      </c>
      <c r="H226" s="52">
        <v>9791.5300000000007</v>
      </c>
      <c r="I226" s="58">
        <v>5828943</v>
      </c>
      <c r="J226" s="17">
        <v>1146.71</v>
      </c>
      <c r="K226" s="101"/>
      <c r="L226" s="35">
        <v>35838545</v>
      </c>
      <c r="M226" s="36">
        <v>6444.22</v>
      </c>
      <c r="N226" s="43">
        <v>20690818</v>
      </c>
      <c r="O226" s="44">
        <v>3275.16</v>
      </c>
      <c r="P226" s="51">
        <v>38525329</v>
      </c>
      <c r="Q226" s="52">
        <v>5330.39</v>
      </c>
      <c r="R226" s="58">
        <v>4037083</v>
      </c>
      <c r="S226" s="17">
        <v>417.48</v>
      </c>
      <c r="T226" s="101"/>
      <c r="U226" s="35">
        <f t="shared" si="72"/>
        <v>3387703</v>
      </c>
      <c r="V226" s="36">
        <f t="shared" si="73"/>
        <v>3660.7799999999997</v>
      </c>
      <c r="W226" s="43">
        <f t="shared" si="74"/>
        <v>8172600</v>
      </c>
      <c r="X226" s="44">
        <f t="shared" si="75"/>
        <v>4037.9700000000003</v>
      </c>
      <c r="Y226" s="51">
        <f t="shared" si="76"/>
        <v>9435941</v>
      </c>
      <c r="Z226" s="52">
        <f t="shared" si="77"/>
        <v>4461.1400000000003</v>
      </c>
      <c r="AA226" s="58">
        <f t="shared" si="78"/>
        <v>1791860</v>
      </c>
      <c r="AB226" s="17">
        <f t="shared" si="79"/>
        <v>729.23</v>
      </c>
      <c r="AC226" s="101"/>
      <c r="AD226" s="555">
        <f t="shared" ref="AD226:AD289" si="104">SUM(C226,E226,G226,I226)</f>
        <v>121879879</v>
      </c>
      <c r="AE226" s="632">
        <f t="shared" ref="AE226:AE289" si="105">SUM(D226,F226,H226,J226)</f>
        <v>28356.370000000003</v>
      </c>
    </row>
    <row r="227" spans="1:31" hidden="1" outlineLevel="1">
      <c r="A227" s="97">
        <v>43315</v>
      </c>
      <c r="B227" s="98">
        <f t="shared" si="103"/>
        <v>8</v>
      </c>
      <c r="C227" s="35">
        <v>38972663</v>
      </c>
      <c r="D227" s="36">
        <v>10174.85</v>
      </c>
      <c r="E227" s="43">
        <v>25805774</v>
      </c>
      <c r="F227" s="44">
        <v>5179.91</v>
      </c>
      <c r="G227" s="51">
        <v>46257295</v>
      </c>
      <c r="H227" s="52">
        <v>9655.16</v>
      </c>
      <c r="I227" s="58">
        <v>5656453</v>
      </c>
      <c r="J227" s="17">
        <v>1157.18</v>
      </c>
      <c r="K227" s="101"/>
      <c r="L227" s="35">
        <v>35385664</v>
      </c>
      <c r="M227" s="36">
        <v>6389.78</v>
      </c>
      <c r="N227" s="43">
        <v>21514186</v>
      </c>
      <c r="O227" s="44">
        <v>3320.71</v>
      </c>
      <c r="P227" s="51">
        <v>36722926</v>
      </c>
      <c r="Q227" s="52">
        <v>5170.37</v>
      </c>
      <c r="R227" s="58">
        <v>4000477</v>
      </c>
      <c r="S227" s="17">
        <v>385.7</v>
      </c>
      <c r="T227" s="101"/>
      <c r="U227" s="35">
        <f t="shared" si="72"/>
        <v>3586999</v>
      </c>
      <c r="V227" s="36">
        <f t="shared" si="73"/>
        <v>3785.0700000000006</v>
      </c>
      <c r="W227" s="43">
        <f t="shared" si="74"/>
        <v>4291588</v>
      </c>
      <c r="X227" s="44">
        <f t="shared" si="75"/>
        <v>1859.1999999999998</v>
      </c>
      <c r="Y227" s="51">
        <f t="shared" si="76"/>
        <v>9534369</v>
      </c>
      <c r="Z227" s="52">
        <f t="shared" si="77"/>
        <v>4484.79</v>
      </c>
      <c r="AA227" s="58">
        <f t="shared" si="78"/>
        <v>1655976</v>
      </c>
      <c r="AB227" s="17">
        <f t="shared" si="79"/>
        <v>771.48</v>
      </c>
      <c r="AC227" s="101"/>
      <c r="AD227" s="555">
        <f t="shared" si="104"/>
        <v>116692185</v>
      </c>
      <c r="AE227" s="632">
        <f t="shared" si="105"/>
        <v>26167.1</v>
      </c>
    </row>
    <row r="228" spans="1:31" hidden="1" outlineLevel="1">
      <c r="A228" s="97">
        <v>43316</v>
      </c>
      <c r="B228" s="98">
        <f t="shared" si="103"/>
        <v>8</v>
      </c>
      <c r="C228" s="35">
        <v>43818578</v>
      </c>
      <c r="D228" s="36">
        <v>10350.75</v>
      </c>
      <c r="E228" s="43">
        <v>26129298</v>
      </c>
      <c r="F228" s="44">
        <v>4892.08</v>
      </c>
      <c r="G228" s="51">
        <v>52032538</v>
      </c>
      <c r="H228" s="52">
        <v>10797.85</v>
      </c>
      <c r="I228" s="58">
        <v>6083146</v>
      </c>
      <c r="J228" s="17">
        <v>1181.02</v>
      </c>
      <c r="K228" s="101"/>
      <c r="L228" s="35">
        <v>39461718</v>
      </c>
      <c r="M228" s="36">
        <v>6562.84</v>
      </c>
      <c r="N228" s="43">
        <v>22083106</v>
      </c>
      <c r="O228" s="44">
        <v>3236.24</v>
      </c>
      <c r="P228" s="51">
        <v>41550736</v>
      </c>
      <c r="Q228" s="52">
        <v>6131.11</v>
      </c>
      <c r="R228" s="58">
        <v>4370976</v>
      </c>
      <c r="S228" s="17">
        <v>359.31</v>
      </c>
      <c r="T228" s="101"/>
      <c r="U228" s="35">
        <f t="shared" si="72"/>
        <v>4356860</v>
      </c>
      <c r="V228" s="36">
        <f t="shared" si="73"/>
        <v>3787.91</v>
      </c>
      <c r="W228" s="43">
        <f t="shared" si="74"/>
        <v>4046192</v>
      </c>
      <c r="X228" s="44">
        <f t="shared" si="75"/>
        <v>1655.8400000000001</v>
      </c>
      <c r="Y228" s="51">
        <f t="shared" si="76"/>
        <v>10481802</v>
      </c>
      <c r="Z228" s="52">
        <f t="shared" si="77"/>
        <v>4666.7400000000007</v>
      </c>
      <c r="AA228" s="58">
        <f t="shared" si="78"/>
        <v>1712170</v>
      </c>
      <c r="AB228" s="17">
        <f t="shared" si="79"/>
        <v>821.71</v>
      </c>
      <c r="AC228" s="101"/>
      <c r="AD228" s="555">
        <f t="shared" si="104"/>
        <v>128063560</v>
      </c>
      <c r="AE228" s="632">
        <f t="shared" si="105"/>
        <v>27221.7</v>
      </c>
    </row>
    <row r="229" spans="1:31" hidden="1" outlineLevel="1">
      <c r="A229" s="97">
        <v>43317</v>
      </c>
      <c r="B229" s="98">
        <f t="shared" si="103"/>
        <v>8</v>
      </c>
      <c r="C229" s="35">
        <v>38962743</v>
      </c>
      <c r="D229" s="36">
        <v>9498.4599999999991</v>
      </c>
      <c r="E229" s="43">
        <v>24961584</v>
      </c>
      <c r="F229" s="44">
        <v>4790.1400000000003</v>
      </c>
      <c r="G229" s="51">
        <v>47176871</v>
      </c>
      <c r="H229" s="52">
        <v>9403.16</v>
      </c>
      <c r="I229" s="58">
        <v>5709424</v>
      </c>
      <c r="J229" s="17">
        <v>1093.05</v>
      </c>
      <c r="K229" s="101"/>
      <c r="L229" s="35">
        <v>35441335</v>
      </c>
      <c r="M229" s="36">
        <v>5929.2</v>
      </c>
      <c r="N229" s="43">
        <v>20819741</v>
      </c>
      <c r="O229" s="44">
        <v>3145.56</v>
      </c>
      <c r="P229" s="51">
        <v>37844465</v>
      </c>
      <c r="Q229" s="52">
        <v>4997.2</v>
      </c>
      <c r="R229" s="58">
        <v>4328055</v>
      </c>
      <c r="S229" s="17">
        <v>356.48</v>
      </c>
      <c r="T229" s="101"/>
      <c r="U229" s="35">
        <f t="shared" si="72"/>
        <v>3521408</v>
      </c>
      <c r="V229" s="36">
        <f t="shared" si="73"/>
        <v>3569.2599999999993</v>
      </c>
      <c r="W229" s="43">
        <f t="shared" si="74"/>
        <v>4141843</v>
      </c>
      <c r="X229" s="44">
        <f t="shared" si="75"/>
        <v>1644.5800000000004</v>
      </c>
      <c r="Y229" s="51">
        <f t="shared" si="76"/>
        <v>9332406</v>
      </c>
      <c r="Z229" s="52">
        <f t="shared" si="77"/>
        <v>4405.96</v>
      </c>
      <c r="AA229" s="58">
        <f t="shared" si="78"/>
        <v>1381369</v>
      </c>
      <c r="AB229" s="17">
        <f t="shared" si="79"/>
        <v>736.56999999999994</v>
      </c>
      <c r="AC229" s="101"/>
      <c r="AD229" s="555">
        <f t="shared" si="104"/>
        <v>116810622</v>
      </c>
      <c r="AE229" s="632">
        <f t="shared" si="105"/>
        <v>24784.809999999998</v>
      </c>
    </row>
    <row r="230" spans="1:31" hidden="1" outlineLevel="1">
      <c r="A230" s="97">
        <v>43318</v>
      </c>
      <c r="B230" s="98">
        <f t="shared" si="103"/>
        <v>8</v>
      </c>
      <c r="C230" s="35">
        <v>37084135</v>
      </c>
      <c r="D230" s="36">
        <v>10187.49</v>
      </c>
      <c r="E230" s="43">
        <v>24224679</v>
      </c>
      <c r="F230" s="44">
        <v>5430.54</v>
      </c>
      <c r="G230" s="51">
        <v>45741205</v>
      </c>
      <c r="H230" s="52">
        <v>10746.16</v>
      </c>
      <c r="I230" s="58">
        <v>5401926</v>
      </c>
      <c r="J230" s="17">
        <v>1252.07</v>
      </c>
      <c r="K230" s="101"/>
      <c r="L230" s="35">
        <v>33718079</v>
      </c>
      <c r="M230" s="36">
        <v>6629.57</v>
      </c>
      <c r="N230" s="43">
        <v>20072776</v>
      </c>
      <c r="O230" s="44">
        <v>3762.05</v>
      </c>
      <c r="P230" s="51">
        <v>36361843</v>
      </c>
      <c r="Q230" s="52">
        <v>5972.45</v>
      </c>
      <c r="R230" s="58">
        <v>4114971</v>
      </c>
      <c r="S230" s="17">
        <v>454.9</v>
      </c>
      <c r="T230" s="101"/>
      <c r="U230" s="35">
        <f t="shared" si="72"/>
        <v>3366056</v>
      </c>
      <c r="V230" s="36">
        <f t="shared" si="73"/>
        <v>3557.92</v>
      </c>
      <c r="W230" s="43">
        <f t="shared" si="74"/>
        <v>4151903</v>
      </c>
      <c r="X230" s="44">
        <f t="shared" si="75"/>
        <v>1668.4899999999998</v>
      </c>
      <c r="Y230" s="51">
        <f t="shared" si="76"/>
        <v>9379362</v>
      </c>
      <c r="Z230" s="52">
        <f t="shared" si="77"/>
        <v>4773.71</v>
      </c>
      <c r="AA230" s="58">
        <f t="shared" si="78"/>
        <v>1286955</v>
      </c>
      <c r="AB230" s="17">
        <f t="shared" si="79"/>
        <v>797.17</v>
      </c>
      <c r="AC230" s="101"/>
      <c r="AD230" s="555">
        <f t="shared" si="104"/>
        <v>112451945</v>
      </c>
      <c r="AE230" s="632">
        <f t="shared" si="105"/>
        <v>27616.26</v>
      </c>
    </row>
    <row r="231" spans="1:31" hidden="1" outlineLevel="1">
      <c r="A231" s="97">
        <v>43319</v>
      </c>
      <c r="B231" s="98">
        <f t="shared" si="103"/>
        <v>8</v>
      </c>
      <c r="C231" s="35">
        <v>36074404</v>
      </c>
      <c r="D231" s="36">
        <v>9210.2800000000007</v>
      </c>
      <c r="E231" s="43">
        <v>24627178</v>
      </c>
      <c r="F231" s="44">
        <v>5544.98</v>
      </c>
      <c r="G231" s="51">
        <v>47150933</v>
      </c>
      <c r="H231" s="52">
        <v>10472.209999999999</v>
      </c>
      <c r="I231" s="58">
        <v>5039857</v>
      </c>
      <c r="J231" s="17">
        <v>1124.22</v>
      </c>
      <c r="K231" s="101"/>
      <c r="L231" s="35">
        <v>32611296</v>
      </c>
      <c r="M231" s="36">
        <v>5632.75</v>
      </c>
      <c r="N231" s="43">
        <v>20107441</v>
      </c>
      <c r="O231" s="44">
        <v>3737.13</v>
      </c>
      <c r="P231" s="51">
        <v>36162314</v>
      </c>
      <c r="Q231" s="52">
        <v>5314.58</v>
      </c>
      <c r="R231" s="58">
        <v>3804432</v>
      </c>
      <c r="S231" s="17">
        <v>407.46</v>
      </c>
      <c r="T231" s="101"/>
      <c r="U231" s="35">
        <f t="shared" si="72"/>
        <v>3463108</v>
      </c>
      <c r="V231" s="36">
        <f t="shared" si="73"/>
        <v>3577.5300000000007</v>
      </c>
      <c r="W231" s="43">
        <f t="shared" si="74"/>
        <v>4519737</v>
      </c>
      <c r="X231" s="44">
        <f t="shared" si="75"/>
        <v>1807.8499999999995</v>
      </c>
      <c r="Y231" s="51">
        <f t="shared" si="76"/>
        <v>10988619</v>
      </c>
      <c r="Z231" s="52">
        <f t="shared" si="77"/>
        <v>5157.6299999999992</v>
      </c>
      <c r="AA231" s="58">
        <f t="shared" si="78"/>
        <v>1235425</v>
      </c>
      <c r="AB231" s="17">
        <f t="shared" si="79"/>
        <v>716.76</v>
      </c>
      <c r="AC231" s="101"/>
      <c r="AD231" s="555">
        <f t="shared" si="104"/>
        <v>112892372</v>
      </c>
      <c r="AE231" s="632">
        <f t="shared" si="105"/>
        <v>26351.690000000002</v>
      </c>
    </row>
    <row r="232" spans="1:31" hidden="1" outlineLevel="1">
      <c r="A232" s="97">
        <v>43320</v>
      </c>
      <c r="B232" s="98">
        <f t="shared" si="103"/>
        <v>8</v>
      </c>
      <c r="C232" s="35">
        <v>38259092</v>
      </c>
      <c r="D232" s="36">
        <v>9702.17</v>
      </c>
      <c r="E232" s="43">
        <v>25133537</v>
      </c>
      <c r="F232" s="44">
        <v>6136.19</v>
      </c>
      <c r="G232" s="51">
        <v>50048164</v>
      </c>
      <c r="H232" s="52">
        <v>11782.55</v>
      </c>
      <c r="I232" s="58">
        <v>5285894</v>
      </c>
      <c r="J232" s="17">
        <v>1230.58</v>
      </c>
      <c r="K232" s="101"/>
      <c r="L232" s="35">
        <v>34642009</v>
      </c>
      <c r="M232" s="36">
        <v>5994.47</v>
      </c>
      <c r="N232" s="43">
        <v>20393266</v>
      </c>
      <c r="O232" s="44">
        <v>4171.54</v>
      </c>
      <c r="P232" s="51">
        <v>37766804</v>
      </c>
      <c r="Q232" s="52">
        <v>5913.68</v>
      </c>
      <c r="R232" s="58">
        <v>4128282</v>
      </c>
      <c r="S232" s="17">
        <v>448.35</v>
      </c>
      <c r="T232" s="101"/>
      <c r="U232" s="35">
        <f t="shared" si="72"/>
        <v>3617083</v>
      </c>
      <c r="V232" s="36">
        <f t="shared" si="73"/>
        <v>3707.7</v>
      </c>
      <c r="W232" s="43">
        <f t="shared" si="74"/>
        <v>4740271</v>
      </c>
      <c r="X232" s="44">
        <f t="shared" si="75"/>
        <v>1964.6499999999996</v>
      </c>
      <c r="Y232" s="51">
        <f t="shared" si="76"/>
        <v>12281360</v>
      </c>
      <c r="Z232" s="52">
        <f t="shared" si="77"/>
        <v>5868.869999999999</v>
      </c>
      <c r="AA232" s="58">
        <f t="shared" si="78"/>
        <v>1157612</v>
      </c>
      <c r="AB232" s="17">
        <f t="shared" si="79"/>
        <v>782.2299999999999</v>
      </c>
      <c r="AC232" s="101"/>
      <c r="AD232" s="555">
        <f t="shared" si="104"/>
        <v>118726687</v>
      </c>
      <c r="AE232" s="632">
        <f t="shared" si="105"/>
        <v>28851.489999999998</v>
      </c>
    </row>
    <row r="233" spans="1:31" hidden="1" outlineLevel="1">
      <c r="A233" s="97">
        <v>43321</v>
      </c>
      <c r="B233" s="98">
        <f t="shared" si="103"/>
        <v>8</v>
      </c>
      <c r="C233" s="35">
        <v>38184160</v>
      </c>
      <c r="D233" s="36">
        <v>9678.67</v>
      </c>
      <c r="E233" s="43">
        <v>24903038</v>
      </c>
      <c r="F233" s="44">
        <v>6938.71</v>
      </c>
      <c r="G233" s="51">
        <v>50343936</v>
      </c>
      <c r="H233" s="52">
        <v>13159.35</v>
      </c>
      <c r="I233" s="58">
        <v>5073691</v>
      </c>
      <c r="J233" s="17">
        <v>1208.81</v>
      </c>
      <c r="K233" s="101"/>
      <c r="L233" s="35">
        <v>34468750</v>
      </c>
      <c r="M233" s="36">
        <v>5928.3</v>
      </c>
      <c r="N233" s="43">
        <v>20247526</v>
      </c>
      <c r="O233" s="44">
        <v>5029.3100000000004</v>
      </c>
      <c r="P233" s="51">
        <v>37914862</v>
      </c>
      <c r="Q233" s="52">
        <v>7575.17</v>
      </c>
      <c r="R233" s="58">
        <v>3954273</v>
      </c>
      <c r="S233" s="17">
        <v>457.26</v>
      </c>
      <c r="T233" s="101"/>
      <c r="U233" s="35">
        <f t="shared" si="72"/>
        <v>3715410</v>
      </c>
      <c r="V233" s="36">
        <f t="shared" si="73"/>
        <v>3750.37</v>
      </c>
      <c r="W233" s="43">
        <f t="shared" si="74"/>
        <v>4655512</v>
      </c>
      <c r="X233" s="44">
        <f t="shared" si="75"/>
        <v>1909.3999999999996</v>
      </c>
      <c r="Y233" s="51">
        <f t="shared" si="76"/>
        <v>12429074</v>
      </c>
      <c r="Z233" s="52">
        <f t="shared" si="77"/>
        <v>5584.18</v>
      </c>
      <c r="AA233" s="58">
        <f t="shared" si="78"/>
        <v>1119418</v>
      </c>
      <c r="AB233" s="17">
        <f t="shared" si="79"/>
        <v>751.55</v>
      </c>
      <c r="AC233" s="101"/>
      <c r="AD233" s="555">
        <f t="shared" si="104"/>
        <v>118504825</v>
      </c>
      <c r="AE233" s="632">
        <f t="shared" si="105"/>
        <v>30985.540000000005</v>
      </c>
    </row>
    <row r="234" spans="1:31" hidden="1" outlineLevel="1">
      <c r="A234" s="97">
        <v>43322</v>
      </c>
      <c r="B234" s="98">
        <f t="shared" si="103"/>
        <v>8</v>
      </c>
      <c r="C234" s="35">
        <v>39323979</v>
      </c>
      <c r="D234" s="36">
        <v>30284.36</v>
      </c>
      <c r="E234" s="43">
        <v>26964598</v>
      </c>
      <c r="F234" s="44">
        <v>37690.21</v>
      </c>
      <c r="G234" s="51">
        <v>54401972</v>
      </c>
      <c r="H234" s="52">
        <v>51906.9</v>
      </c>
      <c r="I234" s="58">
        <v>5589469</v>
      </c>
      <c r="J234" s="17">
        <v>3272.05</v>
      </c>
      <c r="K234" s="101"/>
      <c r="L234" s="35">
        <v>35404553</v>
      </c>
      <c r="M234" s="36">
        <v>26136.84</v>
      </c>
      <c r="N234" s="43">
        <v>21561027</v>
      </c>
      <c r="O234" s="44">
        <v>35524.639999999999</v>
      </c>
      <c r="P234" s="51">
        <v>40239069</v>
      </c>
      <c r="Q234" s="52">
        <v>45771.02</v>
      </c>
      <c r="R234" s="58">
        <v>4379937</v>
      </c>
      <c r="S234" s="17">
        <v>2384.7199999999998</v>
      </c>
      <c r="T234" s="101"/>
      <c r="U234" s="35">
        <f t="shared" si="72"/>
        <v>3919426</v>
      </c>
      <c r="V234" s="36">
        <f t="shared" si="73"/>
        <v>4147.5200000000004</v>
      </c>
      <c r="W234" s="43">
        <f t="shared" si="74"/>
        <v>5403571</v>
      </c>
      <c r="X234" s="44">
        <f t="shared" si="75"/>
        <v>2165.5699999999997</v>
      </c>
      <c r="Y234" s="51">
        <f t="shared" si="76"/>
        <v>14162903</v>
      </c>
      <c r="Z234" s="52">
        <f t="shared" si="77"/>
        <v>6135.8800000000047</v>
      </c>
      <c r="AA234" s="58">
        <f t="shared" si="78"/>
        <v>1209532</v>
      </c>
      <c r="AB234" s="17">
        <f t="shared" si="79"/>
        <v>887.33000000000038</v>
      </c>
      <c r="AC234" s="101"/>
      <c r="AD234" s="555">
        <f t="shared" si="104"/>
        <v>126280018</v>
      </c>
      <c r="AE234" s="632">
        <f t="shared" si="105"/>
        <v>123153.52</v>
      </c>
    </row>
    <row r="235" spans="1:31" hidden="1" outlineLevel="1">
      <c r="A235" s="97">
        <v>43323</v>
      </c>
      <c r="B235" s="98">
        <f t="shared" si="103"/>
        <v>8</v>
      </c>
      <c r="C235" s="35">
        <v>40329403</v>
      </c>
      <c r="D235" s="36">
        <v>11768.176000008169</v>
      </c>
      <c r="E235" s="43">
        <v>27157610</v>
      </c>
      <c r="F235" s="44">
        <v>8667.8760000011243</v>
      </c>
      <c r="G235" s="51">
        <v>61065294</v>
      </c>
      <c r="H235" s="52">
        <v>17615.594000012585</v>
      </c>
      <c r="I235" s="58">
        <v>5900706</v>
      </c>
      <c r="J235" s="17">
        <v>1407.6159999998458</v>
      </c>
      <c r="K235" s="101"/>
      <c r="L235" s="35">
        <v>36391517</v>
      </c>
      <c r="M235" s="36">
        <v>7714.2560000041367</v>
      </c>
      <c r="N235" s="43">
        <v>21110436</v>
      </c>
      <c r="O235" s="44">
        <v>6388.602000000511</v>
      </c>
      <c r="P235" s="51">
        <v>44277900</v>
      </c>
      <c r="Q235" s="52">
        <v>10704.758000006892</v>
      </c>
      <c r="R235" s="58">
        <v>4426591</v>
      </c>
      <c r="S235" s="17">
        <v>534.71399999995333</v>
      </c>
      <c r="T235" s="101"/>
      <c r="U235" s="35">
        <f t="shared" si="72"/>
        <v>3937886</v>
      </c>
      <c r="V235" s="36">
        <f t="shared" si="73"/>
        <v>4053.9200000040319</v>
      </c>
      <c r="W235" s="43">
        <f t="shared" si="74"/>
        <v>6047174</v>
      </c>
      <c r="X235" s="44">
        <f t="shared" si="75"/>
        <v>2279.2740000006133</v>
      </c>
      <c r="Y235" s="51">
        <f t="shared" si="76"/>
        <v>16787394</v>
      </c>
      <c r="Z235" s="52">
        <f t="shared" si="77"/>
        <v>6910.8360000056928</v>
      </c>
      <c r="AA235" s="58">
        <f t="shared" si="78"/>
        <v>1474115</v>
      </c>
      <c r="AB235" s="17">
        <f t="shared" si="79"/>
        <v>872.9019999998925</v>
      </c>
      <c r="AC235" s="101"/>
      <c r="AD235" s="555">
        <f t="shared" si="104"/>
        <v>134453013</v>
      </c>
      <c r="AE235" s="632">
        <f t="shared" si="105"/>
        <v>39459.262000021728</v>
      </c>
    </row>
    <row r="236" spans="1:31" hidden="1" outlineLevel="1">
      <c r="A236" s="97">
        <v>43324</v>
      </c>
      <c r="B236" s="98">
        <f t="shared" si="103"/>
        <v>8</v>
      </c>
      <c r="C236" s="35">
        <v>37766106</v>
      </c>
      <c r="D236" s="36">
        <v>9581.70100000815</v>
      </c>
      <c r="E236" s="43">
        <v>26063495</v>
      </c>
      <c r="F236" s="44">
        <v>6043.984000000879</v>
      </c>
      <c r="G236" s="51">
        <v>60193589</v>
      </c>
      <c r="H236" s="52">
        <v>14817.892000009801</v>
      </c>
      <c r="I236" s="58">
        <v>6139867</v>
      </c>
      <c r="J236" s="17">
        <v>1231.7639999998717</v>
      </c>
      <c r="K236" s="101"/>
      <c r="L236" s="35">
        <v>34098854</v>
      </c>
      <c r="M236" s="36">
        <v>5798.0290000043433</v>
      </c>
      <c r="N236" s="43">
        <v>19468549</v>
      </c>
      <c r="O236" s="44">
        <v>3645.6090000002923</v>
      </c>
      <c r="P236" s="51">
        <v>42589050</v>
      </c>
      <c r="Q236" s="52">
        <v>7648.8730000042597</v>
      </c>
      <c r="R236" s="58">
        <v>4585737</v>
      </c>
      <c r="S236" s="17">
        <v>424.53499999996802</v>
      </c>
      <c r="T236" s="101"/>
      <c r="U236" s="35">
        <f t="shared" si="72"/>
        <v>3667252</v>
      </c>
      <c r="V236" s="36">
        <f t="shared" si="73"/>
        <v>3783.6720000038067</v>
      </c>
      <c r="W236" s="43">
        <f t="shared" si="74"/>
        <v>6594946</v>
      </c>
      <c r="X236" s="44">
        <f t="shared" si="75"/>
        <v>2398.3750000005866</v>
      </c>
      <c r="Y236" s="51">
        <f t="shared" si="76"/>
        <v>17604539</v>
      </c>
      <c r="Z236" s="52">
        <f t="shared" si="77"/>
        <v>7169.0190000055409</v>
      </c>
      <c r="AA236" s="58">
        <f t="shared" si="78"/>
        <v>1554130</v>
      </c>
      <c r="AB236" s="17">
        <f t="shared" si="79"/>
        <v>807.22899999990364</v>
      </c>
      <c r="AC236" s="101"/>
      <c r="AD236" s="555">
        <f t="shared" si="104"/>
        <v>130163057</v>
      </c>
      <c r="AE236" s="632">
        <f t="shared" si="105"/>
        <v>31675.3410000187</v>
      </c>
    </row>
    <row r="237" spans="1:31" hidden="1" outlineLevel="1">
      <c r="A237" s="97">
        <v>43325</v>
      </c>
      <c r="B237" s="98">
        <f t="shared" si="103"/>
        <v>8</v>
      </c>
      <c r="C237" s="35">
        <v>36254305</v>
      </c>
      <c r="D237" s="36">
        <v>10396.453000007816</v>
      </c>
      <c r="E237" s="43">
        <v>25862460</v>
      </c>
      <c r="F237" s="44">
        <v>6771.1950000009438</v>
      </c>
      <c r="G237" s="51">
        <v>59487776</v>
      </c>
      <c r="H237" s="52">
        <v>15098.184000009802</v>
      </c>
      <c r="I237" s="58">
        <v>5470444</v>
      </c>
      <c r="J237" s="17">
        <v>1238.4819999998563</v>
      </c>
      <c r="K237" s="101"/>
      <c r="L237" s="35">
        <v>32791529</v>
      </c>
      <c r="M237" s="36">
        <v>6593.0890000041345</v>
      </c>
      <c r="N237" s="43">
        <v>19190018</v>
      </c>
      <c r="O237" s="44">
        <v>4239.7810000003892</v>
      </c>
      <c r="P237" s="51">
        <v>40904982</v>
      </c>
      <c r="Q237" s="52">
        <v>7822.8680000042632</v>
      </c>
      <c r="R237" s="58">
        <v>4119533</v>
      </c>
      <c r="S237" s="17">
        <v>536.16599999995492</v>
      </c>
      <c r="T237" s="101"/>
      <c r="U237" s="35">
        <f t="shared" si="72"/>
        <v>3462776</v>
      </c>
      <c r="V237" s="36">
        <f t="shared" si="73"/>
        <v>3803.3640000036812</v>
      </c>
      <c r="W237" s="43">
        <f t="shared" si="74"/>
        <v>6672442</v>
      </c>
      <c r="X237" s="44">
        <f t="shared" si="75"/>
        <v>2531.4140000005546</v>
      </c>
      <c r="Y237" s="51">
        <f t="shared" si="76"/>
        <v>18582794</v>
      </c>
      <c r="Z237" s="52">
        <f t="shared" si="77"/>
        <v>7275.3160000055386</v>
      </c>
      <c r="AA237" s="58">
        <f t="shared" si="78"/>
        <v>1350911</v>
      </c>
      <c r="AB237" s="17">
        <f t="shared" si="79"/>
        <v>702.31599999990135</v>
      </c>
      <c r="AC237" s="101"/>
      <c r="AD237" s="555">
        <f t="shared" si="104"/>
        <v>127074985</v>
      </c>
      <c r="AE237" s="632">
        <f t="shared" si="105"/>
        <v>33504.314000018421</v>
      </c>
    </row>
    <row r="238" spans="1:31" hidden="1" outlineLevel="1">
      <c r="A238" s="97">
        <v>43326</v>
      </c>
      <c r="B238" s="98">
        <f t="shared" si="103"/>
        <v>8</v>
      </c>
      <c r="C238" s="35">
        <v>36425138</v>
      </c>
      <c r="D238" s="36">
        <v>9582.9790000078792</v>
      </c>
      <c r="E238" s="43">
        <v>25617353</v>
      </c>
      <c r="F238" s="44">
        <v>6020.8210000008594</v>
      </c>
      <c r="G238" s="51">
        <v>62424818</v>
      </c>
      <c r="H238" s="52">
        <v>13581.41500000986</v>
      </c>
      <c r="I238" s="58">
        <v>5789402</v>
      </c>
      <c r="J238" s="17">
        <v>1125.1969999998685</v>
      </c>
      <c r="K238" s="101"/>
      <c r="L238" s="35">
        <v>32801298</v>
      </c>
      <c r="M238" s="36">
        <v>5778.9140000041334</v>
      </c>
      <c r="N238" s="43">
        <v>19447641</v>
      </c>
      <c r="O238" s="44">
        <v>3717.9070000002844</v>
      </c>
      <c r="P238" s="51">
        <v>42962528</v>
      </c>
      <c r="Q238" s="52">
        <v>6298.9970000043886</v>
      </c>
      <c r="R238" s="58">
        <v>4367705</v>
      </c>
      <c r="S238" s="17">
        <v>429.63799999997042</v>
      </c>
      <c r="T238" s="101"/>
      <c r="U238" s="35">
        <f t="shared" si="72"/>
        <v>3623840</v>
      </c>
      <c r="V238" s="36">
        <f t="shared" si="73"/>
        <v>3804.0650000037458</v>
      </c>
      <c r="W238" s="43">
        <f t="shared" si="74"/>
        <v>6169712</v>
      </c>
      <c r="X238" s="44">
        <f t="shared" si="75"/>
        <v>2302.914000000575</v>
      </c>
      <c r="Y238" s="51">
        <f t="shared" si="76"/>
        <v>19462290</v>
      </c>
      <c r="Z238" s="52">
        <f t="shared" si="77"/>
        <v>7282.4180000054712</v>
      </c>
      <c r="AA238" s="58">
        <f t="shared" si="78"/>
        <v>1421697</v>
      </c>
      <c r="AB238" s="17">
        <f t="shared" si="79"/>
        <v>695.55899999989811</v>
      </c>
      <c r="AC238" s="101"/>
      <c r="AD238" s="555">
        <f t="shared" si="104"/>
        <v>130256711</v>
      </c>
      <c r="AE238" s="632">
        <f t="shared" si="105"/>
        <v>30310.412000018467</v>
      </c>
    </row>
    <row r="239" spans="1:31" hidden="1" outlineLevel="1">
      <c r="A239" s="97">
        <v>43327</v>
      </c>
      <c r="B239" s="98">
        <f t="shared" si="103"/>
        <v>8</v>
      </c>
      <c r="C239" s="35">
        <v>36936032</v>
      </c>
      <c r="D239" s="36">
        <v>10413.612000008095</v>
      </c>
      <c r="E239" s="43">
        <v>25280988</v>
      </c>
      <c r="F239" s="44">
        <v>6533.5190000009961</v>
      </c>
      <c r="G239" s="51">
        <v>60068433</v>
      </c>
      <c r="H239" s="52">
        <v>15140.049000009589</v>
      </c>
      <c r="I239" s="58">
        <v>5781751</v>
      </c>
      <c r="J239" s="17">
        <v>1275.0959999998531</v>
      </c>
      <c r="K239" s="101"/>
      <c r="L239" s="35">
        <v>33512019</v>
      </c>
      <c r="M239" s="36">
        <v>6574.7040000041734</v>
      </c>
      <c r="N239" s="43">
        <v>19455770</v>
      </c>
      <c r="O239" s="44">
        <v>4347.7130000004126</v>
      </c>
      <c r="P239" s="51">
        <v>40996042</v>
      </c>
      <c r="Q239" s="52">
        <v>7691.6300000044166</v>
      </c>
      <c r="R239" s="58">
        <v>4428535</v>
      </c>
      <c r="S239" s="17">
        <v>524.93999999995276</v>
      </c>
      <c r="T239" s="101"/>
      <c r="U239" s="35">
        <f t="shared" si="72"/>
        <v>3424013</v>
      </c>
      <c r="V239" s="36">
        <f t="shared" si="73"/>
        <v>3838.9080000039221</v>
      </c>
      <c r="W239" s="43">
        <f t="shared" si="74"/>
        <v>5825218</v>
      </c>
      <c r="X239" s="44">
        <f t="shared" si="75"/>
        <v>2185.8060000005835</v>
      </c>
      <c r="Y239" s="51">
        <f t="shared" si="76"/>
        <v>19072391</v>
      </c>
      <c r="Z239" s="52">
        <f t="shared" si="77"/>
        <v>7448.4190000051722</v>
      </c>
      <c r="AA239" s="58">
        <f t="shared" si="78"/>
        <v>1353216</v>
      </c>
      <c r="AB239" s="17">
        <f t="shared" si="79"/>
        <v>750.15599999990036</v>
      </c>
      <c r="AC239" s="101"/>
      <c r="AD239" s="555">
        <f t="shared" si="104"/>
        <v>128067204</v>
      </c>
      <c r="AE239" s="632">
        <f t="shared" si="105"/>
        <v>33362.276000018537</v>
      </c>
    </row>
    <row r="240" spans="1:31" hidden="1" outlineLevel="1">
      <c r="A240" s="97">
        <v>43328</v>
      </c>
      <c r="B240" s="98">
        <f t="shared" si="103"/>
        <v>8</v>
      </c>
      <c r="C240" s="35">
        <v>37451608</v>
      </c>
      <c r="D240" s="36">
        <v>10081.33100000822</v>
      </c>
      <c r="E240" s="43">
        <v>24566472</v>
      </c>
      <c r="F240" s="44">
        <v>5740.3550000001205</v>
      </c>
      <c r="G240" s="51">
        <v>59981510</v>
      </c>
      <c r="H240" s="52">
        <v>13625.698000009874</v>
      </c>
      <c r="I240" s="58">
        <v>6712229</v>
      </c>
      <c r="J240" s="17">
        <v>1530.6849999998585</v>
      </c>
      <c r="K240" s="101"/>
      <c r="L240" s="35">
        <v>34122128</v>
      </c>
      <c r="M240" s="36">
        <v>6190.4000000045544</v>
      </c>
      <c r="N240" s="43">
        <v>19176118</v>
      </c>
      <c r="O240" s="44">
        <v>3711.9300000002872</v>
      </c>
      <c r="P240" s="51">
        <v>42308227</v>
      </c>
      <c r="Q240" s="52">
        <v>6785.430000004776</v>
      </c>
      <c r="R240" s="58">
        <v>4624862</v>
      </c>
      <c r="S240" s="17">
        <v>501.51699999996634</v>
      </c>
      <c r="T240" s="101"/>
      <c r="U240" s="35">
        <f t="shared" si="72"/>
        <v>3329480</v>
      </c>
      <c r="V240" s="36">
        <f t="shared" si="73"/>
        <v>3890.9310000036658</v>
      </c>
      <c r="W240" s="43">
        <f t="shared" si="74"/>
        <v>5390354</v>
      </c>
      <c r="X240" s="44">
        <f t="shared" si="75"/>
        <v>2028.4249999998333</v>
      </c>
      <c r="Y240" s="51">
        <f t="shared" si="76"/>
        <v>17673283</v>
      </c>
      <c r="Z240" s="52">
        <f t="shared" si="77"/>
        <v>6840.2680000050977</v>
      </c>
      <c r="AA240" s="58">
        <f t="shared" si="78"/>
        <v>2087367</v>
      </c>
      <c r="AB240" s="17">
        <f t="shared" si="79"/>
        <v>1029.1679999998921</v>
      </c>
      <c r="AC240" s="101"/>
      <c r="AD240" s="555">
        <f t="shared" si="104"/>
        <v>128711819</v>
      </c>
      <c r="AE240" s="632">
        <f t="shared" si="105"/>
        <v>30978.069000018073</v>
      </c>
    </row>
    <row r="241" spans="1:31" hidden="1" outlineLevel="1">
      <c r="A241" s="97">
        <v>43329</v>
      </c>
      <c r="B241" s="98">
        <f t="shared" si="103"/>
        <v>8</v>
      </c>
      <c r="C241" s="35">
        <v>37466843</v>
      </c>
      <c r="D241" s="36">
        <v>9756.3360000085195</v>
      </c>
      <c r="E241" s="43">
        <v>26601869</v>
      </c>
      <c r="F241" s="44">
        <v>5827.7690000001312</v>
      </c>
      <c r="G241" s="51">
        <v>59977747</v>
      </c>
      <c r="H241" s="52">
        <v>14219.806000010147</v>
      </c>
      <c r="I241" s="58">
        <v>10566186</v>
      </c>
      <c r="J241" s="17">
        <v>2300.302999999747</v>
      </c>
      <c r="K241" s="101"/>
      <c r="L241" s="35">
        <v>34132418</v>
      </c>
      <c r="M241" s="36">
        <v>6024.6230000046562</v>
      </c>
      <c r="N241" s="43">
        <v>21451074</v>
      </c>
      <c r="O241" s="44">
        <v>3758.2780000002845</v>
      </c>
      <c r="P241" s="51">
        <v>42219601</v>
      </c>
      <c r="Q241" s="52">
        <v>7376.7230000050558</v>
      </c>
      <c r="R241" s="58">
        <v>5377322</v>
      </c>
      <c r="S241" s="17">
        <v>616.41199999994683</v>
      </c>
      <c r="T241" s="101"/>
      <c r="U241" s="35">
        <f t="shared" si="72"/>
        <v>3334425</v>
      </c>
      <c r="V241" s="36">
        <f t="shared" si="73"/>
        <v>3731.7130000038633</v>
      </c>
      <c r="W241" s="43">
        <f t="shared" si="74"/>
        <v>5150795</v>
      </c>
      <c r="X241" s="44">
        <f t="shared" si="75"/>
        <v>2069.4909999998467</v>
      </c>
      <c r="Y241" s="51">
        <f t="shared" si="76"/>
        <v>17758146</v>
      </c>
      <c r="Z241" s="52">
        <f t="shared" si="77"/>
        <v>6843.083000005091</v>
      </c>
      <c r="AA241" s="58">
        <f t="shared" si="78"/>
        <v>5188864</v>
      </c>
      <c r="AB241" s="17">
        <f t="shared" si="79"/>
        <v>1683.8909999998002</v>
      </c>
      <c r="AC241" s="101"/>
      <c r="AD241" s="555">
        <f t="shared" si="104"/>
        <v>134612645</v>
      </c>
      <c r="AE241" s="632">
        <f t="shared" si="105"/>
        <v>32104.214000018546</v>
      </c>
    </row>
    <row r="242" spans="1:31" hidden="1" outlineLevel="1">
      <c r="A242" s="97">
        <v>43330</v>
      </c>
      <c r="B242" s="98">
        <f t="shared" si="103"/>
        <v>8</v>
      </c>
      <c r="C242" s="35">
        <v>40781118</v>
      </c>
      <c r="D242" s="36">
        <v>10510.619000009014</v>
      </c>
      <c r="E242" s="43">
        <v>31200671</v>
      </c>
      <c r="F242" s="44">
        <v>6401.349000001007</v>
      </c>
      <c r="G242" s="51">
        <v>62844811</v>
      </c>
      <c r="H242" s="52">
        <v>15351.34400001265</v>
      </c>
      <c r="I242" s="58">
        <v>8382217</v>
      </c>
      <c r="J242" s="17">
        <v>1763.7859999998068</v>
      </c>
      <c r="K242" s="101"/>
      <c r="L242" s="35">
        <v>37161454</v>
      </c>
      <c r="M242" s="36">
        <v>6543.299000005034</v>
      </c>
      <c r="N242" s="43">
        <v>25362967</v>
      </c>
      <c r="O242" s="44">
        <v>4110.4750000004096</v>
      </c>
      <c r="P242" s="51">
        <v>44717014</v>
      </c>
      <c r="Q242" s="52">
        <v>8600.1760000076029</v>
      </c>
      <c r="R242" s="58">
        <v>5145115</v>
      </c>
      <c r="S242" s="17">
        <v>599.09299999994698</v>
      </c>
      <c r="T242" s="101"/>
      <c r="U242" s="35">
        <f t="shared" si="72"/>
        <v>3619664</v>
      </c>
      <c r="V242" s="36">
        <f t="shared" si="73"/>
        <v>3967.3200000039797</v>
      </c>
      <c r="W242" s="43">
        <f t="shared" si="74"/>
        <v>5837704</v>
      </c>
      <c r="X242" s="44">
        <f t="shared" si="75"/>
        <v>2290.8740000005973</v>
      </c>
      <c r="Y242" s="51">
        <f t="shared" si="76"/>
        <v>18127797</v>
      </c>
      <c r="Z242" s="52">
        <f t="shared" si="77"/>
        <v>6751.1680000050474</v>
      </c>
      <c r="AA242" s="58">
        <f t="shared" si="78"/>
        <v>3237102</v>
      </c>
      <c r="AB242" s="17">
        <f t="shared" si="79"/>
        <v>1164.6929999998597</v>
      </c>
      <c r="AC242" s="101"/>
      <c r="AD242" s="555">
        <f t="shared" si="104"/>
        <v>143208817</v>
      </c>
      <c r="AE242" s="632">
        <f t="shared" si="105"/>
        <v>34027.098000022474</v>
      </c>
    </row>
    <row r="243" spans="1:31" hidden="1" outlineLevel="1">
      <c r="A243" s="97">
        <v>43331</v>
      </c>
      <c r="B243" s="98">
        <f t="shared" si="103"/>
        <v>8</v>
      </c>
      <c r="C243" s="35">
        <v>36437201</v>
      </c>
      <c r="D243" s="36">
        <v>9591.4040000086461</v>
      </c>
      <c r="E243" s="43">
        <v>29377579</v>
      </c>
      <c r="F243" s="44">
        <v>6354.3860000009254</v>
      </c>
      <c r="G243" s="51">
        <v>56935931</v>
      </c>
      <c r="H243" s="52">
        <v>13063.401000009764</v>
      </c>
      <c r="I243" s="58">
        <v>7617705</v>
      </c>
      <c r="J243" s="17">
        <v>1385.8979999998278</v>
      </c>
      <c r="K243" s="101"/>
      <c r="L243" s="35">
        <v>33084218</v>
      </c>
      <c r="M243" s="36">
        <v>5930.0890000047075</v>
      </c>
      <c r="N243" s="43">
        <v>22780387</v>
      </c>
      <c r="O243" s="44">
        <v>3730.5580000002965</v>
      </c>
      <c r="P243" s="51">
        <v>40493858</v>
      </c>
      <c r="Q243" s="52">
        <v>6840.1880000048059</v>
      </c>
      <c r="R243" s="58">
        <v>5692957</v>
      </c>
      <c r="S243" s="17">
        <v>562.7359999999444</v>
      </c>
      <c r="T243" s="101"/>
      <c r="U243" s="35">
        <f t="shared" si="72"/>
        <v>3352983</v>
      </c>
      <c r="V243" s="36">
        <f t="shared" si="73"/>
        <v>3661.3150000039386</v>
      </c>
      <c r="W243" s="43">
        <f t="shared" si="74"/>
        <v>6597192</v>
      </c>
      <c r="X243" s="44">
        <f t="shared" si="75"/>
        <v>2623.8280000006289</v>
      </c>
      <c r="Y243" s="51">
        <f t="shared" si="76"/>
        <v>16442073</v>
      </c>
      <c r="Z243" s="52">
        <f t="shared" si="77"/>
        <v>6223.2130000049583</v>
      </c>
      <c r="AA243" s="58">
        <f t="shared" si="78"/>
        <v>1924748</v>
      </c>
      <c r="AB243" s="17">
        <f t="shared" si="79"/>
        <v>823.16199999988339</v>
      </c>
      <c r="AC243" s="101"/>
      <c r="AD243" s="555">
        <f t="shared" si="104"/>
        <v>130368416</v>
      </c>
      <c r="AE243" s="632">
        <f t="shared" si="105"/>
        <v>30395.089000019165</v>
      </c>
    </row>
    <row r="244" spans="1:31" hidden="1" outlineLevel="1">
      <c r="A244" s="97">
        <v>43332</v>
      </c>
      <c r="B244" s="98">
        <f t="shared" si="103"/>
        <v>8</v>
      </c>
      <c r="C244" s="35">
        <v>35798996</v>
      </c>
      <c r="D244" s="36">
        <v>10308.607000008435</v>
      </c>
      <c r="E244" s="43">
        <v>27440980</v>
      </c>
      <c r="F244" s="44">
        <v>7240.7230000009004</v>
      </c>
      <c r="G244" s="51">
        <v>48499073</v>
      </c>
      <c r="H244" s="52">
        <v>12259.508000009722</v>
      </c>
      <c r="I244" s="58">
        <v>5220176</v>
      </c>
      <c r="J244" s="17">
        <v>942.01099999996336</v>
      </c>
      <c r="K244" s="101"/>
      <c r="L244" s="35">
        <v>32397593</v>
      </c>
      <c r="M244" s="36">
        <v>6538.779000004597</v>
      </c>
      <c r="N244" s="43">
        <v>19066082</v>
      </c>
      <c r="O244" s="44">
        <v>3872.2020000002735</v>
      </c>
      <c r="P244" s="51">
        <v>35157307</v>
      </c>
      <c r="Q244" s="52">
        <v>6390.5370000046687</v>
      </c>
      <c r="R244" s="58">
        <v>3829748</v>
      </c>
      <c r="S244" s="17">
        <v>378.73299999999387</v>
      </c>
      <c r="T244" s="101"/>
      <c r="U244" s="35">
        <f t="shared" si="72"/>
        <v>3401403</v>
      </c>
      <c r="V244" s="36">
        <f t="shared" si="73"/>
        <v>3769.8280000038376</v>
      </c>
      <c r="W244" s="43">
        <f t="shared" si="74"/>
        <v>8374898</v>
      </c>
      <c r="X244" s="44">
        <f t="shared" si="75"/>
        <v>3368.5210000006268</v>
      </c>
      <c r="Y244" s="51">
        <f t="shared" si="76"/>
        <v>13341766</v>
      </c>
      <c r="Z244" s="52">
        <f t="shared" si="77"/>
        <v>5868.9710000050536</v>
      </c>
      <c r="AA244" s="58">
        <f t="shared" si="78"/>
        <v>1390428</v>
      </c>
      <c r="AB244" s="17">
        <f t="shared" si="79"/>
        <v>563.27799999996955</v>
      </c>
      <c r="AC244" s="101"/>
      <c r="AD244" s="555">
        <f t="shared" si="104"/>
        <v>116959225</v>
      </c>
      <c r="AE244" s="632">
        <f t="shared" si="105"/>
        <v>30750.849000019021</v>
      </c>
    </row>
    <row r="245" spans="1:31" hidden="1" outlineLevel="1">
      <c r="A245" s="97">
        <v>43333</v>
      </c>
      <c r="B245" s="98">
        <f t="shared" si="103"/>
        <v>8</v>
      </c>
      <c r="C245" s="35">
        <v>36660170</v>
      </c>
      <c r="D245" s="36">
        <v>10492.758000008413</v>
      </c>
      <c r="E245" s="43">
        <v>29090872</v>
      </c>
      <c r="F245" s="44">
        <v>7736.9620000009581</v>
      </c>
      <c r="G245" s="51">
        <v>47885883</v>
      </c>
      <c r="H245" s="52">
        <v>11621.939000009213</v>
      </c>
      <c r="I245" s="58">
        <v>5046188</v>
      </c>
      <c r="J245" s="17">
        <v>679.21399999995219</v>
      </c>
      <c r="K245" s="101"/>
      <c r="L245" s="35">
        <v>32937255</v>
      </c>
      <c r="M245" s="36">
        <v>6595.3710000046794</v>
      </c>
      <c r="N245" s="43">
        <v>18864291</v>
      </c>
      <c r="O245" s="44">
        <v>3572.2240000002957</v>
      </c>
      <c r="P245" s="51">
        <v>35874909</v>
      </c>
      <c r="Q245" s="52">
        <v>6169.9490000043861</v>
      </c>
      <c r="R245" s="58">
        <v>3357941</v>
      </c>
      <c r="S245" s="17">
        <v>187.10700000000338</v>
      </c>
      <c r="T245" s="101"/>
      <c r="U245" s="35">
        <f t="shared" si="72"/>
        <v>3722915</v>
      </c>
      <c r="V245" s="36">
        <f t="shared" si="73"/>
        <v>3897.3870000037332</v>
      </c>
      <c r="W245" s="43">
        <f t="shared" si="74"/>
        <v>10226581</v>
      </c>
      <c r="X245" s="44">
        <f t="shared" si="75"/>
        <v>4164.7380000006624</v>
      </c>
      <c r="Y245" s="51">
        <f t="shared" si="76"/>
        <v>12010974</v>
      </c>
      <c r="Z245" s="52">
        <f t="shared" si="77"/>
        <v>5451.9900000048274</v>
      </c>
      <c r="AA245" s="58">
        <f t="shared" si="78"/>
        <v>1688247</v>
      </c>
      <c r="AB245" s="17">
        <f t="shared" si="79"/>
        <v>492.10699999994881</v>
      </c>
      <c r="AC245" s="101"/>
      <c r="AD245" s="555">
        <f t="shared" si="104"/>
        <v>118683113</v>
      </c>
      <c r="AE245" s="632">
        <f t="shared" si="105"/>
        <v>30530.873000018539</v>
      </c>
    </row>
    <row r="246" spans="1:31" hidden="1" outlineLevel="1">
      <c r="A246" s="97">
        <v>43334</v>
      </c>
      <c r="B246" s="98">
        <f t="shared" si="103"/>
        <v>8</v>
      </c>
      <c r="C246" s="35">
        <v>36490345</v>
      </c>
      <c r="D246" s="36">
        <v>10580.364000008494</v>
      </c>
      <c r="E246" s="43">
        <v>28772509</v>
      </c>
      <c r="F246" s="44">
        <v>7644.0380000008699</v>
      </c>
      <c r="G246" s="51">
        <v>48934475</v>
      </c>
      <c r="H246" s="52">
        <v>11858.650000009635</v>
      </c>
      <c r="I246" s="58">
        <v>4990686</v>
      </c>
      <c r="J246" s="17">
        <v>979.59799999991969</v>
      </c>
      <c r="K246" s="101"/>
      <c r="L246" s="35">
        <v>32775452</v>
      </c>
      <c r="M246" s="36">
        <v>6587.7600000046295</v>
      </c>
      <c r="N246" s="43">
        <v>19298704</v>
      </c>
      <c r="O246" s="44">
        <v>3676.187000000295</v>
      </c>
      <c r="P246" s="51">
        <v>35829645</v>
      </c>
      <c r="Q246" s="52">
        <v>6122.2570000046417</v>
      </c>
      <c r="R246" s="58">
        <v>3142581</v>
      </c>
      <c r="S246" s="17">
        <v>180.95900000000347</v>
      </c>
      <c r="T246" s="101"/>
      <c r="U246" s="35">
        <f t="shared" si="72"/>
        <v>3714893</v>
      </c>
      <c r="V246" s="36">
        <f t="shared" si="73"/>
        <v>3992.6040000038647</v>
      </c>
      <c r="W246" s="43">
        <f t="shared" si="74"/>
        <v>9473805</v>
      </c>
      <c r="X246" s="44">
        <f t="shared" si="75"/>
        <v>3967.8510000005749</v>
      </c>
      <c r="Y246" s="51">
        <f t="shared" si="76"/>
        <v>13104830</v>
      </c>
      <c r="Z246" s="52">
        <f t="shared" si="77"/>
        <v>5736.3930000049932</v>
      </c>
      <c r="AA246" s="58">
        <f t="shared" si="78"/>
        <v>1848105</v>
      </c>
      <c r="AB246" s="17">
        <f t="shared" si="79"/>
        <v>798.63899999991622</v>
      </c>
      <c r="AC246" s="101"/>
      <c r="AD246" s="555">
        <f t="shared" si="104"/>
        <v>119188015</v>
      </c>
      <c r="AE246" s="632">
        <f t="shared" si="105"/>
        <v>31062.650000018919</v>
      </c>
    </row>
    <row r="247" spans="1:31" hidden="1" outlineLevel="1">
      <c r="A247" s="97">
        <v>43335</v>
      </c>
      <c r="B247" s="98">
        <f t="shared" si="103"/>
        <v>8</v>
      </c>
      <c r="C247" s="35">
        <v>35768335</v>
      </c>
      <c r="D247" s="36">
        <v>11246.250000008367</v>
      </c>
      <c r="E247" s="43">
        <v>27956456</v>
      </c>
      <c r="F247" s="44">
        <v>8048.0100000010607</v>
      </c>
      <c r="G247" s="51">
        <v>52827661</v>
      </c>
      <c r="H247" s="52">
        <v>13382.187000009832</v>
      </c>
      <c r="I247" s="58">
        <v>6881201</v>
      </c>
      <c r="J247" s="17">
        <v>1035.4719999999161</v>
      </c>
      <c r="K247" s="101"/>
      <c r="L247" s="35">
        <v>32111296</v>
      </c>
      <c r="M247" s="36">
        <v>7169.3370000042678</v>
      </c>
      <c r="N247" s="43">
        <v>19630068</v>
      </c>
      <c r="O247" s="44">
        <v>4434.7200000004532</v>
      </c>
      <c r="P247" s="51">
        <v>39026466</v>
      </c>
      <c r="Q247" s="52">
        <v>7318.2620000044599</v>
      </c>
      <c r="R247" s="58">
        <v>4879808</v>
      </c>
      <c r="S247" s="17">
        <v>229.34200000000169</v>
      </c>
      <c r="T247" s="101"/>
      <c r="U247" s="35">
        <f t="shared" si="72"/>
        <v>3657039</v>
      </c>
      <c r="V247" s="36">
        <f t="shared" si="73"/>
        <v>4076.9130000040996</v>
      </c>
      <c r="W247" s="43">
        <f t="shared" si="74"/>
        <v>8326388</v>
      </c>
      <c r="X247" s="44">
        <f t="shared" si="75"/>
        <v>3613.2900000006075</v>
      </c>
      <c r="Y247" s="51">
        <f t="shared" si="76"/>
        <v>13801195</v>
      </c>
      <c r="Z247" s="52">
        <f t="shared" si="77"/>
        <v>6063.9250000053717</v>
      </c>
      <c r="AA247" s="58">
        <f t="shared" si="78"/>
        <v>2001393</v>
      </c>
      <c r="AB247" s="17">
        <f t="shared" si="79"/>
        <v>806.12999999991439</v>
      </c>
      <c r="AC247" s="101"/>
      <c r="AD247" s="555">
        <f t="shared" si="104"/>
        <v>123433653</v>
      </c>
      <c r="AE247" s="632">
        <f t="shared" si="105"/>
        <v>33711.919000019174</v>
      </c>
    </row>
    <row r="248" spans="1:31" hidden="1" outlineLevel="1">
      <c r="A248" s="97">
        <v>43336</v>
      </c>
      <c r="B248" s="98">
        <f t="shared" si="103"/>
        <v>8</v>
      </c>
      <c r="C248" s="35">
        <v>38487493</v>
      </c>
      <c r="D248" s="36">
        <v>11127.760000008604</v>
      </c>
      <c r="E248" s="43">
        <v>28019925</v>
      </c>
      <c r="F248" s="44">
        <v>7381.8920000010803</v>
      </c>
      <c r="G248" s="51">
        <v>52765808</v>
      </c>
      <c r="H248" s="52">
        <v>13613.723000009904</v>
      </c>
      <c r="I248" s="58">
        <v>6573581</v>
      </c>
      <c r="J248" s="17">
        <v>1444.3819999998354</v>
      </c>
      <c r="K248" s="101"/>
      <c r="L248" s="35">
        <v>34413138</v>
      </c>
      <c r="M248" s="36">
        <v>6818.0860000043422</v>
      </c>
      <c r="N248" s="43">
        <v>21057162</v>
      </c>
      <c r="O248" s="44">
        <v>4240.6830000004629</v>
      </c>
      <c r="P248" s="51">
        <v>38391103</v>
      </c>
      <c r="Q248" s="52">
        <v>7034.4260000045078</v>
      </c>
      <c r="R248" s="58">
        <v>3271310</v>
      </c>
      <c r="S248" s="17">
        <v>220.4450000000023</v>
      </c>
      <c r="T248" s="101"/>
      <c r="U248" s="35">
        <f t="shared" si="72"/>
        <v>4074355</v>
      </c>
      <c r="V248" s="36">
        <f t="shared" si="73"/>
        <v>4309.6740000042619</v>
      </c>
      <c r="W248" s="43">
        <f t="shared" si="74"/>
        <v>6962763</v>
      </c>
      <c r="X248" s="44">
        <f t="shared" si="75"/>
        <v>3141.2090000006174</v>
      </c>
      <c r="Y248" s="51">
        <f t="shared" si="76"/>
        <v>14374705</v>
      </c>
      <c r="Z248" s="52">
        <f t="shared" si="77"/>
        <v>6579.2970000053965</v>
      </c>
      <c r="AA248" s="58">
        <f t="shared" si="78"/>
        <v>3302271</v>
      </c>
      <c r="AB248" s="17">
        <f t="shared" si="79"/>
        <v>1223.9369999998332</v>
      </c>
      <c r="AC248" s="101"/>
      <c r="AD248" s="555">
        <f t="shared" si="104"/>
        <v>125846807</v>
      </c>
      <c r="AE248" s="632">
        <f t="shared" si="105"/>
        <v>33567.757000019425</v>
      </c>
    </row>
    <row r="249" spans="1:31" hidden="1" outlineLevel="1">
      <c r="A249" s="97">
        <v>43337</v>
      </c>
      <c r="B249" s="98">
        <f t="shared" si="103"/>
        <v>8</v>
      </c>
      <c r="C249" s="35">
        <v>39662438</v>
      </c>
      <c r="D249" s="36">
        <v>10997.339000008729</v>
      </c>
      <c r="E249" s="43">
        <v>27232984</v>
      </c>
      <c r="F249" s="44">
        <v>7168.9470000011179</v>
      </c>
      <c r="G249" s="51">
        <v>54579869</v>
      </c>
      <c r="H249" s="52">
        <v>13796.855000009884</v>
      </c>
      <c r="I249" s="58">
        <v>8759207</v>
      </c>
      <c r="J249" s="17">
        <v>2303.3259999998022</v>
      </c>
      <c r="K249" s="101"/>
      <c r="L249" s="35">
        <v>35959247</v>
      </c>
      <c r="M249" s="36">
        <v>6934.1960000047447</v>
      </c>
      <c r="N249" s="43">
        <v>20631255</v>
      </c>
      <c r="O249" s="44">
        <v>4381.5910000004615</v>
      </c>
      <c r="P249" s="51">
        <v>40257998</v>
      </c>
      <c r="Q249" s="52">
        <v>7529.8940000045695</v>
      </c>
      <c r="R249" s="58">
        <v>3553710</v>
      </c>
      <c r="S249" s="17">
        <v>272.88999999997549</v>
      </c>
      <c r="T249" s="101"/>
      <c r="U249" s="35">
        <f t="shared" si="72"/>
        <v>3703191</v>
      </c>
      <c r="V249" s="36">
        <f t="shared" si="73"/>
        <v>4063.1430000039845</v>
      </c>
      <c r="W249" s="43">
        <f t="shared" si="74"/>
        <v>6601729</v>
      </c>
      <c r="X249" s="44">
        <f t="shared" si="75"/>
        <v>2787.3560000006564</v>
      </c>
      <c r="Y249" s="51">
        <f t="shared" si="76"/>
        <v>14321871</v>
      </c>
      <c r="Z249" s="52">
        <f t="shared" si="77"/>
        <v>6266.9610000053144</v>
      </c>
      <c r="AA249" s="58">
        <f t="shared" si="78"/>
        <v>5205497</v>
      </c>
      <c r="AB249" s="17">
        <f t="shared" si="79"/>
        <v>2030.4359999998267</v>
      </c>
      <c r="AC249" s="101"/>
      <c r="AD249" s="555">
        <f t="shared" si="104"/>
        <v>130234498</v>
      </c>
      <c r="AE249" s="632">
        <f t="shared" si="105"/>
        <v>34266.467000019533</v>
      </c>
    </row>
    <row r="250" spans="1:31" hidden="1" outlineLevel="1">
      <c r="A250" s="97">
        <v>43338</v>
      </c>
      <c r="B250" s="98">
        <f t="shared" si="103"/>
        <v>8</v>
      </c>
      <c r="C250" s="35">
        <v>37355488</v>
      </c>
      <c r="D250" s="36">
        <v>10340.630000008745</v>
      </c>
      <c r="E250" s="43">
        <v>24528425</v>
      </c>
      <c r="F250" s="44">
        <v>6135.2340000009544</v>
      </c>
      <c r="G250" s="51">
        <v>52294012</v>
      </c>
      <c r="H250" s="52">
        <v>14109.250000010146</v>
      </c>
      <c r="I250" s="58">
        <v>7686641</v>
      </c>
      <c r="J250" s="17">
        <v>1851.4929999998349</v>
      </c>
      <c r="K250" s="101"/>
      <c r="L250" s="35">
        <v>33755427</v>
      </c>
      <c r="M250" s="36">
        <v>6465.7750000048045</v>
      </c>
      <c r="N250" s="43">
        <v>18109697</v>
      </c>
      <c r="O250" s="44">
        <v>3623.1970000003375</v>
      </c>
      <c r="P250" s="51">
        <v>38909976</v>
      </c>
      <c r="Q250" s="52">
        <v>7998.121000005006</v>
      </c>
      <c r="R250" s="58">
        <v>3340773</v>
      </c>
      <c r="S250" s="17">
        <v>226.43200000000289</v>
      </c>
      <c r="T250" s="101"/>
      <c r="U250" s="35">
        <f t="shared" si="72"/>
        <v>3600061</v>
      </c>
      <c r="V250" s="36">
        <f t="shared" si="73"/>
        <v>3874.8550000039404</v>
      </c>
      <c r="W250" s="43">
        <f t="shared" si="74"/>
        <v>6418728</v>
      </c>
      <c r="X250" s="44">
        <f t="shared" si="75"/>
        <v>2512.0370000006169</v>
      </c>
      <c r="Y250" s="51">
        <f t="shared" si="76"/>
        <v>13384036</v>
      </c>
      <c r="Z250" s="52">
        <f t="shared" si="77"/>
        <v>6111.1290000051404</v>
      </c>
      <c r="AA250" s="58">
        <f t="shared" si="78"/>
        <v>4345868</v>
      </c>
      <c r="AB250" s="17">
        <f t="shared" si="79"/>
        <v>1625.0609999998319</v>
      </c>
      <c r="AC250" s="101"/>
      <c r="AD250" s="555">
        <f t="shared" si="104"/>
        <v>121864566</v>
      </c>
      <c r="AE250" s="632">
        <f t="shared" si="105"/>
        <v>32436.607000019681</v>
      </c>
    </row>
    <row r="251" spans="1:31" hidden="1" outlineLevel="1">
      <c r="A251" s="97">
        <v>43339</v>
      </c>
      <c r="B251" s="98">
        <f t="shared" si="103"/>
        <v>8</v>
      </c>
      <c r="C251" s="35">
        <v>33444380</v>
      </c>
      <c r="D251" s="36">
        <v>11015.137000008552</v>
      </c>
      <c r="E251" s="43">
        <v>22024786</v>
      </c>
      <c r="F251" s="44">
        <v>5915.3260000002701</v>
      </c>
      <c r="G251" s="51">
        <v>46493003</v>
      </c>
      <c r="H251" s="52">
        <v>13804.88400001013</v>
      </c>
      <c r="I251" s="58">
        <v>5297155</v>
      </c>
      <c r="J251" s="17">
        <v>1090.2199999999109</v>
      </c>
      <c r="K251" s="101"/>
      <c r="L251" s="35">
        <v>30124928</v>
      </c>
      <c r="M251" s="36">
        <v>7035.0250000047545</v>
      </c>
      <c r="N251" s="43">
        <v>17257890</v>
      </c>
      <c r="O251" s="44">
        <v>3789.1920000003342</v>
      </c>
      <c r="P251" s="51">
        <v>35645096</v>
      </c>
      <c r="Q251" s="52">
        <v>7704.713000004791</v>
      </c>
      <c r="R251" s="58">
        <v>2675134</v>
      </c>
      <c r="S251" s="17">
        <v>206.19400000000229</v>
      </c>
      <c r="T251" s="101"/>
      <c r="U251" s="35">
        <f t="shared" si="72"/>
        <v>3319452</v>
      </c>
      <c r="V251" s="36">
        <f t="shared" si="73"/>
        <v>3980.1120000037972</v>
      </c>
      <c r="W251" s="43">
        <f t="shared" si="74"/>
        <v>4766896</v>
      </c>
      <c r="X251" s="44">
        <f t="shared" si="75"/>
        <v>2126.1339999999359</v>
      </c>
      <c r="Y251" s="51">
        <f t="shared" si="76"/>
        <v>10847907</v>
      </c>
      <c r="Z251" s="52">
        <f t="shared" si="77"/>
        <v>6100.171000005339</v>
      </c>
      <c r="AA251" s="58">
        <f t="shared" si="78"/>
        <v>2622021</v>
      </c>
      <c r="AB251" s="17">
        <f t="shared" si="79"/>
        <v>884.02599999990866</v>
      </c>
      <c r="AC251" s="101"/>
      <c r="AD251" s="555">
        <f t="shared" si="104"/>
        <v>107259324</v>
      </c>
      <c r="AE251" s="632">
        <f t="shared" si="105"/>
        <v>31825.567000018862</v>
      </c>
    </row>
    <row r="252" spans="1:31" hidden="1" outlineLevel="1">
      <c r="A252" s="97">
        <v>43340</v>
      </c>
      <c r="B252" s="98">
        <f t="shared" si="103"/>
        <v>8</v>
      </c>
      <c r="C252" s="35">
        <v>35801924</v>
      </c>
      <c r="D252" s="36">
        <v>11345.328000008514</v>
      </c>
      <c r="E252" s="43">
        <v>22590677</v>
      </c>
      <c r="F252" s="44">
        <v>6494.4870000009323</v>
      </c>
      <c r="G252" s="51">
        <v>48679921</v>
      </c>
      <c r="H252" s="52">
        <v>14513.688000010028</v>
      </c>
      <c r="I252" s="58">
        <v>5569528</v>
      </c>
      <c r="J252" s="17">
        <v>1008.6639999999094</v>
      </c>
      <c r="K252" s="101"/>
      <c r="L252" s="35">
        <v>32326224</v>
      </c>
      <c r="M252" s="36">
        <v>6979.2640000044985</v>
      </c>
      <c r="N252" s="43">
        <v>17021335</v>
      </c>
      <c r="O252" s="44">
        <v>3798.6830000003142</v>
      </c>
      <c r="P252" s="51">
        <v>37088650</v>
      </c>
      <c r="Q252" s="52">
        <v>7731.5420000048225</v>
      </c>
      <c r="R252" s="58">
        <v>3562994</v>
      </c>
      <c r="S252" s="17">
        <v>236.57200000000182</v>
      </c>
      <c r="T252" s="101"/>
      <c r="U252" s="35">
        <f t="shared" si="72"/>
        <v>3475700</v>
      </c>
      <c r="V252" s="36">
        <f t="shared" si="73"/>
        <v>4366.0640000040157</v>
      </c>
      <c r="W252" s="43">
        <f t="shared" si="74"/>
        <v>5569342</v>
      </c>
      <c r="X252" s="44">
        <f t="shared" si="75"/>
        <v>2695.8040000006181</v>
      </c>
      <c r="Y252" s="51">
        <f t="shared" si="76"/>
        <v>11591271</v>
      </c>
      <c r="Z252" s="52">
        <f t="shared" si="77"/>
        <v>6782.1460000052057</v>
      </c>
      <c r="AA252" s="58">
        <f t="shared" si="78"/>
        <v>2006534</v>
      </c>
      <c r="AB252" s="17">
        <f t="shared" si="79"/>
        <v>772.09199999990756</v>
      </c>
      <c r="AC252" s="101"/>
      <c r="AD252" s="555">
        <f t="shared" si="104"/>
        <v>112642050</v>
      </c>
      <c r="AE252" s="632">
        <f t="shared" si="105"/>
        <v>33362.167000019384</v>
      </c>
    </row>
    <row r="253" spans="1:31" hidden="1" outlineLevel="1">
      <c r="A253" s="97">
        <v>43341</v>
      </c>
      <c r="B253" s="98">
        <f t="shared" si="103"/>
        <v>8</v>
      </c>
      <c r="C253" s="35">
        <v>34730846</v>
      </c>
      <c r="D253" s="36">
        <v>10449.208000008553</v>
      </c>
      <c r="E253" s="43">
        <v>22342333</v>
      </c>
      <c r="F253" s="44">
        <v>6041.9240000009113</v>
      </c>
      <c r="G253" s="51">
        <v>48757040</v>
      </c>
      <c r="H253" s="52">
        <v>14545.246000009949</v>
      </c>
      <c r="I253" s="58">
        <v>4960544</v>
      </c>
      <c r="J253" s="17">
        <v>1062.4729999999204</v>
      </c>
      <c r="K253" s="101"/>
      <c r="L253" s="35">
        <v>31290470</v>
      </c>
      <c r="M253" s="36">
        <v>6137.8170000047503</v>
      </c>
      <c r="N253" s="43">
        <v>16422676</v>
      </c>
      <c r="O253" s="44">
        <v>3183.1690000003236</v>
      </c>
      <c r="P253" s="51">
        <v>38684271</v>
      </c>
      <c r="Q253" s="52">
        <v>7809.5520000048418</v>
      </c>
      <c r="R253" s="58">
        <v>3121062</v>
      </c>
      <c r="S253" s="17">
        <v>193.72100000000287</v>
      </c>
      <c r="T253" s="101"/>
      <c r="U253" s="35">
        <f t="shared" si="72"/>
        <v>3440376</v>
      </c>
      <c r="V253" s="36">
        <f t="shared" si="73"/>
        <v>4311.3910000038031</v>
      </c>
      <c r="W253" s="43">
        <f t="shared" si="74"/>
        <v>5919657</v>
      </c>
      <c r="X253" s="44">
        <f t="shared" si="75"/>
        <v>2858.7550000005876</v>
      </c>
      <c r="Y253" s="51">
        <f t="shared" si="76"/>
        <v>10072769</v>
      </c>
      <c r="Z253" s="52">
        <f t="shared" si="77"/>
        <v>6735.6940000051072</v>
      </c>
      <c r="AA253" s="58">
        <f t="shared" si="78"/>
        <v>1839482</v>
      </c>
      <c r="AB253" s="17">
        <f t="shared" si="79"/>
        <v>868.75199999991753</v>
      </c>
      <c r="AC253" s="101"/>
      <c r="AD253" s="555">
        <f t="shared" si="104"/>
        <v>110790763</v>
      </c>
      <c r="AE253" s="632">
        <f t="shared" si="105"/>
        <v>32098.851000019335</v>
      </c>
    </row>
    <row r="254" spans="1:31" hidden="1" outlineLevel="1">
      <c r="A254" s="97">
        <v>43342</v>
      </c>
      <c r="B254" s="98">
        <f t="shared" si="103"/>
        <v>8</v>
      </c>
      <c r="C254" s="35">
        <v>37064076</v>
      </c>
      <c r="D254" s="36">
        <v>10374.219000008743</v>
      </c>
      <c r="E254" s="43">
        <v>22447582</v>
      </c>
      <c r="F254" s="44">
        <v>6170.1860000009237</v>
      </c>
      <c r="G254" s="51">
        <v>46675304</v>
      </c>
      <c r="H254" s="52">
        <v>13796.981000009962</v>
      </c>
      <c r="I254" s="58">
        <v>6323463</v>
      </c>
      <c r="J254" s="17">
        <v>1026.9919999999015</v>
      </c>
      <c r="K254" s="101"/>
      <c r="L254" s="35">
        <v>33548316</v>
      </c>
      <c r="M254" s="36">
        <v>5952.3970000046484</v>
      </c>
      <c r="N254" s="43">
        <v>16664275</v>
      </c>
      <c r="O254" s="44">
        <v>3299.833000000287</v>
      </c>
      <c r="P254" s="51">
        <v>36814744</v>
      </c>
      <c r="Q254" s="52">
        <v>7207.3190000046525</v>
      </c>
      <c r="R254" s="58">
        <v>3444032</v>
      </c>
      <c r="S254" s="17">
        <v>209.9730000000022</v>
      </c>
      <c r="T254" s="101"/>
      <c r="U254" s="35">
        <f t="shared" si="72"/>
        <v>3515760</v>
      </c>
      <c r="V254" s="36">
        <f t="shared" si="73"/>
        <v>4421.8220000040947</v>
      </c>
      <c r="W254" s="43">
        <f t="shared" si="74"/>
        <v>5783307</v>
      </c>
      <c r="X254" s="44">
        <f t="shared" si="75"/>
        <v>2870.3530000006367</v>
      </c>
      <c r="Y254" s="51">
        <f t="shared" si="76"/>
        <v>9860560</v>
      </c>
      <c r="Z254" s="52">
        <f t="shared" si="77"/>
        <v>6589.6620000053099</v>
      </c>
      <c r="AA254" s="58">
        <f t="shared" si="78"/>
        <v>2879431</v>
      </c>
      <c r="AB254" s="17">
        <f t="shared" si="79"/>
        <v>817.01899999989928</v>
      </c>
      <c r="AC254" s="101"/>
      <c r="AD254" s="555">
        <f t="shared" si="104"/>
        <v>112510425</v>
      </c>
      <c r="AE254" s="632">
        <f t="shared" si="105"/>
        <v>31368.378000019529</v>
      </c>
    </row>
    <row r="255" spans="1:31" hidden="1" outlineLevel="1">
      <c r="A255" s="97">
        <v>43343</v>
      </c>
      <c r="B255" s="98">
        <f t="shared" si="103"/>
        <v>8</v>
      </c>
      <c r="C255" s="35">
        <v>38726843</v>
      </c>
      <c r="D255" s="36">
        <v>9423.5420000081904</v>
      </c>
      <c r="E255" s="43">
        <v>24695963</v>
      </c>
      <c r="F255" s="44">
        <v>5770.5680000008742</v>
      </c>
      <c r="G255" s="51">
        <v>48589835</v>
      </c>
      <c r="H255" s="52">
        <v>12537.191000009228</v>
      </c>
      <c r="I255" s="58">
        <v>6769994</v>
      </c>
      <c r="J255" s="17">
        <v>1719.028999999804</v>
      </c>
      <c r="K255" s="101"/>
      <c r="L255" s="35">
        <v>35137885</v>
      </c>
      <c r="M255" s="36">
        <v>5292.3180000042303</v>
      </c>
      <c r="N255" s="43">
        <v>19605508</v>
      </c>
      <c r="O255" s="44">
        <v>3241.8860000003147</v>
      </c>
      <c r="P255" s="51">
        <v>38187641</v>
      </c>
      <c r="Q255" s="52">
        <v>6398.5240000042832</v>
      </c>
      <c r="R255" s="58">
        <v>3688958</v>
      </c>
      <c r="S255" s="17">
        <v>230.29800000000358</v>
      </c>
      <c r="T255" s="101"/>
      <c r="U255" s="35">
        <f t="shared" si="72"/>
        <v>3588958</v>
      </c>
      <c r="V255" s="36">
        <f t="shared" si="73"/>
        <v>4131.2240000039601</v>
      </c>
      <c r="W255" s="43">
        <f t="shared" si="74"/>
        <v>5090455</v>
      </c>
      <c r="X255" s="44">
        <f t="shared" si="75"/>
        <v>2528.6820000005596</v>
      </c>
      <c r="Y255" s="51">
        <f t="shared" si="76"/>
        <v>10402194</v>
      </c>
      <c r="Z255" s="52">
        <f t="shared" si="77"/>
        <v>6138.6670000049453</v>
      </c>
      <c r="AA255" s="58">
        <f t="shared" si="78"/>
        <v>3081036</v>
      </c>
      <c r="AB255" s="17">
        <f t="shared" si="79"/>
        <v>1488.7309999998004</v>
      </c>
      <c r="AC255" s="101"/>
      <c r="AD255" s="555">
        <f t="shared" si="104"/>
        <v>118782635</v>
      </c>
      <c r="AE255" s="632">
        <f t="shared" si="105"/>
        <v>29450.330000018097</v>
      </c>
    </row>
    <row r="256" spans="1:31" collapsed="1">
      <c r="A256" s="104"/>
      <c r="B256" s="104" t="s">
        <v>22</v>
      </c>
      <c r="C256" s="105">
        <f>SUBTOTAL(9,C257:C286)</f>
        <v>1116087537</v>
      </c>
      <c r="D256" s="106">
        <f t="shared" ref="D256:AB256" si="106">SUBTOTAL(9,D257:D286)</f>
        <v>324756.67200029577</v>
      </c>
      <c r="E256" s="107">
        <f t="shared" si="106"/>
        <v>571225224</v>
      </c>
      <c r="F256" s="108">
        <f t="shared" si="106"/>
        <v>142000.29300000914</v>
      </c>
      <c r="G256" s="109">
        <f t="shared" si="106"/>
        <v>1323587099</v>
      </c>
      <c r="H256" s="110">
        <f t="shared" si="106"/>
        <v>430826.6510003584</v>
      </c>
      <c r="I256" s="111">
        <f t="shared" si="106"/>
        <v>164611396</v>
      </c>
      <c r="J256" s="14">
        <f t="shared" si="106"/>
        <v>53527.380999994697</v>
      </c>
      <c r="K256" s="103"/>
      <c r="L256" s="105">
        <f t="shared" si="106"/>
        <v>1010441081</v>
      </c>
      <c r="M256" s="106">
        <f t="shared" si="106"/>
        <v>183136.0120001497</v>
      </c>
      <c r="N256" s="107">
        <f t="shared" si="106"/>
        <v>476542281</v>
      </c>
      <c r="O256" s="108">
        <f t="shared" si="106"/>
        <v>98883.385000009774</v>
      </c>
      <c r="P256" s="109">
        <f t="shared" si="106"/>
        <v>1010653051</v>
      </c>
      <c r="Q256" s="110">
        <f t="shared" si="106"/>
        <v>208122.49200016231</v>
      </c>
      <c r="R256" s="111">
        <f t="shared" si="106"/>
        <v>96677191</v>
      </c>
      <c r="S256" s="14">
        <f t="shared" si="106"/>
        <v>7556.8399999997064</v>
      </c>
      <c r="T256" s="103"/>
      <c r="U256" s="105">
        <f t="shared" si="106"/>
        <v>105646456</v>
      </c>
      <c r="V256" s="106">
        <f t="shared" si="106"/>
        <v>141620.66000014605</v>
      </c>
      <c r="W256" s="107">
        <f t="shared" si="106"/>
        <v>94682943</v>
      </c>
      <c r="X256" s="108">
        <f t="shared" si="106"/>
        <v>43116.907999999341</v>
      </c>
      <c r="Y256" s="109">
        <f t="shared" si="106"/>
        <v>312934048</v>
      </c>
      <c r="Z256" s="110">
        <f t="shared" si="106"/>
        <v>222704.15900019614</v>
      </c>
      <c r="AA256" s="111">
        <f t="shared" si="106"/>
        <v>67934205</v>
      </c>
      <c r="AB256" s="14">
        <f t="shared" si="106"/>
        <v>45970.540999994992</v>
      </c>
      <c r="AC256" s="103"/>
      <c r="AD256" s="555"/>
      <c r="AE256" s="632"/>
    </row>
    <row r="257" spans="1:31" outlineLevel="1">
      <c r="A257" s="114">
        <v>43344</v>
      </c>
      <c r="B257" s="115">
        <f t="shared" si="103"/>
        <v>9</v>
      </c>
      <c r="C257" s="35">
        <v>39627832</v>
      </c>
      <c r="D257" s="36">
        <v>8879.7370000083283</v>
      </c>
      <c r="E257" s="43">
        <v>24303156</v>
      </c>
      <c r="F257" s="44">
        <v>5400.090000000896</v>
      </c>
      <c r="G257" s="51">
        <v>50574880</v>
      </c>
      <c r="H257" s="52">
        <v>12176.823000009434</v>
      </c>
      <c r="I257" s="58">
        <v>7921735</v>
      </c>
      <c r="J257" s="17">
        <v>1707.3889999998032</v>
      </c>
      <c r="K257" s="101"/>
      <c r="L257" s="35">
        <v>35909071</v>
      </c>
      <c r="M257" s="36">
        <v>5064.2900000041982</v>
      </c>
      <c r="N257" s="43">
        <v>19125536</v>
      </c>
      <c r="O257" s="44">
        <v>3018.1920000002833</v>
      </c>
      <c r="P257" s="51">
        <v>39902728</v>
      </c>
      <c r="Q257" s="52">
        <v>6602.1590000044644</v>
      </c>
      <c r="R257" s="58">
        <v>4188884</v>
      </c>
      <c r="S257" s="17">
        <v>248.45700000000267</v>
      </c>
      <c r="T257" s="101"/>
      <c r="U257" s="35">
        <f t="shared" si="72"/>
        <v>3718761</v>
      </c>
      <c r="V257" s="36">
        <f t="shared" si="73"/>
        <v>3815.4470000041301</v>
      </c>
      <c r="W257" s="43">
        <f t="shared" si="74"/>
        <v>5177620</v>
      </c>
      <c r="X257" s="44">
        <f t="shared" si="75"/>
        <v>2381.8980000006127</v>
      </c>
      <c r="Y257" s="51">
        <f t="shared" si="76"/>
        <v>10672152</v>
      </c>
      <c r="Z257" s="52">
        <f t="shared" si="77"/>
        <v>5574.6640000049692</v>
      </c>
      <c r="AA257" s="58">
        <f t="shared" si="78"/>
        <v>3732851</v>
      </c>
      <c r="AB257" s="17">
        <f t="shared" si="79"/>
        <v>1458.9319999998006</v>
      </c>
      <c r="AC257" s="101"/>
      <c r="AD257" s="555">
        <f t="shared" si="104"/>
        <v>122427603</v>
      </c>
      <c r="AE257" s="632">
        <f t="shared" si="105"/>
        <v>28164.03900001846</v>
      </c>
    </row>
    <row r="258" spans="1:31" outlineLevel="1">
      <c r="A258" s="114">
        <v>43345</v>
      </c>
      <c r="B258" s="115">
        <f t="shared" si="103"/>
        <v>9</v>
      </c>
      <c r="C258" s="35">
        <v>41210065</v>
      </c>
      <c r="D258" s="36">
        <v>8988.8260000085156</v>
      </c>
      <c r="E258" s="43">
        <v>24107604</v>
      </c>
      <c r="F258" s="44">
        <v>5320.7290000008607</v>
      </c>
      <c r="G258" s="51">
        <v>49778770</v>
      </c>
      <c r="H258" s="52">
        <v>11708.641000009608</v>
      </c>
      <c r="I258" s="58">
        <v>9292842</v>
      </c>
      <c r="J258" s="17">
        <v>2439.0269999999937</v>
      </c>
      <c r="K258" s="101"/>
      <c r="L258" s="35">
        <v>37675124</v>
      </c>
      <c r="M258" s="36">
        <v>5248.5760000044265</v>
      </c>
      <c r="N258" s="43">
        <v>19169954</v>
      </c>
      <c r="O258" s="44">
        <v>3098.8940000002995</v>
      </c>
      <c r="P258" s="51">
        <v>39436777</v>
      </c>
      <c r="Q258" s="52">
        <v>6338.6890000047388</v>
      </c>
      <c r="R258" s="58">
        <v>4934184</v>
      </c>
      <c r="S258" s="17">
        <v>291.17399999997656</v>
      </c>
      <c r="T258" s="101"/>
      <c r="U258" s="35">
        <f t="shared" si="72"/>
        <v>3534941</v>
      </c>
      <c r="V258" s="36">
        <f t="shared" si="73"/>
        <v>3740.2500000040891</v>
      </c>
      <c r="W258" s="43">
        <f t="shared" si="74"/>
        <v>4937650</v>
      </c>
      <c r="X258" s="44">
        <f t="shared" si="75"/>
        <v>2221.8350000005612</v>
      </c>
      <c r="Y258" s="51">
        <f t="shared" si="76"/>
        <v>10341993</v>
      </c>
      <c r="Z258" s="52">
        <f t="shared" si="77"/>
        <v>5369.9520000048688</v>
      </c>
      <c r="AA258" s="58">
        <f t="shared" si="78"/>
        <v>4358658</v>
      </c>
      <c r="AB258" s="17">
        <f t="shared" si="79"/>
        <v>2147.8530000000173</v>
      </c>
      <c r="AC258" s="101"/>
      <c r="AD258" s="555">
        <f t="shared" si="104"/>
        <v>124389281</v>
      </c>
      <c r="AE258" s="632">
        <f t="shared" si="105"/>
        <v>28457.223000018977</v>
      </c>
    </row>
    <row r="259" spans="1:31" outlineLevel="1">
      <c r="A259" s="114">
        <v>43346</v>
      </c>
      <c r="B259" s="115">
        <f t="shared" si="103"/>
        <v>9</v>
      </c>
      <c r="C259" s="35">
        <v>37480909</v>
      </c>
      <c r="D259" s="36">
        <v>9401.6900000084606</v>
      </c>
      <c r="E259" s="43">
        <v>21828704</v>
      </c>
      <c r="F259" s="44">
        <v>5422.1130000008689</v>
      </c>
      <c r="G259" s="51">
        <v>45509562</v>
      </c>
      <c r="H259" s="52">
        <v>11584.151000009999</v>
      </c>
      <c r="I259" s="58">
        <v>7234142</v>
      </c>
      <c r="J259" s="17">
        <v>2333.2219999997824</v>
      </c>
      <c r="K259" s="101"/>
      <c r="L259" s="35">
        <v>33991663</v>
      </c>
      <c r="M259" s="36">
        <v>5628.2890000044508</v>
      </c>
      <c r="N259" s="43">
        <v>16255320</v>
      </c>
      <c r="O259" s="44">
        <v>2973.5010000003017</v>
      </c>
      <c r="P259" s="51">
        <v>36181339</v>
      </c>
      <c r="Q259" s="52">
        <v>6344.3370000049699</v>
      </c>
      <c r="R259" s="58">
        <v>3753732</v>
      </c>
      <c r="S259" s="17">
        <v>275.50299999997378</v>
      </c>
      <c r="T259" s="101"/>
      <c r="U259" s="35">
        <f t="shared" si="72"/>
        <v>3489246</v>
      </c>
      <c r="V259" s="36">
        <f t="shared" si="73"/>
        <v>3773.4010000040098</v>
      </c>
      <c r="W259" s="43">
        <f t="shared" si="74"/>
        <v>5573384</v>
      </c>
      <c r="X259" s="44">
        <f t="shared" si="75"/>
        <v>2448.6120000005671</v>
      </c>
      <c r="Y259" s="51">
        <f t="shared" si="76"/>
        <v>9328223</v>
      </c>
      <c r="Z259" s="52">
        <f t="shared" si="77"/>
        <v>5239.8140000050289</v>
      </c>
      <c r="AA259" s="58">
        <f t="shared" si="78"/>
        <v>3480410</v>
      </c>
      <c r="AB259" s="17">
        <f t="shared" si="79"/>
        <v>2057.7189999998086</v>
      </c>
      <c r="AC259" s="101"/>
      <c r="AD259" s="555">
        <f t="shared" si="104"/>
        <v>112053317</v>
      </c>
      <c r="AE259" s="632">
        <f t="shared" si="105"/>
        <v>28741.176000019113</v>
      </c>
    </row>
    <row r="260" spans="1:31" outlineLevel="1">
      <c r="A260" s="114">
        <v>43347</v>
      </c>
      <c r="B260" s="115">
        <f t="shared" si="103"/>
        <v>9</v>
      </c>
      <c r="C260" s="35">
        <v>36160729</v>
      </c>
      <c r="D260" s="36">
        <v>9704.6500000085853</v>
      </c>
      <c r="E260" s="43">
        <v>22011607</v>
      </c>
      <c r="F260" s="44">
        <v>5580.2010000008722</v>
      </c>
      <c r="G260" s="51">
        <v>43503770</v>
      </c>
      <c r="H260" s="52">
        <v>11475.683000011111</v>
      </c>
      <c r="I260" s="58">
        <v>6651558</v>
      </c>
      <c r="J260" s="17">
        <v>2675.8590000005524</v>
      </c>
      <c r="K260" s="101"/>
      <c r="L260" s="35">
        <v>32671821</v>
      </c>
      <c r="M260" s="36">
        <v>5735.4100000046938</v>
      </c>
      <c r="N260" s="43">
        <v>16046295</v>
      </c>
      <c r="O260" s="44">
        <v>2919.2950000003079</v>
      </c>
      <c r="P260" s="51">
        <v>34478241</v>
      </c>
      <c r="Q260" s="52">
        <v>6243.1610000052206</v>
      </c>
      <c r="R260" s="58">
        <v>3253086</v>
      </c>
      <c r="S260" s="17">
        <v>259.58200000000255</v>
      </c>
      <c r="T260" s="101"/>
      <c r="U260" s="35">
        <f t="shared" si="72"/>
        <v>3488908</v>
      </c>
      <c r="V260" s="36">
        <f t="shared" si="73"/>
        <v>3969.2400000038915</v>
      </c>
      <c r="W260" s="43">
        <f t="shared" si="74"/>
        <v>5965312</v>
      </c>
      <c r="X260" s="44">
        <f t="shared" si="75"/>
        <v>2660.9060000005643</v>
      </c>
      <c r="Y260" s="51">
        <f t="shared" si="76"/>
        <v>9025529</v>
      </c>
      <c r="Z260" s="52">
        <f t="shared" si="77"/>
        <v>5232.5220000058907</v>
      </c>
      <c r="AA260" s="58">
        <f t="shared" si="78"/>
        <v>3398472</v>
      </c>
      <c r="AB260" s="17">
        <f t="shared" si="79"/>
        <v>2416.2770000005498</v>
      </c>
      <c r="AC260" s="101"/>
      <c r="AD260" s="555">
        <f t="shared" si="104"/>
        <v>108327664</v>
      </c>
      <c r="AE260" s="632">
        <f t="shared" si="105"/>
        <v>29436.393000021122</v>
      </c>
    </row>
    <row r="261" spans="1:31" outlineLevel="1">
      <c r="A261" s="114">
        <v>43348</v>
      </c>
      <c r="B261" s="115">
        <f t="shared" si="103"/>
        <v>9</v>
      </c>
      <c r="C261" s="35">
        <v>36309115</v>
      </c>
      <c r="D261" s="36">
        <v>10328.067000008914</v>
      </c>
      <c r="E261" s="43">
        <v>20278026</v>
      </c>
      <c r="F261" s="44">
        <v>5372.4010000008766</v>
      </c>
      <c r="G261" s="51">
        <v>41673074</v>
      </c>
      <c r="H261" s="52">
        <v>11862.24200001007</v>
      </c>
      <c r="I261" s="58">
        <v>6338737</v>
      </c>
      <c r="J261" s="17">
        <v>2211.881999999815</v>
      </c>
      <c r="K261" s="101"/>
      <c r="L261" s="35">
        <v>32710657</v>
      </c>
      <c r="M261" s="36">
        <v>6156.7400000049911</v>
      </c>
      <c r="N261" s="43">
        <v>14146260</v>
      </c>
      <c r="O261" s="44">
        <v>2637.1690000003241</v>
      </c>
      <c r="P261" s="51">
        <v>32670910</v>
      </c>
      <c r="Q261" s="52">
        <v>6241.6780000051085</v>
      </c>
      <c r="R261" s="58">
        <v>2993939</v>
      </c>
      <c r="S261" s="17">
        <v>254.55300000000216</v>
      </c>
      <c r="T261" s="101"/>
      <c r="U261" s="35">
        <f t="shared" si="72"/>
        <v>3598458</v>
      </c>
      <c r="V261" s="36">
        <f t="shared" si="73"/>
        <v>4171.3270000039229</v>
      </c>
      <c r="W261" s="43">
        <f t="shared" si="74"/>
        <v>6131766</v>
      </c>
      <c r="X261" s="44">
        <f t="shared" si="75"/>
        <v>2735.2320000005525</v>
      </c>
      <c r="Y261" s="51">
        <f t="shared" si="76"/>
        <v>9002164</v>
      </c>
      <c r="Z261" s="52">
        <f t="shared" si="77"/>
        <v>5620.5640000049616</v>
      </c>
      <c r="AA261" s="58">
        <f t="shared" si="78"/>
        <v>3344798</v>
      </c>
      <c r="AB261" s="17">
        <f t="shared" si="79"/>
        <v>1957.3289999998128</v>
      </c>
      <c r="AC261" s="101"/>
      <c r="AD261" s="555">
        <f t="shared" si="104"/>
        <v>104598952</v>
      </c>
      <c r="AE261" s="632">
        <f t="shared" si="105"/>
        <v>29774.592000019678</v>
      </c>
    </row>
    <row r="262" spans="1:31" outlineLevel="1">
      <c r="A262" s="114">
        <v>43349</v>
      </c>
      <c r="B262" s="115">
        <f t="shared" si="103"/>
        <v>9</v>
      </c>
      <c r="C262" s="35">
        <v>37445521</v>
      </c>
      <c r="D262" s="36">
        <v>10649.166000009027</v>
      </c>
      <c r="E262" s="43">
        <v>17720305</v>
      </c>
      <c r="F262" s="44">
        <v>4484.0320000001557</v>
      </c>
      <c r="G262" s="51">
        <v>41975621</v>
      </c>
      <c r="H262" s="52">
        <v>12199.968000010434</v>
      </c>
      <c r="I262" s="58">
        <v>5910526</v>
      </c>
      <c r="J262" s="17">
        <v>2029.3179999997758</v>
      </c>
      <c r="K262" s="101"/>
      <c r="L262" s="35">
        <v>33712806</v>
      </c>
      <c r="M262" s="36">
        <v>6262.5290000050009</v>
      </c>
      <c r="N262" s="43">
        <v>12719482</v>
      </c>
      <c r="O262" s="44">
        <v>2414.0880000003144</v>
      </c>
      <c r="P262" s="51">
        <v>33004985</v>
      </c>
      <c r="Q262" s="52">
        <v>6345.3500000051426</v>
      </c>
      <c r="R262" s="58">
        <v>3199623</v>
      </c>
      <c r="S262" s="17">
        <v>279.54699999997365</v>
      </c>
      <c r="T262" s="101"/>
      <c r="U262" s="35">
        <f t="shared" si="72"/>
        <v>3732715</v>
      </c>
      <c r="V262" s="36">
        <f t="shared" si="73"/>
        <v>4386.637000004026</v>
      </c>
      <c r="W262" s="43">
        <f t="shared" si="74"/>
        <v>5000823</v>
      </c>
      <c r="X262" s="44">
        <f t="shared" si="75"/>
        <v>2069.9439999998413</v>
      </c>
      <c r="Y262" s="51">
        <f t="shared" si="76"/>
        <v>8970636</v>
      </c>
      <c r="Z262" s="52">
        <f t="shared" si="77"/>
        <v>5854.6180000052918</v>
      </c>
      <c r="AA262" s="58">
        <f t="shared" si="78"/>
        <v>2710903</v>
      </c>
      <c r="AB262" s="17">
        <f t="shared" si="79"/>
        <v>1749.7709999998021</v>
      </c>
      <c r="AC262" s="101"/>
      <c r="AD262" s="555">
        <f t="shared" si="104"/>
        <v>103051973</v>
      </c>
      <c r="AE262" s="632">
        <f t="shared" si="105"/>
        <v>29362.484000019394</v>
      </c>
    </row>
    <row r="263" spans="1:31" outlineLevel="1">
      <c r="A263" s="114">
        <v>43350</v>
      </c>
      <c r="B263" s="115">
        <f t="shared" si="103"/>
        <v>9</v>
      </c>
      <c r="C263" s="35">
        <v>40564178</v>
      </c>
      <c r="D263" s="36">
        <v>10671.665000009496</v>
      </c>
      <c r="E263" s="43">
        <v>20845427</v>
      </c>
      <c r="F263" s="44">
        <v>4840.9110000001438</v>
      </c>
      <c r="G263" s="51">
        <v>46741443</v>
      </c>
      <c r="H263" s="52">
        <v>12899.786000010527</v>
      </c>
      <c r="I263" s="58">
        <v>6183767</v>
      </c>
      <c r="J263" s="17">
        <v>2016.9219999997911</v>
      </c>
      <c r="K263" s="101"/>
      <c r="L263" s="35">
        <v>36330032</v>
      </c>
      <c r="M263" s="36">
        <v>6184.0100000050597</v>
      </c>
      <c r="N263" s="43">
        <v>17321262</v>
      </c>
      <c r="O263" s="44">
        <v>3341.8730000003179</v>
      </c>
      <c r="P263" s="51">
        <v>36470759</v>
      </c>
      <c r="Q263" s="52">
        <v>6692.6570000048896</v>
      </c>
      <c r="R263" s="58">
        <v>3388895</v>
      </c>
      <c r="S263" s="17">
        <v>257.41600000000216</v>
      </c>
      <c r="T263" s="101"/>
      <c r="U263" s="35">
        <f t="shared" si="72"/>
        <v>4234146</v>
      </c>
      <c r="V263" s="36">
        <f t="shared" si="73"/>
        <v>4487.6550000044363</v>
      </c>
      <c r="W263" s="43">
        <f t="shared" si="74"/>
        <v>3524165</v>
      </c>
      <c r="X263" s="44">
        <f t="shared" si="75"/>
        <v>1499.0379999998258</v>
      </c>
      <c r="Y263" s="51">
        <f t="shared" si="76"/>
        <v>10270684</v>
      </c>
      <c r="Z263" s="52">
        <f t="shared" si="77"/>
        <v>6207.129000005637</v>
      </c>
      <c r="AA263" s="58">
        <f t="shared" si="78"/>
        <v>2794872</v>
      </c>
      <c r="AB263" s="17">
        <f t="shared" si="79"/>
        <v>1759.5059999997889</v>
      </c>
      <c r="AC263" s="101"/>
      <c r="AD263" s="555">
        <f t="shared" si="104"/>
        <v>114334815</v>
      </c>
      <c r="AE263" s="632">
        <f t="shared" si="105"/>
        <v>30429.284000019958</v>
      </c>
    </row>
    <row r="264" spans="1:31" outlineLevel="1">
      <c r="A264" s="114">
        <v>43351</v>
      </c>
      <c r="B264" s="115">
        <f t="shared" si="103"/>
        <v>9</v>
      </c>
      <c r="C264" s="35">
        <v>43319876</v>
      </c>
      <c r="D264" s="36">
        <v>10790.500000009022</v>
      </c>
      <c r="E264" s="43">
        <v>23404238</v>
      </c>
      <c r="F264" s="44">
        <v>5166.1060000001435</v>
      </c>
      <c r="G264" s="51">
        <v>52009438</v>
      </c>
      <c r="H264" s="52">
        <v>14245.55400001011</v>
      </c>
      <c r="I264" s="58">
        <v>6424873</v>
      </c>
      <c r="J264" s="17">
        <v>2043.5059999997725</v>
      </c>
      <c r="K264" s="101"/>
      <c r="L264" s="35">
        <v>38985494</v>
      </c>
      <c r="M264" s="36">
        <v>6608.1390000049332</v>
      </c>
      <c r="N264" s="43">
        <v>19845037</v>
      </c>
      <c r="O264" s="44">
        <v>3735.3660000003188</v>
      </c>
      <c r="P264" s="51">
        <v>40206142</v>
      </c>
      <c r="Q264" s="52">
        <v>7681.4320000048374</v>
      </c>
      <c r="R264" s="58">
        <v>3687094</v>
      </c>
      <c r="S264" s="17">
        <v>274.56599999997349</v>
      </c>
      <c r="T264" s="101"/>
      <c r="U264" s="35">
        <f t="shared" si="72"/>
        <v>4334382</v>
      </c>
      <c r="V264" s="36">
        <f t="shared" si="73"/>
        <v>4182.361000004089</v>
      </c>
      <c r="W264" s="43">
        <f t="shared" si="74"/>
        <v>3559201</v>
      </c>
      <c r="X264" s="44">
        <f t="shared" si="75"/>
        <v>1430.7399999998247</v>
      </c>
      <c r="Y264" s="51">
        <f t="shared" si="76"/>
        <v>11803296</v>
      </c>
      <c r="Z264" s="52">
        <f t="shared" si="77"/>
        <v>6564.1220000052726</v>
      </c>
      <c r="AA264" s="58">
        <f t="shared" si="78"/>
        <v>2737779</v>
      </c>
      <c r="AB264" s="17">
        <f t="shared" si="79"/>
        <v>1768.9399999997991</v>
      </c>
      <c r="AC264" s="101"/>
      <c r="AD264" s="555">
        <f t="shared" si="104"/>
        <v>125158425</v>
      </c>
      <c r="AE264" s="632">
        <f t="shared" si="105"/>
        <v>32245.66600001905</v>
      </c>
    </row>
    <row r="265" spans="1:31" outlineLevel="1">
      <c r="A265" s="114">
        <v>43352</v>
      </c>
      <c r="B265" s="115">
        <f t="shared" si="103"/>
        <v>9</v>
      </c>
      <c r="C265" s="35">
        <v>38466142</v>
      </c>
      <c r="D265" s="36">
        <v>10094.046000008646</v>
      </c>
      <c r="E265" s="43">
        <v>18176061</v>
      </c>
      <c r="F265" s="44">
        <v>4128.234000000165</v>
      </c>
      <c r="G265" s="51">
        <v>48042431</v>
      </c>
      <c r="H265" s="52">
        <v>14635.080000010606</v>
      </c>
      <c r="I265" s="58">
        <v>6314331</v>
      </c>
      <c r="J265" s="17">
        <v>2328.9529999998058</v>
      </c>
      <c r="K265" s="101"/>
      <c r="L265" s="35">
        <v>34632842</v>
      </c>
      <c r="M265" s="36">
        <v>6098.1280000048191</v>
      </c>
      <c r="N265" s="43">
        <v>14735313</v>
      </c>
      <c r="O265" s="44">
        <v>2739.2050000003242</v>
      </c>
      <c r="P265" s="51">
        <v>34826728</v>
      </c>
      <c r="Q265" s="52">
        <v>7217.4040000053164</v>
      </c>
      <c r="R265" s="58">
        <v>3376784</v>
      </c>
      <c r="S265" s="17">
        <v>255.12500000000261</v>
      </c>
      <c r="T265" s="101"/>
      <c r="U265" s="35">
        <f t="shared" si="72"/>
        <v>3833300</v>
      </c>
      <c r="V265" s="36">
        <f t="shared" si="73"/>
        <v>3995.9180000038268</v>
      </c>
      <c r="W265" s="43">
        <f t="shared" si="74"/>
        <v>3440748</v>
      </c>
      <c r="X265" s="44">
        <f t="shared" si="75"/>
        <v>1389.0289999998408</v>
      </c>
      <c r="Y265" s="51">
        <f t="shared" si="76"/>
        <v>13215703</v>
      </c>
      <c r="Z265" s="52">
        <f t="shared" si="77"/>
        <v>7417.67600000529</v>
      </c>
      <c r="AA265" s="58">
        <f t="shared" si="78"/>
        <v>2937547</v>
      </c>
      <c r="AB265" s="17">
        <f t="shared" si="79"/>
        <v>2073.8279999998031</v>
      </c>
      <c r="AC265" s="101"/>
      <c r="AD265" s="555">
        <f t="shared" si="104"/>
        <v>110998965</v>
      </c>
      <c r="AE265" s="632">
        <f t="shared" si="105"/>
        <v>31186.313000019221</v>
      </c>
    </row>
    <row r="266" spans="1:31" outlineLevel="1">
      <c r="A266" s="114">
        <v>43353</v>
      </c>
      <c r="B266" s="115">
        <f t="shared" si="103"/>
        <v>9</v>
      </c>
      <c r="C266" s="35">
        <v>37231246</v>
      </c>
      <c r="D266" s="36">
        <v>9453.8130000084893</v>
      </c>
      <c r="E266" s="43">
        <v>16740570</v>
      </c>
      <c r="F266" s="44">
        <v>3777.4820000001264</v>
      </c>
      <c r="G266" s="51">
        <v>46095723</v>
      </c>
      <c r="H266" s="52">
        <v>13468.300000010924</v>
      </c>
      <c r="I266" s="58">
        <v>5593384</v>
      </c>
      <c r="J266" s="17">
        <v>2216.0089999998017</v>
      </c>
      <c r="K266" s="101"/>
      <c r="L266" s="35">
        <v>33363602</v>
      </c>
      <c r="M266" s="36">
        <v>5196.5670000047485</v>
      </c>
      <c r="N266" s="43">
        <v>13473701</v>
      </c>
      <c r="O266" s="44">
        <v>2425.5330000002987</v>
      </c>
      <c r="P266" s="51">
        <v>33296655</v>
      </c>
      <c r="Q266" s="52">
        <v>5925.0270000054143</v>
      </c>
      <c r="R266" s="58">
        <v>2845804</v>
      </c>
      <c r="S266" s="17">
        <v>207.21100000000362</v>
      </c>
      <c r="T266" s="101"/>
      <c r="U266" s="35">
        <f t="shared" si="72"/>
        <v>3867644</v>
      </c>
      <c r="V266" s="36">
        <f t="shared" si="73"/>
        <v>4257.2460000037408</v>
      </c>
      <c r="W266" s="43">
        <f t="shared" si="74"/>
        <v>3266869</v>
      </c>
      <c r="X266" s="44">
        <f t="shared" si="75"/>
        <v>1351.9489999998277</v>
      </c>
      <c r="Y266" s="51">
        <f t="shared" si="76"/>
        <v>12799068</v>
      </c>
      <c r="Z266" s="52">
        <f t="shared" si="77"/>
        <v>7543.2730000055099</v>
      </c>
      <c r="AA266" s="58">
        <f t="shared" si="78"/>
        <v>2747580</v>
      </c>
      <c r="AB266" s="17">
        <f t="shared" si="79"/>
        <v>2008.7979999997981</v>
      </c>
      <c r="AC266" s="101"/>
      <c r="AD266" s="555">
        <f t="shared" si="104"/>
        <v>105660923</v>
      </c>
      <c r="AE266" s="632">
        <f t="shared" si="105"/>
        <v>28915.604000019342</v>
      </c>
    </row>
    <row r="267" spans="1:31" outlineLevel="1">
      <c r="A267" s="114">
        <v>43354</v>
      </c>
      <c r="B267" s="115">
        <f t="shared" si="103"/>
        <v>9</v>
      </c>
      <c r="C267" s="35">
        <v>37430088</v>
      </c>
      <c r="D267" s="36">
        <v>9494.7100000083647</v>
      </c>
      <c r="E267" s="43">
        <v>15514576</v>
      </c>
      <c r="F267" s="44">
        <v>3256.8160000002081</v>
      </c>
      <c r="G267" s="51">
        <v>46886846</v>
      </c>
      <c r="H267" s="52">
        <v>13533.19400001004</v>
      </c>
      <c r="I267" s="58">
        <v>5651916</v>
      </c>
      <c r="J267" s="17">
        <v>1872.0649999997941</v>
      </c>
      <c r="K267" s="101"/>
      <c r="L267" s="35">
        <v>33669540</v>
      </c>
      <c r="M267" s="36">
        <v>4977.7930000044435</v>
      </c>
      <c r="N267" s="43">
        <v>13388138</v>
      </c>
      <c r="O267" s="44">
        <v>2300.489000000307</v>
      </c>
      <c r="P267" s="51">
        <v>33547880</v>
      </c>
      <c r="Q267" s="52">
        <v>5536.7560000047961</v>
      </c>
      <c r="R267" s="58">
        <v>3076873</v>
      </c>
      <c r="S267" s="17">
        <v>180.1740000000035</v>
      </c>
      <c r="T267" s="101"/>
      <c r="U267" s="35">
        <f t="shared" si="72"/>
        <v>3760548</v>
      </c>
      <c r="V267" s="36">
        <f t="shared" si="73"/>
        <v>4516.9170000039212</v>
      </c>
      <c r="W267" s="43">
        <f t="shared" si="74"/>
        <v>2126438</v>
      </c>
      <c r="X267" s="44">
        <f t="shared" si="75"/>
        <v>956.32699999990109</v>
      </c>
      <c r="Y267" s="51">
        <f t="shared" si="76"/>
        <v>13338966</v>
      </c>
      <c r="Z267" s="52">
        <f t="shared" si="77"/>
        <v>7996.4380000052442</v>
      </c>
      <c r="AA267" s="58">
        <f t="shared" si="78"/>
        <v>2575043</v>
      </c>
      <c r="AB267" s="17">
        <f t="shared" si="79"/>
        <v>1691.8909999997904</v>
      </c>
      <c r="AC267" s="101"/>
      <c r="AD267" s="555">
        <f t="shared" si="104"/>
        <v>105483426</v>
      </c>
      <c r="AE267" s="632">
        <f t="shared" si="105"/>
        <v>28156.785000018408</v>
      </c>
    </row>
    <row r="268" spans="1:31" outlineLevel="1">
      <c r="A268" s="114">
        <v>43355</v>
      </c>
      <c r="B268" s="115">
        <f t="shared" si="103"/>
        <v>9</v>
      </c>
      <c r="C268" s="35">
        <v>37148976</v>
      </c>
      <c r="D268" s="36">
        <v>10001.022000008561</v>
      </c>
      <c r="E268" s="43">
        <v>16374262</v>
      </c>
      <c r="F268" s="44">
        <v>3556.8550000002178</v>
      </c>
      <c r="G268" s="51">
        <v>46171219</v>
      </c>
      <c r="H268" s="52">
        <v>14118.393000010263</v>
      </c>
      <c r="I268" s="58">
        <v>6035709</v>
      </c>
      <c r="J268" s="17">
        <v>2113.2829999998166</v>
      </c>
      <c r="K268" s="101"/>
      <c r="L268" s="35">
        <v>33443236</v>
      </c>
      <c r="M268" s="36">
        <v>5363.2500000044938</v>
      </c>
      <c r="N268" s="43">
        <v>13978266</v>
      </c>
      <c r="O268" s="44">
        <v>2489.3340000003145</v>
      </c>
      <c r="P268" s="51">
        <v>33110589</v>
      </c>
      <c r="Q268" s="52">
        <v>5884.573000005109</v>
      </c>
      <c r="R268" s="58">
        <v>3103621</v>
      </c>
      <c r="S268" s="17">
        <v>199.40800000000249</v>
      </c>
      <c r="T268" s="101"/>
      <c r="U268" s="35">
        <f t="shared" si="72"/>
        <v>3705740</v>
      </c>
      <c r="V268" s="36">
        <f t="shared" si="73"/>
        <v>4637.7720000040672</v>
      </c>
      <c r="W268" s="43">
        <f t="shared" si="74"/>
        <v>2395996</v>
      </c>
      <c r="X268" s="44">
        <f t="shared" si="75"/>
        <v>1067.5209999999033</v>
      </c>
      <c r="Y268" s="51">
        <f t="shared" si="76"/>
        <v>13060630</v>
      </c>
      <c r="Z268" s="52">
        <f t="shared" si="77"/>
        <v>8233.8200000051547</v>
      </c>
      <c r="AA268" s="58">
        <f t="shared" si="78"/>
        <v>2932088</v>
      </c>
      <c r="AB268" s="17">
        <f t="shared" si="79"/>
        <v>1913.8749999998142</v>
      </c>
      <c r="AC268" s="101"/>
      <c r="AD268" s="555">
        <f t="shared" si="104"/>
        <v>105730166</v>
      </c>
      <c r="AE268" s="632">
        <f t="shared" si="105"/>
        <v>29789.553000018859</v>
      </c>
    </row>
    <row r="269" spans="1:31" outlineLevel="1">
      <c r="A269" s="114">
        <v>43356</v>
      </c>
      <c r="B269" s="115">
        <f t="shared" si="103"/>
        <v>9</v>
      </c>
      <c r="C269" s="35">
        <v>37244277</v>
      </c>
      <c r="D269" s="36">
        <v>10756.397000009043</v>
      </c>
      <c r="E269" s="43">
        <v>16681267</v>
      </c>
      <c r="F269" s="44">
        <v>3938.6410000002106</v>
      </c>
      <c r="G269" s="51">
        <v>46432202</v>
      </c>
      <c r="H269" s="52">
        <v>15461.712000010744</v>
      </c>
      <c r="I269" s="58">
        <v>5842706</v>
      </c>
      <c r="J269" s="17">
        <v>1832.9509999997927</v>
      </c>
      <c r="K269" s="101"/>
      <c r="L269" s="35">
        <v>33644940</v>
      </c>
      <c r="M269" s="36">
        <v>5774.1280000047982</v>
      </c>
      <c r="N269" s="43">
        <v>14418936</v>
      </c>
      <c r="O269" s="44">
        <v>2883.5150000003032</v>
      </c>
      <c r="P269" s="51">
        <v>34095802</v>
      </c>
      <c r="Q269" s="52">
        <v>7049.0310000054251</v>
      </c>
      <c r="R269" s="58">
        <v>3399384</v>
      </c>
      <c r="S269" s="17">
        <v>235.60900000000376</v>
      </c>
      <c r="T269" s="101"/>
      <c r="U269" s="35">
        <f t="shared" si="72"/>
        <v>3599337</v>
      </c>
      <c r="V269" s="36">
        <f t="shared" si="73"/>
        <v>4982.2690000042448</v>
      </c>
      <c r="W269" s="43">
        <f t="shared" si="74"/>
        <v>2262331</v>
      </c>
      <c r="X269" s="44">
        <f t="shared" si="75"/>
        <v>1055.1259999999074</v>
      </c>
      <c r="Y269" s="51">
        <f t="shared" si="76"/>
        <v>12336400</v>
      </c>
      <c r="Z269" s="52">
        <f t="shared" si="77"/>
        <v>8412.6810000053192</v>
      </c>
      <c r="AA269" s="58">
        <f t="shared" si="78"/>
        <v>2443322</v>
      </c>
      <c r="AB269" s="17">
        <f t="shared" si="79"/>
        <v>1597.3419999997889</v>
      </c>
      <c r="AC269" s="101"/>
      <c r="AD269" s="555">
        <f t="shared" si="104"/>
        <v>106200452</v>
      </c>
      <c r="AE269" s="632">
        <f t="shared" si="105"/>
        <v>31989.701000019792</v>
      </c>
    </row>
    <row r="270" spans="1:31" outlineLevel="1">
      <c r="A270" s="114">
        <v>43357</v>
      </c>
      <c r="B270" s="115">
        <f t="shared" si="103"/>
        <v>9</v>
      </c>
      <c r="C270" s="35">
        <v>38656441</v>
      </c>
      <c r="D270" s="36">
        <v>10366.878000009443</v>
      </c>
      <c r="E270" s="43">
        <v>21700453</v>
      </c>
      <c r="F270" s="44">
        <v>4490.0150000001731</v>
      </c>
      <c r="G270" s="51">
        <v>50338586</v>
      </c>
      <c r="H270" s="52">
        <v>15649.800000010595</v>
      </c>
      <c r="I270" s="58">
        <v>5495110</v>
      </c>
      <c r="J270" s="17">
        <v>1578.4649999997919</v>
      </c>
      <c r="K270" s="101"/>
      <c r="L270" s="35">
        <v>34983535</v>
      </c>
      <c r="M270" s="36">
        <v>5280.2500000047257</v>
      </c>
      <c r="N270" s="43">
        <v>19247417</v>
      </c>
      <c r="O270" s="44">
        <v>3344.3490000003103</v>
      </c>
      <c r="P270" s="51">
        <v>38549435</v>
      </c>
      <c r="Q270" s="52">
        <v>7175.7310000051566</v>
      </c>
      <c r="R270" s="58">
        <v>3591804</v>
      </c>
      <c r="S270" s="17">
        <v>215.19000000000298</v>
      </c>
      <c r="T270" s="101"/>
      <c r="U270" s="35">
        <f t="shared" si="72"/>
        <v>3672906</v>
      </c>
      <c r="V270" s="36">
        <f t="shared" si="73"/>
        <v>5086.6280000047173</v>
      </c>
      <c r="W270" s="43">
        <f t="shared" si="74"/>
        <v>2453036</v>
      </c>
      <c r="X270" s="44">
        <f t="shared" si="75"/>
        <v>1145.6659999998628</v>
      </c>
      <c r="Y270" s="51">
        <f t="shared" si="76"/>
        <v>11789151</v>
      </c>
      <c r="Z270" s="52">
        <f t="shared" si="77"/>
        <v>8474.0690000054383</v>
      </c>
      <c r="AA270" s="58">
        <f t="shared" si="78"/>
        <v>1903306</v>
      </c>
      <c r="AB270" s="17">
        <f t="shared" si="79"/>
        <v>1363.2749999997889</v>
      </c>
      <c r="AC270" s="101"/>
      <c r="AD270" s="555">
        <f t="shared" si="104"/>
        <v>116190590</v>
      </c>
      <c r="AE270" s="632">
        <f t="shared" si="105"/>
        <v>32085.158000020005</v>
      </c>
    </row>
    <row r="271" spans="1:31" outlineLevel="1">
      <c r="A271" s="114">
        <v>43358</v>
      </c>
      <c r="B271" s="115">
        <f t="shared" si="103"/>
        <v>9</v>
      </c>
      <c r="C271" s="35">
        <v>40882206</v>
      </c>
      <c r="D271" s="36">
        <v>10165.021000008765</v>
      </c>
      <c r="E271" s="43">
        <v>23756073</v>
      </c>
      <c r="F271" s="44">
        <v>4652.7670000002181</v>
      </c>
      <c r="G271" s="51">
        <v>53988992</v>
      </c>
      <c r="H271" s="52">
        <v>16220.803000012664</v>
      </c>
      <c r="I271" s="58">
        <v>5496435</v>
      </c>
      <c r="J271" s="17">
        <v>1472.743999999788</v>
      </c>
      <c r="K271" s="101"/>
      <c r="L271" s="35">
        <v>37052852</v>
      </c>
      <c r="M271" s="36">
        <v>5453.7230000046193</v>
      </c>
      <c r="N271" s="43">
        <v>21132019</v>
      </c>
      <c r="O271" s="44">
        <v>3596.0550000003163</v>
      </c>
      <c r="P271" s="51">
        <v>42603124</v>
      </c>
      <c r="Q271" s="52">
        <v>8320.6180000072254</v>
      </c>
      <c r="R271" s="58">
        <v>3665076</v>
      </c>
      <c r="S271" s="17">
        <v>216.69400000000283</v>
      </c>
      <c r="T271" s="101"/>
      <c r="U271" s="35">
        <f t="shared" ref="U271:U336" si="107">C271-L271</f>
        <v>3829354</v>
      </c>
      <c r="V271" s="36">
        <f t="shared" ref="V271:V336" si="108">D271-M271</f>
        <v>4711.2980000041453</v>
      </c>
      <c r="W271" s="43">
        <f t="shared" ref="W271:W336" si="109">E271-N271</f>
        <v>2624054</v>
      </c>
      <c r="X271" s="44">
        <f t="shared" ref="X271:X336" si="110">F271-O271</f>
        <v>1056.7119999999018</v>
      </c>
      <c r="Y271" s="51">
        <f t="shared" ref="Y271:Y336" si="111">G271-P271</f>
        <v>11385868</v>
      </c>
      <c r="Z271" s="52">
        <f t="shared" ref="Z271:Z336" si="112">H271-Q271</f>
        <v>7900.1850000054383</v>
      </c>
      <c r="AA271" s="58">
        <f t="shared" ref="AA271:AA336" si="113">I271-R271</f>
        <v>1831359</v>
      </c>
      <c r="AB271" s="17">
        <f t="shared" ref="AB271:AB336" si="114">J271-S271</f>
        <v>1256.0499999997851</v>
      </c>
      <c r="AC271" s="101"/>
      <c r="AD271" s="555">
        <f t="shared" si="104"/>
        <v>124123706</v>
      </c>
      <c r="AE271" s="632">
        <f t="shared" si="105"/>
        <v>32511.335000021434</v>
      </c>
    </row>
    <row r="272" spans="1:31" outlineLevel="1">
      <c r="A272" s="114">
        <v>43359</v>
      </c>
      <c r="B272" s="115">
        <f t="shared" si="103"/>
        <v>9</v>
      </c>
      <c r="C272" s="35">
        <v>38335148</v>
      </c>
      <c r="D272" s="36">
        <v>10097.252000008519</v>
      </c>
      <c r="E272" s="43">
        <v>18891347</v>
      </c>
      <c r="F272" s="44">
        <v>3979.8580000001907</v>
      </c>
      <c r="G272" s="51">
        <v>46229413</v>
      </c>
      <c r="H272" s="52">
        <v>14613.857000010124</v>
      </c>
      <c r="I272" s="58">
        <v>5150548</v>
      </c>
      <c r="J272" s="17">
        <v>1426.9769999998082</v>
      </c>
      <c r="K272" s="101"/>
      <c r="L272" s="35">
        <v>34701545</v>
      </c>
      <c r="M272" s="36">
        <v>5600.895000004577</v>
      </c>
      <c r="N272" s="43">
        <v>16501099</v>
      </c>
      <c r="O272" s="44">
        <v>3047.5820000002959</v>
      </c>
      <c r="P272" s="51">
        <v>36069208</v>
      </c>
      <c r="Q272" s="52">
        <v>7215.2100000049204</v>
      </c>
      <c r="R272" s="58">
        <v>3455284</v>
      </c>
      <c r="S272" s="17">
        <v>219.02000000000379</v>
      </c>
      <c r="T272" s="101"/>
      <c r="U272" s="35">
        <f t="shared" si="107"/>
        <v>3633603</v>
      </c>
      <c r="V272" s="36">
        <f t="shared" si="108"/>
        <v>4496.3570000039417</v>
      </c>
      <c r="W272" s="43">
        <f t="shared" si="109"/>
        <v>2390248</v>
      </c>
      <c r="X272" s="44">
        <f t="shared" si="110"/>
        <v>932.27599999989479</v>
      </c>
      <c r="Y272" s="51">
        <f t="shared" si="111"/>
        <v>10160205</v>
      </c>
      <c r="Z272" s="52">
        <f t="shared" si="112"/>
        <v>7398.6470000052041</v>
      </c>
      <c r="AA272" s="58">
        <f t="shared" si="113"/>
        <v>1695264</v>
      </c>
      <c r="AB272" s="17">
        <f t="shared" si="114"/>
        <v>1207.9569999998043</v>
      </c>
      <c r="AC272" s="101"/>
      <c r="AD272" s="555">
        <f t="shared" si="104"/>
        <v>108606456</v>
      </c>
      <c r="AE272" s="632">
        <f t="shared" si="105"/>
        <v>30117.944000018644</v>
      </c>
    </row>
    <row r="273" spans="1:31" outlineLevel="1">
      <c r="A273" s="114">
        <v>43360</v>
      </c>
      <c r="B273" s="115">
        <f t="shared" si="103"/>
        <v>9</v>
      </c>
      <c r="C273" s="35">
        <v>37393755</v>
      </c>
      <c r="D273" s="36">
        <v>10892.352000009392</v>
      </c>
      <c r="E273" s="43">
        <v>18151528</v>
      </c>
      <c r="F273" s="44">
        <v>3890.8050000002459</v>
      </c>
      <c r="G273" s="51">
        <v>42501944</v>
      </c>
      <c r="H273" s="52">
        <v>14429.55800001026</v>
      </c>
      <c r="I273" s="58">
        <v>4838328</v>
      </c>
      <c r="J273" s="17">
        <v>1526.1849999997994</v>
      </c>
      <c r="K273" s="101"/>
      <c r="L273" s="35">
        <v>33947542</v>
      </c>
      <c r="M273" s="36">
        <v>5928.6990000051364</v>
      </c>
      <c r="N273" s="43">
        <v>15848079</v>
      </c>
      <c r="O273" s="44">
        <v>2905.5780000003369</v>
      </c>
      <c r="P273" s="51">
        <v>33196459</v>
      </c>
      <c r="Q273" s="52">
        <v>6781.2600000052198</v>
      </c>
      <c r="R273" s="58">
        <v>3119230</v>
      </c>
      <c r="S273" s="17">
        <v>220.96000000000336</v>
      </c>
      <c r="T273" s="101"/>
      <c r="U273" s="35">
        <f t="shared" si="107"/>
        <v>3446213</v>
      </c>
      <c r="V273" s="36">
        <f t="shared" si="108"/>
        <v>4963.6530000042558</v>
      </c>
      <c r="W273" s="43">
        <f t="shared" si="109"/>
        <v>2303449</v>
      </c>
      <c r="X273" s="44">
        <f t="shared" si="110"/>
        <v>985.22699999990891</v>
      </c>
      <c r="Y273" s="51">
        <f t="shared" si="111"/>
        <v>9305485</v>
      </c>
      <c r="Z273" s="52">
        <f t="shared" si="112"/>
        <v>7648.2980000050402</v>
      </c>
      <c r="AA273" s="58">
        <f t="shared" si="113"/>
        <v>1719098</v>
      </c>
      <c r="AB273" s="17">
        <f t="shared" si="114"/>
        <v>1305.224999999796</v>
      </c>
      <c r="AC273" s="101"/>
      <c r="AD273" s="555">
        <f t="shared" si="104"/>
        <v>102885555</v>
      </c>
      <c r="AE273" s="632">
        <f t="shared" si="105"/>
        <v>30738.900000019697</v>
      </c>
    </row>
    <row r="274" spans="1:31" outlineLevel="1">
      <c r="A274" s="114">
        <v>43361</v>
      </c>
      <c r="B274" s="115">
        <f t="shared" si="103"/>
        <v>9</v>
      </c>
      <c r="C274" s="35">
        <v>37790220</v>
      </c>
      <c r="D274" s="36">
        <v>11723.655000010554</v>
      </c>
      <c r="E274" s="43">
        <v>18307730</v>
      </c>
      <c r="F274" s="44">
        <v>4207.0030000002025</v>
      </c>
      <c r="G274" s="51">
        <v>41957407</v>
      </c>
      <c r="H274" s="52">
        <v>14974.925000010488</v>
      </c>
      <c r="I274" s="58">
        <v>4798693</v>
      </c>
      <c r="J274" s="17">
        <v>1591.3199999997992</v>
      </c>
      <c r="K274" s="101"/>
      <c r="L274" s="35">
        <v>34307952</v>
      </c>
      <c r="M274" s="36">
        <v>6458.1300000052543</v>
      </c>
      <c r="N274" s="43">
        <v>16074540</v>
      </c>
      <c r="O274" s="44">
        <v>3197.6410000002957</v>
      </c>
      <c r="P274" s="51">
        <v>32668268</v>
      </c>
      <c r="Q274" s="52">
        <v>7190.8540000050771</v>
      </c>
      <c r="R274" s="58">
        <v>2993585</v>
      </c>
      <c r="S274" s="17">
        <v>237.47400000000377</v>
      </c>
      <c r="T274" s="101"/>
      <c r="U274" s="35">
        <f t="shared" si="107"/>
        <v>3482268</v>
      </c>
      <c r="V274" s="36">
        <f t="shared" si="108"/>
        <v>5265.5250000053002</v>
      </c>
      <c r="W274" s="43">
        <f t="shared" si="109"/>
        <v>2233190</v>
      </c>
      <c r="X274" s="44">
        <f t="shared" si="110"/>
        <v>1009.3619999999069</v>
      </c>
      <c r="Y274" s="51">
        <f t="shared" si="111"/>
        <v>9289139</v>
      </c>
      <c r="Z274" s="52">
        <f t="shared" si="112"/>
        <v>7784.0710000054105</v>
      </c>
      <c r="AA274" s="58">
        <f t="shared" si="113"/>
        <v>1805108</v>
      </c>
      <c r="AB274" s="17">
        <f t="shared" si="114"/>
        <v>1353.8459999997954</v>
      </c>
      <c r="AC274" s="101"/>
      <c r="AD274" s="555">
        <f t="shared" si="104"/>
        <v>102854050</v>
      </c>
      <c r="AE274" s="632">
        <f t="shared" si="105"/>
        <v>32496.903000021044</v>
      </c>
    </row>
    <row r="275" spans="1:31" outlineLevel="1">
      <c r="A275" s="114">
        <v>43362</v>
      </c>
      <c r="B275" s="115">
        <f t="shared" si="103"/>
        <v>9</v>
      </c>
      <c r="C275" s="35">
        <v>35503597</v>
      </c>
      <c r="D275" s="36">
        <v>11803.852000010025</v>
      </c>
      <c r="E275" s="43">
        <v>16315151</v>
      </c>
      <c r="F275" s="44">
        <v>4489.722000000168</v>
      </c>
      <c r="G275" s="51">
        <v>39622138</v>
      </c>
      <c r="H275" s="52">
        <v>14183.585000010542</v>
      </c>
      <c r="I275" s="58">
        <v>4611959</v>
      </c>
      <c r="J275" s="17">
        <v>1552.6979999997948</v>
      </c>
      <c r="K275" s="101"/>
      <c r="L275" s="35">
        <v>32157699</v>
      </c>
      <c r="M275" s="36">
        <v>6547.2330000052625</v>
      </c>
      <c r="N275" s="43">
        <v>14232697</v>
      </c>
      <c r="O275" s="44">
        <v>3499.3090000002639</v>
      </c>
      <c r="P275" s="51">
        <v>31222799</v>
      </c>
      <c r="Q275" s="52">
        <v>6721.7670000051621</v>
      </c>
      <c r="R275" s="58">
        <v>3007374</v>
      </c>
      <c r="S275" s="17">
        <v>252.77800000000286</v>
      </c>
      <c r="T275" s="101"/>
      <c r="U275" s="35">
        <f t="shared" si="107"/>
        <v>3345898</v>
      </c>
      <c r="V275" s="36">
        <f t="shared" si="108"/>
        <v>5256.6190000047627</v>
      </c>
      <c r="W275" s="43">
        <f t="shared" si="109"/>
        <v>2082454</v>
      </c>
      <c r="X275" s="44">
        <f t="shared" si="110"/>
        <v>990.41299999990406</v>
      </c>
      <c r="Y275" s="51">
        <f t="shared" si="111"/>
        <v>8399339</v>
      </c>
      <c r="Z275" s="52">
        <f t="shared" si="112"/>
        <v>7461.8180000053799</v>
      </c>
      <c r="AA275" s="58">
        <f t="shared" si="113"/>
        <v>1604585</v>
      </c>
      <c r="AB275" s="17">
        <f t="shared" si="114"/>
        <v>1299.9199999997918</v>
      </c>
      <c r="AC275" s="101"/>
      <c r="AD275" s="555">
        <f t="shared" si="104"/>
        <v>96052845</v>
      </c>
      <c r="AE275" s="632">
        <f t="shared" si="105"/>
        <v>32029.857000020529</v>
      </c>
    </row>
    <row r="276" spans="1:31" outlineLevel="1">
      <c r="A276" s="114">
        <v>43363</v>
      </c>
      <c r="B276" s="115">
        <f t="shared" si="103"/>
        <v>9</v>
      </c>
      <c r="C276" s="35">
        <v>37627801</v>
      </c>
      <c r="D276" s="36">
        <v>12298.74000001079</v>
      </c>
      <c r="E276" s="43">
        <v>17768889</v>
      </c>
      <c r="F276" s="44">
        <v>4863.0880000001744</v>
      </c>
      <c r="G276" s="51">
        <v>41590373</v>
      </c>
      <c r="H276" s="52">
        <v>14989.884000011267</v>
      </c>
      <c r="I276" s="58">
        <v>4873729</v>
      </c>
      <c r="J276" s="17">
        <v>1647.9749999997848</v>
      </c>
      <c r="K276" s="101"/>
      <c r="L276" s="35">
        <v>34086976</v>
      </c>
      <c r="M276" s="36">
        <v>6898.3180000051407</v>
      </c>
      <c r="N276" s="43">
        <v>15360856</v>
      </c>
      <c r="O276" s="44">
        <v>3760.3630000002809</v>
      </c>
      <c r="P276" s="51">
        <v>32954163</v>
      </c>
      <c r="Q276" s="52">
        <v>7231.4180000054475</v>
      </c>
      <c r="R276" s="58">
        <v>3158333</v>
      </c>
      <c r="S276" s="17">
        <v>276.25799999997508</v>
      </c>
      <c r="T276" s="101"/>
      <c r="U276" s="35">
        <f t="shared" si="107"/>
        <v>3540825</v>
      </c>
      <c r="V276" s="36">
        <f t="shared" si="108"/>
        <v>5400.4220000056494</v>
      </c>
      <c r="W276" s="43">
        <f t="shared" si="109"/>
        <v>2408033</v>
      </c>
      <c r="X276" s="44">
        <f t="shared" si="110"/>
        <v>1102.7249999998935</v>
      </c>
      <c r="Y276" s="51">
        <f t="shared" si="111"/>
        <v>8636210</v>
      </c>
      <c r="Z276" s="52">
        <f t="shared" si="112"/>
        <v>7758.4660000058193</v>
      </c>
      <c r="AA276" s="58">
        <f t="shared" si="113"/>
        <v>1715396</v>
      </c>
      <c r="AB276" s="17">
        <f t="shared" si="114"/>
        <v>1371.7169999998098</v>
      </c>
      <c r="AC276" s="101"/>
      <c r="AD276" s="555">
        <f t="shared" si="104"/>
        <v>101860792</v>
      </c>
      <c r="AE276" s="632">
        <f t="shared" si="105"/>
        <v>33799.687000022022</v>
      </c>
    </row>
    <row r="277" spans="1:31" outlineLevel="1">
      <c r="A277" s="114">
        <v>43364</v>
      </c>
      <c r="B277" s="115">
        <f t="shared" si="103"/>
        <v>9</v>
      </c>
      <c r="C277" s="35">
        <v>38115350</v>
      </c>
      <c r="D277" s="36">
        <v>12897.955000012309</v>
      </c>
      <c r="E277" s="43">
        <v>22432733</v>
      </c>
      <c r="F277" s="44">
        <v>6280.0640000002604</v>
      </c>
      <c r="G277" s="51">
        <v>44206297</v>
      </c>
      <c r="H277" s="52">
        <v>15837.604000011022</v>
      </c>
      <c r="I277" s="58">
        <v>4827223</v>
      </c>
      <c r="J277" s="17">
        <v>1572.5889999997403</v>
      </c>
      <c r="K277" s="101"/>
      <c r="L277" s="35">
        <v>34497318</v>
      </c>
      <c r="M277" s="36">
        <v>7146.1570000048569</v>
      </c>
      <c r="N277" s="43">
        <v>19782663</v>
      </c>
      <c r="O277" s="44">
        <v>4995.1760000004515</v>
      </c>
      <c r="P277" s="51">
        <v>35467768</v>
      </c>
      <c r="Q277" s="52">
        <v>8028.4690000051914</v>
      </c>
      <c r="R277" s="58">
        <v>3144333</v>
      </c>
      <c r="S277" s="17">
        <v>290.32899999997619</v>
      </c>
      <c r="T277" s="101"/>
      <c r="U277" s="35">
        <f t="shared" si="107"/>
        <v>3618032</v>
      </c>
      <c r="V277" s="36">
        <f t="shared" si="108"/>
        <v>5751.7980000074522</v>
      </c>
      <c r="W277" s="43">
        <f t="shared" si="109"/>
        <v>2650070</v>
      </c>
      <c r="X277" s="44">
        <f t="shared" si="110"/>
        <v>1284.8879999998089</v>
      </c>
      <c r="Y277" s="51">
        <f t="shared" si="111"/>
        <v>8738529</v>
      </c>
      <c r="Z277" s="52">
        <f t="shared" si="112"/>
        <v>7809.135000005831</v>
      </c>
      <c r="AA277" s="58">
        <f t="shared" si="113"/>
        <v>1682890</v>
      </c>
      <c r="AB277" s="17">
        <f t="shared" si="114"/>
        <v>1282.2599999997642</v>
      </c>
      <c r="AC277" s="101"/>
      <c r="AD277" s="555">
        <f t="shared" si="104"/>
        <v>109581603</v>
      </c>
      <c r="AE277" s="632">
        <f t="shared" si="105"/>
        <v>36588.212000023334</v>
      </c>
    </row>
    <row r="278" spans="1:31" outlineLevel="1">
      <c r="A278" s="114">
        <v>43365</v>
      </c>
      <c r="B278" s="115">
        <f t="shared" si="103"/>
        <v>9</v>
      </c>
      <c r="C278" s="35">
        <v>41767734</v>
      </c>
      <c r="D278" s="36">
        <v>12389.153000012197</v>
      </c>
      <c r="E278" s="43">
        <v>25979118</v>
      </c>
      <c r="F278" s="44">
        <v>6231.5520000003025</v>
      </c>
      <c r="G278" s="51">
        <v>48586506</v>
      </c>
      <c r="H278" s="52">
        <v>16049.723000010865</v>
      </c>
      <c r="I278" s="58">
        <v>5266219</v>
      </c>
      <c r="J278" s="17">
        <v>1535.4379999997618</v>
      </c>
      <c r="K278" s="101"/>
      <c r="L278" s="35">
        <v>38036132</v>
      </c>
      <c r="M278" s="36">
        <v>6983.0350000052913</v>
      </c>
      <c r="N278" s="43">
        <v>22741902</v>
      </c>
      <c r="O278" s="44">
        <v>4735.8520000005001</v>
      </c>
      <c r="P278" s="51">
        <v>38880538</v>
      </c>
      <c r="Q278" s="52">
        <v>8187.414000005253</v>
      </c>
      <c r="R278" s="58">
        <v>3446284</v>
      </c>
      <c r="S278" s="17">
        <v>289.03299999997415</v>
      </c>
      <c r="T278" s="101"/>
      <c r="U278" s="35">
        <f t="shared" si="107"/>
        <v>3731602</v>
      </c>
      <c r="V278" s="36">
        <f t="shared" si="108"/>
        <v>5406.1180000069053</v>
      </c>
      <c r="W278" s="43">
        <f t="shared" si="109"/>
        <v>3237216</v>
      </c>
      <c r="X278" s="44">
        <f t="shared" si="110"/>
        <v>1495.6999999998025</v>
      </c>
      <c r="Y278" s="51">
        <f t="shared" si="111"/>
        <v>9705968</v>
      </c>
      <c r="Z278" s="52">
        <f t="shared" si="112"/>
        <v>7862.3090000056118</v>
      </c>
      <c r="AA278" s="58">
        <f t="shared" si="113"/>
        <v>1819935</v>
      </c>
      <c r="AB278" s="17">
        <f t="shared" si="114"/>
        <v>1246.4049999997876</v>
      </c>
      <c r="AC278" s="101"/>
      <c r="AD278" s="555">
        <f t="shared" si="104"/>
        <v>121599577</v>
      </c>
      <c r="AE278" s="632">
        <f t="shared" si="105"/>
        <v>36205.866000023125</v>
      </c>
    </row>
    <row r="279" spans="1:31" outlineLevel="1">
      <c r="A279" s="114">
        <v>43366</v>
      </c>
      <c r="B279" s="115">
        <f t="shared" si="103"/>
        <v>9</v>
      </c>
      <c r="C279" s="35">
        <v>38318019</v>
      </c>
      <c r="D279" s="36">
        <v>12025.651000010348</v>
      </c>
      <c r="E279" s="43">
        <v>20581383</v>
      </c>
      <c r="F279" s="44">
        <v>5076.9590000001444</v>
      </c>
      <c r="G279" s="51">
        <v>42232345</v>
      </c>
      <c r="H279" s="52">
        <v>15226.184000010398</v>
      </c>
      <c r="I279" s="58">
        <v>4988352</v>
      </c>
      <c r="J279" s="17">
        <v>1491.493999999763</v>
      </c>
      <c r="K279" s="101"/>
      <c r="L279" s="35">
        <v>34800679</v>
      </c>
      <c r="M279" s="36">
        <v>6844.6860000049101</v>
      </c>
      <c r="N279" s="43">
        <v>17405974</v>
      </c>
      <c r="O279" s="44">
        <v>3539.0410000003531</v>
      </c>
      <c r="P279" s="51">
        <v>33415350</v>
      </c>
      <c r="Q279" s="52">
        <v>7303.6300000049123</v>
      </c>
      <c r="R279" s="58">
        <v>3275840</v>
      </c>
      <c r="S279" s="17">
        <v>276.49199999997563</v>
      </c>
      <c r="T279" s="101"/>
      <c r="U279" s="35">
        <f t="shared" si="107"/>
        <v>3517340</v>
      </c>
      <c r="V279" s="36">
        <f t="shared" si="108"/>
        <v>5180.965000005438</v>
      </c>
      <c r="W279" s="43">
        <f t="shared" si="109"/>
        <v>3175409</v>
      </c>
      <c r="X279" s="44">
        <f t="shared" si="110"/>
        <v>1537.9179999997914</v>
      </c>
      <c r="Y279" s="51">
        <f t="shared" si="111"/>
        <v>8816995</v>
      </c>
      <c r="Z279" s="52">
        <f t="shared" si="112"/>
        <v>7922.5540000054862</v>
      </c>
      <c r="AA279" s="58">
        <f t="shared" si="113"/>
        <v>1712512</v>
      </c>
      <c r="AB279" s="17">
        <f t="shared" si="114"/>
        <v>1215.0019999997874</v>
      </c>
      <c r="AC279" s="101"/>
      <c r="AD279" s="555">
        <f t="shared" si="104"/>
        <v>106120099</v>
      </c>
      <c r="AE279" s="632">
        <f t="shared" si="105"/>
        <v>33820.288000020657</v>
      </c>
    </row>
    <row r="280" spans="1:31" outlineLevel="1">
      <c r="A280" s="114">
        <v>43367</v>
      </c>
      <c r="B280" s="115">
        <f t="shared" si="103"/>
        <v>9</v>
      </c>
      <c r="C280" s="35">
        <v>36447176</v>
      </c>
      <c r="D280" s="36">
        <v>12383.406000011204</v>
      </c>
      <c r="E280" s="43">
        <v>15981713</v>
      </c>
      <c r="F280" s="44">
        <v>4871.9880000000976</v>
      </c>
      <c r="G280" s="51">
        <v>38332737</v>
      </c>
      <c r="H280" s="52">
        <v>15291.815000011029</v>
      </c>
      <c r="I280" s="58">
        <v>4378474</v>
      </c>
      <c r="J280" s="17">
        <v>1594.8079999997642</v>
      </c>
      <c r="K280" s="101"/>
      <c r="L280" s="35">
        <v>33096698</v>
      </c>
      <c r="M280" s="36">
        <v>6881.8980000050205</v>
      </c>
      <c r="N280" s="43">
        <v>13084394</v>
      </c>
      <c r="O280" s="44">
        <v>3395.5860000002826</v>
      </c>
      <c r="P280" s="51">
        <v>30124933</v>
      </c>
      <c r="Q280" s="52">
        <v>6994.8410000051008</v>
      </c>
      <c r="R280" s="58">
        <v>2776444</v>
      </c>
      <c r="S280" s="17">
        <v>283.10099999997652</v>
      </c>
      <c r="T280" s="101"/>
      <c r="U280" s="35">
        <f t="shared" si="107"/>
        <v>3350478</v>
      </c>
      <c r="V280" s="36">
        <f t="shared" si="108"/>
        <v>5501.5080000061835</v>
      </c>
      <c r="W280" s="43">
        <f t="shared" si="109"/>
        <v>2897319</v>
      </c>
      <c r="X280" s="44">
        <f t="shared" si="110"/>
        <v>1476.401999999815</v>
      </c>
      <c r="Y280" s="51">
        <f t="shared" si="111"/>
        <v>8207804</v>
      </c>
      <c r="Z280" s="52">
        <f t="shared" si="112"/>
        <v>8296.9740000059282</v>
      </c>
      <c r="AA280" s="58">
        <f t="shared" si="113"/>
        <v>1602030</v>
      </c>
      <c r="AB280" s="17">
        <f t="shared" si="114"/>
        <v>1311.7069999997877</v>
      </c>
      <c r="AC280" s="101"/>
      <c r="AD280" s="555">
        <f t="shared" si="104"/>
        <v>95140100</v>
      </c>
      <c r="AE280" s="632">
        <f t="shared" si="105"/>
        <v>34142.01700002209</v>
      </c>
    </row>
    <row r="281" spans="1:31" outlineLevel="1">
      <c r="A281" s="114">
        <v>43368</v>
      </c>
      <c r="B281" s="115">
        <f t="shared" si="103"/>
        <v>9</v>
      </c>
      <c r="C281" s="35">
        <v>36105972</v>
      </c>
      <c r="D281" s="36">
        <v>12387.63100001149</v>
      </c>
      <c r="E281" s="43">
        <v>16582262</v>
      </c>
      <c r="F281" s="44">
        <v>5262.4030000001176</v>
      </c>
      <c r="G281" s="51">
        <v>39936849</v>
      </c>
      <c r="H281" s="52">
        <v>15214.233000010301</v>
      </c>
      <c r="I281" s="58">
        <v>4298573</v>
      </c>
      <c r="J281" s="17">
        <v>1608.8849999997933</v>
      </c>
      <c r="K281" s="101"/>
      <c r="L281" s="35">
        <v>32727763</v>
      </c>
      <c r="M281" s="36">
        <v>6686.4890000049927</v>
      </c>
      <c r="N281" s="43">
        <v>13406995</v>
      </c>
      <c r="O281" s="44">
        <v>3585.4080000003037</v>
      </c>
      <c r="P281" s="51">
        <v>30931018</v>
      </c>
      <c r="Q281" s="52">
        <v>6870.6280000048846</v>
      </c>
      <c r="R281" s="58">
        <v>2718785</v>
      </c>
      <c r="S281" s="17">
        <v>254.8330000000027</v>
      </c>
      <c r="T281" s="101"/>
      <c r="U281" s="35">
        <f t="shared" si="107"/>
        <v>3378209</v>
      </c>
      <c r="V281" s="36">
        <f t="shared" si="108"/>
        <v>5701.1420000064973</v>
      </c>
      <c r="W281" s="43">
        <f t="shared" si="109"/>
        <v>3175267</v>
      </c>
      <c r="X281" s="44">
        <f t="shared" si="110"/>
        <v>1676.9949999998139</v>
      </c>
      <c r="Y281" s="51">
        <f t="shared" si="111"/>
        <v>9005831</v>
      </c>
      <c r="Z281" s="52">
        <f t="shared" si="112"/>
        <v>8343.6050000054165</v>
      </c>
      <c r="AA281" s="58">
        <f t="shared" si="113"/>
        <v>1579788</v>
      </c>
      <c r="AB281" s="17">
        <f t="shared" si="114"/>
        <v>1354.0519999997905</v>
      </c>
      <c r="AC281" s="101"/>
      <c r="AD281" s="555">
        <f t="shared" si="104"/>
        <v>96923656</v>
      </c>
      <c r="AE281" s="632">
        <f t="shared" si="105"/>
        <v>34473.152000021699</v>
      </c>
    </row>
    <row r="282" spans="1:31" outlineLevel="1">
      <c r="A282" s="114">
        <v>43369</v>
      </c>
      <c r="B282" s="115">
        <f t="shared" si="103"/>
        <v>9</v>
      </c>
      <c r="C282" s="35">
        <v>36422311</v>
      </c>
      <c r="D282" s="36">
        <v>12508.912000011998</v>
      </c>
      <c r="E282" s="43">
        <v>17118998</v>
      </c>
      <c r="F282" s="44">
        <v>4747.736000000149</v>
      </c>
      <c r="G282" s="51">
        <v>43082554</v>
      </c>
      <c r="H282" s="52">
        <v>16788.151000020443</v>
      </c>
      <c r="I282" s="58">
        <v>4597004</v>
      </c>
      <c r="J282" s="17">
        <v>1789.5179999997672</v>
      </c>
      <c r="K282" s="101"/>
      <c r="L282" s="35">
        <v>33152587</v>
      </c>
      <c r="M282" s="36">
        <v>6654.1640000052139</v>
      </c>
      <c r="N282" s="43">
        <v>14465102</v>
      </c>
      <c r="O282" s="44">
        <v>3272.3140000003173</v>
      </c>
      <c r="P282" s="51">
        <v>31868679</v>
      </c>
      <c r="Q282" s="52">
        <v>6906.6160000051204</v>
      </c>
      <c r="R282" s="58">
        <v>2958079</v>
      </c>
      <c r="S282" s="17">
        <v>269.8869999999755</v>
      </c>
      <c r="T282" s="101"/>
      <c r="U282" s="35">
        <f t="shared" si="107"/>
        <v>3269724</v>
      </c>
      <c r="V282" s="36">
        <f t="shared" si="108"/>
        <v>5854.7480000067844</v>
      </c>
      <c r="W282" s="43">
        <f t="shared" si="109"/>
        <v>2653896</v>
      </c>
      <c r="X282" s="44">
        <f t="shared" si="110"/>
        <v>1475.4219999998318</v>
      </c>
      <c r="Y282" s="51">
        <f t="shared" si="111"/>
        <v>11213875</v>
      </c>
      <c r="Z282" s="52">
        <f t="shared" si="112"/>
        <v>9881.535000015323</v>
      </c>
      <c r="AA282" s="58">
        <f t="shared" si="113"/>
        <v>1638925</v>
      </c>
      <c r="AB282" s="17">
        <f t="shared" si="114"/>
        <v>1519.6309999997916</v>
      </c>
      <c r="AC282" s="101"/>
      <c r="AD282" s="555">
        <f t="shared" si="104"/>
        <v>101220867</v>
      </c>
      <c r="AE282" s="632">
        <f t="shared" si="105"/>
        <v>35834.317000032359</v>
      </c>
    </row>
    <row r="283" spans="1:31" outlineLevel="1">
      <c r="A283" s="114">
        <v>43370</v>
      </c>
      <c r="B283" s="115">
        <f t="shared" si="103"/>
        <v>9</v>
      </c>
      <c r="C283" s="35">
        <v>37916828</v>
      </c>
      <c r="D283" s="36">
        <v>14156.238000012338</v>
      </c>
      <c r="E283" s="43">
        <v>17507017</v>
      </c>
      <c r="F283" s="44">
        <v>5249.9820000001455</v>
      </c>
      <c r="G283" s="51">
        <v>47674512</v>
      </c>
      <c r="H283" s="52">
        <v>20688.552000024956</v>
      </c>
      <c r="I283" s="58">
        <v>4963623</v>
      </c>
      <c r="J283" s="17">
        <v>1753.7829999997546</v>
      </c>
      <c r="K283" s="101"/>
      <c r="L283" s="35">
        <v>34606596</v>
      </c>
      <c r="M283" s="36">
        <v>8072.6330000053385</v>
      </c>
      <c r="N283" s="43">
        <v>15243917</v>
      </c>
      <c r="O283" s="44">
        <v>3981.0710000003251</v>
      </c>
      <c r="P283" s="51">
        <v>32527093</v>
      </c>
      <c r="Q283" s="52">
        <v>8812.9230000092994</v>
      </c>
      <c r="R283" s="58">
        <v>3236472</v>
      </c>
      <c r="S283" s="17">
        <v>300.76699999997027</v>
      </c>
      <c r="T283" s="101"/>
      <c r="U283" s="35">
        <f t="shared" si="107"/>
        <v>3310232</v>
      </c>
      <c r="V283" s="36">
        <f t="shared" si="108"/>
        <v>6083.605000006999</v>
      </c>
      <c r="W283" s="43">
        <f t="shared" si="109"/>
        <v>2263100</v>
      </c>
      <c r="X283" s="44">
        <f t="shared" si="110"/>
        <v>1268.9109999998204</v>
      </c>
      <c r="Y283" s="51">
        <f t="shared" si="111"/>
        <v>15147419</v>
      </c>
      <c r="Z283" s="52">
        <f t="shared" si="112"/>
        <v>11875.629000015657</v>
      </c>
      <c r="AA283" s="58">
        <f t="shared" si="113"/>
        <v>1727151</v>
      </c>
      <c r="AB283" s="17">
        <f t="shared" si="114"/>
        <v>1453.0159999997843</v>
      </c>
      <c r="AC283" s="101"/>
      <c r="AD283" s="555">
        <f t="shared" si="104"/>
        <v>108061980</v>
      </c>
      <c r="AE283" s="632">
        <f t="shared" si="105"/>
        <v>41848.555000037195</v>
      </c>
    </row>
    <row r="284" spans="1:31" outlineLevel="1">
      <c r="A284" s="114">
        <v>43371</v>
      </c>
      <c r="B284" s="115">
        <f t="shared" si="103"/>
        <v>9</v>
      </c>
      <c r="C284" s="35">
        <v>40876657</v>
      </c>
      <c r="D284" s="36">
        <v>15098.938000016335</v>
      </c>
      <c r="E284" s="43">
        <v>20459853</v>
      </c>
      <c r="F284" s="44">
        <v>7009.2200000003977</v>
      </c>
      <c r="G284" s="51">
        <v>47588976</v>
      </c>
      <c r="H284" s="52">
        <v>21014.990000025016</v>
      </c>
      <c r="I284" s="58">
        <v>5071857</v>
      </c>
      <c r="J284" s="17">
        <v>1892.5369999997504</v>
      </c>
      <c r="K284" s="101"/>
      <c r="L284" s="35">
        <v>37168870</v>
      </c>
      <c r="M284" s="36">
        <v>8835.0940000091323</v>
      </c>
      <c r="N284" s="43">
        <v>18095460</v>
      </c>
      <c r="O284" s="44">
        <v>5741.9230000005864</v>
      </c>
      <c r="P284" s="51">
        <v>32981868</v>
      </c>
      <c r="Q284" s="52">
        <v>9962.4120000094645</v>
      </c>
      <c r="R284" s="58">
        <v>3268510</v>
      </c>
      <c r="S284" s="17">
        <v>376.81999999997265</v>
      </c>
      <c r="T284" s="101"/>
      <c r="U284" s="35">
        <f t="shared" si="107"/>
        <v>3707787</v>
      </c>
      <c r="V284" s="36">
        <f t="shared" si="108"/>
        <v>6263.8440000072023</v>
      </c>
      <c r="W284" s="43">
        <f t="shared" si="109"/>
        <v>2364393</v>
      </c>
      <c r="X284" s="44">
        <f t="shared" si="110"/>
        <v>1267.2969999998113</v>
      </c>
      <c r="Y284" s="51">
        <f t="shared" si="111"/>
        <v>14607108</v>
      </c>
      <c r="Z284" s="52">
        <f t="shared" si="112"/>
        <v>11052.578000015552</v>
      </c>
      <c r="AA284" s="58">
        <f t="shared" si="113"/>
        <v>1803347</v>
      </c>
      <c r="AB284" s="17">
        <f t="shared" si="114"/>
        <v>1515.7169999997777</v>
      </c>
      <c r="AC284" s="101"/>
      <c r="AD284" s="555">
        <f t="shared" si="104"/>
        <v>113997343</v>
      </c>
      <c r="AE284" s="632">
        <f t="shared" si="105"/>
        <v>45015.6850000415</v>
      </c>
    </row>
    <row r="285" spans="1:31" outlineLevel="1">
      <c r="A285" s="114">
        <v>43372</v>
      </c>
      <c r="B285" s="115">
        <f t="shared" si="103"/>
        <v>9</v>
      </c>
      <c r="C285" s="35">
        <v>44289368</v>
      </c>
      <c r="D285" s="36">
        <v>14346.749000016582</v>
      </c>
      <c r="E285" s="43">
        <v>21705173</v>
      </c>
      <c r="F285" s="44">
        <v>6452.5200000003915</v>
      </c>
      <c r="G285" s="51">
        <v>50322491</v>
      </c>
      <c r="H285" s="52">
        <v>20283.460000024585</v>
      </c>
      <c r="I285" s="58">
        <v>5559043</v>
      </c>
      <c r="J285" s="17">
        <v>1671.5789999997428</v>
      </c>
      <c r="K285" s="101"/>
      <c r="L285" s="35">
        <v>40375509</v>
      </c>
      <c r="M285" s="36">
        <v>8566.7590000091659</v>
      </c>
      <c r="N285" s="43">
        <v>19295667</v>
      </c>
      <c r="O285" s="44">
        <v>5309.6830000005484</v>
      </c>
      <c r="P285" s="51">
        <v>35962813</v>
      </c>
      <c r="Q285" s="52">
        <v>10316.447000009401</v>
      </c>
      <c r="R285" s="58">
        <v>3659855</v>
      </c>
      <c r="S285" s="17">
        <v>358.87899999996756</v>
      </c>
      <c r="T285" s="101"/>
      <c r="U285" s="35">
        <f t="shared" si="107"/>
        <v>3913859</v>
      </c>
      <c r="V285" s="36">
        <f t="shared" si="108"/>
        <v>5779.9900000074158</v>
      </c>
      <c r="W285" s="43">
        <f t="shared" si="109"/>
        <v>2409506</v>
      </c>
      <c r="X285" s="44">
        <f t="shared" si="110"/>
        <v>1142.8369999998431</v>
      </c>
      <c r="Y285" s="51">
        <f t="shared" si="111"/>
        <v>14359678</v>
      </c>
      <c r="Z285" s="52">
        <f t="shared" si="112"/>
        <v>9967.0130000151839</v>
      </c>
      <c r="AA285" s="58">
        <f t="shared" si="113"/>
        <v>1899188</v>
      </c>
      <c r="AB285" s="17">
        <f t="shared" si="114"/>
        <v>1312.6999999997752</v>
      </c>
      <c r="AC285" s="101"/>
      <c r="AD285" s="555">
        <f t="shared" si="104"/>
        <v>121876075</v>
      </c>
      <c r="AE285" s="632">
        <f t="shared" si="105"/>
        <v>42754.308000041303</v>
      </c>
    </row>
    <row r="286" spans="1:31" outlineLevel="1">
      <c r="A286" s="114">
        <v>43373</v>
      </c>
      <c r="B286" s="115">
        <f t="shared" si="103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>
        <f t="shared" si="107"/>
        <v>0</v>
      </c>
      <c r="V286" s="36">
        <f t="shared" si="108"/>
        <v>0</v>
      </c>
      <c r="W286" s="43">
        <f t="shared" si="109"/>
        <v>0</v>
      </c>
      <c r="X286" s="44">
        <f t="shared" si="110"/>
        <v>0</v>
      </c>
      <c r="Y286" s="51">
        <f t="shared" si="111"/>
        <v>0</v>
      </c>
      <c r="Z286" s="52">
        <f t="shared" si="112"/>
        <v>0</v>
      </c>
      <c r="AA286" s="58">
        <f t="shared" si="113"/>
        <v>0</v>
      </c>
      <c r="AB286" s="17">
        <f t="shared" si="114"/>
        <v>0</v>
      </c>
      <c r="AC286" s="101"/>
      <c r="AD286" s="555">
        <f t="shared" si="104"/>
        <v>0</v>
      </c>
      <c r="AE286" s="632">
        <f t="shared" si="105"/>
        <v>0</v>
      </c>
    </row>
    <row r="287" spans="1:31">
      <c r="A287" s="104"/>
      <c r="B287" s="104" t="s">
        <v>23</v>
      </c>
      <c r="C287" s="105">
        <f>SUBTOTAL(9,C288:C318)</f>
        <v>0</v>
      </c>
      <c r="D287" s="106">
        <f t="shared" ref="D287:AB287" si="115">SUBTOTAL(9,D288:D318)</f>
        <v>0</v>
      </c>
      <c r="E287" s="107">
        <f t="shared" si="115"/>
        <v>0</v>
      </c>
      <c r="F287" s="108">
        <f t="shared" si="115"/>
        <v>0</v>
      </c>
      <c r="G287" s="109">
        <f t="shared" si="115"/>
        <v>0</v>
      </c>
      <c r="H287" s="110">
        <f t="shared" si="115"/>
        <v>0</v>
      </c>
      <c r="I287" s="111">
        <f t="shared" si="115"/>
        <v>0</v>
      </c>
      <c r="J287" s="14">
        <f t="shared" si="115"/>
        <v>0</v>
      </c>
      <c r="K287" s="103"/>
      <c r="L287" s="105">
        <f t="shared" si="115"/>
        <v>0</v>
      </c>
      <c r="M287" s="106">
        <f t="shared" si="115"/>
        <v>0</v>
      </c>
      <c r="N287" s="107">
        <f t="shared" si="115"/>
        <v>0</v>
      </c>
      <c r="O287" s="108">
        <f t="shared" si="115"/>
        <v>0</v>
      </c>
      <c r="P287" s="109">
        <f t="shared" si="115"/>
        <v>0</v>
      </c>
      <c r="Q287" s="110">
        <f t="shared" si="115"/>
        <v>0</v>
      </c>
      <c r="R287" s="111">
        <f t="shared" si="115"/>
        <v>0</v>
      </c>
      <c r="S287" s="14">
        <f t="shared" si="115"/>
        <v>0</v>
      </c>
      <c r="T287" s="103"/>
      <c r="U287" s="105">
        <f t="shared" si="115"/>
        <v>0</v>
      </c>
      <c r="V287" s="106">
        <f t="shared" si="115"/>
        <v>0</v>
      </c>
      <c r="W287" s="107">
        <f t="shared" si="115"/>
        <v>0</v>
      </c>
      <c r="X287" s="108">
        <f t="shared" si="115"/>
        <v>0</v>
      </c>
      <c r="Y287" s="109">
        <f t="shared" si="115"/>
        <v>0</v>
      </c>
      <c r="Z287" s="110">
        <f t="shared" si="115"/>
        <v>0</v>
      </c>
      <c r="AA287" s="111">
        <f t="shared" si="115"/>
        <v>0</v>
      </c>
      <c r="AB287" s="14">
        <f t="shared" si="115"/>
        <v>0</v>
      </c>
      <c r="AC287" s="103"/>
      <c r="AD287" s="555"/>
      <c r="AE287" s="632"/>
    </row>
    <row r="288" spans="1:31" hidden="1" outlineLevel="1">
      <c r="A288" s="97">
        <v>43374</v>
      </c>
      <c r="B288" s="98">
        <f t="shared" si="103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>
        <f t="shared" si="107"/>
        <v>0</v>
      </c>
      <c r="V288" s="36">
        <f t="shared" si="108"/>
        <v>0</v>
      </c>
      <c r="W288" s="43">
        <f t="shared" si="109"/>
        <v>0</v>
      </c>
      <c r="X288" s="44">
        <f t="shared" si="110"/>
        <v>0</v>
      </c>
      <c r="Y288" s="51">
        <f t="shared" si="111"/>
        <v>0</v>
      </c>
      <c r="Z288" s="52">
        <f t="shared" si="112"/>
        <v>0</v>
      </c>
      <c r="AA288" s="58">
        <f t="shared" si="113"/>
        <v>0</v>
      </c>
      <c r="AB288" s="17">
        <f t="shared" si="114"/>
        <v>0</v>
      </c>
      <c r="AC288" s="101"/>
      <c r="AD288" s="555">
        <f t="shared" si="104"/>
        <v>0</v>
      </c>
      <c r="AE288" s="632">
        <f t="shared" si="105"/>
        <v>0</v>
      </c>
    </row>
    <row r="289" spans="1:31" hidden="1" outlineLevel="1">
      <c r="A289" s="97">
        <v>43375</v>
      </c>
      <c r="B289" s="98">
        <f t="shared" si="103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>
        <f t="shared" si="107"/>
        <v>0</v>
      </c>
      <c r="V289" s="36">
        <f t="shared" si="108"/>
        <v>0</v>
      </c>
      <c r="W289" s="43">
        <f t="shared" si="109"/>
        <v>0</v>
      </c>
      <c r="X289" s="44">
        <f t="shared" si="110"/>
        <v>0</v>
      </c>
      <c r="Y289" s="51">
        <f t="shared" si="111"/>
        <v>0</v>
      </c>
      <c r="Z289" s="52">
        <f t="shared" si="112"/>
        <v>0</v>
      </c>
      <c r="AA289" s="58">
        <f t="shared" si="113"/>
        <v>0</v>
      </c>
      <c r="AB289" s="17">
        <f t="shared" si="114"/>
        <v>0</v>
      </c>
      <c r="AC289" s="101"/>
      <c r="AD289" s="555">
        <f t="shared" si="104"/>
        <v>0</v>
      </c>
      <c r="AE289" s="632">
        <f t="shared" si="105"/>
        <v>0</v>
      </c>
    </row>
    <row r="290" spans="1:31" hidden="1" outlineLevel="1">
      <c r="A290" s="97">
        <v>43376</v>
      </c>
      <c r="B290" s="98">
        <f t="shared" si="103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>
        <f t="shared" si="107"/>
        <v>0</v>
      </c>
      <c r="V290" s="36">
        <f t="shared" si="108"/>
        <v>0</v>
      </c>
      <c r="W290" s="43">
        <f t="shared" si="109"/>
        <v>0</v>
      </c>
      <c r="X290" s="44">
        <f t="shared" si="110"/>
        <v>0</v>
      </c>
      <c r="Y290" s="51">
        <f t="shared" si="111"/>
        <v>0</v>
      </c>
      <c r="Z290" s="52">
        <f t="shared" si="112"/>
        <v>0</v>
      </c>
      <c r="AA290" s="58">
        <f t="shared" si="113"/>
        <v>0</v>
      </c>
      <c r="AB290" s="17">
        <f t="shared" si="114"/>
        <v>0</v>
      </c>
      <c r="AC290" s="101"/>
      <c r="AD290" s="555">
        <f t="shared" ref="AD290:AD349" si="116">SUM(C290,E290,G290,I290)</f>
        <v>0</v>
      </c>
      <c r="AE290" s="632">
        <f t="shared" ref="AE290:AE349" si="117">SUM(D290,F290,H290,J290)</f>
        <v>0</v>
      </c>
    </row>
    <row r="291" spans="1:31" hidden="1" outlineLevel="1">
      <c r="A291" s="97">
        <v>43377</v>
      </c>
      <c r="B291" s="98">
        <f t="shared" si="103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>
        <f t="shared" si="107"/>
        <v>0</v>
      </c>
      <c r="V291" s="36">
        <f t="shared" si="108"/>
        <v>0</v>
      </c>
      <c r="W291" s="43">
        <f t="shared" si="109"/>
        <v>0</v>
      </c>
      <c r="X291" s="44">
        <f t="shared" si="110"/>
        <v>0</v>
      </c>
      <c r="Y291" s="51">
        <f t="shared" si="111"/>
        <v>0</v>
      </c>
      <c r="Z291" s="52">
        <f t="shared" si="112"/>
        <v>0</v>
      </c>
      <c r="AA291" s="58">
        <f t="shared" si="113"/>
        <v>0</v>
      </c>
      <c r="AB291" s="17">
        <f t="shared" si="114"/>
        <v>0</v>
      </c>
      <c r="AC291" s="101"/>
      <c r="AD291" s="555">
        <f t="shared" si="116"/>
        <v>0</v>
      </c>
      <c r="AE291" s="632">
        <f t="shared" si="117"/>
        <v>0</v>
      </c>
    </row>
    <row r="292" spans="1:31" hidden="1" outlineLevel="1">
      <c r="A292" s="97">
        <v>43378</v>
      </c>
      <c r="B292" s="98">
        <f t="shared" ref="B292:B357" si="118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>
        <f t="shared" si="107"/>
        <v>0</v>
      </c>
      <c r="V292" s="36">
        <f t="shared" si="108"/>
        <v>0</v>
      </c>
      <c r="W292" s="43">
        <f t="shared" si="109"/>
        <v>0</v>
      </c>
      <c r="X292" s="44">
        <f t="shared" si="110"/>
        <v>0</v>
      </c>
      <c r="Y292" s="51">
        <f t="shared" si="111"/>
        <v>0</v>
      </c>
      <c r="Z292" s="52">
        <f t="shared" si="112"/>
        <v>0</v>
      </c>
      <c r="AA292" s="58">
        <f t="shared" si="113"/>
        <v>0</v>
      </c>
      <c r="AB292" s="17">
        <f t="shared" si="114"/>
        <v>0</v>
      </c>
      <c r="AC292" s="101"/>
      <c r="AD292" s="555">
        <f t="shared" si="116"/>
        <v>0</v>
      </c>
      <c r="AE292" s="632">
        <f t="shared" si="117"/>
        <v>0</v>
      </c>
    </row>
    <row r="293" spans="1:31" hidden="1" outlineLevel="1">
      <c r="A293" s="97">
        <v>43379</v>
      </c>
      <c r="B293" s="98">
        <f t="shared" si="118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>
        <f t="shared" si="107"/>
        <v>0</v>
      </c>
      <c r="V293" s="36">
        <f t="shared" si="108"/>
        <v>0</v>
      </c>
      <c r="W293" s="43">
        <f t="shared" si="109"/>
        <v>0</v>
      </c>
      <c r="X293" s="44">
        <f t="shared" si="110"/>
        <v>0</v>
      </c>
      <c r="Y293" s="51">
        <f t="shared" si="111"/>
        <v>0</v>
      </c>
      <c r="Z293" s="52">
        <f t="shared" si="112"/>
        <v>0</v>
      </c>
      <c r="AA293" s="58">
        <f t="shared" si="113"/>
        <v>0</v>
      </c>
      <c r="AB293" s="17">
        <f t="shared" si="114"/>
        <v>0</v>
      </c>
      <c r="AC293" s="101"/>
      <c r="AD293" s="555">
        <f t="shared" si="116"/>
        <v>0</v>
      </c>
      <c r="AE293" s="632">
        <f t="shared" si="117"/>
        <v>0</v>
      </c>
    </row>
    <row r="294" spans="1:31" hidden="1" outlineLevel="1">
      <c r="A294" s="97">
        <v>43380</v>
      </c>
      <c r="B294" s="98">
        <f t="shared" si="118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>
        <f t="shared" si="107"/>
        <v>0</v>
      </c>
      <c r="V294" s="36">
        <f t="shared" si="108"/>
        <v>0</v>
      </c>
      <c r="W294" s="43">
        <f t="shared" si="109"/>
        <v>0</v>
      </c>
      <c r="X294" s="44">
        <f t="shared" si="110"/>
        <v>0</v>
      </c>
      <c r="Y294" s="51">
        <f t="shared" si="111"/>
        <v>0</v>
      </c>
      <c r="Z294" s="52">
        <f t="shared" si="112"/>
        <v>0</v>
      </c>
      <c r="AA294" s="58">
        <f t="shared" si="113"/>
        <v>0</v>
      </c>
      <c r="AB294" s="17">
        <f t="shared" si="114"/>
        <v>0</v>
      </c>
      <c r="AC294" s="101"/>
      <c r="AD294" s="555">
        <f t="shared" si="116"/>
        <v>0</v>
      </c>
      <c r="AE294" s="632">
        <f t="shared" si="117"/>
        <v>0</v>
      </c>
    </row>
    <row r="295" spans="1:31" hidden="1" outlineLevel="1">
      <c r="A295" s="97">
        <v>43381</v>
      </c>
      <c r="B295" s="98">
        <f t="shared" si="118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>
        <f t="shared" si="107"/>
        <v>0</v>
      </c>
      <c r="V295" s="36">
        <f t="shared" si="108"/>
        <v>0</v>
      </c>
      <c r="W295" s="43">
        <f t="shared" si="109"/>
        <v>0</v>
      </c>
      <c r="X295" s="44">
        <f t="shared" si="110"/>
        <v>0</v>
      </c>
      <c r="Y295" s="51">
        <f t="shared" si="111"/>
        <v>0</v>
      </c>
      <c r="Z295" s="52">
        <f t="shared" si="112"/>
        <v>0</v>
      </c>
      <c r="AA295" s="58">
        <f t="shared" si="113"/>
        <v>0</v>
      </c>
      <c r="AB295" s="17">
        <f t="shared" si="114"/>
        <v>0</v>
      </c>
      <c r="AC295" s="101"/>
      <c r="AD295" s="555">
        <f t="shared" si="116"/>
        <v>0</v>
      </c>
      <c r="AE295" s="632">
        <f t="shared" si="117"/>
        <v>0</v>
      </c>
    </row>
    <row r="296" spans="1:31" hidden="1" outlineLevel="1">
      <c r="A296" s="97">
        <v>43382</v>
      </c>
      <c r="B296" s="98">
        <f t="shared" si="118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>
        <f t="shared" si="107"/>
        <v>0</v>
      </c>
      <c r="V296" s="36">
        <f t="shared" si="108"/>
        <v>0</v>
      </c>
      <c r="W296" s="43">
        <f t="shared" si="109"/>
        <v>0</v>
      </c>
      <c r="X296" s="44">
        <f t="shared" si="110"/>
        <v>0</v>
      </c>
      <c r="Y296" s="51">
        <f t="shared" si="111"/>
        <v>0</v>
      </c>
      <c r="Z296" s="52">
        <f t="shared" si="112"/>
        <v>0</v>
      </c>
      <c r="AA296" s="58">
        <f t="shared" si="113"/>
        <v>0</v>
      </c>
      <c r="AB296" s="17">
        <f t="shared" si="114"/>
        <v>0</v>
      </c>
      <c r="AC296" s="101"/>
      <c r="AD296" s="555">
        <f t="shared" si="116"/>
        <v>0</v>
      </c>
      <c r="AE296" s="632">
        <f t="shared" si="117"/>
        <v>0</v>
      </c>
    </row>
    <row r="297" spans="1:31" hidden="1" outlineLevel="1">
      <c r="A297" s="97">
        <v>43383</v>
      </c>
      <c r="B297" s="98">
        <f t="shared" si="118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>
        <f t="shared" si="107"/>
        <v>0</v>
      </c>
      <c r="V297" s="36">
        <f t="shared" si="108"/>
        <v>0</v>
      </c>
      <c r="W297" s="43">
        <f t="shared" si="109"/>
        <v>0</v>
      </c>
      <c r="X297" s="44">
        <f t="shared" si="110"/>
        <v>0</v>
      </c>
      <c r="Y297" s="51">
        <f t="shared" si="111"/>
        <v>0</v>
      </c>
      <c r="Z297" s="52">
        <f t="shared" si="112"/>
        <v>0</v>
      </c>
      <c r="AA297" s="58">
        <f t="shared" si="113"/>
        <v>0</v>
      </c>
      <c r="AB297" s="17">
        <f t="shared" si="114"/>
        <v>0</v>
      </c>
      <c r="AC297" s="101"/>
      <c r="AD297" s="555">
        <f t="shared" si="116"/>
        <v>0</v>
      </c>
      <c r="AE297" s="632">
        <f t="shared" si="117"/>
        <v>0</v>
      </c>
    </row>
    <row r="298" spans="1:31" hidden="1" outlineLevel="1">
      <c r="A298" s="97">
        <v>43384</v>
      </c>
      <c r="B298" s="98">
        <f t="shared" si="118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>
        <f t="shared" si="107"/>
        <v>0</v>
      </c>
      <c r="V298" s="36">
        <f t="shared" si="108"/>
        <v>0</v>
      </c>
      <c r="W298" s="43">
        <f t="shared" si="109"/>
        <v>0</v>
      </c>
      <c r="X298" s="44">
        <f t="shared" si="110"/>
        <v>0</v>
      </c>
      <c r="Y298" s="51">
        <f t="shared" si="111"/>
        <v>0</v>
      </c>
      <c r="Z298" s="52">
        <f t="shared" si="112"/>
        <v>0</v>
      </c>
      <c r="AA298" s="58">
        <f t="shared" si="113"/>
        <v>0</v>
      </c>
      <c r="AB298" s="17">
        <f t="shared" si="114"/>
        <v>0</v>
      </c>
      <c r="AC298" s="101"/>
      <c r="AD298" s="555">
        <f t="shared" si="116"/>
        <v>0</v>
      </c>
      <c r="AE298" s="632">
        <f t="shared" si="117"/>
        <v>0</v>
      </c>
    </row>
    <row r="299" spans="1:31" hidden="1" outlineLevel="1">
      <c r="A299" s="97">
        <v>43385</v>
      </c>
      <c r="B299" s="98">
        <f t="shared" si="118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>
        <f t="shared" si="107"/>
        <v>0</v>
      </c>
      <c r="V299" s="36">
        <f t="shared" si="108"/>
        <v>0</v>
      </c>
      <c r="W299" s="43">
        <f t="shared" si="109"/>
        <v>0</v>
      </c>
      <c r="X299" s="44">
        <f t="shared" si="110"/>
        <v>0</v>
      </c>
      <c r="Y299" s="51">
        <f t="shared" si="111"/>
        <v>0</v>
      </c>
      <c r="Z299" s="52">
        <f t="shared" si="112"/>
        <v>0</v>
      </c>
      <c r="AA299" s="58">
        <f t="shared" si="113"/>
        <v>0</v>
      </c>
      <c r="AB299" s="17">
        <f t="shared" si="114"/>
        <v>0</v>
      </c>
      <c r="AC299" s="101"/>
      <c r="AD299" s="555">
        <f t="shared" si="116"/>
        <v>0</v>
      </c>
      <c r="AE299" s="632">
        <f t="shared" si="117"/>
        <v>0</v>
      </c>
    </row>
    <row r="300" spans="1:31" hidden="1" outlineLevel="1">
      <c r="A300" s="97">
        <v>43386</v>
      </c>
      <c r="B300" s="98">
        <f t="shared" si="118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>
        <f t="shared" si="107"/>
        <v>0</v>
      </c>
      <c r="V300" s="36">
        <f t="shared" si="108"/>
        <v>0</v>
      </c>
      <c r="W300" s="43">
        <f t="shared" si="109"/>
        <v>0</v>
      </c>
      <c r="X300" s="44">
        <f t="shared" si="110"/>
        <v>0</v>
      </c>
      <c r="Y300" s="51">
        <f t="shared" si="111"/>
        <v>0</v>
      </c>
      <c r="Z300" s="52">
        <f t="shared" si="112"/>
        <v>0</v>
      </c>
      <c r="AA300" s="58">
        <f t="shared" si="113"/>
        <v>0</v>
      </c>
      <c r="AB300" s="17">
        <f t="shared" si="114"/>
        <v>0</v>
      </c>
      <c r="AC300" s="101"/>
      <c r="AD300" s="555">
        <f t="shared" si="116"/>
        <v>0</v>
      </c>
      <c r="AE300" s="632">
        <f t="shared" si="117"/>
        <v>0</v>
      </c>
    </row>
    <row r="301" spans="1:31" hidden="1" outlineLevel="1">
      <c r="A301" s="97">
        <v>43387</v>
      </c>
      <c r="B301" s="98">
        <f t="shared" si="118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>
        <f t="shared" si="107"/>
        <v>0</v>
      </c>
      <c r="V301" s="36">
        <f t="shared" si="108"/>
        <v>0</v>
      </c>
      <c r="W301" s="43">
        <f t="shared" si="109"/>
        <v>0</v>
      </c>
      <c r="X301" s="44">
        <f t="shared" si="110"/>
        <v>0</v>
      </c>
      <c r="Y301" s="51">
        <f t="shared" si="111"/>
        <v>0</v>
      </c>
      <c r="Z301" s="52">
        <f t="shared" si="112"/>
        <v>0</v>
      </c>
      <c r="AA301" s="58">
        <f t="shared" si="113"/>
        <v>0</v>
      </c>
      <c r="AB301" s="17">
        <f t="shared" si="114"/>
        <v>0</v>
      </c>
      <c r="AC301" s="101"/>
      <c r="AD301" s="555">
        <f t="shared" si="116"/>
        <v>0</v>
      </c>
      <c r="AE301" s="632">
        <f t="shared" si="117"/>
        <v>0</v>
      </c>
    </row>
    <row r="302" spans="1:31" hidden="1" outlineLevel="1">
      <c r="A302" s="97">
        <v>43388</v>
      </c>
      <c r="B302" s="98">
        <f t="shared" si="118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>
        <f t="shared" si="107"/>
        <v>0</v>
      </c>
      <c r="V302" s="36">
        <f t="shared" si="108"/>
        <v>0</v>
      </c>
      <c r="W302" s="43">
        <f t="shared" si="109"/>
        <v>0</v>
      </c>
      <c r="X302" s="44">
        <f t="shared" si="110"/>
        <v>0</v>
      </c>
      <c r="Y302" s="51">
        <f t="shared" si="111"/>
        <v>0</v>
      </c>
      <c r="Z302" s="52">
        <f t="shared" si="112"/>
        <v>0</v>
      </c>
      <c r="AA302" s="58">
        <f t="shared" si="113"/>
        <v>0</v>
      </c>
      <c r="AB302" s="17">
        <f t="shared" si="114"/>
        <v>0</v>
      </c>
      <c r="AC302" s="101"/>
      <c r="AD302" s="555">
        <f t="shared" si="116"/>
        <v>0</v>
      </c>
      <c r="AE302" s="632">
        <f t="shared" si="117"/>
        <v>0</v>
      </c>
    </row>
    <row r="303" spans="1:31" hidden="1" outlineLevel="1">
      <c r="A303" s="97">
        <v>43389</v>
      </c>
      <c r="B303" s="98">
        <f t="shared" si="118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>
        <f t="shared" si="107"/>
        <v>0</v>
      </c>
      <c r="V303" s="36">
        <f t="shared" si="108"/>
        <v>0</v>
      </c>
      <c r="W303" s="43">
        <f t="shared" si="109"/>
        <v>0</v>
      </c>
      <c r="X303" s="44">
        <f t="shared" si="110"/>
        <v>0</v>
      </c>
      <c r="Y303" s="51">
        <f t="shared" si="111"/>
        <v>0</v>
      </c>
      <c r="Z303" s="52">
        <f t="shared" si="112"/>
        <v>0</v>
      </c>
      <c r="AA303" s="58">
        <f t="shared" si="113"/>
        <v>0</v>
      </c>
      <c r="AB303" s="17">
        <f t="shared" si="114"/>
        <v>0</v>
      </c>
      <c r="AC303" s="101"/>
      <c r="AD303" s="555">
        <f t="shared" si="116"/>
        <v>0</v>
      </c>
      <c r="AE303" s="632">
        <f t="shared" si="117"/>
        <v>0</v>
      </c>
    </row>
    <row r="304" spans="1:31" hidden="1" outlineLevel="1">
      <c r="A304" s="97">
        <v>43390</v>
      </c>
      <c r="B304" s="98">
        <f t="shared" si="118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>
        <f t="shared" si="107"/>
        <v>0</v>
      </c>
      <c r="V304" s="36">
        <f t="shared" si="108"/>
        <v>0</v>
      </c>
      <c r="W304" s="43">
        <f t="shared" si="109"/>
        <v>0</v>
      </c>
      <c r="X304" s="44">
        <f t="shared" si="110"/>
        <v>0</v>
      </c>
      <c r="Y304" s="51">
        <f t="shared" si="111"/>
        <v>0</v>
      </c>
      <c r="Z304" s="52">
        <f t="shared" si="112"/>
        <v>0</v>
      </c>
      <c r="AA304" s="58">
        <f t="shared" si="113"/>
        <v>0</v>
      </c>
      <c r="AB304" s="17">
        <f t="shared" si="114"/>
        <v>0</v>
      </c>
      <c r="AC304" s="101"/>
      <c r="AD304" s="555">
        <f t="shared" si="116"/>
        <v>0</v>
      </c>
      <c r="AE304" s="632">
        <f t="shared" si="117"/>
        <v>0</v>
      </c>
    </row>
    <row r="305" spans="1:31" hidden="1" outlineLevel="1">
      <c r="A305" s="97">
        <v>43391</v>
      </c>
      <c r="B305" s="98">
        <f t="shared" si="118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>
        <f t="shared" si="107"/>
        <v>0</v>
      </c>
      <c r="V305" s="36">
        <f t="shared" si="108"/>
        <v>0</v>
      </c>
      <c r="W305" s="43">
        <f t="shared" si="109"/>
        <v>0</v>
      </c>
      <c r="X305" s="44">
        <f t="shared" si="110"/>
        <v>0</v>
      </c>
      <c r="Y305" s="51">
        <f t="shared" si="111"/>
        <v>0</v>
      </c>
      <c r="Z305" s="52">
        <f t="shared" si="112"/>
        <v>0</v>
      </c>
      <c r="AA305" s="58">
        <f t="shared" si="113"/>
        <v>0</v>
      </c>
      <c r="AB305" s="17">
        <f t="shared" si="114"/>
        <v>0</v>
      </c>
      <c r="AC305" s="101"/>
      <c r="AD305" s="555">
        <f t="shared" si="116"/>
        <v>0</v>
      </c>
      <c r="AE305" s="632">
        <f t="shared" si="117"/>
        <v>0</v>
      </c>
    </row>
    <row r="306" spans="1:31" hidden="1" outlineLevel="1">
      <c r="A306" s="97">
        <v>43392</v>
      </c>
      <c r="B306" s="98">
        <f t="shared" si="118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>
        <f t="shared" si="107"/>
        <v>0</v>
      </c>
      <c r="V306" s="36">
        <f t="shared" si="108"/>
        <v>0</v>
      </c>
      <c r="W306" s="43">
        <f t="shared" si="109"/>
        <v>0</v>
      </c>
      <c r="X306" s="44">
        <f t="shared" si="110"/>
        <v>0</v>
      </c>
      <c r="Y306" s="51">
        <f t="shared" si="111"/>
        <v>0</v>
      </c>
      <c r="Z306" s="52">
        <f t="shared" si="112"/>
        <v>0</v>
      </c>
      <c r="AA306" s="58">
        <f t="shared" si="113"/>
        <v>0</v>
      </c>
      <c r="AB306" s="17">
        <f t="shared" si="114"/>
        <v>0</v>
      </c>
      <c r="AC306" s="101"/>
      <c r="AD306" s="555">
        <f t="shared" si="116"/>
        <v>0</v>
      </c>
      <c r="AE306" s="632">
        <f t="shared" si="117"/>
        <v>0</v>
      </c>
    </row>
    <row r="307" spans="1:31" hidden="1" outlineLevel="1">
      <c r="A307" s="97">
        <v>43393</v>
      </c>
      <c r="B307" s="98">
        <f t="shared" si="118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>
        <f t="shared" si="107"/>
        <v>0</v>
      </c>
      <c r="V307" s="36">
        <f t="shared" si="108"/>
        <v>0</v>
      </c>
      <c r="W307" s="43">
        <f t="shared" si="109"/>
        <v>0</v>
      </c>
      <c r="X307" s="44">
        <f t="shared" si="110"/>
        <v>0</v>
      </c>
      <c r="Y307" s="51">
        <f t="shared" si="111"/>
        <v>0</v>
      </c>
      <c r="Z307" s="52">
        <f t="shared" si="112"/>
        <v>0</v>
      </c>
      <c r="AA307" s="58">
        <f t="shared" si="113"/>
        <v>0</v>
      </c>
      <c r="AB307" s="17">
        <f t="shared" si="114"/>
        <v>0</v>
      </c>
      <c r="AC307" s="101"/>
      <c r="AD307" s="555">
        <f t="shared" si="116"/>
        <v>0</v>
      </c>
      <c r="AE307" s="632">
        <f t="shared" si="117"/>
        <v>0</v>
      </c>
    </row>
    <row r="308" spans="1:31" hidden="1" outlineLevel="1">
      <c r="A308" s="97">
        <v>43394</v>
      </c>
      <c r="B308" s="98">
        <f t="shared" si="118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>
        <f t="shared" si="107"/>
        <v>0</v>
      </c>
      <c r="V308" s="36">
        <f t="shared" si="108"/>
        <v>0</v>
      </c>
      <c r="W308" s="43">
        <f t="shared" si="109"/>
        <v>0</v>
      </c>
      <c r="X308" s="44">
        <f t="shared" si="110"/>
        <v>0</v>
      </c>
      <c r="Y308" s="51">
        <f t="shared" si="111"/>
        <v>0</v>
      </c>
      <c r="Z308" s="52">
        <f t="shared" si="112"/>
        <v>0</v>
      </c>
      <c r="AA308" s="58">
        <f t="shared" si="113"/>
        <v>0</v>
      </c>
      <c r="AB308" s="17">
        <f t="shared" si="114"/>
        <v>0</v>
      </c>
      <c r="AC308" s="101"/>
      <c r="AD308" s="555">
        <f t="shared" si="116"/>
        <v>0</v>
      </c>
      <c r="AE308" s="632">
        <f t="shared" si="117"/>
        <v>0</v>
      </c>
    </row>
    <row r="309" spans="1:31" hidden="1" outlineLevel="1">
      <c r="A309" s="97">
        <v>43395</v>
      </c>
      <c r="B309" s="98">
        <f t="shared" si="118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>
        <f t="shared" si="107"/>
        <v>0</v>
      </c>
      <c r="V309" s="36">
        <f t="shared" si="108"/>
        <v>0</v>
      </c>
      <c r="W309" s="43">
        <f t="shared" si="109"/>
        <v>0</v>
      </c>
      <c r="X309" s="44">
        <f t="shared" si="110"/>
        <v>0</v>
      </c>
      <c r="Y309" s="51">
        <f t="shared" si="111"/>
        <v>0</v>
      </c>
      <c r="Z309" s="52">
        <f t="shared" si="112"/>
        <v>0</v>
      </c>
      <c r="AA309" s="58">
        <f t="shared" si="113"/>
        <v>0</v>
      </c>
      <c r="AB309" s="17">
        <f t="shared" si="114"/>
        <v>0</v>
      </c>
      <c r="AC309" s="101"/>
      <c r="AD309" s="555">
        <f t="shared" si="116"/>
        <v>0</v>
      </c>
      <c r="AE309" s="632">
        <f t="shared" si="117"/>
        <v>0</v>
      </c>
    </row>
    <row r="310" spans="1:31" hidden="1" outlineLevel="1">
      <c r="A310" s="97">
        <v>43396</v>
      </c>
      <c r="B310" s="98">
        <f t="shared" si="118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>
        <f t="shared" si="107"/>
        <v>0</v>
      </c>
      <c r="V310" s="36">
        <f t="shared" si="108"/>
        <v>0</v>
      </c>
      <c r="W310" s="43">
        <f t="shared" si="109"/>
        <v>0</v>
      </c>
      <c r="X310" s="44">
        <f t="shared" si="110"/>
        <v>0</v>
      </c>
      <c r="Y310" s="51">
        <f t="shared" si="111"/>
        <v>0</v>
      </c>
      <c r="Z310" s="52">
        <f t="shared" si="112"/>
        <v>0</v>
      </c>
      <c r="AA310" s="58">
        <f t="shared" si="113"/>
        <v>0</v>
      </c>
      <c r="AB310" s="17">
        <f t="shared" si="114"/>
        <v>0</v>
      </c>
      <c r="AC310" s="101"/>
      <c r="AD310" s="555">
        <f t="shared" si="116"/>
        <v>0</v>
      </c>
      <c r="AE310" s="632">
        <f t="shared" si="117"/>
        <v>0</v>
      </c>
    </row>
    <row r="311" spans="1:31" hidden="1" outlineLevel="1">
      <c r="A311" s="97">
        <v>43397</v>
      </c>
      <c r="B311" s="98">
        <f t="shared" si="118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>
        <f t="shared" si="107"/>
        <v>0</v>
      </c>
      <c r="V311" s="36">
        <f t="shared" si="108"/>
        <v>0</v>
      </c>
      <c r="W311" s="43">
        <f t="shared" si="109"/>
        <v>0</v>
      </c>
      <c r="X311" s="44">
        <f t="shared" si="110"/>
        <v>0</v>
      </c>
      <c r="Y311" s="51">
        <f t="shared" si="111"/>
        <v>0</v>
      </c>
      <c r="Z311" s="52">
        <f t="shared" si="112"/>
        <v>0</v>
      </c>
      <c r="AA311" s="58">
        <f t="shared" si="113"/>
        <v>0</v>
      </c>
      <c r="AB311" s="17">
        <f t="shared" si="114"/>
        <v>0</v>
      </c>
      <c r="AC311" s="101"/>
      <c r="AD311" s="555">
        <f t="shared" si="116"/>
        <v>0</v>
      </c>
      <c r="AE311" s="632">
        <f t="shared" si="117"/>
        <v>0</v>
      </c>
    </row>
    <row r="312" spans="1:31" hidden="1" outlineLevel="1">
      <c r="A312" s="97">
        <v>43398</v>
      </c>
      <c r="B312" s="98">
        <f t="shared" si="118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>
        <f t="shared" si="107"/>
        <v>0</v>
      </c>
      <c r="V312" s="36">
        <f t="shared" si="108"/>
        <v>0</v>
      </c>
      <c r="W312" s="43">
        <f t="shared" si="109"/>
        <v>0</v>
      </c>
      <c r="X312" s="44">
        <f t="shared" si="110"/>
        <v>0</v>
      </c>
      <c r="Y312" s="51">
        <f t="shared" si="111"/>
        <v>0</v>
      </c>
      <c r="Z312" s="52">
        <f t="shared" si="112"/>
        <v>0</v>
      </c>
      <c r="AA312" s="58">
        <f t="shared" si="113"/>
        <v>0</v>
      </c>
      <c r="AB312" s="17">
        <f t="shared" si="114"/>
        <v>0</v>
      </c>
      <c r="AC312" s="101"/>
      <c r="AD312" s="555">
        <f t="shared" si="116"/>
        <v>0</v>
      </c>
      <c r="AE312" s="632">
        <f t="shared" si="117"/>
        <v>0</v>
      </c>
    </row>
    <row r="313" spans="1:31" hidden="1" outlineLevel="1">
      <c r="A313" s="97">
        <v>43399</v>
      </c>
      <c r="B313" s="98">
        <f t="shared" si="118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>
        <f t="shared" si="107"/>
        <v>0</v>
      </c>
      <c r="V313" s="36">
        <f t="shared" si="108"/>
        <v>0</v>
      </c>
      <c r="W313" s="43">
        <f t="shared" si="109"/>
        <v>0</v>
      </c>
      <c r="X313" s="44">
        <f t="shared" si="110"/>
        <v>0</v>
      </c>
      <c r="Y313" s="51">
        <f t="shared" si="111"/>
        <v>0</v>
      </c>
      <c r="Z313" s="52">
        <f t="shared" si="112"/>
        <v>0</v>
      </c>
      <c r="AA313" s="58">
        <f t="shared" si="113"/>
        <v>0</v>
      </c>
      <c r="AB313" s="17">
        <f t="shared" si="114"/>
        <v>0</v>
      </c>
      <c r="AC313" s="101"/>
      <c r="AD313" s="555">
        <f t="shared" si="116"/>
        <v>0</v>
      </c>
      <c r="AE313" s="632">
        <f t="shared" si="117"/>
        <v>0</v>
      </c>
    </row>
    <row r="314" spans="1:31" hidden="1" outlineLevel="1">
      <c r="A314" s="97">
        <v>43400</v>
      </c>
      <c r="B314" s="98">
        <f t="shared" si="118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>
        <f t="shared" si="107"/>
        <v>0</v>
      </c>
      <c r="V314" s="36">
        <f t="shared" si="108"/>
        <v>0</v>
      </c>
      <c r="W314" s="43">
        <f t="shared" si="109"/>
        <v>0</v>
      </c>
      <c r="X314" s="44">
        <f t="shared" si="110"/>
        <v>0</v>
      </c>
      <c r="Y314" s="51">
        <f t="shared" si="111"/>
        <v>0</v>
      </c>
      <c r="Z314" s="52">
        <f t="shared" si="112"/>
        <v>0</v>
      </c>
      <c r="AA314" s="58">
        <f t="shared" si="113"/>
        <v>0</v>
      </c>
      <c r="AB314" s="17">
        <f t="shared" si="114"/>
        <v>0</v>
      </c>
      <c r="AC314" s="101"/>
      <c r="AD314" s="555">
        <f t="shared" si="116"/>
        <v>0</v>
      </c>
      <c r="AE314" s="632">
        <f t="shared" si="117"/>
        <v>0</v>
      </c>
    </row>
    <row r="315" spans="1:31" hidden="1" outlineLevel="1">
      <c r="A315" s="97">
        <v>43401</v>
      </c>
      <c r="B315" s="98">
        <f t="shared" si="118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>
        <f t="shared" si="107"/>
        <v>0</v>
      </c>
      <c r="V315" s="36">
        <f t="shared" si="108"/>
        <v>0</v>
      </c>
      <c r="W315" s="43">
        <f t="shared" si="109"/>
        <v>0</v>
      </c>
      <c r="X315" s="44">
        <f t="shared" si="110"/>
        <v>0</v>
      </c>
      <c r="Y315" s="51">
        <f t="shared" si="111"/>
        <v>0</v>
      </c>
      <c r="Z315" s="52">
        <f t="shared" si="112"/>
        <v>0</v>
      </c>
      <c r="AA315" s="58">
        <f t="shared" si="113"/>
        <v>0</v>
      </c>
      <c r="AB315" s="17">
        <f t="shared" si="114"/>
        <v>0</v>
      </c>
      <c r="AC315" s="101"/>
      <c r="AD315" s="555">
        <f t="shared" si="116"/>
        <v>0</v>
      </c>
      <c r="AE315" s="632">
        <f t="shared" si="117"/>
        <v>0</v>
      </c>
    </row>
    <row r="316" spans="1:31" hidden="1" outlineLevel="1">
      <c r="A316" s="97">
        <v>43402</v>
      </c>
      <c r="B316" s="98">
        <f t="shared" si="118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>
        <f t="shared" si="107"/>
        <v>0</v>
      </c>
      <c r="V316" s="36">
        <f t="shared" si="108"/>
        <v>0</v>
      </c>
      <c r="W316" s="43">
        <f t="shared" si="109"/>
        <v>0</v>
      </c>
      <c r="X316" s="44">
        <f t="shared" si="110"/>
        <v>0</v>
      </c>
      <c r="Y316" s="51">
        <f t="shared" si="111"/>
        <v>0</v>
      </c>
      <c r="Z316" s="52">
        <f t="shared" si="112"/>
        <v>0</v>
      </c>
      <c r="AA316" s="58">
        <f t="shared" si="113"/>
        <v>0</v>
      </c>
      <c r="AB316" s="17">
        <f t="shared" si="114"/>
        <v>0</v>
      </c>
      <c r="AC316" s="101"/>
      <c r="AD316" s="555">
        <f t="shared" si="116"/>
        <v>0</v>
      </c>
      <c r="AE316" s="632">
        <f t="shared" si="117"/>
        <v>0</v>
      </c>
    </row>
    <row r="317" spans="1:31" hidden="1" outlineLevel="1">
      <c r="A317" s="97">
        <v>43403</v>
      </c>
      <c r="B317" s="98">
        <f t="shared" si="118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>
        <f t="shared" si="107"/>
        <v>0</v>
      </c>
      <c r="V317" s="36">
        <f t="shared" si="108"/>
        <v>0</v>
      </c>
      <c r="W317" s="43">
        <f t="shared" si="109"/>
        <v>0</v>
      </c>
      <c r="X317" s="44">
        <f t="shared" si="110"/>
        <v>0</v>
      </c>
      <c r="Y317" s="51">
        <f t="shared" si="111"/>
        <v>0</v>
      </c>
      <c r="Z317" s="52">
        <f t="shared" si="112"/>
        <v>0</v>
      </c>
      <c r="AA317" s="58">
        <f t="shared" si="113"/>
        <v>0</v>
      </c>
      <c r="AB317" s="17">
        <f t="shared" si="114"/>
        <v>0</v>
      </c>
      <c r="AC317" s="101"/>
      <c r="AD317" s="555">
        <f t="shared" si="116"/>
        <v>0</v>
      </c>
      <c r="AE317" s="632">
        <f t="shared" si="117"/>
        <v>0</v>
      </c>
    </row>
    <row r="318" spans="1:31" hidden="1" outlineLevel="1">
      <c r="A318" s="97">
        <v>43404</v>
      </c>
      <c r="B318" s="98">
        <f t="shared" si="118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>
        <f t="shared" si="107"/>
        <v>0</v>
      </c>
      <c r="V318" s="36">
        <f t="shared" si="108"/>
        <v>0</v>
      </c>
      <c r="W318" s="43">
        <f t="shared" si="109"/>
        <v>0</v>
      </c>
      <c r="X318" s="44">
        <f t="shared" si="110"/>
        <v>0</v>
      </c>
      <c r="Y318" s="51">
        <f t="shared" si="111"/>
        <v>0</v>
      </c>
      <c r="Z318" s="52">
        <f t="shared" si="112"/>
        <v>0</v>
      </c>
      <c r="AA318" s="58">
        <f t="shared" si="113"/>
        <v>0</v>
      </c>
      <c r="AB318" s="17">
        <f t="shared" si="114"/>
        <v>0</v>
      </c>
      <c r="AC318" s="101"/>
      <c r="AD318" s="555">
        <f t="shared" si="116"/>
        <v>0</v>
      </c>
      <c r="AE318" s="632">
        <f t="shared" si="117"/>
        <v>0</v>
      </c>
    </row>
    <row r="319" spans="1:31" collapsed="1">
      <c r="A319" s="104"/>
      <c r="B319" s="104" t="s">
        <v>24</v>
      </c>
      <c r="C319" s="105">
        <f>SUBTOTAL(9,C320:C349)</f>
        <v>0</v>
      </c>
      <c r="D319" s="106">
        <f t="shared" ref="D319:AB319" si="119">SUBTOTAL(9,D320:D349)</f>
        <v>0</v>
      </c>
      <c r="E319" s="107">
        <f t="shared" si="119"/>
        <v>0</v>
      </c>
      <c r="F319" s="108">
        <f t="shared" si="119"/>
        <v>0</v>
      </c>
      <c r="G319" s="109">
        <f t="shared" si="119"/>
        <v>0</v>
      </c>
      <c r="H319" s="110">
        <f t="shared" si="119"/>
        <v>0</v>
      </c>
      <c r="I319" s="111">
        <f t="shared" si="119"/>
        <v>0</v>
      </c>
      <c r="J319" s="14">
        <f t="shared" si="119"/>
        <v>0</v>
      </c>
      <c r="K319" s="103"/>
      <c r="L319" s="105">
        <f t="shared" si="119"/>
        <v>0</v>
      </c>
      <c r="M319" s="106">
        <f t="shared" si="119"/>
        <v>0</v>
      </c>
      <c r="N319" s="107">
        <f t="shared" si="119"/>
        <v>0</v>
      </c>
      <c r="O319" s="108">
        <f t="shared" si="119"/>
        <v>0</v>
      </c>
      <c r="P319" s="109">
        <f t="shared" si="119"/>
        <v>0</v>
      </c>
      <c r="Q319" s="110">
        <f t="shared" si="119"/>
        <v>0</v>
      </c>
      <c r="R319" s="111">
        <f t="shared" si="119"/>
        <v>0</v>
      </c>
      <c r="S319" s="14">
        <f t="shared" si="119"/>
        <v>0</v>
      </c>
      <c r="T319" s="103"/>
      <c r="U319" s="105">
        <f t="shared" si="119"/>
        <v>0</v>
      </c>
      <c r="V319" s="106">
        <f t="shared" si="119"/>
        <v>0</v>
      </c>
      <c r="W319" s="107">
        <f t="shared" si="119"/>
        <v>0</v>
      </c>
      <c r="X319" s="108">
        <f t="shared" si="119"/>
        <v>0</v>
      </c>
      <c r="Y319" s="109">
        <f t="shared" si="119"/>
        <v>0</v>
      </c>
      <c r="Z319" s="110">
        <f t="shared" si="119"/>
        <v>0</v>
      </c>
      <c r="AA319" s="111">
        <f t="shared" si="119"/>
        <v>0</v>
      </c>
      <c r="AB319" s="14">
        <f t="shared" si="119"/>
        <v>0</v>
      </c>
      <c r="AC319" s="103"/>
      <c r="AD319" s="555"/>
      <c r="AE319" s="632"/>
    </row>
    <row r="320" spans="1:31" hidden="1" outlineLevel="1">
      <c r="A320" s="114">
        <v>43405</v>
      </c>
      <c r="B320" s="115">
        <f t="shared" si="118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>
        <f t="shared" si="107"/>
        <v>0</v>
      </c>
      <c r="V320" s="36">
        <f t="shared" si="108"/>
        <v>0</v>
      </c>
      <c r="W320" s="43">
        <f t="shared" si="109"/>
        <v>0</v>
      </c>
      <c r="X320" s="44">
        <f t="shared" si="110"/>
        <v>0</v>
      </c>
      <c r="Y320" s="51">
        <f t="shared" si="111"/>
        <v>0</v>
      </c>
      <c r="Z320" s="52">
        <f t="shared" si="112"/>
        <v>0</v>
      </c>
      <c r="AA320" s="58">
        <f t="shared" si="113"/>
        <v>0</v>
      </c>
      <c r="AB320" s="17">
        <f t="shared" si="114"/>
        <v>0</v>
      </c>
      <c r="AC320" s="101"/>
      <c r="AD320" s="555">
        <f t="shared" si="116"/>
        <v>0</v>
      </c>
      <c r="AE320" s="632">
        <f t="shared" si="117"/>
        <v>0</v>
      </c>
    </row>
    <row r="321" spans="1:31" hidden="1" outlineLevel="1">
      <c r="A321" s="114">
        <v>43406</v>
      </c>
      <c r="B321" s="115">
        <f t="shared" si="118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>
        <f t="shared" si="107"/>
        <v>0</v>
      </c>
      <c r="V321" s="36">
        <f t="shared" si="108"/>
        <v>0</v>
      </c>
      <c r="W321" s="43">
        <f t="shared" si="109"/>
        <v>0</v>
      </c>
      <c r="X321" s="44">
        <f t="shared" si="110"/>
        <v>0</v>
      </c>
      <c r="Y321" s="51">
        <f t="shared" si="111"/>
        <v>0</v>
      </c>
      <c r="Z321" s="52">
        <f t="shared" si="112"/>
        <v>0</v>
      </c>
      <c r="AA321" s="58">
        <f t="shared" si="113"/>
        <v>0</v>
      </c>
      <c r="AB321" s="17">
        <f t="shared" si="114"/>
        <v>0</v>
      </c>
      <c r="AC321" s="101"/>
      <c r="AD321" s="555">
        <f t="shared" si="116"/>
        <v>0</v>
      </c>
      <c r="AE321" s="632">
        <f t="shared" si="117"/>
        <v>0</v>
      </c>
    </row>
    <row r="322" spans="1:31" hidden="1" outlineLevel="1">
      <c r="A322" s="114">
        <v>43407</v>
      </c>
      <c r="B322" s="115">
        <f t="shared" si="118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>
        <f t="shared" si="107"/>
        <v>0</v>
      </c>
      <c r="V322" s="36">
        <f t="shared" si="108"/>
        <v>0</v>
      </c>
      <c r="W322" s="43">
        <f t="shared" si="109"/>
        <v>0</v>
      </c>
      <c r="X322" s="44">
        <f t="shared" si="110"/>
        <v>0</v>
      </c>
      <c r="Y322" s="51">
        <f t="shared" si="111"/>
        <v>0</v>
      </c>
      <c r="Z322" s="52">
        <f t="shared" si="112"/>
        <v>0</v>
      </c>
      <c r="AA322" s="58">
        <f t="shared" si="113"/>
        <v>0</v>
      </c>
      <c r="AB322" s="17">
        <f t="shared" si="114"/>
        <v>0</v>
      </c>
      <c r="AC322" s="101"/>
      <c r="AD322" s="555">
        <f t="shared" si="116"/>
        <v>0</v>
      </c>
      <c r="AE322" s="632">
        <f t="shared" si="117"/>
        <v>0</v>
      </c>
    </row>
    <row r="323" spans="1:31" hidden="1" outlineLevel="1">
      <c r="A323" s="114">
        <v>43408</v>
      </c>
      <c r="B323" s="115">
        <f t="shared" si="118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>
        <f t="shared" si="107"/>
        <v>0</v>
      </c>
      <c r="V323" s="36">
        <f t="shared" si="108"/>
        <v>0</v>
      </c>
      <c r="W323" s="43">
        <f t="shared" si="109"/>
        <v>0</v>
      </c>
      <c r="X323" s="44">
        <f t="shared" si="110"/>
        <v>0</v>
      </c>
      <c r="Y323" s="51">
        <f t="shared" si="111"/>
        <v>0</v>
      </c>
      <c r="Z323" s="52">
        <f t="shared" si="112"/>
        <v>0</v>
      </c>
      <c r="AA323" s="58">
        <f t="shared" si="113"/>
        <v>0</v>
      </c>
      <c r="AB323" s="17">
        <f t="shared" si="114"/>
        <v>0</v>
      </c>
      <c r="AC323" s="101"/>
      <c r="AD323" s="555">
        <f t="shared" si="116"/>
        <v>0</v>
      </c>
      <c r="AE323" s="632">
        <f t="shared" si="117"/>
        <v>0</v>
      </c>
    </row>
    <row r="324" spans="1:31" hidden="1" outlineLevel="1">
      <c r="A324" s="114">
        <v>43409</v>
      </c>
      <c r="B324" s="115">
        <f t="shared" si="118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>
        <f t="shared" si="107"/>
        <v>0</v>
      </c>
      <c r="V324" s="36">
        <f t="shared" si="108"/>
        <v>0</v>
      </c>
      <c r="W324" s="43">
        <f t="shared" si="109"/>
        <v>0</v>
      </c>
      <c r="X324" s="44">
        <f t="shared" si="110"/>
        <v>0</v>
      </c>
      <c r="Y324" s="51">
        <f t="shared" si="111"/>
        <v>0</v>
      </c>
      <c r="Z324" s="52">
        <f t="shared" si="112"/>
        <v>0</v>
      </c>
      <c r="AA324" s="58">
        <f t="shared" si="113"/>
        <v>0</v>
      </c>
      <c r="AB324" s="17">
        <f t="shared" si="114"/>
        <v>0</v>
      </c>
      <c r="AC324" s="101"/>
      <c r="AD324" s="555">
        <f t="shared" si="116"/>
        <v>0</v>
      </c>
      <c r="AE324" s="632">
        <f t="shared" si="117"/>
        <v>0</v>
      </c>
    </row>
    <row r="325" spans="1:31" hidden="1" outlineLevel="1">
      <c r="A325" s="114">
        <v>43410</v>
      </c>
      <c r="B325" s="115">
        <f t="shared" si="118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>
        <f t="shared" si="107"/>
        <v>0</v>
      </c>
      <c r="V325" s="36">
        <f t="shared" si="108"/>
        <v>0</v>
      </c>
      <c r="W325" s="43">
        <f t="shared" si="109"/>
        <v>0</v>
      </c>
      <c r="X325" s="44">
        <f t="shared" si="110"/>
        <v>0</v>
      </c>
      <c r="Y325" s="51">
        <f t="shared" si="111"/>
        <v>0</v>
      </c>
      <c r="Z325" s="52">
        <f t="shared" si="112"/>
        <v>0</v>
      </c>
      <c r="AA325" s="58">
        <f t="shared" si="113"/>
        <v>0</v>
      </c>
      <c r="AB325" s="17">
        <f t="shared" si="114"/>
        <v>0</v>
      </c>
      <c r="AC325" s="101"/>
      <c r="AD325" s="555">
        <f t="shared" si="116"/>
        <v>0</v>
      </c>
      <c r="AE325" s="632">
        <f t="shared" si="117"/>
        <v>0</v>
      </c>
    </row>
    <row r="326" spans="1:31" hidden="1" outlineLevel="1">
      <c r="A326" s="114">
        <v>43411</v>
      </c>
      <c r="B326" s="115">
        <f t="shared" si="118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>
        <f t="shared" si="107"/>
        <v>0</v>
      </c>
      <c r="V326" s="36">
        <f t="shared" si="108"/>
        <v>0</v>
      </c>
      <c r="W326" s="43">
        <f t="shared" si="109"/>
        <v>0</v>
      </c>
      <c r="X326" s="44">
        <f t="shared" si="110"/>
        <v>0</v>
      </c>
      <c r="Y326" s="51">
        <f t="shared" si="111"/>
        <v>0</v>
      </c>
      <c r="Z326" s="52">
        <f t="shared" si="112"/>
        <v>0</v>
      </c>
      <c r="AA326" s="58">
        <f t="shared" si="113"/>
        <v>0</v>
      </c>
      <c r="AB326" s="17">
        <f t="shared" si="114"/>
        <v>0</v>
      </c>
      <c r="AC326" s="101"/>
      <c r="AD326" s="555">
        <f t="shared" si="116"/>
        <v>0</v>
      </c>
      <c r="AE326" s="632">
        <f t="shared" si="117"/>
        <v>0</v>
      </c>
    </row>
    <row r="327" spans="1:31" hidden="1" outlineLevel="1">
      <c r="A327" s="114">
        <v>43412</v>
      </c>
      <c r="B327" s="115">
        <f t="shared" si="118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>
        <f t="shared" si="107"/>
        <v>0</v>
      </c>
      <c r="V327" s="36">
        <f t="shared" si="108"/>
        <v>0</v>
      </c>
      <c r="W327" s="43">
        <f t="shared" si="109"/>
        <v>0</v>
      </c>
      <c r="X327" s="44">
        <f t="shared" si="110"/>
        <v>0</v>
      </c>
      <c r="Y327" s="51">
        <f t="shared" si="111"/>
        <v>0</v>
      </c>
      <c r="Z327" s="52">
        <f t="shared" si="112"/>
        <v>0</v>
      </c>
      <c r="AA327" s="58">
        <f t="shared" si="113"/>
        <v>0</v>
      </c>
      <c r="AB327" s="17">
        <f t="shared" si="114"/>
        <v>0</v>
      </c>
      <c r="AC327" s="101"/>
      <c r="AD327" s="555">
        <f t="shared" si="116"/>
        <v>0</v>
      </c>
      <c r="AE327" s="632">
        <f t="shared" si="117"/>
        <v>0</v>
      </c>
    </row>
    <row r="328" spans="1:31" hidden="1" outlineLevel="1">
      <c r="A328" s="114">
        <v>43413</v>
      </c>
      <c r="B328" s="115">
        <f t="shared" si="118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>
        <f t="shared" si="107"/>
        <v>0</v>
      </c>
      <c r="V328" s="36">
        <f t="shared" si="108"/>
        <v>0</v>
      </c>
      <c r="W328" s="43">
        <f t="shared" si="109"/>
        <v>0</v>
      </c>
      <c r="X328" s="44">
        <f t="shared" si="110"/>
        <v>0</v>
      </c>
      <c r="Y328" s="51">
        <f t="shared" si="111"/>
        <v>0</v>
      </c>
      <c r="Z328" s="52">
        <f t="shared" si="112"/>
        <v>0</v>
      </c>
      <c r="AA328" s="58">
        <f t="shared" si="113"/>
        <v>0</v>
      </c>
      <c r="AB328" s="17">
        <f t="shared" si="114"/>
        <v>0</v>
      </c>
      <c r="AC328" s="101"/>
      <c r="AD328" s="555">
        <f t="shared" si="116"/>
        <v>0</v>
      </c>
      <c r="AE328" s="632">
        <f t="shared" si="117"/>
        <v>0</v>
      </c>
    </row>
    <row r="329" spans="1:31" hidden="1" outlineLevel="1">
      <c r="A329" s="114">
        <v>43414</v>
      </c>
      <c r="B329" s="115">
        <f t="shared" si="118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>
        <f t="shared" si="107"/>
        <v>0</v>
      </c>
      <c r="V329" s="36">
        <f t="shared" si="108"/>
        <v>0</v>
      </c>
      <c r="W329" s="43">
        <f t="shared" si="109"/>
        <v>0</v>
      </c>
      <c r="X329" s="44">
        <f t="shared" si="110"/>
        <v>0</v>
      </c>
      <c r="Y329" s="51">
        <f t="shared" si="111"/>
        <v>0</v>
      </c>
      <c r="Z329" s="52">
        <f t="shared" si="112"/>
        <v>0</v>
      </c>
      <c r="AA329" s="58">
        <f t="shared" si="113"/>
        <v>0</v>
      </c>
      <c r="AB329" s="17">
        <f t="shared" si="114"/>
        <v>0</v>
      </c>
      <c r="AC329" s="101"/>
      <c r="AD329" s="555">
        <f t="shared" si="116"/>
        <v>0</v>
      </c>
      <c r="AE329" s="632">
        <f t="shared" si="117"/>
        <v>0</v>
      </c>
    </row>
    <row r="330" spans="1:31" hidden="1" outlineLevel="1">
      <c r="A330" s="114">
        <v>43415</v>
      </c>
      <c r="B330" s="115">
        <f t="shared" si="118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>
        <f t="shared" si="107"/>
        <v>0</v>
      </c>
      <c r="V330" s="36">
        <f t="shared" si="108"/>
        <v>0</v>
      </c>
      <c r="W330" s="43">
        <f t="shared" si="109"/>
        <v>0</v>
      </c>
      <c r="X330" s="44">
        <f t="shared" si="110"/>
        <v>0</v>
      </c>
      <c r="Y330" s="51">
        <f t="shared" si="111"/>
        <v>0</v>
      </c>
      <c r="Z330" s="52">
        <f t="shared" si="112"/>
        <v>0</v>
      </c>
      <c r="AA330" s="58">
        <f t="shared" si="113"/>
        <v>0</v>
      </c>
      <c r="AB330" s="17">
        <f t="shared" si="114"/>
        <v>0</v>
      </c>
      <c r="AC330" s="101"/>
      <c r="AD330" s="555">
        <f t="shared" si="116"/>
        <v>0</v>
      </c>
      <c r="AE330" s="632">
        <f t="shared" si="117"/>
        <v>0</v>
      </c>
    </row>
    <row r="331" spans="1:31" hidden="1" outlineLevel="1">
      <c r="A331" s="114">
        <v>43416</v>
      </c>
      <c r="B331" s="115">
        <f t="shared" si="118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>
        <f t="shared" si="107"/>
        <v>0</v>
      </c>
      <c r="V331" s="36">
        <f t="shared" si="108"/>
        <v>0</v>
      </c>
      <c r="W331" s="43">
        <f t="shared" si="109"/>
        <v>0</v>
      </c>
      <c r="X331" s="44">
        <f t="shared" si="110"/>
        <v>0</v>
      </c>
      <c r="Y331" s="51">
        <f t="shared" si="111"/>
        <v>0</v>
      </c>
      <c r="Z331" s="52">
        <f t="shared" si="112"/>
        <v>0</v>
      </c>
      <c r="AA331" s="58">
        <f t="shared" si="113"/>
        <v>0</v>
      </c>
      <c r="AB331" s="17">
        <f t="shared" si="114"/>
        <v>0</v>
      </c>
      <c r="AC331" s="101"/>
      <c r="AD331" s="555">
        <f t="shared" si="116"/>
        <v>0</v>
      </c>
      <c r="AE331" s="632">
        <f t="shared" si="117"/>
        <v>0</v>
      </c>
    </row>
    <row r="332" spans="1:31" hidden="1" outlineLevel="1">
      <c r="A332" s="114">
        <v>43417</v>
      </c>
      <c r="B332" s="115">
        <f t="shared" si="118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>
        <f t="shared" si="107"/>
        <v>0</v>
      </c>
      <c r="V332" s="36">
        <f t="shared" si="108"/>
        <v>0</v>
      </c>
      <c r="W332" s="43">
        <f t="shared" si="109"/>
        <v>0</v>
      </c>
      <c r="X332" s="44">
        <f t="shared" si="110"/>
        <v>0</v>
      </c>
      <c r="Y332" s="51">
        <f t="shared" si="111"/>
        <v>0</v>
      </c>
      <c r="Z332" s="52">
        <f t="shared" si="112"/>
        <v>0</v>
      </c>
      <c r="AA332" s="58">
        <f t="shared" si="113"/>
        <v>0</v>
      </c>
      <c r="AB332" s="17">
        <f t="shared" si="114"/>
        <v>0</v>
      </c>
      <c r="AC332" s="101"/>
      <c r="AD332" s="555">
        <f t="shared" si="116"/>
        <v>0</v>
      </c>
      <c r="AE332" s="632">
        <f t="shared" si="117"/>
        <v>0</v>
      </c>
    </row>
    <row r="333" spans="1:31" hidden="1" outlineLevel="1">
      <c r="A333" s="114">
        <v>43418</v>
      </c>
      <c r="B333" s="115">
        <f t="shared" si="118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>
        <f t="shared" si="107"/>
        <v>0</v>
      </c>
      <c r="V333" s="36">
        <f t="shared" si="108"/>
        <v>0</v>
      </c>
      <c r="W333" s="43">
        <f t="shared" si="109"/>
        <v>0</v>
      </c>
      <c r="X333" s="44">
        <f t="shared" si="110"/>
        <v>0</v>
      </c>
      <c r="Y333" s="51">
        <f t="shared" si="111"/>
        <v>0</v>
      </c>
      <c r="Z333" s="52">
        <f t="shared" si="112"/>
        <v>0</v>
      </c>
      <c r="AA333" s="58">
        <f t="shared" si="113"/>
        <v>0</v>
      </c>
      <c r="AB333" s="17">
        <f t="shared" si="114"/>
        <v>0</v>
      </c>
      <c r="AC333" s="101"/>
      <c r="AD333" s="555">
        <f t="shared" si="116"/>
        <v>0</v>
      </c>
      <c r="AE333" s="632">
        <f t="shared" si="117"/>
        <v>0</v>
      </c>
    </row>
    <row r="334" spans="1:31" hidden="1" outlineLevel="1">
      <c r="A334" s="114">
        <v>43419</v>
      </c>
      <c r="B334" s="115">
        <f t="shared" si="118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>
        <f t="shared" si="107"/>
        <v>0</v>
      </c>
      <c r="V334" s="36">
        <f t="shared" si="108"/>
        <v>0</v>
      </c>
      <c r="W334" s="43">
        <f t="shared" si="109"/>
        <v>0</v>
      </c>
      <c r="X334" s="44">
        <f t="shared" si="110"/>
        <v>0</v>
      </c>
      <c r="Y334" s="51">
        <f t="shared" si="111"/>
        <v>0</v>
      </c>
      <c r="Z334" s="52">
        <f t="shared" si="112"/>
        <v>0</v>
      </c>
      <c r="AA334" s="58">
        <f t="shared" si="113"/>
        <v>0</v>
      </c>
      <c r="AB334" s="17">
        <f t="shared" si="114"/>
        <v>0</v>
      </c>
      <c r="AC334" s="101"/>
      <c r="AD334" s="555">
        <f t="shared" si="116"/>
        <v>0</v>
      </c>
      <c r="AE334" s="632">
        <f t="shared" si="117"/>
        <v>0</v>
      </c>
    </row>
    <row r="335" spans="1:31" hidden="1" outlineLevel="1">
      <c r="A335" s="114">
        <v>43420</v>
      </c>
      <c r="B335" s="115">
        <f t="shared" si="118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>
        <f t="shared" si="107"/>
        <v>0</v>
      </c>
      <c r="V335" s="36">
        <f t="shared" si="108"/>
        <v>0</v>
      </c>
      <c r="W335" s="43">
        <f t="shared" si="109"/>
        <v>0</v>
      </c>
      <c r="X335" s="44">
        <f t="shared" si="110"/>
        <v>0</v>
      </c>
      <c r="Y335" s="51">
        <f t="shared" si="111"/>
        <v>0</v>
      </c>
      <c r="Z335" s="52">
        <f t="shared" si="112"/>
        <v>0</v>
      </c>
      <c r="AA335" s="58">
        <f t="shared" si="113"/>
        <v>0</v>
      </c>
      <c r="AB335" s="17">
        <f t="shared" si="114"/>
        <v>0</v>
      </c>
      <c r="AC335" s="101"/>
      <c r="AD335" s="555">
        <f t="shared" si="116"/>
        <v>0</v>
      </c>
      <c r="AE335" s="632">
        <f t="shared" si="117"/>
        <v>0</v>
      </c>
    </row>
    <row r="336" spans="1:31" hidden="1" outlineLevel="1">
      <c r="A336" s="114">
        <v>43421</v>
      </c>
      <c r="B336" s="115">
        <f t="shared" si="118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>
        <f t="shared" si="107"/>
        <v>0</v>
      </c>
      <c r="V336" s="36">
        <f t="shared" si="108"/>
        <v>0</v>
      </c>
      <c r="W336" s="43">
        <f t="shared" si="109"/>
        <v>0</v>
      </c>
      <c r="X336" s="44">
        <f t="shared" si="110"/>
        <v>0</v>
      </c>
      <c r="Y336" s="51">
        <f t="shared" si="111"/>
        <v>0</v>
      </c>
      <c r="Z336" s="52">
        <f t="shared" si="112"/>
        <v>0</v>
      </c>
      <c r="AA336" s="58">
        <f t="shared" si="113"/>
        <v>0</v>
      </c>
      <c r="AB336" s="17">
        <f t="shared" si="114"/>
        <v>0</v>
      </c>
      <c r="AC336" s="101"/>
      <c r="AD336" s="555">
        <f t="shared" si="116"/>
        <v>0</v>
      </c>
      <c r="AE336" s="632">
        <f t="shared" si="117"/>
        <v>0</v>
      </c>
    </row>
    <row r="337" spans="1:31" hidden="1" outlineLevel="1">
      <c r="A337" s="114">
        <v>43422</v>
      </c>
      <c r="B337" s="115">
        <f t="shared" si="118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>
        <f t="shared" ref="U337:U381" si="120">C337-L337</f>
        <v>0</v>
      </c>
      <c r="V337" s="36">
        <f t="shared" ref="V337:V381" si="121">D337-M337</f>
        <v>0</v>
      </c>
      <c r="W337" s="43">
        <f t="shared" ref="W337:W381" si="122">E337-N337</f>
        <v>0</v>
      </c>
      <c r="X337" s="44">
        <f t="shared" ref="X337:X381" si="123">F337-O337</f>
        <v>0</v>
      </c>
      <c r="Y337" s="51">
        <f t="shared" ref="Y337:Y381" si="124">G337-P337</f>
        <v>0</v>
      </c>
      <c r="Z337" s="52">
        <f t="shared" ref="Z337:Z381" si="125">H337-Q337</f>
        <v>0</v>
      </c>
      <c r="AA337" s="58">
        <f t="shared" ref="AA337:AA381" si="126">I337-R337</f>
        <v>0</v>
      </c>
      <c r="AB337" s="17">
        <f t="shared" ref="AB337:AB381" si="127">J337-S337</f>
        <v>0</v>
      </c>
      <c r="AC337" s="101"/>
      <c r="AD337" s="555">
        <f t="shared" si="116"/>
        <v>0</v>
      </c>
      <c r="AE337" s="632">
        <f t="shared" si="117"/>
        <v>0</v>
      </c>
    </row>
    <row r="338" spans="1:31" hidden="1" outlineLevel="1">
      <c r="A338" s="114">
        <v>43423</v>
      </c>
      <c r="B338" s="115">
        <f t="shared" si="118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>
        <f t="shared" si="120"/>
        <v>0</v>
      </c>
      <c r="V338" s="36">
        <f t="shared" si="121"/>
        <v>0</v>
      </c>
      <c r="W338" s="43">
        <f t="shared" si="122"/>
        <v>0</v>
      </c>
      <c r="X338" s="44">
        <f t="shared" si="123"/>
        <v>0</v>
      </c>
      <c r="Y338" s="51">
        <f t="shared" si="124"/>
        <v>0</v>
      </c>
      <c r="Z338" s="52">
        <f t="shared" si="125"/>
        <v>0</v>
      </c>
      <c r="AA338" s="58">
        <f t="shared" si="126"/>
        <v>0</v>
      </c>
      <c r="AB338" s="17">
        <f t="shared" si="127"/>
        <v>0</v>
      </c>
      <c r="AC338" s="101"/>
      <c r="AD338" s="555">
        <f t="shared" si="116"/>
        <v>0</v>
      </c>
      <c r="AE338" s="632">
        <f t="shared" si="117"/>
        <v>0</v>
      </c>
    </row>
    <row r="339" spans="1:31" hidden="1" outlineLevel="1">
      <c r="A339" s="114">
        <v>43424</v>
      </c>
      <c r="B339" s="115">
        <f t="shared" si="118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>
        <f t="shared" si="120"/>
        <v>0</v>
      </c>
      <c r="V339" s="36">
        <f t="shared" si="121"/>
        <v>0</v>
      </c>
      <c r="W339" s="43">
        <f t="shared" si="122"/>
        <v>0</v>
      </c>
      <c r="X339" s="44">
        <f t="shared" si="123"/>
        <v>0</v>
      </c>
      <c r="Y339" s="51">
        <f t="shared" si="124"/>
        <v>0</v>
      </c>
      <c r="Z339" s="52">
        <f t="shared" si="125"/>
        <v>0</v>
      </c>
      <c r="AA339" s="58">
        <f t="shared" si="126"/>
        <v>0</v>
      </c>
      <c r="AB339" s="17">
        <f t="shared" si="127"/>
        <v>0</v>
      </c>
      <c r="AC339" s="101"/>
      <c r="AD339" s="555">
        <f t="shared" si="116"/>
        <v>0</v>
      </c>
      <c r="AE339" s="632">
        <f t="shared" si="117"/>
        <v>0</v>
      </c>
    </row>
    <row r="340" spans="1:31" hidden="1" outlineLevel="1">
      <c r="A340" s="114">
        <v>43425</v>
      </c>
      <c r="B340" s="115">
        <f t="shared" si="118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>
        <f t="shared" si="120"/>
        <v>0</v>
      </c>
      <c r="V340" s="36">
        <f t="shared" si="121"/>
        <v>0</v>
      </c>
      <c r="W340" s="43">
        <f t="shared" si="122"/>
        <v>0</v>
      </c>
      <c r="X340" s="44">
        <f t="shared" si="123"/>
        <v>0</v>
      </c>
      <c r="Y340" s="51">
        <f t="shared" si="124"/>
        <v>0</v>
      </c>
      <c r="Z340" s="52">
        <f t="shared" si="125"/>
        <v>0</v>
      </c>
      <c r="AA340" s="58">
        <f t="shared" si="126"/>
        <v>0</v>
      </c>
      <c r="AB340" s="17">
        <f t="shared" si="127"/>
        <v>0</v>
      </c>
      <c r="AC340" s="101"/>
      <c r="AD340" s="555">
        <f t="shared" si="116"/>
        <v>0</v>
      </c>
      <c r="AE340" s="632">
        <f t="shared" si="117"/>
        <v>0</v>
      </c>
    </row>
    <row r="341" spans="1:31" hidden="1" outlineLevel="1">
      <c r="A341" s="114">
        <v>43426</v>
      </c>
      <c r="B341" s="115">
        <f t="shared" si="118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>
        <f t="shared" si="120"/>
        <v>0</v>
      </c>
      <c r="V341" s="36">
        <f t="shared" si="121"/>
        <v>0</v>
      </c>
      <c r="W341" s="43">
        <f t="shared" si="122"/>
        <v>0</v>
      </c>
      <c r="X341" s="44">
        <f t="shared" si="123"/>
        <v>0</v>
      </c>
      <c r="Y341" s="51">
        <f t="shared" si="124"/>
        <v>0</v>
      </c>
      <c r="Z341" s="52">
        <f t="shared" si="125"/>
        <v>0</v>
      </c>
      <c r="AA341" s="58">
        <f t="shared" si="126"/>
        <v>0</v>
      </c>
      <c r="AB341" s="17">
        <f t="shared" si="127"/>
        <v>0</v>
      </c>
      <c r="AC341" s="101"/>
      <c r="AD341" s="555">
        <f t="shared" si="116"/>
        <v>0</v>
      </c>
      <c r="AE341" s="632">
        <f t="shared" si="117"/>
        <v>0</v>
      </c>
    </row>
    <row r="342" spans="1:31" hidden="1" outlineLevel="1">
      <c r="A342" s="114">
        <v>43427</v>
      </c>
      <c r="B342" s="115">
        <f t="shared" si="118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>
        <f t="shared" si="120"/>
        <v>0</v>
      </c>
      <c r="V342" s="36">
        <f t="shared" si="121"/>
        <v>0</v>
      </c>
      <c r="W342" s="43">
        <f t="shared" si="122"/>
        <v>0</v>
      </c>
      <c r="X342" s="44">
        <f t="shared" si="123"/>
        <v>0</v>
      </c>
      <c r="Y342" s="51">
        <f t="shared" si="124"/>
        <v>0</v>
      </c>
      <c r="Z342" s="52">
        <f t="shared" si="125"/>
        <v>0</v>
      </c>
      <c r="AA342" s="58">
        <f t="shared" si="126"/>
        <v>0</v>
      </c>
      <c r="AB342" s="17">
        <f t="shared" si="127"/>
        <v>0</v>
      </c>
      <c r="AC342" s="101"/>
      <c r="AD342" s="555">
        <f t="shared" si="116"/>
        <v>0</v>
      </c>
      <c r="AE342" s="632">
        <f t="shared" si="117"/>
        <v>0</v>
      </c>
    </row>
    <row r="343" spans="1:31" hidden="1" outlineLevel="1">
      <c r="A343" s="114">
        <v>43428</v>
      </c>
      <c r="B343" s="115">
        <f t="shared" si="118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>
        <f t="shared" si="120"/>
        <v>0</v>
      </c>
      <c r="V343" s="36">
        <f t="shared" si="121"/>
        <v>0</v>
      </c>
      <c r="W343" s="43">
        <f t="shared" si="122"/>
        <v>0</v>
      </c>
      <c r="X343" s="44">
        <f t="shared" si="123"/>
        <v>0</v>
      </c>
      <c r="Y343" s="51">
        <f t="shared" si="124"/>
        <v>0</v>
      </c>
      <c r="Z343" s="52">
        <f t="shared" si="125"/>
        <v>0</v>
      </c>
      <c r="AA343" s="58">
        <f t="shared" si="126"/>
        <v>0</v>
      </c>
      <c r="AB343" s="17">
        <f t="shared" si="127"/>
        <v>0</v>
      </c>
      <c r="AC343" s="101"/>
      <c r="AD343" s="555">
        <f t="shared" si="116"/>
        <v>0</v>
      </c>
      <c r="AE343" s="632">
        <f t="shared" si="117"/>
        <v>0</v>
      </c>
    </row>
    <row r="344" spans="1:31" hidden="1" outlineLevel="1">
      <c r="A344" s="114">
        <v>43429</v>
      </c>
      <c r="B344" s="115">
        <f t="shared" si="118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>
        <f t="shared" si="120"/>
        <v>0</v>
      </c>
      <c r="V344" s="36">
        <f t="shared" si="121"/>
        <v>0</v>
      </c>
      <c r="W344" s="43">
        <f t="shared" si="122"/>
        <v>0</v>
      </c>
      <c r="X344" s="44">
        <f t="shared" si="123"/>
        <v>0</v>
      </c>
      <c r="Y344" s="51">
        <f t="shared" si="124"/>
        <v>0</v>
      </c>
      <c r="Z344" s="52">
        <f t="shared" si="125"/>
        <v>0</v>
      </c>
      <c r="AA344" s="58">
        <f t="shared" si="126"/>
        <v>0</v>
      </c>
      <c r="AB344" s="17">
        <f t="shared" si="127"/>
        <v>0</v>
      </c>
      <c r="AC344" s="101"/>
      <c r="AD344" s="555">
        <f t="shared" si="116"/>
        <v>0</v>
      </c>
      <c r="AE344" s="632">
        <f t="shared" si="117"/>
        <v>0</v>
      </c>
    </row>
    <row r="345" spans="1:31" hidden="1" outlineLevel="1">
      <c r="A345" s="114">
        <v>43430</v>
      </c>
      <c r="B345" s="115">
        <f t="shared" si="118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>
        <f t="shared" si="120"/>
        <v>0</v>
      </c>
      <c r="V345" s="36">
        <f t="shared" si="121"/>
        <v>0</v>
      </c>
      <c r="W345" s="43">
        <f t="shared" si="122"/>
        <v>0</v>
      </c>
      <c r="X345" s="44">
        <f t="shared" si="123"/>
        <v>0</v>
      </c>
      <c r="Y345" s="51">
        <f t="shared" si="124"/>
        <v>0</v>
      </c>
      <c r="Z345" s="52">
        <f t="shared" si="125"/>
        <v>0</v>
      </c>
      <c r="AA345" s="58">
        <f t="shared" si="126"/>
        <v>0</v>
      </c>
      <c r="AB345" s="17">
        <f t="shared" si="127"/>
        <v>0</v>
      </c>
      <c r="AC345" s="101"/>
      <c r="AD345" s="555">
        <f t="shared" si="116"/>
        <v>0</v>
      </c>
      <c r="AE345" s="632">
        <f t="shared" si="117"/>
        <v>0</v>
      </c>
    </row>
    <row r="346" spans="1:31" hidden="1" outlineLevel="1">
      <c r="A346" s="114">
        <v>43431</v>
      </c>
      <c r="B346" s="115">
        <f t="shared" si="118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>
        <f t="shared" si="120"/>
        <v>0</v>
      </c>
      <c r="V346" s="36">
        <f t="shared" si="121"/>
        <v>0</v>
      </c>
      <c r="W346" s="43">
        <f t="shared" si="122"/>
        <v>0</v>
      </c>
      <c r="X346" s="44">
        <f t="shared" si="123"/>
        <v>0</v>
      </c>
      <c r="Y346" s="51">
        <f t="shared" si="124"/>
        <v>0</v>
      </c>
      <c r="Z346" s="52">
        <f t="shared" si="125"/>
        <v>0</v>
      </c>
      <c r="AA346" s="58">
        <f t="shared" si="126"/>
        <v>0</v>
      </c>
      <c r="AB346" s="17">
        <f t="shared" si="127"/>
        <v>0</v>
      </c>
      <c r="AC346" s="101"/>
      <c r="AD346" s="555">
        <f t="shared" si="116"/>
        <v>0</v>
      </c>
      <c r="AE346" s="632">
        <f t="shared" si="117"/>
        <v>0</v>
      </c>
    </row>
    <row r="347" spans="1:31" hidden="1" outlineLevel="1">
      <c r="A347" s="114">
        <v>43432</v>
      </c>
      <c r="B347" s="115">
        <f t="shared" si="118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>
        <f t="shared" si="120"/>
        <v>0</v>
      </c>
      <c r="V347" s="36">
        <f t="shared" si="121"/>
        <v>0</v>
      </c>
      <c r="W347" s="43">
        <f t="shared" si="122"/>
        <v>0</v>
      </c>
      <c r="X347" s="44">
        <f t="shared" si="123"/>
        <v>0</v>
      </c>
      <c r="Y347" s="51">
        <f t="shared" si="124"/>
        <v>0</v>
      </c>
      <c r="Z347" s="52">
        <f t="shared" si="125"/>
        <v>0</v>
      </c>
      <c r="AA347" s="58">
        <f t="shared" si="126"/>
        <v>0</v>
      </c>
      <c r="AB347" s="17">
        <f t="shared" si="127"/>
        <v>0</v>
      </c>
      <c r="AC347" s="101"/>
      <c r="AD347" s="555">
        <f t="shared" si="116"/>
        <v>0</v>
      </c>
      <c r="AE347" s="632">
        <f t="shared" si="117"/>
        <v>0</v>
      </c>
    </row>
    <row r="348" spans="1:31" hidden="1" outlineLevel="1">
      <c r="A348" s="114">
        <v>43433</v>
      </c>
      <c r="B348" s="115">
        <f t="shared" si="118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>
        <f t="shared" si="120"/>
        <v>0</v>
      </c>
      <c r="V348" s="36">
        <f t="shared" si="121"/>
        <v>0</v>
      </c>
      <c r="W348" s="43">
        <f t="shared" si="122"/>
        <v>0</v>
      </c>
      <c r="X348" s="44">
        <f t="shared" si="123"/>
        <v>0</v>
      </c>
      <c r="Y348" s="51">
        <f t="shared" si="124"/>
        <v>0</v>
      </c>
      <c r="Z348" s="52">
        <f t="shared" si="125"/>
        <v>0</v>
      </c>
      <c r="AA348" s="58">
        <f t="shared" si="126"/>
        <v>0</v>
      </c>
      <c r="AB348" s="17">
        <f t="shared" si="127"/>
        <v>0</v>
      </c>
      <c r="AC348" s="101"/>
      <c r="AD348" s="555">
        <f t="shared" si="116"/>
        <v>0</v>
      </c>
      <c r="AE348" s="632">
        <f t="shared" si="117"/>
        <v>0</v>
      </c>
    </row>
    <row r="349" spans="1:31" hidden="1" outlineLevel="1">
      <c r="A349" s="114">
        <v>43434</v>
      </c>
      <c r="B349" s="115">
        <f t="shared" si="118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>
        <f t="shared" si="120"/>
        <v>0</v>
      </c>
      <c r="V349" s="36">
        <f t="shared" si="121"/>
        <v>0</v>
      </c>
      <c r="W349" s="43">
        <f t="shared" si="122"/>
        <v>0</v>
      </c>
      <c r="X349" s="44">
        <f t="shared" si="123"/>
        <v>0</v>
      </c>
      <c r="Y349" s="51">
        <f t="shared" si="124"/>
        <v>0</v>
      </c>
      <c r="Z349" s="52">
        <f t="shared" si="125"/>
        <v>0</v>
      </c>
      <c r="AA349" s="58">
        <f t="shared" si="126"/>
        <v>0</v>
      </c>
      <c r="AB349" s="17">
        <f t="shared" si="127"/>
        <v>0</v>
      </c>
      <c r="AC349" s="101"/>
      <c r="AD349" s="555">
        <f t="shared" si="116"/>
        <v>0</v>
      </c>
      <c r="AE349" s="632">
        <f t="shared" si="117"/>
        <v>0</v>
      </c>
    </row>
    <row r="350" spans="1:31" collapsed="1">
      <c r="A350" s="104"/>
      <c r="B350" s="104" t="s">
        <v>25</v>
      </c>
      <c r="C350" s="105">
        <f>SUBTOTAL(9,C351:C381)</f>
        <v>0</v>
      </c>
      <c r="D350" s="106">
        <f t="shared" ref="D350:AB350" si="128">SUBTOTAL(9,D351:D381)</f>
        <v>0</v>
      </c>
      <c r="E350" s="107">
        <f t="shared" si="128"/>
        <v>0</v>
      </c>
      <c r="F350" s="108">
        <f t="shared" si="128"/>
        <v>0</v>
      </c>
      <c r="G350" s="109">
        <f t="shared" si="128"/>
        <v>0</v>
      </c>
      <c r="H350" s="110">
        <f t="shared" si="128"/>
        <v>0</v>
      </c>
      <c r="I350" s="111">
        <f t="shared" si="128"/>
        <v>0</v>
      </c>
      <c r="J350" s="14">
        <f t="shared" si="128"/>
        <v>0</v>
      </c>
      <c r="K350" s="103"/>
      <c r="L350" s="105">
        <f t="shared" si="128"/>
        <v>0</v>
      </c>
      <c r="M350" s="106">
        <f t="shared" si="128"/>
        <v>0</v>
      </c>
      <c r="N350" s="107">
        <f t="shared" si="128"/>
        <v>0</v>
      </c>
      <c r="O350" s="108">
        <f t="shared" si="128"/>
        <v>0</v>
      </c>
      <c r="P350" s="109">
        <f t="shared" si="128"/>
        <v>0</v>
      </c>
      <c r="Q350" s="110">
        <f t="shared" si="128"/>
        <v>0</v>
      </c>
      <c r="R350" s="111">
        <f t="shared" si="128"/>
        <v>0</v>
      </c>
      <c r="S350" s="14">
        <f t="shared" si="128"/>
        <v>0</v>
      </c>
      <c r="T350" s="103"/>
      <c r="U350" s="105">
        <f t="shared" si="128"/>
        <v>0</v>
      </c>
      <c r="V350" s="106">
        <f t="shared" si="128"/>
        <v>0</v>
      </c>
      <c r="W350" s="107">
        <f t="shared" si="128"/>
        <v>0</v>
      </c>
      <c r="X350" s="108">
        <f t="shared" si="128"/>
        <v>0</v>
      </c>
      <c r="Y350" s="109">
        <f t="shared" si="128"/>
        <v>0</v>
      </c>
      <c r="Z350" s="110">
        <f t="shared" si="128"/>
        <v>0</v>
      </c>
      <c r="AA350" s="111">
        <f t="shared" si="128"/>
        <v>0</v>
      </c>
      <c r="AB350" s="14">
        <f t="shared" si="128"/>
        <v>0</v>
      </c>
      <c r="AC350" s="103"/>
      <c r="AD350" s="555"/>
      <c r="AE350" s="632"/>
    </row>
    <row r="351" spans="1:31" hidden="1" outlineLevel="1">
      <c r="A351" s="97">
        <v>43435</v>
      </c>
      <c r="B351" s="98">
        <f t="shared" si="118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>
        <f t="shared" si="120"/>
        <v>0</v>
      </c>
      <c r="V351" s="36">
        <f t="shared" si="121"/>
        <v>0</v>
      </c>
      <c r="W351" s="43">
        <f t="shared" si="122"/>
        <v>0</v>
      </c>
      <c r="X351" s="44">
        <f t="shared" si="123"/>
        <v>0</v>
      </c>
      <c r="Y351" s="51">
        <f t="shared" si="124"/>
        <v>0</v>
      </c>
      <c r="Z351" s="52">
        <f t="shared" si="125"/>
        <v>0</v>
      </c>
      <c r="AA351" s="58">
        <f t="shared" si="126"/>
        <v>0</v>
      </c>
      <c r="AB351" s="17">
        <f t="shared" si="127"/>
        <v>0</v>
      </c>
      <c r="AC351" s="103"/>
      <c r="AD351" s="555"/>
      <c r="AE351" s="632"/>
    </row>
    <row r="352" spans="1:31" hidden="1" outlineLevel="1">
      <c r="A352" s="97">
        <v>43436</v>
      </c>
      <c r="B352" s="98">
        <f t="shared" si="118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>
        <f t="shared" si="120"/>
        <v>0</v>
      </c>
      <c r="V352" s="36">
        <f t="shared" si="121"/>
        <v>0</v>
      </c>
      <c r="W352" s="43">
        <f t="shared" si="122"/>
        <v>0</v>
      </c>
      <c r="X352" s="44">
        <f t="shared" si="123"/>
        <v>0</v>
      </c>
      <c r="Y352" s="51">
        <f t="shared" si="124"/>
        <v>0</v>
      </c>
      <c r="Z352" s="52">
        <f t="shared" si="125"/>
        <v>0</v>
      </c>
      <c r="AA352" s="58">
        <f t="shared" si="126"/>
        <v>0</v>
      </c>
      <c r="AB352" s="17">
        <f t="shared" si="127"/>
        <v>0</v>
      </c>
      <c r="AC352" s="103"/>
      <c r="AD352" s="555"/>
      <c r="AE352" s="632"/>
    </row>
    <row r="353" spans="1:31" hidden="1" outlineLevel="1">
      <c r="A353" s="97">
        <v>43437</v>
      </c>
      <c r="B353" s="98">
        <f t="shared" si="118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>
        <f t="shared" si="120"/>
        <v>0</v>
      </c>
      <c r="V353" s="36">
        <f t="shared" si="121"/>
        <v>0</v>
      </c>
      <c r="W353" s="43">
        <f t="shared" si="122"/>
        <v>0</v>
      </c>
      <c r="X353" s="44">
        <f t="shared" si="123"/>
        <v>0</v>
      </c>
      <c r="Y353" s="51">
        <f t="shared" si="124"/>
        <v>0</v>
      </c>
      <c r="Z353" s="52">
        <f t="shared" si="125"/>
        <v>0</v>
      </c>
      <c r="AA353" s="58">
        <f t="shared" si="126"/>
        <v>0</v>
      </c>
      <c r="AB353" s="17">
        <f t="shared" si="127"/>
        <v>0</v>
      </c>
      <c r="AC353" s="103"/>
      <c r="AD353" s="555"/>
      <c r="AE353" s="632"/>
    </row>
    <row r="354" spans="1:31" hidden="1" outlineLevel="1">
      <c r="A354" s="97">
        <v>43438</v>
      </c>
      <c r="B354" s="98">
        <f t="shared" si="118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>
        <f t="shared" si="120"/>
        <v>0</v>
      </c>
      <c r="V354" s="36">
        <f t="shared" si="121"/>
        <v>0</v>
      </c>
      <c r="W354" s="43">
        <f t="shared" si="122"/>
        <v>0</v>
      </c>
      <c r="X354" s="44">
        <f t="shared" si="123"/>
        <v>0</v>
      </c>
      <c r="Y354" s="51">
        <f t="shared" si="124"/>
        <v>0</v>
      </c>
      <c r="Z354" s="52">
        <f t="shared" si="125"/>
        <v>0</v>
      </c>
      <c r="AA354" s="58">
        <f t="shared" si="126"/>
        <v>0</v>
      </c>
      <c r="AB354" s="17">
        <f t="shared" si="127"/>
        <v>0</v>
      </c>
      <c r="AC354" s="103"/>
      <c r="AD354" s="555"/>
      <c r="AE354" s="632"/>
    </row>
    <row r="355" spans="1:31" hidden="1" outlineLevel="1">
      <c r="A355" s="97">
        <v>43439</v>
      </c>
      <c r="B355" s="98">
        <f t="shared" si="118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>
        <f t="shared" si="120"/>
        <v>0</v>
      </c>
      <c r="V355" s="36">
        <f t="shared" si="121"/>
        <v>0</v>
      </c>
      <c r="W355" s="43">
        <f t="shared" si="122"/>
        <v>0</v>
      </c>
      <c r="X355" s="44">
        <f t="shared" si="123"/>
        <v>0</v>
      </c>
      <c r="Y355" s="51">
        <f t="shared" si="124"/>
        <v>0</v>
      </c>
      <c r="Z355" s="52">
        <f t="shared" si="125"/>
        <v>0</v>
      </c>
      <c r="AA355" s="58">
        <f t="shared" si="126"/>
        <v>0</v>
      </c>
      <c r="AB355" s="17">
        <f t="shared" si="127"/>
        <v>0</v>
      </c>
      <c r="AC355" s="103"/>
      <c r="AD355" s="555"/>
      <c r="AE355" s="632"/>
    </row>
    <row r="356" spans="1:31" hidden="1" outlineLevel="1">
      <c r="A356" s="97">
        <v>43440</v>
      </c>
      <c r="B356" s="98">
        <f t="shared" si="118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>
        <f t="shared" si="120"/>
        <v>0</v>
      </c>
      <c r="V356" s="36">
        <f t="shared" si="121"/>
        <v>0</v>
      </c>
      <c r="W356" s="43">
        <f t="shared" si="122"/>
        <v>0</v>
      </c>
      <c r="X356" s="44">
        <f t="shared" si="123"/>
        <v>0</v>
      </c>
      <c r="Y356" s="51">
        <f t="shared" si="124"/>
        <v>0</v>
      </c>
      <c r="Z356" s="52">
        <f t="shared" si="125"/>
        <v>0</v>
      </c>
      <c r="AA356" s="58">
        <f t="shared" si="126"/>
        <v>0</v>
      </c>
      <c r="AB356" s="17">
        <f t="shared" si="127"/>
        <v>0</v>
      </c>
      <c r="AC356" s="103"/>
      <c r="AD356" s="555"/>
      <c r="AE356" s="632"/>
    </row>
    <row r="357" spans="1:31" hidden="1" outlineLevel="1">
      <c r="A357" s="97">
        <v>43441</v>
      </c>
      <c r="B357" s="98">
        <f t="shared" si="118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>
        <f t="shared" si="120"/>
        <v>0</v>
      </c>
      <c r="V357" s="36">
        <f t="shared" si="121"/>
        <v>0</v>
      </c>
      <c r="W357" s="43">
        <f t="shared" si="122"/>
        <v>0</v>
      </c>
      <c r="X357" s="44">
        <f t="shared" si="123"/>
        <v>0</v>
      </c>
      <c r="Y357" s="51">
        <f t="shared" si="124"/>
        <v>0</v>
      </c>
      <c r="Z357" s="52">
        <f t="shared" si="125"/>
        <v>0</v>
      </c>
      <c r="AA357" s="58">
        <f t="shared" si="126"/>
        <v>0</v>
      </c>
      <c r="AB357" s="17">
        <f t="shared" si="127"/>
        <v>0</v>
      </c>
      <c r="AC357" s="103"/>
      <c r="AD357" s="555"/>
      <c r="AE357" s="632"/>
    </row>
    <row r="358" spans="1:31" hidden="1" outlineLevel="1">
      <c r="A358" s="97">
        <v>43442</v>
      </c>
      <c r="B358" s="98">
        <f t="shared" ref="B358:B381" si="129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>
        <f t="shared" si="120"/>
        <v>0</v>
      </c>
      <c r="V358" s="36">
        <f t="shared" si="121"/>
        <v>0</v>
      </c>
      <c r="W358" s="43">
        <f t="shared" si="122"/>
        <v>0</v>
      </c>
      <c r="X358" s="44">
        <f t="shared" si="123"/>
        <v>0</v>
      </c>
      <c r="Y358" s="51">
        <f t="shared" si="124"/>
        <v>0</v>
      </c>
      <c r="Z358" s="52">
        <f t="shared" si="125"/>
        <v>0</v>
      </c>
      <c r="AA358" s="58">
        <f t="shared" si="126"/>
        <v>0</v>
      </c>
      <c r="AB358" s="17">
        <f t="shared" si="127"/>
        <v>0</v>
      </c>
      <c r="AC358" s="103"/>
      <c r="AD358" s="555"/>
      <c r="AE358" s="632"/>
    </row>
    <row r="359" spans="1:31" hidden="1" outlineLevel="1">
      <c r="A359" s="97">
        <v>43443</v>
      </c>
      <c r="B359" s="98">
        <f t="shared" si="129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>
        <f t="shared" si="120"/>
        <v>0</v>
      </c>
      <c r="V359" s="36">
        <f t="shared" si="121"/>
        <v>0</v>
      </c>
      <c r="W359" s="43">
        <f t="shared" si="122"/>
        <v>0</v>
      </c>
      <c r="X359" s="44">
        <f t="shared" si="123"/>
        <v>0</v>
      </c>
      <c r="Y359" s="51">
        <f t="shared" si="124"/>
        <v>0</v>
      </c>
      <c r="Z359" s="52">
        <f t="shared" si="125"/>
        <v>0</v>
      </c>
      <c r="AA359" s="58">
        <f t="shared" si="126"/>
        <v>0</v>
      </c>
      <c r="AB359" s="17">
        <f t="shared" si="127"/>
        <v>0</v>
      </c>
      <c r="AC359" s="103"/>
      <c r="AD359" s="555"/>
      <c r="AE359" s="632"/>
    </row>
    <row r="360" spans="1:31" hidden="1" outlineLevel="1">
      <c r="A360" s="97">
        <v>43444</v>
      </c>
      <c r="B360" s="98">
        <f t="shared" si="129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>
        <f t="shared" si="120"/>
        <v>0</v>
      </c>
      <c r="V360" s="36">
        <f t="shared" si="121"/>
        <v>0</v>
      </c>
      <c r="W360" s="43">
        <f t="shared" si="122"/>
        <v>0</v>
      </c>
      <c r="X360" s="44">
        <f t="shared" si="123"/>
        <v>0</v>
      </c>
      <c r="Y360" s="51">
        <f t="shared" si="124"/>
        <v>0</v>
      </c>
      <c r="Z360" s="52">
        <f t="shared" si="125"/>
        <v>0</v>
      </c>
      <c r="AA360" s="58">
        <f t="shared" si="126"/>
        <v>0</v>
      </c>
      <c r="AB360" s="17">
        <f t="shared" si="127"/>
        <v>0</v>
      </c>
      <c r="AC360" s="103"/>
      <c r="AD360" s="555"/>
      <c r="AE360" s="632"/>
    </row>
    <row r="361" spans="1:31" hidden="1" outlineLevel="1">
      <c r="A361" s="97">
        <v>43445</v>
      </c>
      <c r="B361" s="98">
        <f t="shared" si="129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>
        <f t="shared" si="120"/>
        <v>0</v>
      </c>
      <c r="V361" s="36">
        <f t="shared" si="121"/>
        <v>0</v>
      </c>
      <c r="W361" s="43">
        <f t="shared" si="122"/>
        <v>0</v>
      </c>
      <c r="X361" s="44">
        <f t="shared" si="123"/>
        <v>0</v>
      </c>
      <c r="Y361" s="51">
        <f t="shared" si="124"/>
        <v>0</v>
      </c>
      <c r="Z361" s="52">
        <f t="shared" si="125"/>
        <v>0</v>
      </c>
      <c r="AA361" s="58">
        <f t="shared" si="126"/>
        <v>0</v>
      </c>
      <c r="AB361" s="17">
        <f t="shared" si="127"/>
        <v>0</v>
      </c>
      <c r="AC361" s="103"/>
      <c r="AD361" s="555"/>
      <c r="AE361" s="632"/>
    </row>
    <row r="362" spans="1:31" hidden="1" outlineLevel="1">
      <c r="A362" s="97">
        <v>43446</v>
      </c>
      <c r="B362" s="98">
        <f t="shared" si="129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>
        <f t="shared" si="120"/>
        <v>0</v>
      </c>
      <c r="V362" s="36">
        <f t="shared" si="121"/>
        <v>0</v>
      </c>
      <c r="W362" s="43">
        <f t="shared" si="122"/>
        <v>0</v>
      </c>
      <c r="X362" s="44">
        <f t="shared" si="123"/>
        <v>0</v>
      </c>
      <c r="Y362" s="51">
        <f t="shared" si="124"/>
        <v>0</v>
      </c>
      <c r="Z362" s="52">
        <f t="shared" si="125"/>
        <v>0</v>
      </c>
      <c r="AA362" s="58">
        <f t="shared" si="126"/>
        <v>0</v>
      </c>
      <c r="AB362" s="17">
        <f t="shared" si="127"/>
        <v>0</v>
      </c>
      <c r="AC362" s="103"/>
      <c r="AD362" s="555"/>
      <c r="AE362" s="632"/>
    </row>
    <row r="363" spans="1:31" hidden="1" outlineLevel="1">
      <c r="A363" s="97">
        <v>43447</v>
      </c>
      <c r="B363" s="98">
        <f t="shared" si="129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>
        <f t="shared" si="120"/>
        <v>0</v>
      </c>
      <c r="V363" s="36">
        <f t="shared" si="121"/>
        <v>0</v>
      </c>
      <c r="W363" s="43">
        <f t="shared" si="122"/>
        <v>0</v>
      </c>
      <c r="X363" s="44">
        <f t="shared" si="123"/>
        <v>0</v>
      </c>
      <c r="Y363" s="51">
        <f t="shared" si="124"/>
        <v>0</v>
      </c>
      <c r="Z363" s="52">
        <f t="shared" si="125"/>
        <v>0</v>
      </c>
      <c r="AA363" s="58">
        <f t="shared" si="126"/>
        <v>0</v>
      </c>
      <c r="AB363" s="17">
        <f t="shared" si="127"/>
        <v>0</v>
      </c>
      <c r="AC363" s="103"/>
      <c r="AD363" s="555"/>
      <c r="AE363" s="632"/>
    </row>
    <row r="364" spans="1:31" hidden="1" outlineLevel="1">
      <c r="A364" s="97">
        <v>43448</v>
      </c>
      <c r="B364" s="98">
        <f t="shared" si="129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>
        <f t="shared" si="120"/>
        <v>0</v>
      </c>
      <c r="V364" s="36">
        <f t="shared" si="121"/>
        <v>0</v>
      </c>
      <c r="W364" s="43">
        <f t="shared" si="122"/>
        <v>0</v>
      </c>
      <c r="X364" s="44">
        <f t="shared" si="123"/>
        <v>0</v>
      </c>
      <c r="Y364" s="51">
        <f t="shared" si="124"/>
        <v>0</v>
      </c>
      <c r="Z364" s="52">
        <f t="shared" si="125"/>
        <v>0</v>
      </c>
      <c r="AA364" s="58">
        <f t="shared" si="126"/>
        <v>0</v>
      </c>
      <c r="AB364" s="17">
        <f t="shared" si="127"/>
        <v>0</v>
      </c>
      <c r="AC364" s="103"/>
      <c r="AD364" s="555"/>
      <c r="AE364" s="632"/>
    </row>
    <row r="365" spans="1:31" hidden="1" outlineLevel="1">
      <c r="A365" s="97">
        <v>43449</v>
      </c>
      <c r="B365" s="98">
        <f t="shared" si="129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>
        <f t="shared" si="120"/>
        <v>0</v>
      </c>
      <c r="V365" s="36">
        <f t="shared" si="121"/>
        <v>0</v>
      </c>
      <c r="W365" s="43">
        <f t="shared" si="122"/>
        <v>0</v>
      </c>
      <c r="X365" s="44">
        <f t="shared" si="123"/>
        <v>0</v>
      </c>
      <c r="Y365" s="51">
        <f t="shared" si="124"/>
        <v>0</v>
      </c>
      <c r="Z365" s="52">
        <f t="shared" si="125"/>
        <v>0</v>
      </c>
      <c r="AA365" s="58">
        <f t="shared" si="126"/>
        <v>0</v>
      </c>
      <c r="AB365" s="17">
        <f t="shared" si="127"/>
        <v>0</v>
      </c>
      <c r="AC365" s="103"/>
      <c r="AD365" s="555"/>
      <c r="AE365" s="632"/>
    </row>
    <row r="366" spans="1:31" hidden="1" outlineLevel="1">
      <c r="A366" s="97">
        <v>43450</v>
      </c>
      <c r="B366" s="98">
        <f t="shared" si="129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>
        <f t="shared" si="120"/>
        <v>0</v>
      </c>
      <c r="V366" s="36">
        <f t="shared" si="121"/>
        <v>0</v>
      </c>
      <c r="W366" s="43">
        <f t="shared" si="122"/>
        <v>0</v>
      </c>
      <c r="X366" s="44">
        <f t="shared" si="123"/>
        <v>0</v>
      </c>
      <c r="Y366" s="51">
        <f t="shared" si="124"/>
        <v>0</v>
      </c>
      <c r="Z366" s="52">
        <f t="shared" si="125"/>
        <v>0</v>
      </c>
      <c r="AA366" s="58">
        <f t="shared" si="126"/>
        <v>0</v>
      </c>
      <c r="AB366" s="17">
        <f t="shared" si="127"/>
        <v>0</v>
      </c>
      <c r="AC366" s="103"/>
      <c r="AD366" s="555"/>
      <c r="AE366" s="632"/>
    </row>
    <row r="367" spans="1:31" hidden="1" outlineLevel="1">
      <c r="A367" s="97">
        <v>43451</v>
      </c>
      <c r="B367" s="98">
        <f t="shared" si="129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>
        <f t="shared" si="120"/>
        <v>0</v>
      </c>
      <c r="V367" s="36">
        <f t="shared" si="121"/>
        <v>0</v>
      </c>
      <c r="W367" s="43">
        <f t="shared" si="122"/>
        <v>0</v>
      </c>
      <c r="X367" s="44">
        <f t="shared" si="123"/>
        <v>0</v>
      </c>
      <c r="Y367" s="51">
        <f t="shared" si="124"/>
        <v>0</v>
      </c>
      <c r="Z367" s="52">
        <f t="shared" si="125"/>
        <v>0</v>
      </c>
      <c r="AA367" s="58">
        <f t="shared" si="126"/>
        <v>0</v>
      </c>
      <c r="AB367" s="17">
        <f t="shared" si="127"/>
        <v>0</v>
      </c>
      <c r="AC367" s="103"/>
      <c r="AD367" s="555"/>
      <c r="AE367" s="632"/>
    </row>
    <row r="368" spans="1:31" hidden="1" outlineLevel="1">
      <c r="A368" s="97">
        <v>43452</v>
      </c>
      <c r="B368" s="98">
        <f t="shared" si="129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>
        <f t="shared" si="120"/>
        <v>0</v>
      </c>
      <c r="V368" s="36">
        <f t="shared" si="121"/>
        <v>0</v>
      </c>
      <c r="W368" s="43">
        <f t="shared" si="122"/>
        <v>0</v>
      </c>
      <c r="X368" s="44">
        <f t="shared" si="123"/>
        <v>0</v>
      </c>
      <c r="Y368" s="51">
        <f t="shared" si="124"/>
        <v>0</v>
      </c>
      <c r="Z368" s="52">
        <f t="shared" si="125"/>
        <v>0</v>
      </c>
      <c r="AA368" s="58">
        <f t="shared" si="126"/>
        <v>0</v>
      </c>
      <c r="AB368" s="17">
        <f t="shared" si="127"/>
        <v>0</v>
      </c>
      <c r="AC368" s="103"/>
      <c r="AD368" s="555"/>
      <c r="AE368" s="632"/>
    </row>
    <row r="369" spans="1:31" hidden="1" outlineLevel="1">
      <c r="A369" s="97">
        <v>43453</v>
      </c>
      <c r="B369" s="98">
        <f t="shared" si="129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>
        <f t="shared" si="120"/>
        <v>0</v>
      </c>
      <c r="V369" s="36">
        <f t="shared" si="121"/>
        <v>0</v>
      </c>
      <c r="W369" s="43">
        <f t="shared" si="122"/>
        <v>0</v>
      </c>
      <c r="X369" s="44">
        <f t="shared" si="123"/>
        <v>0</v>
      </c>
      <c r="Y369" s="51">
        <f t="shared" si="124"/>
        <v>0</v>
      </c>
      <c r="Z369" s="52">
        <f t="shared" si="125"/>
        <v>0</v>
      </c>
      <c r="AA369" s="58">
        <f t="shared" si="126"/>
        <v>0</v>
      </c>
      <c r="AB369" s="17">
        <f t="shared" si="127"/>
        <v>0</v>
      </c>
      <c r="AC369" s="103"/>
      <c r="AD369" s="555"/>
      <c r="AE369" s="632"/>
    </row>
    <row r="370" spans="1:31" hidden="1" outlineLevel="1">
      <c r="A370" s="97">
        <v>43454</v>
      </c>
      <c r="B370" s="98">
        <f t="shared" si="129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>
        <f t="shared" si="120"/>
        <v>0</v>
      </c>
      <c r="V370" s="36">
        <f t="shared" si="121"/>
        <v>0</v>
      </c>
      <c r="W370" s="43">
        <f t="shared" si="122"/>
        <v>0</v>
      </c>
      <c r="X370" s="44">
        <f t="shared" si="123"/>
        <v>0</v>
      </c>
      <c r="Y370" s="51">
        <f t="shared" si="124"/>
        <v>0</v>
      </c>
      <c r="Z370" s="52">
        <f t="shared" si="125"/>
        <v>0</v>
      </c>
      <c r="AA370" s="58">
        <f t="shared" si="126"/>
        <v>0</v>
      </c>
      <c r="AB370" s="17">
        <f t="shared" si="127"/>
        <v>0</v>
      </c>
      <c r="AC370" s="103"/>
      <c r="AD370" s="555"/>
      <c r="AE370" s="632"/>
    </row>
    <row r="371" spans="1:31" hidden="1" outlineLevel="1">
      <c r="A371" s="97">
        <v>43455</v>
      </c>
      <c r="B371" s="98">
        <f t="shared" si="129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>
        <f t="shared" si="120"/>
        <v>0</v>
      </c>
      <c r="V371" s="36">
        <f t="shared" si="121"/>
        <v>0</v>
      </c>
      <c r="W371" s="43">
        <f t="shared" si="122"/>
        <v>0</v>
      </c>
      <c r="X371" s="44">
        <f t="shared" si="123"/>
        <v>0</v>
      </c>
      <c r="Y371" s="51">
        <f t="shared" si="124"/>
        <v>0</v>
      </c>
      <c r="Z371" s="52">
        <f t="shared" si="125"/>
        <v>0</v>
      </c>
      <c r="AA371" s="58">
        <f t="shared" si="126"/>
        <v>0</v>
      </c>
      <c r="AB371" s="17">
        <f t="shared" si="127"/>
        <v>0</v>
      </c>
      <c r="AC371" s="103"/>
      <c r="AD371" s="555"/>
      <c r="AE371" s="632"/>
    </row>
    <row r="372" spans="1:31" hidden="1" outlineLevel="1">
      <c r="A372" s="97">
        <v>43456</v>
      </c>
      <c r="B372" s="98">
        <f t="shared" si="129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>
        <f t="shared" si="120"/>
        <v>0</v>
      </c>
      <c r="V372" s="36">
        <f t="shared" si="121"/>
        <v>0</v>
      </c>
      <c r="W372" s="43">
        <f t="shared" si="122"/>
        <v>0</v>
      </c>
      <c r="X372" s="44">
        <f t="shared" si="123"/>
        <v>0</v>
      </c>
      <c r="Y372" s="51">
        <f t="shared" si="124"/>
        <v>0</v>
      </c>
      <c r="Z372" s="52">
        <f t="shared" si="125"/>
        <v>0</v>
      </c>
      <c r="AA372" s="58">
        <f t="shared" si="126"/>
        <v>0</v>
      </c>
      <c r="AB372" s="17">
        <f t="shared" si="127"/>
        <v>0</v>
      </c>
      <c r="AC372" s="103"/>
      <c r="AD372" s="555"/>
      <c r="AE372" s="632"/>
    </row>
    <row r="373" spans="1:31" hidden="1" outlineLevel="1">
      <c r="A373" s="97">
        <v>43457</v>
      </c>
      <c r="B373" s="98">
        <f t="shared" si="129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>
        <f t="shared" si="120"/>
        <v>0</v>
      </c>
      <c r="V373" s="36">
        <f t="shared" si="121"/>
        <v>0</v>
      </c>
      <c r="W373" s="43">
        <f t="shared" si="122"/>
        <v>0</v>
      </c>
      <c r="X373" s="44">
        <f t="shared" si="123"/>
        <v>0</v>
      </c>
      <c r="Y373" s="51">
        <f t="shared" si="124"/>
        <v>0</v>
      </c>
      <c r="Z373" s="52">
        <f t="shared" si="125"/>
        <v>0</v>
      </c>
      <c r="AA373" s="58">
        <f t="shared" si="126"/>
        <v>0</v>
      </c>
      <c r="AB373" s="17">
        <f t="shared" si="127"/>
        <v>0</v>
      </c>
      <c r="AC373" s="103"/>
      <c r="AD373" s="555"/>
      <c r="AE373" s="632"/>
    </row>
    <row r="374" spans="1:31" hidden="1" outlineLevel="1">
      <c r="A374" s="97">
        <v>43458</v>
      </c>
      <c r="B374" s="98">
        <f t="shared" si="129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>
        <f t="shared" si="120"/>
        <v>0</v>
      </c>
      <c r="V374" s="36">
        <f t="shared" si="121"/>
        <v>0</v>
      </c>
      <c r="W374" s="43">
        <f t="shared" si="122"/>
        <v>0</v>
      </c>
      <c r="X374" s="44">
        <f t="shared" si="123"/>
        <v>0</v>
      </c>
      <c r="Y374" s="51">
        <f t="shared" si="124"/>
        <v>0</v>
      </c>
      <c r="Z374" s="52">
        <f t="shared" si="125"/>
        <v>0</v>
      </c>
      <c r="AA374" s="58">
        <f t="shared" si="126"/>
        <v>0</v>
      </c>
      <c r="AB374" s="17">
        <f t="shared" si="127"/>
        <v>0</v>
      </c>
      <c r="AC374" s="103"/>
      <c r="AD374" s="555"/>
      <c r="AE374" s="632"/>
    </row>
    <row r="375" spans="1:31" hidden="1" outlineLevel="1">
      <c r="A375" s="97">
        <v>43459</v>
      </c>
      <c r="B375" s="98">
        <f t="shared" si="129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>
        <f t="shared" si="120"/>
        <v>0</v>
      </c>
      <c r="V375" s="36">
        <f t="shared" si="121"/>
        <v>0</v>
      </c>
      <c r="W375" s="43">
        <f t="shared" si="122"/>
        <v>0</v>
      </c>
      <c r="X375" s="44">
        <f t="shared" si="123"/>
        <v>0</v>
      </c>
      <c r="Y375" s="51">
        <f t="shared" si="124"/>
        <v>0</v>
      </c>
      <c r="Z375" s="52">
        <f t="shared" si="125"/>
        <v>0</v>
      </c>
      <c r="AA375" s="58">
        <f t="shared" si="126"/>
        <v>0</v>
      </c>
      <c r="AB375" s="17">
        <f t="shared" si="127"/>
        <v>0</v>
      </c>
      <c r="AC375" s="103"/>
      <c r="AD375" s="555"/>
      <c r="AE375" s="632"/>
    </row>
    <row r="376" spans="1:31" hidden="1" outlineLevel="1">
      <c r="A376" s="97">
        <v>43460</v>
      </c>
      <c r="B376" s="98">
        <f t="shared" si="129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>
        <f t="shared" si="120"/>
        <v>0</v>
      </c>
      <c r="V376" s="36">
        <f t="shared" si="121"/>
        <v>0</v>
      </c>
      <c r="W376" s="43">
        <f t="shared" si="122"/>
        <v>0</v>
      </c>
      <c r="X376" s="44">
        <f t="shared" si="123"/>
        <v>0</v>
      </c>
      <c r="Y376" s="51">
        <f t="shared" si="124"/>
        <v>0</v>
      </c>
      <c r="Z376" s="52">
        <f t="shared" si="125"/>
        <v>0</v>
      </c>
      <c r="AA376" s="58">
        <f t="shared" si="126"/>
        <v>0</v>
      </c>
      <c r="AB376" s="17">
        <f t="shared" si="127"/>
        <v>0</v>
      </c>
      <c r="AC376" s="103"/>
      <c r="AD376" s="555"/>
      <c r="AE376" s="632"/>
    </row>
    <row r="377" spans="1:31" hidden="1" outlineLevel="1">
      <c r="A377" s="97">
        <v>43461</v>
      </c>
      <c r="B377" s="98">
        <f t="shared" si="129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>
        <f t="shared" si="120"/>
        <v>0</v>
      </c>
      <c r="V377" s="36">
        <f t="shared" si="121"/>
        <v>0</v>
      </c>
      <c r="W377" s="43">
        <f t="shared" si="122"/>
        <v>0</v>
      </c>
      <c r="X377" s="44">
        <f t="shared" si="123"/>
        <v>0</v>
      </c>
      <c r="Y377" s="51">
        <f t="shared" si="124"/>
        <v>0</v>
      </c>
      <c r="Z377" s="52">
        <f t="shared" si="125"/>
        <v>0</v>
      </c>
      <c r="AA377" s="58">
        <f t="shared" si="126"/>
        <v>0</v>
      </c>
      <c r="AB377" s="17">
        <f t="shared" si="127"/>
        <v>0</v>
      </c>
      <c r="AC377" s="103"/>
      <c r="AD377" s="555"/>
      <c r="AE377" s="632"/>
    </row>
    <row r="378" spans="1:31" hidden="1" outlineLevel="1">
      <c r="A378" s="97">
        <v>43462</v>
      </c>
      <c r="B378" s="98">
        <f t="shared" si="129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>
        <f t="shared" si="120"/>
        <v>0</v>
      </c>
      <c r="V378" s="36">
        <f t="shared" si="121"/>
        <v>0</v>
      </c>
      <c r="W378" s="43">
        <f t="shared" si="122"/>
        <v>0</v>
      </c>
      <c r="X378" s="44">
        <f t="shared" si="123"/>
        <v>0</v>
      </c>
      <c r="Y378" s="51">
        <f t="shared" si="124"/>
        <v>0</v>
      </c>
      <c r="Z378" s="52">
        <f t="shared" si="125"/>
        <v>0</v>
      </c>
      <c r="AA378" s="58">
        <f t="shared" si="126"/>
        <v>0</v>
      </c>
      <c r="AB378" s="17">
        <f t="shared" si="127"/>
        <v>0</v>
      </c>
      <c r="AC378" s="103"/>
      <c r="AD378" s="555"/>
      <c r="AE378" s="632"/>
    </row>
    <row r="379" spans="1:31" hidden="1" outlineLevel="1">
      <c r="A379" s="97">
        <v>43463</v>
      </c>
      <c r="B379" s="98">
        <f t="shared" si="129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>
        <f t="shared" si="120"/>
        <v>0</v>
      </c>
      <c r="V379" s="36">
        <f t="shared" si="121"/>
        <v>0</v>
      </c>
      <c r="W379" s="43">
        <f t="shared" si="122"/>
        <v>0</v>
      </c>
      <c r="X379" s="44">
        <f t="shared" si="123"/>
        <v>0</v>
      </c>
      <c r="Y379" s="51">
        <f t="shared" si="124"/>
        <v>0</v>
      </c>
      <c r="Z379" s="52">
        <f t="shared" si="125"/>
        <v>0</v>
      </c>
      <c r="AA379" s="58">
        <f t="shared" si="126"/>
        <v>0</v>
      </c>
      <c r="AB379" s="17">
        <f t="shared" si="127"/>
        <v>0</v>
      </c>
      <c r="AC379" s="103"/>
      <c r="AD379" s="555"/>
      <c r="AE379" s="632"/>
    </row>
    <row r="380" spans="1:31" hidden="1" outlineLevel="1">
      <c r="A380" s="97">
        <v>43464</v>
      </c>
      <c r="B380" s="98">
        <f t="shared" si="129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>
        <f t="shared" si="120"/>
        <v>0</v>
      </c>
      <c r="V380" s="36">
        <f t="shared" si="121"/>
        <v>0</v>
      </c>
      <c r="W380" s="43">
        <f t="shared" si="122"/>
        <v>0</v>
      </c>
      <c r="X380" s="44">
        <f t="shared" si="123"/>
        <v>0</v>
      </c>
      <c r="Y380" s="51">
        <f t="shared" si="124"/>
        <v>0</v>
      </c>
      <c r="Z380" s="52">
        <f t="shared" si="125"/>
        <v>0</v>
      </c>
      <c r="AA380" s="58">
        <f t="shared" si="126"/>
        <v>0</v>
      </c>
      <c r="AB380" s="17">
        <f t="shared" si="127"/>
        <v>0</v>
      </c>
      <c r="AC380" s="103"/>
      <c r="AD380" s="555"/>
      <c r="AE380" s="632"/>
    </row>
    <row r="381" spans="1:31" hidden="1" outlineLevel="1">
      <c r="A381" s="97">
        <v>43465</v>
      </c>
      <c r="B381" s="98">
        <f t="shared" si="129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>
        <f t="shared" si="120"/>
        <v>0</v>
      </c>
      <c r="V381" s="36">
        <f t="shared" si="121"/>
        <v>0</v>
      </c>
      <c r="W381" s="43">
        <f t="shared" si="122"/>
        <v>0</v>
      </c>
      <c r="X381" s="44">
        <f t="shared" si="123"/>
        <v>0</v>
      </c>
      <c r="Y381" s="51">
        <f t="shared" si="124"/>
        <v>0</v>
      </c>
      <c r="Z381" s="52">
        <f t="shared" si="125"/>
        <v>0</v>
      </c>
      <c r="AA381" s="58">
        <f t="shared" si="126"/>
        <v>0</v>
      </c>
      <c r="AB381" s="17">
        <f t="shared" si="127"/>
        <v>0</v>
      </c>
      <c r="AC381" s="103"/>
      <c r="AD381" s="555"/>
      <c r="AE381" s="632"/>
    </row>
    <row r="382" spans="1:31" collapsed="1">
      <c r="K382" s="103"/>
      <c r="T382" s="103"/>
      <c r="AC382" s="103"/>
    </row>
    <row r="383" spans="1:31">
      <c r="A383" s="102" t="s">
        <v>101</v>
      </c>
      <c r="C383" s="859" t="s">
        <v>1</v>
      </c>
      <c r="D383" s="859"/>
      <c r="E383" s="860" t="s">
        <v>2</v>
      </c>
      <c r="F383" s="860"/>
      <c r="G383" s="861" t="s">
        <v>3</v>
      </c>
      <c r="H383" s="861"/>
      <c r="I383" s="858" t="s">
        <v>4</v>
      </c>
      <c r="J383" s="858"/>
      <c r="K383" s="103"/>
      <c r="L383" s="859" t="s">
        <v>1</v>
      </c>
      <c r="M383" s="859"/>
      <c r="N383" s="860" t="s">
        <v>2</v>
      </c>
      <c r="O383" s="860"/>
      <c r="P383" s="861" t="s">
        <v>3</v>
      </c>
      <c r="Q383" s="861"/>
      <c r="R383" s="858" t="s">
        <v>4</v>
      </c>
      <c r="S383" s="858"/>
      <c r="T383" s="103"/>
      <c r="U383" s="859" t="s">
        <v>1</v>
      </c>
      <c r="V383" s="859"/>
      <c r="W383" s="860" t="s">
        <v>2</v>
      </c>
      <c r="X383" s="860"/>
      <c r="Y383" s="861" t="s">
        <v>3</v>
      </c>
      <c r="Z383" s="861"/>
      <c r="AA383" s="858" t="s">
        <v>4</v>
      </c>
      <c r="AB383" s="858"/>
      <c r="AC383" s="103"/>
    </row>
    <row r="384" spans="1:31">
      <c r="C384" s="1" t="s">
        <v>100</v>
      </c>
      <c r="D384" s="1" t="s">
        <v>29</v>
      </c>
      <c r="E384" s="2" t="s">
        <v>100</v>
      </c>
      <c r="F384" s="2" t="s">
        <v>29</v>
      </c>
      <c r="G384" s="3" t="s">
        <v>100</v>
      </c>
      <c r="H384" s="3" t="s">
        <v>29</v>
      </c>
      <c r="I384" s="4" t="s">
        <v>100</v>
      </c>
      <c r="J384" s="4" t="s">
        <v>29</v>
      </c>
      <c r="K384" s="103"/>
      <c r="L384" s="1" t="s">
        <v>100</v>
      </c>
      <c r="M384" s="1" t="s">
        <v>29</v>
      </c>
      <c r="N384" s="2" t="s">
        <v>100</v>
      </c>
      <c r="O384" s="2" t="s">
        <v>29</v>
      </c>
      <c r="P384" s="3" t="s">
        <v>100</v>
      </c>
      <c r="Q384" s="3" t="s">
        <v>29</v>
      </c>
      <c r="R384" s="4" t="s">
        <v>100</v>
      </c>
      <c r="S384" s="4" t="s">
        <v>29</v>
      </c>
      <c r="T384" s="103"/>
      <c r="U384" s="1" t="s">
        <v>100</v>
      </c>
      <c r="V384" s="1" t="s">
        <v>29</v>
      </c>
      <c r="W384" s="2" t="s">
        <v>100</v>
      </c>
      <c r="X384" s="2" t="s">
        <v>29</v>
      </c>
      <c r="Y384" s="3" t="s">
        <v>100</v>
      </c>
      <c r="Z384" s="3" t="s">
        <v>29</v>
      </c>
      <c r="AA384" s="4" t="s">
        <v>100</v>
      </c>
      <c r="AB384" s="4" t="s">
        <v>29</v>
      </c>
      <c r="AC384" s="103"/>
    </row>
    <row r="385" spans="1:29">
      <c r="B385" s="552" t="s">
        <v>14</v>
      </c>
      <c r="C385" s="539">
        <f>'VN_YouTube Performance'!E66</f>
        <v>864105685</v>
      </c>
      <c r="D385" s="540">
        <f>'VN_YouTube Performance'!E6</f>
        <v>864105685</v>
      </c>
      <c r="E385" s="541">
        <f>'VN_YouTube Performance'!G66</f>
        <v>569674736.83402956</v>
      </c>
      <c r="F385" s="542">
        <f>'VN_YouTube Performance'!G6</f>
        <v>712243496</v>
      </c>
      <c r="G385" s="543">
        <f>'VN_YouTube Performance'!I66</f>
        <v>1293975473.6658671</v>
      </c>
      <c r="H385" s="544">
        <f>'VN_YouTube Performance'!I6</f>
        <v>1147271340</v>
      </c>
      <c r="I385" s="545">
        <f>'VN_YouTube Performance'!K66</f>
        <v>81382105.262004226</v>
      </c>
      <c r="J385" s="545">
        <f>'VN_YouTube Performance'!K6</f>
        <v>125989099</v>
      </c>
      <c r="K385" s="103"/>
      <c r="L385" s="539">
        <f>'VN_YouTube Performance'!P66</f>
        <v>795091225</v>
      </c>
      <c r="M385" s="540">
        <f>'VN_YouTube Performance'!P6</f>
        <v>795091225</v>
      </c>
      <c r="N385" s="541">
        <f>'VN_YouTube Performance'!R66</f>
        <v>537203276.83448982</v>
      </c>
      <c r="O385" s="542">
        <f>'VN_YouTube Performance'!R6</f>
        <v>600131253</v>
      </c>
      <c r="P385" s="543">
        <f>'VN_YouTube Performance'!T66</f>
        <v>1183987558.4042685</v>
      </c>
      <c r="Q385" s="544">
        <f>'VN_YouTube Performance'!T6</f>
        <v>868466034</v>
      </c>
      <c r="R385" s="545">
        <f>'VN_YouTube Performance'!V66</f>
        <v>72023163.156873748</v>
      </c>
      <c r="S385" s="545">
        <f>'VN_YouTube Performance'!V6</f>
        <v>100691266</v>
      </c>
      <c r="T385" s="103"/>
      <c r="U385" s="539">
        <f>'VN_YouTube Performance'!AA66</f>
        <v>69014460</v>
      </c>
      <c r="V385" s="540">
        <f>'VN_YouTube Performance'!AA6</f>
        <v>69014460</v>
      </c>
      <c r="W385" s="541">
        <f>'VN_YouTube Performance'!AC66</f>
        <v>32471459.999539733</v>
      </c>
      <c r="X385" s="542">
        <f>'VN_YouTube Performance'!AC6</f>
        <v>112112243</v>
      </c>
      <c r="Y385" s="543">
        <f>'VN_YouTube Performance'!AE66</f>
        <v>109987915.26159859</v>
      </c>
      <c r="Z385" s="544">
        <f>'VN_YouTube Performance'!AE6</f>
        <v>278805306</v>
      </c>
      <c r="AA385" s="545">
        <f>'VN_YouTube Performance'!AG66</f>
        <v>9358942.1051304787</v>
      </c>
      <c r="AB385" s="545">
        <f>'VN_YouTube Performance'!AG6</f>
        <v>25297833</v>
      </c>
      <c r="AC385" s="103"/>
    </row>
    <row r="386" spans="1:29">
      <c r="B386" s="552" t="s">
        <v>15</v>
      </c>
      <c r="C386" s="539">
        <f>'VN_YouTube Performance'!E67</f>
        <v>833934912</v>
      </c>
      <c r="D386" s="540">
        <f>'VN_YouTube Performance'!E7</f>
        <v>833934912</v>
      </c>
      <c r="E386" s="541">
        <f>'VN_YouTube Performance'!G67</f>
        <v>508439589.17777473</v>
      </c>
      <c r="F386" s="542">
        <f>'VN_YouTube Performance'!G7</f>
        <v>640353919</v>
      </c>
      <c r="G386" s="543">
        <f>'VN_YouTube Performance'!I67</f>
        <v>1154884209.7038028</v>
      </c>
      <c r="H386" s="544">
        <f>'VN_YouTube Performance'!I7</f>
        <v>1266919294</v>
      </c>
      <c r="I386" s="545">
        <f>'VN_YouTube Performance'!K67</f>
        <v>72634227.025396392</v>
      </c>
      <c r="J386" s="545">
        <f>'VN_YouTube Performance'!K7</f>
        <v>100703382</v>
      </c>
      <c r="K386" s="103"/>
      <c r="L386" s="539">
        <f>'VN_YouTube Performance'!P67</f>
        <v>776784349</v>
      </c>
      <c r="M386" s="540">
        <f>'VN_YouTube Performance'!P7</f>
        <v>776784349</v>
      </c>
      <c r="N386" s="541">
        <f>'VN_YouTube Performance'!R67</f>
        <v>479458532.59464157</v>
      </c>
      <c r="O386" s="542">
        <f>'VN_YouTube Performance'!R7</f>
        <v>559835027</v>
      </c>
      <c r="P386" s="543">
        <f>'VN_YouTube Performance'!T67</f>
        <v>1056719051.8789797</v>
      </c>
      <c r="Q386" s="544">
        <f>'VN_YouTube Performance'!T7</f>
        <v>854430643</v>
      </c>
      <c r="R386" s="545">
        <f>'VN_YouTube Performance'!V67</f>
        <v>64281290.917475805</v>
      </c>
      <c r="S386" s="545">
        <f>'VN_YouTube Performance'!V7</f>
        <v>87725110</v>
      </c>
      <c r="T386" s="103"/>
      <c r="U386" s="539">
        <f>'VN_YouTube Performance'!AA67</f>
        <v>57150563</v>
      </c>
      <c r="V386" s="540">
        <f>'VN_YouTube Performance'!AA7</f>
        <v>57150563</v>
      </c>
      <c r="W386" s="541">
        <f>'VN_YouTube Performance'!AC67</f>
        <v>28981056.583133161</v>
      </c>
      <c r="X386" s="542">
        <f>'VN_YouTube Performance'!AC7</f>
        <v>80518892</v>
      </c>
      <c r="Y386" s="543">
        <f>'VN_YouTube Performance'!AE67</f>
        <v>98165157.824823141</v>
      </c>
      <c r="Z386" s="544">
        <f>'VN_YouTube Performance'!AE7</f>
        <v>412488651</v>
      </c>
      <c r="AA386" s="545">
        <f>'VN_YouTube Performance'!AG67</f>
        <v>8352936.1079205871</v>
      </c>
      <c r="AB386" s="545">
        <f>'VN_YouTube Performance'!AG7</f>
        <v>12978272</v>
      </c>
      <c r="AC386" s="103"/>
    </row>
    <row r="387" spans="1:29">
      <c r="B387" s="552" t="s">
        <v>16</v>
      </c>
      <c r="C387" s="539">
        <f>'VN_YouTube Performance'!E68</f>
        <v>1022301334</v>
      </c>
      <c r="D387" s="540">
        <f>'VN_YouTube Performance'!E8</f>
        <v>1022301334</v>
      </c>
      <c r="E387" s="541">
        <f>'VN_YouTube Performance'!G68</f>
        <v>627519177.87771106</v>
      </c>
      <c r="F387" s="542">
        <f>'VN_YouTube Performance'!G8</f>
        <v>663392460</v>
      </c>
      <c r="G387" s="543">
        <f>'VN_YouTube Performance'!I68</f>
        <v>1425364989.7508011</v>
      </c>
      <c r="H387" s="544">
        <f>'VN_YouTube Performance'!I8</f>
        <v>1702385218</v>
      </c>
      <c r="I387" s="545">
        <f>'VN_YouTube Performance'!K68</f>
        <v>89645596.839673027</v>
      </c>
      <c r="J387" s="545">
        <f>'VN_YouTube Performance'!K8</f>
        <v>169816435</v>
      </c>
      <c r="K387" s="103"/>
      <c r="L387" s="539">
        <f>'VN_YouTube Performance'!P68</f>
        <v>953219469</v>
      </c>
      <c r="M387" s="540">
        <f>'VN_YouTube Performance'!P8</f>
        <v>953219469</v>
      </c>
      <c r="N387" s="541">
        <f>'VN_YouTube Performance'!R68</f>
        <v>591750584.73868155</v>
      </c>
      <c r="O387" s="542">
        <f>'VN_YouTube Performance'!R8</f>
        <v>551862891</v>
      </c>
      <c r="P387" s="543">
        <f>'VN_YouTube Performance'!T68</f>
        <v>1304208965.6219831</v>
      </c>
      <c r="Q387" s="544">
        <f>'VN_YouTube Performance'!T8</f>
        <v>1004359740</v>
      </c>
      <c r="R387" s="545">
        <f>'VN_YouTube Performance'!V68</f>
        <v>79336353.203110635</v>
      </c>
      <c r="S387" s="545">
        <f>'VN_YouTube Performance'!V8</f>
        <v>153626660</v>
      </c>
      <c r="T387" s="103"/>
      <c r="U387" s="539">
        <f>'VN_YouTube Performance'!AA68</f>
        <v>69081865</v>
      </c>
      <c r="V387" s="540">
        <f>'VN_YouTube Performance'!AA8</f>
        <v>69081865</v>
      </c>
      <c r="W387" s="541">
        <f>'VN_YouTube Performance'!AC68</f>
        <v>35768593.139029503</v>
      </c>
      <c r="X387" s="542">
        <f>'VN_YouTube Performance'!AC8</f>
        <v>111529569</v>
      </c>
      <c r="Y387" s="543">
        <f>'VN_YouTube Performance'!AE68</f>
        <v>121156024.12881804</v>
      </c>
      <c r="Z387" s="544">
        <f>'VN_YouTube Performance'!AE8</f>
        <v>698025478</v>
      </c>
      <c r="AA387" s="545">
        <f>'VN_YouTube Performance'!AG68</f>
        <v>10309243.636562392</v>
      </c>
      <c r="AB387" s="545">
        <f>'VN_YouTube Performance'!AG8</f>
        <v>16189775</v>
      </c>
      <c r="AC387" s="103"/>
    </row>
    <row r="388" spans="1:29">
      <c r="B388" s="552" t="s">
        <v>17</v>
      </c>
      <c r="C388" s="539">
        <f>'VN_YouTube Performance'!E69</f>
        <v>1058616918</v>
      </c>
      <c r="D388" s="540">
        <f>'VN_YouTube Performance'!E9</f>
        <v>1058616918</v>
      </c>
      <c r="E388" s="541">
        <f>'VN_YouTube Performance'!G69</f>
        <v>658895895.71846128</v>
      </c>
      <c r="F388" s="542">
        <f>'VN_YouTube Performance'!G9</f>
        <v>693831478</v>
      </c>
      <c r="G388" s="543">
        <f>'VN_YouTube Performance'!I69</f>
        <v>1496634963.1319337</v>
      </c>
      <c r="H388" s="544">
        <f>'VN_YouTube Performance'!I9</f>
        <v>1691880706</v>
      </c>
      <c r="I388" s="545">
        <f>'VN_YouTube Performance'!K69</f>
        <v>94127985.102637336</v>
      </c>
      <c r="J388" s="545">
        <f>'VN_YouTube Performance'!K9</f>
        <v>358703577</v>
      </c>
      <c r="K388" s="103"/>
      <c r="L388" s="539">
        <f>'VN_YouTube Performance'!P69</f>
        <v>986462798</v>
      </c>
      <c r="M388" s="540">
        <f>'VN_YouTube Performance'!P9</f>
        <v>986462798</v>
      </c>
      <c r="N388" s="541">
        <f>'VN_YouTube Performance'!R69</f>
        <v>621338829.66250896</v>
      </c>
      <c r="O388" s="542">
        <f>'VN_YouTube Performance'!R9</f>
        <v>547962867</v>
      </c>
      <c r="P388" s="543">
        <f>'VN_YouTube Performance'!T69</f>
        <v>1369420991.2657194</v>
      </c>
      <c r="Q388" s="544">
        <f>'VN_YouTube Performance'!T9</f>
        <v>981894209</v>
      </c>
      <c r="R388" s="545">
        <f>'VN_YouTube Performance'!V69</f>
        <v>83303266.815834045</v>
      </c>
      <c r="S388" s="545">
        <f>'VN_YouTube Performance'!V9</f>
        <v>184714554</v>
      </c>
      <c r="T388" s="103"/>
      <c r="U388" s="539">
        <f>'VN_YouTube Performance'!AA69</f>
        <v>72154120</v>
      </c>
      <c r="V388" s="540">
        <f>'VN_YouTube Performance'!AA9</f>
        <v>72154120</v>
      </c>
      <c r="W388" s="541">
        <f>'VN_YouTube Performance'!AC69</f>
        <v>37557066.055952311</v>
      </c>
      <c r="X388" s="542">
        <f>'VN_YouTube Performance'!AC9</f>
        <v>145868611</v>
      </c>
      <c r="Y388" s="543">
        <f>'VN_YouTube Performance'!AE69</f>
        <v>127213971.86621428</v>
      </c>
      <c r="Z388" s="544">
        <f>'VN_YouTube Performance'!AE9</f>
        <v>709986497</v>
      </c>
      <c r="AA388" s="545">
        <f>'VN_YouTube Performance'!AG69</f>
        <v>10824718.28680329</v>
      </c>
      <c r="AB388" s="545">
        <f>'VN_YouTube Performance'!AG9</f>
        <v>173989023</v>
      </c>
      <c r="AC388" s="103"/>
    </row>
    <row r="389" spans="1:29">
      <c r="B389" s="552" t="s">
        <v>18</v>
      </c>
      <c r="C389" s="539">
        <f>'VN_YouTube Performance'!E70</f>
        <v>1052403518</v>
      </c>
      <c r="D389" s="540">
        <f>'VN_YouTube Performance'!E10</f>
        <v>1052403518</v>
      </c>
      <c r="E389" s="541">
        <f>'VN_YouTube Performance'!G70</f>
        <v>713830067.76421547</v>
      </c>
      <c r="F389" s="542">
        <f>'VN_YouTube Performance'!G10</f>
        <v>796396532</v>
      </c>
      <c r="G389" s="543">
        <f>'VN_YouTube Performance'!I70</f>
        <v>1621414011.0644324</v>
      </c>
      <c r="H389" s="544">
        <f>'VN_YouTube Performance'!I10</f>
        <v>1566549832</v>
      </c>
      <c r="I389" s="545">
        <f>'VN_YouTube Performance'!K70</f>
        <v>101975723.96631651</v>
      </c>
      <c r="J389" s="545">
        <f>'VN_YouTube Performance'!K10</f>
        <v>401198859</v>
      </c>
      <c r="K389" s="103"/>
      <c r="L389" s="539">
        <f>'VN_YouTube Performance'!P70</f>
        <v>975013929</v>
      </c>
      <c r="M389" s="540">
        <f>'VN_YouTube Performance'!P10</f>
        <v>975013929</v>
      </c>
      <c r="N389" s="541">
        <f>'VN_YouTube Performance'!R70</f>
        <v>673141753.9016552</v>
      </c>
      <c r="O389" s="542">
        <f>'VN_YouTube Performance'!R10</f>
        <v>579917316</v>
      </c>
      <c r="P389" s="543">
        <f>'VN_YouTube Performance'!T70</f>
        <v>1483593820.1239557</v>
      </c>
      <c r="Q389" s="544">
        <f>'VN_YouTube Performance'!T10</f>
        <v>1125171537</v>
      </c>
      <c r="R389" s="545">
        <f>'VN_YouTube Performance'!V70</f>
        <v>90248515.710190102</v>
      </c>
      <c r="S389" s="545">
        <f>'VN_YouTube Performance'!V10</f>
        <v>156759564</v>
      </c>
      <c r="T389" s="103"/>
      <c r="U389" s="539">
        <f>'VN_YouTube Performance'!AA70</f>
        <v>77389589</v>
      </c>
      <c r="V389" s="540">
        <f>'VN_YouTube Performance'!AA10</f>
        <v>77389589</v>
      </c>
      <c r="W389" s="541">
        <f>'VN_YouTube Performance'!AC70</f>
        <v>40688313.862560272</v>
      </c>
      <c r="X389" s="542">
        <f>'VN_YouTube Performance'!AC10</f>
        <v>216479216</v>
      </c>
      <c r="Y389" s="543">
        <f>'VN_YouTube Performance'!AE70</f>
        <v>137820190.94047666</v>
      </c>
      <c r="Z389" s="544">
        <f>'VN_YouTube Performance'!AE10</f>
        <v>441378295</v>
      </c>
      <c r="AA389" s="545">
        <f>'VN_YouTube Performance'!AG70</f>
        <v>11727208.256126404</v>
      </c>
      <c r="AB389" s="545">
        <f>'VN_YouTube Performance'!AG10</f>
        <v>244439295</v>
      </c>
      <c r="AC389" s="103"/>
    </row>
    <row r="390" spans="1:29">
      <c r="B390" s="552" t="s">
        <v>19</v>
      </c>
      <c r="C390" s="539">
        <f>'VN_YouTube Performance'!E71</f>
        <v>1229363763.3</v>
      </c>
      <c r="D390" s="540">
        <f>'VN_YouTube Performance'!E11</f>
        <v>948155811</v>
      </c>
      <c r="E390" s="541">
        <f>'VN_YouTube Performance'!G71</f>
        <v>700547432.74220216</v>
      </c>
      <c r="F390" s="542">
        <f>'VN_YouTube Performance'!G11</f>
        <v>913021074</v>
      </c>
      <c r="G390" s="543">
        <f>'VN_YouTube Performance'!I71</f>
        <v>1591243454.3715734</v>
      </c>
      <c r="H390" s="544">
        <f>'VN_YouTube Performance'!I11</f>
        <v>1633168605</v>
      </c>
      <c r="I390" s="545">
        <f>'VN_YouTube Performance'!K71</f>
        <v>100078204.67745745</v>
      </c>
      <c r="J390" s="545">
        <f>'VN_YouTube Performance'!K11</f>
        <v>164515860</v>
      </c>
      <c r="K390" s="103"/>
      <c r="L390" s="539">
        <f>'VN_YouTube Performance'!P71</f>
        <v>1124867843.4194999</v>
      </c>
      <c r="M390" s="540">
        <f>'VN_YouTube Performance'!P11</f>
        <v>871337365</v>
      </c>
      <c r="N390" s="541">
        <f>'VN_YouTube Performance'!R71</f>
        <v>660616229.07589662</v>
      </c>
      <c r="O390" s="542">
        <f>'VN_YouTube Performance'!R11</f>
        <v>684471205</v>
      </c>
      <c r="P390" s="543">
        <f>'VN_YouTube Performance'!T71</f>
        <v>1455987760.7499897</v>
      </c>
      <c r="Q390" s="544">
        <f>'VN_YouTube Performance'!T11</f>
        <v>1192784173</v>
      </c>
      <c r="R390" s="545">
        <f>'VN_YouTube Performance'!V71</f>
        <v>88569211.139549851</v>
      </c>
      <c r="S390" s="545">
        <f>'VN_YouTube Performance'!V11</f>
        <v>122963683</v>
      </c>
      <c r="T390" s="103"/>
      <c r="U390" s="539">
        <f>'VN_YouTube Performance'!AA71</f>
        <v>104495919.88050008</v>
      </c>
      <c r="V390" s="540">
        <f>'VN_YouTube Performance'!AA11</f>
        <v>76818446</v>
      </c>
      <c r="W390" s="541">
        <f>'VN_YouTube Performance'!AC71</f>
        <v>39931203.666305542</v>
      </c>
      <c r="X390" s="542">
        <f>'VN_YouTube Performance'!AC11</f>
        <v>228549869</v>
      </c>
      <c r="Y390" s="543">
        <f>'VN_YouTube Performance'!AE71</f>
        <v>135255693.6215837</v>
      </c>
      <c r="Z390" s="544">
        <f>'VN_YouTube Performance'!AE11</f>
        <v>440384432</v>
      </c>
      <c r="AA390" s="545">
        <f>'VN_YouTube Performance'!AG71</f>
        <v>11508993.5379076</v>
      </c>
      <c r="AB390" s="545">
        <f>'VN_YouTube Performance'!AG11</f>
        <v>41552177</v>
      </c>
      <c r="AC390" s="103"/>
    </row>
    <row r="391" spans="1:29">
      <c r="B391" s="552" t="s">
        <v>20</v>
      </c>
      <c r="C391" s="539">
        <f>'VN_YouTube Performance'!E72</f>
        <v>1404987158.057143</v>
      </c>
      <c r="D391" s="540">
        <f>'VN_YouTube Performance'!E12</f>
        <v>1119435530</v>
      </c>
      <c r="E391" s="541">
        <f>'VN_YouTube Performance'!G72</f>
        <v>756363432.58724153</v>
      </c>
      <c r="F391" s="542">
        <f>'VN_YouTube Performance'!G12</f>
        <v>907602165</v>
      </c>
      <c r="G391" s="543">
        <f>'VN_YouTube Performance'!I72</f>
        <v>1718025511.1624486</v>
      </c>
      <c r="H391" s="544">
        <f>'VN_YouTube Performance'!I12</f>
        <v>1579239144</v>
      </c>
      <c r="I391" s="545">
        <f>'VN_YouTube Performance'!K72</f>
        <v>108051918.94103451</v>
      </c>
      <c r="J391" s="545">
        <f>'VN_YouTube Performance'!K12</f>
        <v>214738755</v>
      </c>
      <c r="K391" s="103"/>
      <c r="L391" s="539">
        <f>'VN_YouTube Performance'!P72</f>
        <v>1285563249.6222858</v>
      </c>
      <c r="M391" s="540">
        <f>'VN_YouTube Performance'!P12</f>
        <v>1020957380</v>
      </c>
      <c r="N391" s="541">
        <f>'VN_YouTube Performance'!R72</f>
        <v>713250716.92976868</v>
      </c>
      <c r="O391" s="542">
        <f>'VN_YouTube Performance'!R12</f>
        <v>680408129</v>
      </c>
      <c r="P391" s="543">
        <f>'VN_YouTube Performance'!T72</f>
        <v>1571993342.7136407</v>
      </c>
      <c r="Q391" s="544">
        <f>'VN_YouTube Performance'!T12</f>
        <v>1226568567</v>
      </c>
      <c r="R391" s="545">
        <f>'VN_YouTube Performance'!V72</f>
        <v>95625948.26281555</v>
      </c>
      <c r="S391" s="545">
        <f>'VN_YouTube Performance'!V12</f>
        <v>153441957</v>
      </c>
      <c r="T391" s="103"/>
      <c r="U391" s="539">
        <f>'VN_YouTube Performance'!AA72</f>
        <v>119423908.43485713</v>
      </c>
      <c r="V391" s="540">
        <f>'VN_YouTube Performance'!AA12</f>
        <v>98478150</v>
      </c>
      <c r="W391" s="541">
        <f>'VN_YouTube Performance'!AC72</f>
        <v>43112715.657472849</v>
      </c>
      <c r="X391" s="542">
        <f>'VN_YouTube Performance'!AC12</f>
        <v>227194036</v>
      </c>
      <c r="Y391" s="543">
        <f>'VN_YouTube Performance'!AE72</f>
        <v>146032168.44880795</v>
      </c>
      <c r="Z391" s="544">
        <f>'VN_YouTube Performance'!AE12</f>
        <v>352670577</v>
      </c>
      <c r="AA391" s="545">
        <f>'VN_YouTube Performance'!AG72</f>
        <v>12425970.678218961</v>
      </c>
      <c r="AB391" s="545">
        <f>'VN_YouTube Performance'!AG12</f>
        <v>61296798</v>
      </c>
      <c r="AC391" s="103"/>
    </row>
    <row r="392" spans="1:29">
      <c r="B392" s="552" t="s">
        <v>21</v>
      </c>
      <c r="C392" s="539">
        <f>'VN_YouTube Performance'!E73</f>
        <v>1580610552.8142858</v>
      </c>
      <c r="D392" s="540">
        <f>'VN_YouTube Performance'!E13</f>
        <v>1169289491</v>
      </c>
      <c r="E392" s="541">
        <f>'VN_YouTube Performance'!G73</f>
        <v>749302914.2797215</v>
      </c>
      <c r="F392" s="542">
        <f>'VN_YouTube Performance'!G13</f>
        <v>810832920</v>
      </c>
      <c r="G392" s="543">
        <f>'VN_YouTube Performance'!I73</f>
        <v>1701988048.1496534</v>
      </c>
      <c r="H392" s="544">
        <f>'VN_YouTube Performance'!I13</f>
        <v>1631049134</v>
      </c>
      <c r="I392" s="545">
        <f>'VN_YouTube Performance'!K73</f>
        <v>107043273.46853167</v>
      </c>
      <c r="J392" s="545">
        <f>'VN_YouTube Performance'!K13</f>
        <v>192008896</v>
      </c>
      <c r="K392" s="103"/>
      <c r="L392" s="539">
        <f>'VN_YouTube Performance'!P73</f>
        <v>1446258655.8250713</v>
      </c>
      <c r="M392" s="540">
        <f>'VN_YouTube Performance'!P13</f>
        <v>1057393463</v>
      </c>
      <c r="N392" s="541">
        <f>'VN_YouTube Performance'!R73</f>
        <v>706592648.16577733</v>
      </c>
      <c r="O392" s="542">
        <f>'VN_YouTube Performance'!R13</f>
        <v>618827481</v>
      </c>
      <c r="P392" s="543">
        <f>'VN_YouTube Performance'!T73</f>
        <v>1557319064.0569329</v>
      </c>
      <c r="Q392" s="544">
        <f>'VN_YouTube Performance'!T13</f>
        <v>1214920738</v>
      </c>
      <c r="R392" s="545">
        <f>'VN_YouTube Performance'!V73</f>
        <v>94733297.019650534</v>
      </c>
      <c r="S392" s="545">
        <f>'VN_YouTube Performance'!V13</f>
        <v>125940833</v>
      </c>
      <c r="T392" s="103"/>
      <c r="U392" s="539">
        <f>'VN_YouTube Performance'!AA73</f>
        <v>134351896.98921442</v>
      </c>
      <c r="V392" s="540">
        <f>'VN_YouTube Performance'!AA13</f>
        <v>111896028</v>
      </c>
      <c r="W392" s="541">
        <f>'VN_YouTube Performance'!AC73</f>
        <v>42710266.113944173</v>
      </c>
      <c r="X392" s="542">
        <f>'VN_YouTube Performance'!AC13</f>
        <v>192005439</v>
      </c>
      <c r="Y392" s="543">
        <f>'VN_YouTube Performance'!AE73</f>
        <v>144668984.09272051</v>
      </c>
      <c r="Z392" s="544">
        <f>'VN_YouTube Performance'!AE13</f>
        <v>416128396</v>
      </c>
      <c r="AA392" s="545">
        <f>'VN_YouTube Performance'!AG73</f>
        <v>12309976.448881134</v>
      </c>
      <c r="AB392" s="545">
        <f>'VN_YouTube Performance'!AG13</f>
        <v>66068063</v>
      </c>
      <c r="AC392" s="103"/>
    </row>
    <row r="393" spans="1:29">
      <c r="B393" s="552" t="s">
        <v>22</v>
      </c>
      <c r="C393" s="539">
        <f>'VN_YouTube Performance'!E74</f>
        <v>1580610552.8142858</v>
      </c>
      <c r="D393" s="540">
        <f>'VN_YouTube Performance'!E14</f>
        <v>1116087537</v>
      </c>
      <c r="E393" s="541">
        <f>'VN_YouTube Performance'!G74</f>
        <v>790556961.82225585</v>
      </c>
      <c r="F393" s="542">
        <f>'VN_YouTube Performance'!G14</f>
        <v>571225224</v>
      </c>
      <c r="G393" s="543">
        <f>'VN_YouTube Performance'!I74</f>
        <v>1795693670.4248385</v>
      </c>
      <c r="H393" s="544">
        <f>'VN_YouTube Performance'!I14</f>
        <v>1323587099</v>
      </c>
      <c r="I393" s="545">
        <f>'VN_YouTube Performance'!K74</f>
        <v>112936708.83175085</v>
      </c>
      <c r="J393" s="545">
        <f>'VN_YouTube Performance'!K14</f>
        <v>164611396</v>
      </c>
      <c r="K393" s="103"/>
      <c r="L393" s="539">
        <f>'VN_YouTube Performance'!P74</f>
        <v>1446258655.8250713</v>
      </c>
      <c r="M393" s="540">
        <f>'VN_YouTube Performance'!P14</f>
        <v>1010441081</v>
      </c>
      <c r="N393" s="541">
        <f>'VN_YouTube Performance'!R74</f>
        <v>745495214.99838722</v>
      </c>
      <c r="O393" s="542">
        <f>'VN_YouTube Performance'!R14</f>
        <v>476542281</v>
      </c>
      <c r="P393" s="543">
        <f>'VN_YouTube Performance'!T74</f>
        <v>1643059708.4387274</v>
      </c>
      <c r="Q393" s="544">
        <f>'VN_YouTube Performance'!T14</f>
        <v>1010653051</v>
      </c>
      <c r="R393" s="545">
        <f>'VN_YouTube Performance'!V74</f>
        <v>99948987.31609951</v>
      </c>
      <c r="S393" s="545">
        <f>'VN_YouTube Performance'!V14</f>
        <v>96677191</v>
      </c>
      <c r="T393" s="103"/>
      <c r="U393" s="539">
        <f>'VN_YouTube Performance'!AA74</f>
        <v>134351896.98921442</v>
      </c>
      <c r="V393" s="540">
        <f>'VN_YouTube Performance'!AA14</f>
        <v>105646456</v>
      </c>
      <c r="W393" s="541">
        <f>'VN_YouTube Performance'!AC74</f>
        <v>45061746.823868632</v>
      </c>
      <c r="X393" s="542">
        <f>'VN_YouTube Performance'!AC14</f>
        <v>94682943</v>
      </c>
      <c r="Y393" s="543">
        <f>'VN_YouTube Performance'!AE74</f>
        <v>152633961.98611116</v>
      </c>
      <c r="Z393" s="544">
        <f>'VN_YouTube Performance'!AE14</f>
        <v>312934048</v>
      </c>
      <c r="AA393" s="545">
        <f>'VN_YouTube Performance'!AG74</f>
        <v>12987721.515651345</v>
      </c>
      <c r="AB393" s="545">
        <f>'VN_YouTube Performance'!AG14</f>
        <v>67934205</v>
      </c>
      <c r="AC393" s="103"/>
    </row>
    <row r="394" spans="1:29">
      <c r="B394" s="552" t="s">
        <v>23</v>
      </c>
      <c r="C394" s="539">
        <f>'VN_YouTube Performance'!E75</f>
        <v>1756233947.5714285</v>
      </c>
      <c r="D394" s="540">
        <f>'VN_YouTube Performance'!E15</f>
        <v>0</v>
      </c>
      <c r="E394" s="541">
        <f>'VN_YouTube Performance'!G75</f>
        <v>848257957.42272496</v>
      </c>
      <c r="F394" s="542">
        <f>'VN_YouTube Performance'!G15</f>
        <v>0</v>
      </c>
      <c r="G394" s="543">
        <f>'VN_YouTube Performance'!I75</f>
        <v>1926757360.4316182</v>
      </c>
      <c r="H394" s="544">
        <f>'VN_YouTube Performance'!I15</f>
        <v>0</v>
      </c>
      <c r="I394" s="545">
        <f>'VN_YouTube Performance'!K75</f>
        <v>121179708.20324643</v>
      </c>
      <c r="J394" s="545">
        <f>'VN_YouTube Performance'!K15</f>
        <v>0</v>
      </c>
      <c r="K394" s="103"/>
      <c r="L394" s="539">
        <f>'VN_YouTube Performance'!P75</f>
        <v>1606954062.0278571</v>
      </c>
      <c r="M394" s="540">
        <f>'VN_YouTube Performance'!P15</f>
        <v>0</v>
      </c>
      <c r="N394" s="541">
        <f>'VN_YouTube Performance'!R75</f>
        <v>799907253.84962964</v>
      </c>
      <c r="O394" s="542">
        <f>'VN_YouTube Performance'!R15</f>
        <v>0</v>
      </c>
      <c r="P394" s="543">
        <f>'VN_YouTube Performance'!T75</f>
        <v>1762982984.7949307</v>
      </c>
      <c r="Q394" s="544">
        <f>'VN_YouTube Performance'!T15</f>
        <v>0</v>
      </c>
      <c r="R394" s="545">
        <f>'VN_YouTube Performance'!V75</f>
        <v>107244041.75987309</v>
      </c>
      <c r="S394" s="545">
        <f>'VN_YouTube Performance'!V15</f>
        <v>0</v>
      </c>
      <c r="T394" s="103"/>
      <c r="U394" s="539">
        <f>'VN_YouTube Performance'!AA75</f>
        <v>149279885.54357147</v>
      </c>
      <c r="V394" s="540">
        <f>'VN_YouTube Performance'!AA15</f>
        <v>0</v>
      </c>
      <c r="W394" s="541">
        <f>'VN_YouTube Performance'!AC75</f>
        <v>48350703.573095322</v>
      </c>
      <c r="X394" s="542">
        <f>'VN_YouTube Performance'!AC15</f>
        <v>0</v>
      </c>
      <c r="Y394" s="543">
        <f>'VN_YouTube Performance'!AE75</f>
        <v>163774375.63668752</v>
      </c>
      <c r="Z394" s="544">
        <f>'VN_YouTube Performance'!AE15</f>
        <v>0</v>
      </c>
      <c r="AA394" s="545">
        <f>'VN_YouTube Performance'!AG75</f>
        <v>13935666.443373337</v>
      </c>
      <c r="AB394" s="545">
        <f>'VN_YouTube Performance'!AG15</f>
        <v>0</v>
      </c>
      <c r="AC394" s="103"/>
    </row>
    <row r="395" spans="1:29">
      <c r="B395" s="552" t="s">
        <v>24</v>
      </c>
      <c r="C395" s="539">
        <f>'VN_YouTube Performance'!E76</f>
        <v>2107480737.0857141</v>
      </c>
      <c r="D395" s="540">
        <f>'VN_YouTube Performance'!E16</f>
        <v>0</v>
      </c>
      <c r="E395" s="541">
        <f>'VN_YouTube Performance'!G76</f>
        <v>865704178.90948462</v>
      </c>
      <c r="F395" s="542">
        <f>'VN_YouTube Performance'!G16</f>
        <v>0</v>
      </c>
      <c r="G395" s="543">
        <f>'VN_YouTube Performance'!I76</f>
        <v>1966385206.3801153</v>
      </c>
      <c r="H395" s="544">
        <f>'VN_YouTube Performance'!I16</f>
        <v>0</v>
      </c>
      <c r="I395" s="545">
        <f>'VN_YouTube Performance'!K76</f>
        <v>123672025.55849782</v>
      </c>
      <c r="J395" s="545">
        <f>'VN_YouTube Performance'!K16</f>
        <v>0</v>
      </c>
      <c r="K395" s="103"/>
      <c r="L395" s="539">
        <f>'VN_YouTube Performance'!P76</f>
        <v>1928344874.4334283</v>
      </c>
      <c r="M395" s="540">
        <f>'VN_YouTube Performance'!P16</f>
        <v>0</v>
      </c>
      <c r="N395" s="541">
        <f>'VN_YouTube Performance'!R76</f>
        <v>816359040.71164393</v>
      </c>
      <c r="O395" s="542">
        <f>'VN_YouTube Performance'!R16</f>
        <v>0</v>
      </c>
      <c r="P395" s="543">
        <f>'VN_YouTube Performance'!T76</f>
        <v>1799242463.8378055</v>
      </c>
      <c r="Q395" s="544">
        <f>'VN_YouTube Performance'!T16</f>
        <v>0</v>
      </c>
      <c r="R395" s="545">
        <f>'VN_YouTube Performance'!V76</f>
        <v>109449742.61927056</v>
      </c>
      <c r="S395" s="545">
        <f>'VN_YouTube Performance'!V16</f>
        <v>0</v>
      </c>
      <c r="T395" s="103"/>
      <c r="U395" s="539">
        <f>'VN_YouTube Performance'!AA76</f>
        <v>179135862.65228581</v>
      </c>
      <c r="V395" s="540">
        <f>'VN_YouTube Performance'!AA16</f>
        <v>0</v>
      </c>
      <c r="W395" s="541">
        <f>'VN_YouTube Performance'!AC76</f>
        <v>49345138.197840691</v>
      </c>
      <c r="X395" s="542">
        <f>'VN_YouTube Performance'!AC16</f>
        <v>0</v>
      </c>
      <c r="Y395" s="543">
        <f>'VN_YouTube Performance'!AE76</f>
        <v>167142742.54230976</v>
      </c>
      <c r="Z395" s="544">
        <f>'VN_YouTube Performance'!AE16</f>
        <v>0</v>
      </c>
      <c r="AA395" s="545">
        <f>'VN_YouTube Performance'!AG76</f>
        <v>14222282.939227253</v>
      </c>
      <c r="AB395" s="545">
        <f>'VN_YouTube Performance'!AG16</f>
        <v>0</v>
      </c>
      <c r="AC395" s="103"/>
    </row>
    <row r="396" spans="1:29">
      <c r="B396" s="552" t="s">
        <v>25</v>
      </c>
      <c r="C396" s="539">
        <f>'VN_YouTube Performance'!E77</f>
        <v>2634350921.3571429</v>
      </c>
      <c r="D396" s="540">
        <f>'VN_YouTube Performance'!E17</f>
        <v>0</v>
      </c>
      <c r="E396" s="541">
        <f>'VN_YouTube Performance'!G77</f>
        <v>960907654.86417639</v>
      </c>
      <c r="F396" s="542">
        <f>'VN_YouTube Performance'!G17</f>
        <v>0</v>
      </c>
      <c r="G396" s="543">
        <f>'VN_YouTube Performance'!I77</f>
        <v>2182633101.7629151</v>
      </c>
      <c r="H396" s="544">
        <f>'VN_YouTube Performance'!I17</f>
        <v>0</v>
      </c>
      <c r="I396" s="545">
        <f>'VN_YouTube Performance'!K77</f>
        <v>137272522.1234538</v>
      </c>
      <c r="J396" s="545">
        <f>'VN_YouTube Performance'!K17</f>
        <v>0</v>
      </c>
      <c r="K396" s="103"/>
      <c r="L396" s="539">
        <f>'VN_YouTube Performance'!P77</f>
        <v>2410431093.0417857</v>
      </c>
      <c r="M396" s="540">
        <f>'VN_YouTube Performance'!P17</f>
        <v>0</v>
      </c>
      <c r="N396" s="541">
        <f>'VN_YouTube Performance'!R77</f>
        <v>906135918.53691828</v>
      </c>
      <c r="O396" s="542">
        <f>'VN_YouTube Performance'!R17</f>
        <v>0</v>
      </c>
      <c r="P396" s="543">
        <f>'VN_YouTube Performance'!T77</f>
        <v>1997109288.1130674</v>
      </c>
      <c r="Q396" s="544">
        <f>'VN_YouTube Performance'!T17</f>
        <v>0</v>
      </c>
      <c r="R396" s="545">
        <f>'VN_YouTube Performance'!V77</f>
        <v>121486182.07925661</v>
      </c>
      <c r="S396" s="545">
        <f>'VN_YouTube Performance'!V17</f>
        <v>0</v>
      </c>
      <c r="T396" s="103"/>
      <c r="U396" s="539">
        <f>'VN_YouTube Performance'!AA77</f>
        <v>223919828.31535721</v>
      </c>
      <c r="V396" s="540">
        <f>'VN_YouTube Performance'!AA17</f>
        <v>0</v>
      </c>
      <c r="W396" s="541">
        <f>'VN_YouTube Performance'!AC77</f>
        <v>54771736.32725811</v>
      </c>
      <c r="X396" s="542">
        <f>'VN_YouTube Performance'!AC17</f>
        <v>0</v>
      </c>
      <c r="Y396" s="543">
        <f>'VN_YouTube Performance'!AE77</f>
        <v>185523813.64984775</v>
      </c>
      <c r="Z396" s="544">
        <f>'VN_YouTube Performance'!AE17</f>
        <v>0</v>
      </c>
      <c r="AA396" s="545">
        <f>'VN_YouTube Performance'!AG77</f>
        <v>15786340.044197187</v>
      </c>
      <c r="AB396" s="545">
        <f>'VN_YouTube Performance'!AG17</f>
        <v>0</v>
      </c>
      <c r="AC396" s="103"/>
    </row>
    <row r="397" spans="1:29">
      <c r="B397" s="552" t="s">
        <v>7</v>
      </c>
      <c r="C397" s="538">
        <f t="shared" ref="C397:J397" si="130">SUM(C385:C396)</f>
        <v>17125000000</v>
      </c>
      <c r="D397" s="538">
        <f t="shared" si="130"/>
        <v>9184330736</v>
      </c>
      <c r="E397" s="532">
        <f t="shared" si="130"/>
        <v>8750000000</v>
      </c>
      <c r="F397" s="532">
        <f t="shared" si="130"/>
        <v>6708899268</v>
      </c>
      <c r="G397" s="534">
        <f t="shared" si="130"/>
        <v>19875000000</v>
      </c>
      <c r="H397" s="534">
        <f t="shared" si="130"/>
        <v>13542050372</v>
      </c>
      <c r="I397" s="536">
        <f t="shared" si="130"/>
        <v>1250000000.0000002</v>
      </c>
      <c r="J397" s="536">
        <f t="shared" si="130"/>
        <v>1892286259</v>
      </c>
      <c r="K397" s="103"/>
      <c r="L397" s="538">
        <f t="shared" ref="L397:S397" si="131">SUM(L385:L396)</f>
        <v>15735250204.195</v>
      </c>
      <c r="M397" s="538">
        <f t="shared" si="131"/>
        <v>8446701059</v>
      </c>
      <c r="N397" s="532">
        <f t="shared" si="131"/>
        <v>8251249999.999999</v>
      </c>
      <c r="O397" s="532">
        <f t="shared" si="131"/>
        <v>5299958450</v>
      </c>
      <c r="P397" s="534">
        <f t="shared" si="131"/>
        <v>18185625000</v>
      </c>
      <c r="Q397" s="534">
        <f t="shared" si="131"/>
        <v>9479248692</v>
      </c>
      <c r="R397" s="536">
        <f t="shared" si="131"/>
        <v>1106250000</v>
      </c>
      <c r="S397" s="536">
        <f t="shared" si="131"/>
        <v>1182540818</v>
      </c>
      <c r="T397" s="103"/>
      <c r="U397" s="538">
        <f t="shared" ref="U397:AB397" si="132">SUM(U385:U396)</f>
        <v>1389749795.8050005</v>
      </c>
      <c r="V397" s="538">
        <f t="shared" si="132"/>
        <v>737629677</v>
      </c>
      <c r="W397" s="532">
        <f t="shared" si="132"/>
        <v>498750000.0000003</v>
      </c>
      <c r="X397" s="532">
        <f t="shared" si="132"/>
        <v>1408940818</v>
      </c>
      <c r="Y397" s="534">
        <f t="shared" si="132"/>
        <v>1689374999.999999</v>
      </c>
      <c r="Z397" s="534">
        <f t="shared" si="132"/>
        <v>4062801680</v>
      </c>
      <c r="AA397" s="536">
        <f t="shared" si="132"/>
        <v>143749999.99999997</v>
      </c>
      <c r="AB397" s="536">
        <f t="shared" si="132"/>
        <v>709745441</v>
      </c>
      <c r="AC397" s="103"/>
    </row>
    <row r="398" spans="1:29">
      <c r="K398" s="103"/>
      <c r="T398" s="103"/>
      <c r="AC398" s="103"/>
    </row>
    <row r="399" spans="1:29">
      <c r="A399" s="102" t="s">
        <v>102</v>
      </c>
      <c r="C399" s="859" t="s">
        <v>1</v>
      </c>
      <c r="D399" s="859"/>
      <c r="E399" s="860" t="s">
        <v>2</v>
      </c>
      <c r="F399" s="860"/>
      <c r="G399" s="861" t="s">
        <v>3</v>
      </c>
      <c r="H399" s="861"/>
      <c r="I399" s="858" t="s">
        <v>4</v>
      </c>
      <c r="J399" s="858"/>
      <c r="K399" s="103"/>
      <c r="L399" s="859" t="s">
        <v>1</v>
      </c>
      <c r="M399" s="859"/>
      <c r="N399" s="860" t="s">
        <v>2</v>
      </c>
      <c r="O399" s="860"/>
      <c r="P399" s="861" t="s">
        <v>3</v>
      </c>
      <c r="Q399" s="861"/>
      <c r="R399" s="858" t="s">
        <v>4</v>
      </c>
      <c r="S399" s="858"/>
      <c r="T399" s="103"/>
      <c r="U399" s="859" t="s">
        <v>1</v>
      </c>
      <c r="V399" s="859"/>
      <c r="W399" s="860" t="s">
        <v>2</v>
      </c>
      <c r="X399" s="860"/>
      <c r="Y399" s="861" t="s">
        <v>3</v>
      </c>
      <c r="Z399" s="861"/>
      <c r="AA399" s="858" t="s">
        <v>4</v>
      </c>
      <c r="AB399" s="858"/>
      <c r="AC399" s="103"/>
    </row>
    <row r="400" spans="1:29">
      <c r="C400" s="1" t="s">
        <v>100</v>
      </c>
      <c r="D400" s="1" t="s">
        <v>29</v>
      </c>
      <c r="E400" s="2" t="s">
        <v>100</v>
      </c>
      <c r="F400" s="2" t="s">
        <v>29</v>
      </c>
      <c r="G400" s="3" t="s">
        <v>100</v>
      </c>
      <c r="H400" s="3" t="s">
        <v>29</v>
      </c>
      <c r="I400" s="4" t="s">
        <v>100</v>
      </c>
      <c r="J400" s="4" t="s">
        <v>29</v>
      </c>
      <c r="K400" s="103"/>
      <c r="L400" s="1" t="s">
        <v>100</v>
      </c>
      <c r="M400" s="1" t="s">
        <v>29</v>
      </c>
      <c r="N400" s="2" t="s">
        <v>100</v>
      </c>
      <c r="O400" s="2" t="s">
        <v>29</v>
      </c>
      <c r="P400" s="3" t="s">
        <v>100</v>
      </c>
      <c r="Q400" s="3" t="s">
        <v>29</v>
      </c>
      <c r="R400" s="4" t="s">
        <v>100</v>
      </c>
      <c r="S400" s="4" t="s">
        <v>29</v>
      </c>
      <c r="T400" s="103"/>
      <c r="U400" s="1" t="s">
        <v>100</v>
      </c>
      <c r="V400" s="1" t="s">
        <v>29</v>
      </c>
      <c r="W400" s="2" t="s">
        <v>100</v>
      </c>
      <c r="X400" s="2" t="s">
        <v>29</v>
      </c>
      <c r="Y400" s="3" t="s">
        <v>100</v>
      </c>
      <c r="Z400" s="3" t="s">
        <v>29</v>
      </c>
      <c r="AA400" s="4" t="s">
        <v>100</v>
      </c>
      <c r="AB400" s="4" t="s">
        <v>29</v>
      </c>
      <c r="AC400" s="103"/>
    </row>
    <row r="401" spans="2:29">
      <c r="B401" s="552" t="s">
        <v>14</v>
      </c>
      <c r="C401" s="547">
        <f>'VN_YouTube Performance'!F66</f>
        <v>210984.02699999997</v>
      </c>
      <c r="D401" s="547">
        <f>'VN_YouTube Performance'!F6</f>
        <v>210984.02699999997</v>
      </c>
      <c r="E401" s="548">
        <f>'VN_YouTube Performance'!H66</f>
        <v>118464.40869439059</v>
      </c>
      <c r="F401" s="548">
        <f>'VN_YouTube Performance'!H6</f>
        <v>148369.26999999999</v>
      </c>
      <c r="G401" s="549">
        <f>'VN_YouTube Performance'!J66</f>
        <v>347607.14743965771</v>
      </c>
      <c r="H401" s="549">
        <f>'VN_YouTube Performance'!J6</f>
        <v>274892.22499999998</v>
      </c>
      <c r="I401" s="550">
        <f>'VN_YouTube Performance'!L66</f>
        <v>13623.456484334463</v>
      </c>
      <c r="J401" s="550">
        <f>'VN_YouTube Performance'!L6</f>
        <v>17239.806</v>
      </c>
      <c r="K401" s="103"/>
      <c r="L401" s="547">
        <f>'VN_YouTube Performance'!Q66</f>
        <v>112045.99700000002</v>
      </c>
      <c r="M401" s="547">
        <f>'VN_YouTube Performance'!Q6</f>
        <v>112045.99700000002</v>
      </c>
      <c r="N401" s="548">
        <f>'VN_YouTube Performance'!S66</f>
        <v>102246.79726097024</v>
      </c>
      <c r="O401" s="548">
        <f>'VN_YouTube Performance'!S6</f>
        <v>115656.79299999999</v>
      </c>
      <c r="P401" s="549">
        <f>'VN_YouTube Performance'!U66</f>
        <v>137288.52532616543</v>
      </c>
      <c r="Q401" s="549">
        <f>'VN_YouTube Performance'!U6</f>
        <v>134480.26200000002</v>
      </c>
      <c r="R401" s="550">
        <f>'VN_YouTube Performance'!W66</f>
        <v>5687.7859306748032</v>
      </c>
      <c r="S401" s="550">
        <f>'VN_YouTube Performance'!W6</f>
        <v>8851.1309999999994</v>
      </c>
      <c r="T401" s="103"/>
      <c r="U401" s="547">
        <f>'VN_YouTube Performance'!AB66</f>
        <v>98938.029999999955</v>
      </c>
      <c r="V401" s="547">
        <f>'VN_YouTube Performance'!AB6</f>
        <v>98938.030000000013</v>
      </c>
      <c r="W401" s="548">
        <f>'VN_YouTube Performance'!AD66</f>
        <v>16217.611433420345</v>
      </c>
      <c r="X401" s="548">
        <f>'VN_YouTube Performance'!AD6</f>
        <v>32712.477000000003</v>
      </c>
      <c r="Y401" s="549">
        <f>'VN_YouTube Performance'!AF66</f>
        <v>210318.62211349228</v>
      </c>
      <c r="Z401" s="549">
        <f>'VN_YouTube Performance'!AF6</f>
        <v>140411.96299999999</v>
      </c>
      <c r="AA401" s="550">
        <f>'VN_YouTube Performance'!AH66</f>
        <v>7935.6705536596601</v>
      </c>
      <c r="AB401" s="550">
        <f>'VN_YouTube Performance'!AH6</f>
        <v>8388.6749999999993</v>
      </c>
      <c r="AC401" s="103"/>
    </row>
    <row r="402" spans="2:29">
      <c r="B402" s="552" t="s">
        <v>15</v>
      </c>
      <c r="C402" s="547">
        <f>'VN_YouTube Performance'!F67</f>
        <v>216045.23000000007</v>
      </c>
      <c r="D402" s="547">
        <f>'VN_YouTube Performance'!F7</f>
        <v>216045.23000000007</v>
      </c>
      <c r="E402" s="548">
        <f>'VN_YouTube Performance'!H67</f>
        <v>105730.50092321732</v>
      </c>
      <c r="F402" s="548">
        <f>'VN_YouTube Performance'!H7</f>
        <v>118213.66</v>
      </c>
      <c r="G402" s="549">
        <f>'VN_YouTube Performance'!J67</f>
        <v>310242.36079292529</v>
      </c>
      <c r="H402" s="549">
        <f>'VN_YouTube Performance'!J7</f>
        <v>267740.78999999998</v>
      </c>
      <c r="I402" s="550">
        <f>'VN_YouTube Performance'!L67</f>
        <v>12159.051771492457</v>
      </c>
      <c r="J402" s="550">
        <f>'VN_YouTube Performance'!L7</f>
        <v>16223.649999999996</v>
      </c>
      <c r="K402" s="103"/>
      <c r="L402" s="547">
        <f>'VN_YouTube Performance'!Q67</f>
        <v>99888.500000000015</v>
      </c>
      <c r="M402" s="547">
        <f>'VN_YouTube Performance'!Q7</f>
        <v>99888.500000000015</v>
      </c>
      <c r="N402" s="548">
        <f>'VN_YouTube Performance'!S67</f>
        <v>91256.14360753505</v>
      </c>
      <c r="O402" s="548">
        <f>'VN_YouTube Performance'!S7</f>
        <v>94450.7</v>
      </c>
      <c r="P402" s="549">
        <f>'VN_YouTube Performance'!U67</f>
        <v>122531.18648649966</v>
      </c>
      <c r="Q402" s="549">
        <f>'VN_YouTube Performance'!U7</f>
        <v>114441.33999999997</v>
      </c>
      <c r="R402" s="550">
        <f>'VN_YouTube Performance'!W67</f>
        <v>5076.3977317919152</v>
      </c>
      <c r="S402" s="550">
        <f>'VN_YouTube Performance'!W7</f>
        <v>7885.42</v>
      </c>
      <c r="T402" s="103"/>
      <c r="U402" s="547">
        <f>'VN_YouTube Performance'!AB67</f>
        <v>116156.73000000005</v>
      </c>
      <c r="V402" s="547">
        <f>'VN_YouTube Performance'!AB7</f>
        <v>116156.72999999998</v>
      </c>
      <c r="W402" s="548">
        <f>'VN_YouTube Performance'!AD67</f>
        <v>14474.357315682268</v>
      </c>
      <c r="X402" s="548">
        <f>'VN_YouTube Performance'!AD7</f>
        <v>23762.960000000003</v>
      </c>
      <c r="Y402" s="549">
        <f>'VN_YouTube Performance'!AF67</f>
        <v>187711.17430642562</v>
      </c>
      <c r="Z402" s="549">
        <f>'VN_YouTube Performance'!AF7</f>
        <v>153299.45000000001</v>
      </c>
      <c r="AA402" s="550">
        <f>'VN_YouTube Performance'!AH67</f>
        <v>7082.6540397005419</v>
      </c>
      <c r="AB402" s="550">
        <f>'VN_YouTube Performance'!AH7</f>
        <v>8338.2300000000014</v>
      </c>
      <c r="AC402" s="103"/>
    </row>
    <row r="403" spans="2:29">
      <c r="B403" s="552" t="s">
        <v>16</v>
      </c>
      <c r="C403" s="547">
        <f>'VN_YouTube Performance'!F68</f>
        <v>267647.23000000004</v>
      </c>
      <c r="D403" s="547">
        <f>'VN_YouTube Performance'!F8</f>
        <v>267647.23000000004</v>
      </c>
      <c r="E403" s="548">
        <f>'VN_YouTube Performance'!H68</f>
        <v>130493.21576872235</v>
      </c>
      <c r="F403" s="548">
        <f>'VN_YouTube Performance'!H8</f>
        <v>168146.83</v>
      </c>
      <c r="G403" s="549">
        <f>'VN_YouTube Performance'!J68</f>
        <v>382902.97477119998</v>
      </c>
      <c r="H403" s="549">
        <f>'VN_YouTube Performance'!J8</f>
        <v>516133.7</v>
      </c>
      <c r="I403" s="550">
        <f>'VN_YouTube Performance'!L68</f>
        <v>15006.774322507856</v>
      </c>
      <c r="J403" s="550">
        <f>'VN_YouTube Performance'!L8</f>
        <v>38199.730000000003</v>
      </c>
      <c r="K403" s="103"/>
      <c r="L403" s="547">
        <f>'VN_YouTube Performance'!Q68</f>
        <v>130016.65</v>
      </c>
      <c r="M403" s="547">
        <f>'VN_YouTube Performance'!Q8</f>
        <v>130016.65</v>
      </c>
      <c r="N403" s="548">
        <f>'VN_YouTube Performance'!S68</f>
        <v>112628.87751423339</v>
      </c>
      <c r="O403" s="548">
        <f>'VN_YouTube Performance'!S8</f>
        <v>125455.74999999999</v>
      </c>
      <c r="P403" s="549">
        <f>'VN_YouTube Performance'!U68</f>
        <v>151228.72224158005</v>
      </c>
      <c r="Q403" s="549">
        <f>'VN_YouTube Performance'!U8</f>
        <v>153972.35000000003</v>
      </c>
      <c r="R403" s="550">
        <f>'VN_YouTube Performance'!W68</f>
        <v>6265.3204019495124</v>
      </c>
      <c r="S403" s="550">
        <f>'VN_YouTube Performance'!W8</f>
        <v>18017.339999999997</v>
      </c>
      <c r="T403" s="103"/>
      <c r="U403" s="547">
        <f>'VN_YouTube Performance'!AB68</f>
        <v>137630.58000000005</v>
      </c>
      <c r="V403" s="547">
        <f>'VN_YouTube Performance'!AB8</f>
        <v>137630.57999999999</v>
      </c>
      <c r="W403" s="548">
        <f>'VN_YouTube Performance'!AD68</f>
        <v>17864.338254488961</v>
      </c>
      <c r="X403" s="548">
        <f>'VN_YouTube Performance'!AD8</f>
        <v>42691.080000000009</v>
      </c>
      <c r="Y403" s="549">
        <f>'VN_YouTube Performance'!AF68</f>
        <v>231674.25252961993</v>
      </c>
      <c r="Z403" s="549">
        <f>'VN_YouTube Performance'!AF8</f>
        <v>362161.35</v>
      </c>
      <c r="AA403" s="550">
        <f>'VN_YouTube Performance'!AH68</f>
        <v>8741.4539205583424</v>
      </c>
      <c r="AB403" s="550">
        <f>'VN_YouTube Performance'!AH8</f>
        <v>20182.390000000003</v>
      </c>
      <c r="AC403" s="103"/>
    </row>
    <row r="404" spans="2:29">
      <c r="B404" s="552" t="s">
        <v>17</v>
      </c>
      <c r="C404" s="547">
        <f>'VN_YouTube Performance'!F69</f>
        <v>291254.53000000003</v>
      </c>
      <c r="D404" s="547">
        <f>'VN_YouTube Performance'!F9</f>
        <v>291254.53000000003</v>
      </c>
      <c r="E404" s="548">
        <f>'VN_YouTube Performance'!H69</f>
        <v>137018.03438088796</v>
      </c>
      <c r="F404" s="548">
        <f>'VN_YouTube Performance'!H9</f>
        <v>170290.55</v>
      </c>
      <c r="G404" s="549">
        <f>'VN_YouTube Performance'!J69</f>
        <v>402048.58660797658</v>
      </c>
      <c r="H404" s="549">
        <f>'VN_YouTube Performance'!J9</f>
        <v>465833.50999999989</v>
      </c>
      <c r="I404" s="550">
        <f>'VN_YouTube Performance'!L69</f>
        <v>15757.131188428062</v>
      </c>
      <c r="J404" s="550">
        <f>'VN_YouTube Performance'!L9</f>
        <v>121615.77</v>
      </c>
      <c r="K404" s="103"/>
      <c r="L404" s="547">
        <f>'VN_YouTube Performance'!Q69</f>
        <v>175528.19000000003</v>
      </c>
      <c r="M404" s="547">
        <f>'VN_YouTube Performance'!Q9</f>
        <v>175528.19000000003</v>
      </c>
      <c r="N404" s="548">
        <f>'VN_YouTube Performance'!S69</f>
        <v>118260.45760782727</v>
      </c>
      <c r="O404" s="548">
        <f>'VN_YouTube Performance'!S9</f>
        <v>116613.42000000001</v>
      </c>
      <c r="P404" s="549">
        <f>'VN_YouTube Performance'!U69</f>
        <v>158790.34125574178</v>
      </c>
      <c r="Q404" s="549">
        <f>'VN_YouTube Performance'!U9</f>
        <v>164250.47999999998</v>
      </c>
      <c r="R404" s="550">
        <f>'VN_YouTube Performance'!W69</f>
        <v>6578.5939995767949</v>
      </c>
      <c r="S404" s="550">
        <f>'VN_YouTube Performance'!W9</f>
        <v>23800.710000000006</v>
      </c>
      <c r="T404" s="103"/>
      <c r="U404" s="547">
        <f>'VN_YouTube Performance'!AB69</f>
        <v>115726.34</v>
      </c>
      <c r="V404" s="547">
        <f>'VN_YouTube Performance'!AB9</f>
        <v>115726.34</v>
      </c>
      <c r="W404" s="548">
        <f>'VN_YouTube Performance'!AD69</f>
        <v>18757.576773060689</v>
      </c>
      <c r="X404" s="548">
        <f>'VN_YouTube Performance'!AD9</f>
        <v>53677.130000000005</v>
      </c>
      <c r="Y404" s="549">
        <f>'VN_YouTube Performance'!AF69</f>
        <v>243258.24535223481</v>
      </c>
      <c r="Z404" s="549">
        <f>'VN_YouTube Performance'!AF9</f>
        <v>301583.03000000003</v>
      </c>
      <c r="AA404" s="550">
        <f>'VN_YouTube Performance'!AH69</f>
        <v>9178.5371888512673</v>
      </c>
      <c r="AB404" s="550">
        <f>'VN_YouTube Performance'!AH9</f>
        <v>97815.059999999983</v>
      </c>
      <c r="AC404" s="103"/>
    </row>
    <row r="405" spans="2:29">
      <c r="B405" s="552" t="s">
        <v>18</v>
      </c>
      <c r="C405" s="547">
        <f>'VN_YouTube Performance'!F70</f>
        <v>322226.97000000003</v>
      </c>
      <c r="D405" s="547">
        <f>'VN_YouTube Performance'!F10</f>
        <v>322226.97000000003</v>
      </c>
      <c r="E405" s="548">
        <f>'VN_YouTube Performance'!H70</f>
        <v>148441.64822180182</v>
      </c>
      <c r="F405" s="548">
        <f>'VN_YouTube Performance'!H10</f>
        <v>206786.54000000004</v>
      </c>
      <c r="G405" s="549">
        <f>'VN_YouTube Performance'!J70</f>
        <v>435568.61059202644</v>
      </c>
      <c r="H405" s="549">
        <f>'VN_YouTube Performance'!J10</f>
        <v>484218.78</v>
      </c>
      <c r="I405" s="550">
        <f>'VN_YouTube Performance'!L70</f>
        <v>17070.851551959495</v>
      </c>
      <c r="J405" s="550">
        <f>'VN_YouTube Performance'!L10</f>
        <v>176027.96000000005</v>
      </c>
      <c r="K405" s="103"/>
      <c r="L405" s="547">
        <f>'VN_YouTube Performance'!Q70</f>
        <v>188575.44999999992</v>
      </c>
      <c r="M405" s="547">
        <f>'VN_YouTube Performance'!Q10</f>
        <v>188575.44999999992</v>
      </c>
      <c r="N405" s="548">
        <f>'VN_YouTube Performance'!S70</f>
        <v>128120.19473269457</v>
      </c>
      <c r="O405" s="548">
        <f>'VN_YouTube Performance'!S10</f>
        <v>122478.54000000001</v>
      </c>
      <c r="P405" s="549">
        <f>'VN_YouTube Performance'!U70</f>
        <v>172029.17910923203</v>
      </c>
      <c r="Q405" s="549">
        <f>'VN_YouTube Performance'!U10</f>
        <v>207233.73999999996</v>
      </c>
      <c r="R405" s="550">
        <f>'VN_YouTube Performance'!W70</f>
        <v>7127.0715617231754</v>
      </c>
      <c r="S405" s="550">
        <f>'VN_YouTube Performance'!W10</f>
        <v>22565.05</v>
      </c>
      <c r="T405" s="103"/>
      <c r="U405" s="547">
        <f>'VN_YouTube Performance'!AB70</f>
        <v>133651.52000000011</v>
      </c>
      <c r="V405" s="547">
        <f>'VN_YouTube Performance'!AB10</f>
        <v>133651.52000000002</v>
      </c>
      <c r="W405" s="548">
        <f>'VN_YouTube Performance'!AD70</f>
        <v>20321.453489107254</v>
      </c>
      <c r="X405" s="548">
        <f>'VN_YouTube Performance'!AD10</f>
        <v>84308.000000000015</v>
      </c>
      <c r="Y405" s="549">
        <f>'VN_YouTube Performance'!AF70</f>
        <v>263539.4314827944</v>
      </c>
      <c r="Z405" s="549">
        <f>'VN_YouTube Performance'!AF10</f>
        <v>276985.04000000004</v>
      </c>
      <c r="AA405" s="550">
        <f>'VN_YouTube Performance'!AH70</f>
        <v>9943.7799902363186</v>
      </c>
      <c r="AB405" s="550">
        <f>'VN_YouTube Performance'!AH10</f>
        <v>153462.91000000003</v>
      </c>
      <c r="AC405" s="103"/>
    </row>
    <row r="406" spans="2:29">
      <c r="B406" s="552" t="s">
        <v>19</v>
      </c>
      <c r="C406" s="547">
        <f>'VN_YouTube Performance'!F71</f>
        <v>226505.22019899506</v>
      </c>
      <c r="D406" s="547">
        <f>'VN_YouTube Performance'!F11</f>
        <v>300283.6399999999</v>
      </c>
      <c r="E406" s="548">
        <f>'VN_YouTube Performance'!H71</f>
        <v>145679.5115110692</v>
      </c>
      <c r="F406" s="548">
        <f>'VN_YouTube Performance'!H11</f>
        <v>232102.97999999998</v>
      </c>
      <c r="G406" s="549">
        <f>'VN_YouTube Performance'!J71</f>
        <v>427463.74202063092</v>
      </c>
      <c r="H406" s="549">
        <f>'VN_YouTube Performance'!J11</f>
        <v>474496.89000000007</v>
      </c>
      <c r="I406" s="550">
        <f>'VN_YouTube Performance'!L71</f>
        <v>16753.20467643653</v>
      </c>
      <c r="J406" s="550">
        <f>'VN_YouTube Performance'!L11</f>
        <v>51696.229999999996</v>
      </c>
      <c r="K406" s="103"/>
      <c r="L406" s="547">
        <f>'VN_YouTube Performance'!Q71</f>
        <v>112486.78434195</v>
      </c>
      <c r="M406" s="547">
        <f>'VN_YouTube Performance'!Q11</f>
        <v>163293.01999999999</v>
      </c>
      <c r="N406" s="548">
        <f>'VN_YouTube Performance'!S71</f>
        <v>125736.19066445214</v>
      </c>
      <c r="O406" s="548">
        <f>'VN_YouTube Performance'!S11</f>
        <v>123175.16000000003</v>
      </c>
      <c r="P406" s="549">
        <f>'VN_YouTube Performance'!U71</f>
        <v>168828.13602848686</v>
      </c>
      <c r="Q406" s="549">
        <f>'VN_YouTube Performance'!U11</f>
        <v>189982.19999999995</v>
      </c>
      <c r="R406" s="550">
        <f>'VN_YouTube Performance'!W71</f>
        <v>6994.454157938766</v>
      </c>
      <c r="S406" s="550">
        <f>'VN_YouTube Performance'!W11</f>
        <v>15439.14</v>
      </c>
      <c r="T406" s="103"/>
      <c r="U406" s="547">
        <f>'VN_YouTube Performance'!AB71</f>
        <v>114018.43585704506</v>
      </c>
      <c r="V406" s="547">
        <f>'VN_YouTube Performance'!AB11</f>
        <v>136990.62</v>
      </c>
      <c r="W406" s="548">
        <f>'VN_YouTube Performance'!AD71</f>
        <v>19943.320846617062</v>
      </c>
      <c r="X406" s="548">
        <f>'VN_YouTube Performance'!AD11</f>
        <v>108927.82</v>
      </c>
      <c r="Y406" s="549">
        <f>'VN_YouTube Performance'!AF71</f>
        <v>258635.60599214406</v>
      </c>
      <c r="Z406" s="549">
        <f>'VN_YouTube Performance'!AF11</f>
        <v>284514.69</v>
      </c>
      <c r="AA406" s="550">
        <f>'VN_YouTube Performance'!AH71</f>
        <v>9758.7505184977636</v>
      </c>
      <c r="AB406" s="550">
        <f>'VN_YouTube Performance'!AH11</f>
        <v>36257.089999999997</v>
      </c>
      <c r="AC406" s="103"/>
    </row>
    <row r="407" spans="2:29">
      <c r="B407" s="552" t="s">
        <v>20</v>
      </c>
      <c r="C407" s="547">
        <f>'VN_YouTube Performance'!F72</f>
        <v>258863.10879885152</v>
      </c>
      <c r="D407" s="547">
        <f>'VN_YouTube Performance'!F12</f>
        <v>300910.12999999989</v>
      </c>
      <c r="E407" s="548">
        <f>'VN_YouTube Performance'!H72</f>
        <v>157286.50228983568</v>
      </c>
      <c r="F407" s="548">
        <f>'VN_YouTube Performance'!H12</f>
        <v>204887.84000000003</v>
      </c>
      <c r="G407" s="549">
        <f>'VN_YouTube Performance'!J72</f>
        <v>461521.84436066699</v>
      </c>
      <c r="H407" s="549">
        <f>'VN_YouTube Performance'!J12</f>
        <v>370588.48</v>
      </c>
      <c r="I407" s="550">
        <f>'VN_YouTube Performance'!L72</f>
        <v>18088.013464420492</v>
      </c>
      <c r="J407" s="550">
        <f>'VN_YouTube Performance'!L12</f>
        <v>40203.839999999997</v>
      </c>
      <c r="K407" s="103"/>
      <c r="L407" s="547">
        <f>'VN_YouTube Performance'!Q72</f>
        <v>128556.32496222859</v>
      </c>
      <c r="M407" s="547">
        <f>'VN_YouTube Performance'!Q12</f>
        <v>182824.15</v>
      </c>
      <c r="N407" s="548">
        <f>'VN_YouTube Performance'!S72</f>
        <v>135754.20068152048</v>
      </c>
      <c r="O407" s="548">
        <f>'VN_YouTube Performance'!S12</f>
        <v>121549.84</v>
      </c>
      <c r="P407" s="549">
        <f>'VN_YouTube Performance'!U72</f>
        <v>182279.48960424404</v>
      </c>
      <c r="Q407" s="549">
        <f>'VN_YouTube Performance'!U12</f>
        <v>201595.1699999999</v>
      </c>
      <c r="R407" s="550">
        <f>'VN_YouTube Performance'!W72</f>
        <v>7551.7361262238619</v>
      </c>
      <c r="S407" s="550">
        <f>'VN_YouTube Performance'!W12</f>
        <v>14448.869999999999</v>
      </c>
      <c r="T407" s="103"/>
      <c r="U407" s="547">
        <f>'VN_YouTube Performance'!AB72</f>
        <v>130306.78383662293</v>
      </c>
      <c r="V407" s="547">
        <f>'VN_YouTube Performance'!AB12</f>
        <v>118085.97999999998</v>
      </c>
      <c r="W407" s="548">
        <f>'VN_YouTube Performance'!AD72</f>
        <v>21532.301608315203</v>
      </c>
      <c r="X407" s="548">
        <f>'VN_YouTube Performance'!AD12</f>
        <v>83338</v>
      </c>
      <c r="Y407" s="549">
        <f>'VN_YouTube Performance'!AF72</f>
        <v>279242.35475642292</v>
      </c>
      <c r="Z407" s="549">
        <f>'VN_YouTube Performance'!AF12</f>
        <v>168993.31000000006</v>
      </c>
      <c r="AA407" s="550">
        <f>'VN_YouTube Performance'!AH72</f>
        <v>10536.277338196629</v>
      </c>
      <c r="AB407" s="550">
        <f>'VN_YouTube Performance'!AH12</f>
        <v>25754.969999999994</v>
      </c>
      <c r="AC407" s="103"/>
    </row>
    <row r="408" spans="2:29">
      <c r="B408" s="552" t="s">
        <v>21</v>
      </c>
      <c r="C408" s="547">
        <f>'VN_YouTube Performance'!F73</f>
        <v>291220.99739870796</v>
      </c>
      <c r="D408" s="547">
        <f>'VN_YouTube Performance'!F13</f>
        <v>338941.66300017678</v>
      </c>
      <c r="E408" s="548">
        <f>'VN_YouTube Performance'!H73</f>
        <v>155818.26072619413</v>
      </c>
      <c r="F408" s="548">
        <f>'VN_YouTube Performance'!H13</f>
        <v>233306.64100001781</v>
      </c>
      <c r="G408" s="549">
        <f>'VN_YouTube Performance'!J73</f>
        <v>457213.61991321796</v>
      </c>
      <c r="H408" s="549">
        <f>'VN_YouTube Performance'!J13</f>
        <v>441063.94500021177</v>
      </c>
      <c r="I408" s="550">
        <f>'VN_YouTube Performance'!L73</f>
        <v>17919.165071293719</v>
      </c>
      <c r="J408" s="550">
        <f>'VN_YouTube Performance'!L13</f>
        <v>42278.220999997204</v>
      </c>
      <c r="K408" s="103"/>
      <c r="L408" s="547">
        <f>'VN_YouTube Performance'!Q73</f>
        <v>144625.86558250713</v>
      </c>
      <c r="M408" s="547">
        <f>'VN_YouTube Performance'!Q13</f>
        <v>218040.19800009488</v>
      </c>
      <c r="N408" s="548">
        <f>'VN_YouTube Performance'!S73</f>
        <v>134486.9593290982</v>
      </c>
      <c r="O408" s="548">
        <f>'VN_YouTube Performance'!S13</f>
        <v>151945.83000000729</v>
      </c>
      <c r="P408" s="549">
        <f>'VN_YouTube Performance'!U73</f>
        <v>180577.94294295998</v>
      </c>
      <c r="Q408" s="549">
        <f>'VN_YouTube Performance'!U13</f>
        <v>253866.68900010208</v>
      </c>
      <c r="R408" s="550">
        <f>'VN_YouTube Performance'!W73</f>
        <v>7481.2420107291746</v>
      </c>
      <c r="S408" s="550">
        <f>'VN_YouTube Performance'!W13</f>
        <v>13653.256999999603</v>
      </c>
      <c r="T408" s="103"/>
      <c r="U408" s="547">
        <f>'VN_YouTube Performance'!AB73</f>
        <v>146595.13181620082</v>
      </c>
      <c r="V408" s="547">
        <f>'VN_YouTube Performance'!AB13</f>
        <v>120901.46500008198</v>
      </c>
      <c r="W408" s="548">
        <f>'VN_YouTube Performance'!AD73</f>
        <v>21331.301397095929</v>
      </c>
      <c r="X408" s="548">
        <f>'VN_YouTube Performance'!AD13</f>
        <v>81360.811000010523</v>
      </c>
      <c r="Y408" s="549">
        <f>'VN_YouTube Performance'!AF73</f>
        <v>276635.67697025801</v>
      </c>
      <c r="Z408" s="549">
        <f>'VN_YouTube Performance'!AF13</f>
        <v>187197.25600010963</v>
      </c>
      <c r="AA408" s="550">
        <f>'VN_YouTube Performance'!AH73</f>
        <v>10437.923060564544</v>
      </c>
      <c r="AB408" s="550">
        <f>'VN_YouTube Performance'!AH13</f>
        <v>28624.963999997599</v>
      </c>
      <c r="AC408" s="103"/>
    </row>
    <row r="409" spans="2:29">
      <c r="B409" s="552" t="s">
        <v>22</v>
      </c>
      <c r="C409" s="547">
        <f>'VN_YouTube Performance'!F74</f>
        <v>291220.99739870796</v>
      </c>
      <c r="D409" s="547">
        <f>'VN_YouTube Performance'!F14</f>
        <v>324756.67200029577</v>
      </c>
      <c r="E409" s="548">
        <f>'VN_YouTube Performance'!H74</f>
        <v>164397.07953697184</v>
      </c>
      <c r="F409" s="548">
        <f>'VN_YouTube Performance'!H14</f>
        <v>142000.29300000914</v>
      </c>
      <c r="G409" s="549">
        <f>'VN_YouTube Performance'!J74</f>
        <v>482386.23308945977</v>
      </c>
      <c r="H409" s="549">
        <f>'VN_YouTube Performance'!J14</f>
        <v>430826.6510003584</v>
      </c>
      <c r="I409" s="550">
        <f>'VN_YouTube Performance'!L74</f>
        <v>18905.732818043078</v>
      </c>
      <c r="J409" s="550">
        <f>'VN_YouTube Performance'!L14</f>
        <v>53527.380999994697</v>
      </c>
      <c r="K409" s="103"/>
      <c r="L409" s="547">
        <f>'VN_YouTube Performance'!Q74</f>
        <v>144625.86558250713</v>
      </c>
      <c r="M409" s="547">
        <f>'VN_YouTube Performance'!Q14</f>
        <v>183136.0120001497</v>
      </c>
      <c r="N409" s="548">
        <f>'VN_YouTube Performance'!S74</f>
        <v>141891.34987433814</v>
      </c>
      <c r="O409" s="548">
        <f>'VN_YouTube Performance'!S14</f>
        <v>98883.385000009774</v>
      </c>
      <c r="P409" s="549">
        <f>'VN_YouTube Performance'!U74</f>
        <v>190519.94490416007</v>
      </c>
      <c r="Q409" s="549">
        <f>'VN_YouTube Performance'!U14</f>
        <v>208122.49200016231</v>
      </c>
      <c r="R409" s="550">
        <f>'VN_YouTube Performance'!W74</f>
        <v>7893.1335271054359</v>
      </c>
      <c r="S409" s="550">
        <f>'VN_YouTube Performance'!W14</f>
        <v>7556.8399999997064</v>
      </c>
      <c r="T409" s="103"/>
      <c r="U409" s="547">
        <f>'VN_YouTube Performance'!AB74</f>
        <v>146595.13181620082</v>
      </c>
      <c r="V409" s="547">
        <f>'VN_YouTube Performance'!AB14</f>
        <v>141620.66000014605</v>
      </c>
      <c r="W409" s="548">
        <f>'VN_YouTube Performance'!AD74</f>
        <v>22505.729662633705</v>
      </c>
      <c r="X409" s="548">
        <f>'VN_YouTube Performance'!AD14</f>
        <v>43116.907999999341</v>
      </c>
      <c r="Y409" s="549">
        <f>'VN_YouTube Performance'!AF74</f>
        <v>291866.28818529972</v>
      </c>
      <c r="Z409" s="549">
        <f>'VN_YouTube Performance'!AF14</f>
        <v>222704.15900019614</v>
      </c>
      <c r="AA409" s="550">
        <f>'VN_YouTube Performance'!AH74</f>
        <v>11012.599290937642</v>
      </c>
      <c r="AB409" s="550">
        <f>'VN_YouTube Performance'!AH14</f>
        <v>45970.540999994992</v>
      </c>
      <c r="AC409" s="103"/>
    </row>
    <row r="410" spans="2:29">
      <c r="B410" s="552" t="s">
        <v>23</v>
      </c>
      <c r="C410" s="547">
        <f>'VN_YouTube Performance'!F75</f>
        <v>323578.88599856436</v>
      </c>
      <c r="D410" s="547">
        <f>'VN_YouTube Performance'!F15</f>
        <v>0</v>
      </c>
      <c r="E410" s="548">
        <f>'VN_YouTube Performance'!H75</f>
        <v>176396.05699360892</v>
      </c>
      <c r="F410" s="548">
        <f>'VN_YouTube Performance'!H15</f>
        <v>0</v>
      </c>
      <c r="G410" s="549">
        <f>'VN_YouTube Performance'!J75</f>
        <v>517594.5321208961</v>
      </c>
      <c r="H410" s="549">
        <f>'VN_YouTube Performance'!J15</f>
        <v>0</v>
      </c>
      <c r="I410" s="550">
        <f>'VN_YouTube Performance'!L75</f>
        <v>20285.620237721268</v>
      </c>
      <c r="J410" s="550">
        <f>'VN_YouTube Performance'!L15</f>
        <v>0</v>
      </c>
      <c r="K410" s="103"/>
      <c r="L410" s="547">
        <f>'VN_YouTube Performance'!Q75</f>
        <v>160695.4062027857</v>
      </c>
      <c r="M410" s="547">
        <f>'VN_YouTube Performance'!Q15</f>
        <v>0</v>
      </c>
      <c r="N410" s="548">
        <f>'VN_YouTube Performance'!S75</f>
        <v>152247.68414274041</v>
      </c>
      <c r="O410" s="548">
        <f>'VN_YouTube Performance'!S15</f>
        <v>0</v>
      </c>
      <c r="P410" s="549">
        <f>'VN_YouTube Performance'!U75</f>
        <v>204425.57224488567</v>
      </c>
      <c r="Q410" s="549">
        <f>'VN_YouTube Performance'!U15</f>
        <v>0</v>
      </c>
      <c r="R410" s="550">
        <f>'VN_YouTube Performance'!W75</f>
        <v>8469.2358004591733</v>
      </c>
      <c r="S410" s="550">
        <f>'VN_YouTube Performance'!W15</f>
        <v>0</v>
      </c>
      <c r="T410" s="103"/>
      <c r="U410" s="547">
        <f>'VN_YouTube Performance'!AB75</f>
        <v>162883.47979577866</v>
      </c>
      <c r="V410" s="547">
        <f>'VN_YouTube Performance'!AB15</f>
        <v>0</v>
      </c>
      <c r="W410" s="548">
        <f>'VN_YouTube Performance'!AD75</f>
        <v>24148.372850868502</v>
      </c>
      <c r="X410" s="548">
        <f>'VN_YouTube Performance'!AD15</f>
        <v>0</v>
      </c>
      <c r="Y410" s="549">
        <f>'VN_YouTube Performance'!AF75</f>
        <v>313168.95987601043</v>
      </c>
      <c r="Z410" s="549">
        <f>'VN_YouTube Performance'!AF15</f>
        <v>0</v>
      </c>
      <c r="AA410" s="550">
        <f>'VN_YouTube Performance'!AH75</f>
        <v>11816.384437262095</v>
      </c>
      <c r="AB410" s="550">
        <f>'VN_YouTube Performance'!AH15</f>
        <v>0</v>
      </c>
      <c r="AC410" s="103"/>
    </row>
    <row r="411" spans="2:29">
      <c r="B411" s="552" t="s">
        <v>24</v>
      </c>
      <c r="C411" s="547">
        <f>'VN_YouTube Performance'!F76</f>
        <v>388294.66319827724</v>
      </c>
      <c r="D411" s="547">
        <f>'VN_YouTube Performance'!F16</f>
        <v>0</v>
      </c>
      <c r="E411" s="548">
        <f>'VN_YouTube Performance'!H76</f>
        <v>180024.01550878966</v>
      </c>
      <c r="F411" s="548">
        <f>'VN_YouTube Performance'!H16</f>
        <v>0</v>
      </c>
      <c r="G411" s="549">
        <f>'VN_YouTube Performance'!J76</f>
        <v>528239.95992820268</v>
      </c>
      <c r="H411" s="549">
        <f>'VN_YouTube Performance'!J16</f>
        <v>0</v>
      </c>
      <c r="I411" s="550">
        <f>'VN_YouTube Performance'!L76</f>
        <v>20702.836982423396</v>
      </c>
      <c r="J411" s="550">
        <f>'VN_YouTube Performance'!L16</f>
        <v>0</v>
      </c>
      <c r="K411" s="103"/>
      <c r="L411" s="547">
        <f>'VN_YouTube Performance'!Q76</f>
        <v>192834.48744334283</v>
      </c>
      <c r="M411" s="547">
        <f>'VN_YouTube Performance'!Q16</f>
        <v>0</v>
      </c>
      <c r="N411" s="548">
        <f>'VN_YouTube Performance'!S76</f>
        <v>155378.98022450152</v>
      </c>
      <c r="O411" s="548">
        <f>'VN_YouTube Performance'!S16</f>
        <v>0</v>
      </c>
      <c r="P411" s="549">
        <f>'VN_YouTube Performance'!U76</f>
        <v>208630.01710712767</v>
      </c>
      <c r="Q411" s="549">
        <f>'VN_YouTube Performance'!U16</f>
        <v>0</v>
      </c>
      <c r="R411" s="550">
        <f>'VN_YouTube Performance'!W76</f>
        <v>8643.4235723573984</v>
      </c>
      <c r="S411" s="550">
        <f>'VN_YouTube Performance'!W16</f>
        <v>0</v>
      </c>
      <c r="T411" s="103"/>
      <c r="U411" s="547">
        <f>'VN_YouTube Performance'!AB76</f>
        <v>195460.1757549344</v>
      </c>
      <c r="V411" s="547">
        <f>'VN_YouTube Performance'!AB16</f>
        <v>0</v>
      </c>
      <c r="W411" s="548">
        <f>'VN_YouTube Performance'!AD76</f>
        <v>24645.03528428814</v>
      </c>
      <c r="X411" s="548">
        <f>'VN_YouTube Performance'!AD16</f>
        <v>0</v>
      </c>
      <c r="Y411" s="549">
        <f>'VN_YouTube Performance'!AF76</f>
        <v>319609.94282107498</v>
      </c>
      <c r="Z411" s="549">
        <f>'VN_YouTube Performance'!AF16</f>
        <v>0</v>
      </c>
      <c r="AA411" s="550">
        <f>'VN_YouTube Performance'!AH76</f>
        <v>12059.413410065998</v>
      </c>
      <c r="AB411" s="550">
        <f>'VN_YouTube Performance'!AH16</f>
        <v>0</v>
      </c>
      <c r="AC411" s="103"/>
    </row>
    <row r="412" spans="2:29">
      <c r="B412" s="552" t="s">
        <v>25</v>
      </c>
      <c r="C412" s="547">
        <f>'VN_YouTube Performance'!F77</f>
        <v>485368.32899784652</v>
      </c>
      <c r="D412" s="547">
        <f>'VN_YouTube Performance'!F17</f>
        <v>0</v>
      </c>
      <c r="E412" s="548">
        <f>'VN_YouTube Performance'!H77</f>
        <v>199821.66977603344</v>
      </c>
      <c r="F412" s="548">
        <f>'VN_YouTube Performance'!H17</f>
        <v>0</v>
      </c>
      <c r="G412" s="549">
        <f>'VN_YouTube Performance'!J77</f>
        <v>586331.72100377223</v>
      </c>
      <c r="H412" s="549">
        <f>'VN_YouTube Performance'!J17</f>
        <v>0</v>
      </c>
      <c r="I412" s="550">
        <f>'VN_YouTube Performance'!L77</f>
        <v>22979.575492953481</v>
      </c>
      <c r="J412" s="550">
        <f>'VN_YouTube Performance'!L17</f>
        <v>0</v>
      </c>
      <c r="K412" s="103"/>
      <c r="L412" s="547">
        <f>'VN_YouTube Performance'!Q77</f>
        <v>241043.10930417859</v>
      </c>
      <c r="M412" s="547">
        <f>'VN_YouTube Performance'!Q17</f>
        <v>0</v>
      </c>
      <c r="N412" s="548">
        <f>'VN_YouTube Performance'!S77</f>
        <v>172466.36338384115</v>
      </c>
      <c r="O412" s="548">
        <f>'VN_YouTube Performance'!S17</f>
        <v>0</v>
      </c>
      <c r="P412" s="549">
        <f>'VN_YouTube Performance'!U77</f>
        <v>231573.53904103543</v>
      </c>
      <c r="Q412" s="549">
        <f>'VN_YouTube Performance'!U17</f>
        <v>0</v>
      </c>
      <c r="R412" s="550">
        <f>'VN_YouTube Performance'!W77</f>
        <v>9593.9607053463151</v>
      </c>
      <c r="S412" s="550">
        <f>'VN_YouTube Performance'!W17</f>
        <v>0</v>
      </c>
      <c r="T412" s="103"/>
      <c r="U412" s="547">
        <f>'VN_YouTube Performance'!AB77</f>
        <v>244325.21969366792</v>
      </c>
      <c r="V412" s="547">
        <f>'VN_YouTube Performance'!AB17</f>
        <v>0</v>
      </c>
      <c r="W412" s="548">
        <f>'VN_YouTube Performance'!AD77</f>
        <v>27355.306392192288</v>
      </c>
      <c r="X412" s="548">
        <f>'VN_YouTube Performance'!AD17</f>
        <v>0</v>
      </c>
      <c r="Y412" s="549">
        <f>'VN_YouTube Performance'!AF77</f>
        <v>354758.18196273677</v>
      </c>
      <c r="Z412" s="549">
        <f>'VN_YouTube Performance'!AF17</f>
        <v>0</v>
      </c>
      <c r="AA412" s="550">
        <f>'VN_YouTube Performance'!AH77</f>
        <v>13385.614787607166</v>
      </c>
      <c r="AB412" s="550">
        <f>'VN_YouTube Performance'!AH17</f>
        <v>0</v>
      </c>
      <c r="AC412" s="103"/>
    </row>
    <row r="413" spans="2:29">
      <c r="B413" s="552" t="s">
        <v>7</v>
      </c>
      <c r="C413" s="546">
        <f t="shared" ref="C413:J413" si="133">SUM(C401:C412)</f>
        <v>3573210.1889899508</v>
      </c>
      <c r="D413" s="546">
        <f t="shared" si="133"/>
        <v>2573050.0920004728</v>
      </c>
      <c r="E413" s="533">
        <f t="shared" si="133"/>
        <v>1819570.9043315225</v>
      </c>
      <c r="F413" s="533">
        <f t="shared" si="133"/>
        <v>1624104.6040000271</v>
      </c>
      <c r="G413" s="535">
        <f t="shared" si="133"/>
        <v>5339121.332640633</v>
      </c>
      <c r="H413" s="535">
        <f t="shared" si="133"/>
        <v>3725794.9710005699</v>
      </c>
      <c r="I413" s="537">
        <f t="shared" si="133"/>
        <v>209251.41406201432</v>
      </c>
      <c r="J413" s="537">
        <f t="shared" si="133"/>
        <v>557012.58799999196</v>
      </c>
      <c r="K413" s="103"/>
      <c r="L413" s="546">
        <f t="shared" ref="L413:S413" si="134">SUM(L401:L412)</f>
        <v>1830922.6304194997</v>
      </c>
      <c r="M413" s="546">
        <f t="shared" si="134"/>
        <v>1453348.1670002444</v>
      </c>
      <c r="N413" s="533">
        <f t="shared" si="134"/>
        <v>1570474.1990237527</v>
      </c>
      <c r="O413" s="533">
        <f t="shared" si="134"/>
        <v>1070209.4180000171</v>
      </c>
      <c r="P413" s="535">
        <f t="shared" si="134"/>
        <v>2108702.5962921185</v>
      </c>
      <c r="Q413" s="535">
        <f t="shared" si="134"/>
        <v>1627944.7230002643</v>
      </c>
      <c r="R413" s="537">
        <f t="shared" si="134"/>
        <v>87362.355525876323</v>
      </c>
      <c r="S413" s="537">
        <f t="shared" si="134"/>
        <v>132217.7579999993</v>
      </c>
      <c r="T413" s="103"/>
      <c r="U413" s="546">
        <f t="shared" ref="U413:AB413" si="135">SUM(U401:U412)</f>
        <v>1742287.5585704506</v>
      </c>
      <c r="V413" s="546">
        <f t="shared" si="135"/>
        <v>1119701.925000228</v>
      </c>
      <c r="W413" s="533">
        <f t="shared" si="135"/>
        <v>249096.70530777035</v>
      </c>
      <c r="X413" s="533">
        <f t="shared" si="135"/>
        <v>553895.18600000988</v>
      </c>
      <c r="Y413" s="535">
        <f t="shared" si="135"/>
        <v>3230418.7363485144</v>
      </c>
      <c r="Z413" s="535">
        <f t="shared" si="135"/>
        <v>2097850.2480003061</v>
      </c>
      <c r="AA413" s="537">
        <f t="shared" si="135"/>
        <v>121889.05853613796</v>
      </c>
      <c r="AB413" s="537">
        <f t="shared" si="135"/>
        <v>424794.82999999251</v>
      </c>
      <c r="AC413" s="103"/>
    </row>
    <row r="414" spans="2:29">
      <c r="K414" s="103"/>
      <c r="T414" s="103"/>
      <c r="AC414" s="103"/>
    </row>
  </sheetData>
  <mergeCells count="37">
    <mergeCell ref="AD2:AE2"/>
    <mergeCell ref="AA2:AB2"/>
    <mergeCell ref="W383:X383"/>
    <mergeCell ref="L399:M399"/>
    <mergeCell ref="AA383:AB383"/>
    <mergeCell ref="N399:O399"/>
    <mergeCell ref="P399:Q399"/>
    <mergeCell ref="R399:S399"/>
    <mergeCell ref="U399:V399"/>
    <mergeCell ref="Y383:Z383"/>
    <mergeCell ref="L383:M383"/>
    <mergeCell ref="W399:X399"/>
    <mergeCell ref="Y399:Z399"/>
    <mergeCell ref="AA399:AB399"/>
    <mergeCell ref="N383:O383"/>
    <mergeCell ref="P383:Q383"/>
    <mergeCell ref="R383:S383"/>
    <mergeCell ref="U383:V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34998626667073579"/>
  </sheetPr>
  <dimension ref="A1:AG414"/>
  <sheetViews>
    <sheetView showGridLines="0" tabSelected="1" zoomScale="85" zoomScaleNormal="85" zoomScalePageLayoutView="85" workbookViewId="0">
      <pane xSplit="2" ySplit="4" topLeftCell="C262" activePane="bottomRight" state="frozen"/>
      <selection activeCell="B6" sqref="B6"/>
      <selection pane="topRight" activeCell="B6" sqref="B6"/>
      <selection pane="bottomLeft" activeCell="B6" sqref="B6"/>
      <selection pane="bottomRight" activeCell="O276" sqref="O276"/>
    </sheetView>
  </sheetViews>
  <sheetFormatPr defaultColWidth="8.85546875" defaultRowHeight="15" outlineLevelRow="1"/>
  <cols>
    <col min="1" max="1" width="14.42578125" bestFit="1" customWidth="1"/>
    <col min="2" max="2" width="7.42578125" customWidth="1"/>
    <col min="3" max="8" width="13.85546875" customWidth="1"/>
    <col min="9" max="9" width="0.85546875" customWidth="1"/>
    <col min="10" max="15" width="13.85546875" customWidth="1"/>
    <col min="16" max="16" width="0.85546875" customWidth="1"/>
    <col min="17" max="22" width="13.85546875" customWidth="1"/>
    <col min="23" max="23" width="0.85546875" customWidth="1"/>
    <col min="24" max="25" width="12.42578125" customWidth="1"/>
    <col min="27" max="33" width="15.42578125" customWidth="1"/>
  </cols>
  <sheetData>
    <row r="1" spans="1:28" ht="15.75" thickBot="1">
      <c r="A1" s="551" t="s">
        <v>151</v>
      </c>
      <c r="C1" s="102" t="s">
        <v>0</v>
      </c>
      <c r="I1" s="101"/>
      <c r="J1" s="102" t="s">
        <v>5</v>
      </c>
      <c r="P1" s="101"/>
      <c r="Q1" s="102" t="s">
        <v>152</v>
      </c>
      <c r="W1" s="101"/>
    </row>
    <row r="2" spans="1:28">
      <c r="C2" s="854" t="s">
        <v>1</v>
      </c>
      <c r="D2" s="855"/>
      <c r="E2" s="848" t="s">
        <v>3</v>
      </c>
      <c r="F2" s="849"/>
      <c r="G2" s="850" t="s">
        <v>4</v>
      </c>
      <c r="H2" s="851"/>
      <c r="I2" s="101"/>
      <c r="J2" s="854" t="s">
        <v>1</v>
      </c>
      <c r="K2" s="855"/>
      <c r="L2" s="848" t="s">
        <v>3</v>
      </c>
      <c r="M2" s="849"/>
      <c r="N2" s="850" t="s">
        <v>4</v>
      </c>
      <c r="O2" s="851"/>
      <c r="P2" s="101"/>
      <c r="Q2" s="854" t="s">
        <v>1</v>
      </c>
      <c r="R2" s="855"/>
      <c r="S2" s="848" t="s">
        <v>3</v>
      </c>
      <c r="T2" s="849"/>
      <c r="U2" s="850" t="s">
        <v>4</v>
      </c>
      <c r="V2" s="851"/>
      <c r="W2" s="101"/>
      <c r="X2" s="862" t="s">
        <v>145</v>
      </c>
      <c r="Y2" s="863"/>
    </row>
    <row r="3" spans="1:28">
      <c r="A3" s="99" t="s">
        <v>12</v>
      </c>
      <c r="B3" s="99" t="s">
        <v>146</v>
      </c>
      <c r="C3" s="670" t="s">
        <v>8</v>
      </c>
      <c r="D3" s="670" t="s">
        <v>9</v>
      </c>
      <c r="E3" s="672" t="s">
        <v>8</v>
      </c>
      <c r="F3" s="672" t="s">
        <v>9</v>
      </c>
      <c r="G3" s="671" t="s">
        <v>8</v>
      </c>
      <c r="H3" s="671" t="s">
        <v>9</v>
      </c>
      <c r="I3" s="101"/>
      <c r="J3" s="670" t="s">
        <v>8</v>
      </c>
      <c r="K3" s="670" t="s">
        <v>9</v>
      </c>
      <c r="L3" s="672" t="s">
        <v>8</v>
      </c>
      <c r="M3" s="672" t="s">
        <v>9</v>
      </c>
      <c r="N3" s="671" t="s">
        <v>8</v>
      </c>
      <c r="O3" s="671" t="s">
        <v>9</v>
      </c>
      <c r="P3" s="101"/>
      <c r="Q3" s="670" t="s">
        <v>8</v>
      </c>
      <c r="R3" s="670" t="s">
        <v>9</v>
      </c>
      <c r="S3" s="672" t="s">
        <v>8</v>
      </c>
      <c r="T3" s="672" t="s">
        <v>9</v>
      </c>
      <c r="U3" s="671" t="s">
        <v>8</v>
      </c>
      <c r="V3" s="671" t="s">
        <v>9</v>
      </c>
      <c r="W3" s="101"/>
      <c r="X3" s="556" t="s">
        <v>8</v>
      </c>
      <c r="Y3" s="556" t="s">
        <v>9</v>
      </c>
    </row>
    <row r="4" spans="1:28">
      <c r="A4" s="104"/>
      <c r="B4" s="125" t="s">
        <v>0</v>
      </c>
      <c r="C4" s="117">
        <f>SUBTOTAL(9,C6:C381)</f>
        <v>6593353</v>
      </c>
      <c r="D4" s="118">
        <f t="shared" ref="D4:V4" si="0">SUBTOTAL(9,D6:D381)</f>
        <v>3334.7979999999998</v>
      </c>
      <c r="E4" s="121">
        <f t="shared" si="0"/>
        <v>1047183464</v>
      </c>
      <c r="F4" s="122">
        <f t="shared" si="0"/>
        <v>321971.31699999963</v>
      </c>
      <c r="G4" s="123">
        <f t="shared" si="0"/>
        <v>249797799</v>
      </c>
      <c r="H4" s="124">
        <f t="shared" si="0"/>
        <v>92208.191999999326</v>
      </c>
      <c r="I4" s="103"/>
      <c r="J4" s="117">
        <f t="shared" si="0"/>
        <v>6293232</v>
      </c>
      <c r="K4" s="118">
        <f t="shared" si="0"/>
        <v>3173.1970000000006</v>
      </c>
      <c r="L4" s="121">
        <f t="shared" si="0"/>
        <v>972041235</v>
      </c>
      <c r="M4" s="122">
        <f t="shared" si="0"/>
        <v>295613.25000000041</v>
      </c>
      <c r="N4" s="123">
        <f t="shared" si="0"/>
        <v>232072534</v>
      </c>
      <c r="O4" s="124">
        <f t="shared" si="0"/>
        <v>83769.334999999439</v>
      </c>
      <c r="P4" s="103"/>
      <c r="Q4" s="117">
        <f t="shared" si="0"/>
        <v>300121</v>
      </c>
      <c r="R4" s="118">
        <f t="shared" si="0"/>
        <v>161.60099999999986</v>
      </c>
      <c r="S4" s="121">
        <f t="shared" si="0"/>
        <v>75142229</v>
      </c>
      <c r="T4" s="122">
        <f t="shared" si="0"/>
        <v>26358.066999999166</v>
      </c>
      <c r="U4" s="123">
        <f t="shared" si="0"/>
        <v>17725265</v>
      </c>
      <c r="V4" s="124">
        <f t="shared" si="0"/>
        <v>8438.856999999869</v>
      </c>
      <c r="W4" s="103"/>
      <c r="X4" s="116"/>
      <c r="Y4" s="116"/>
    </row>
    <row r="5" spans="1:28">
      <c r="A5" s="104"/>
      <c r="B5" s="104" t="s">
        <v>14</v>
      </c>
      <c r="C5" s="105">
        <f>SUBTOTAL(9,C6:C36)</f>
        <v>17985</v>
      </c>
      <c r="D5" s="106">
        <f t="shared" ref="D5:H5" si="1">SUBTOTAL(9,D6:D36)</f>
        <v>0.85000000000000031</v>
      </c>
      <c r="E5" s="109">
        <f t="shared" si="1"/>
        <v>83731674</v>
      </c>
      <c r="F5" s="110">
        <f t="shared" si="1"/>
        <v>11744.779999999999</v>
      </c>
      <c r="G5" s="111">
        <f t="shared" si="1"/>
        <v>6427843</v>
      </c>
      <c r="H5" s="14">
        <f t="shared" si="1"/>
        <v>571.70000000000005</v>
      </c>
      <c r="I5" s="103"/>
      <c r="J5" s="105">
        <f>SUBTOTAL(9,J6:J36)</f>
        <v>6616</v>
      </c>
      <c r="K5" s="106">
        <f>SUBTOTAL(9,K6:K36)</f>
        <v>0.51000000000000023</v>
      </c>
      <c r="L5" s="109">
        <f t="shared" ref="L5:O5" si="2">SUBTOTAL(9,L6:L36)</f>
        <v>79105684</v>
      </c>
      <c r="M5" s="110">
        <f t="shared" si="2"/>
        <v>10850.28</v>
      </c>
      <c r="N5" s="111">
        <f t="shared" si="2"/>
        <v>5853720</v>
      </c>
      <c r="O5" s="14">
        <f t="shared" si="2"/>
        <v>501.09</v>
      </c>
      <c r="P5" s="103"/>
      <c r="Q5" s="105">
        <f>SUBTOTAL(9,Q6:Q36)</f>
        <v>11369</v>
      </c>
      <c r="R5" s="106">
        <f t="shared" ref="R5:V5" si="3">SUBTOTAL(9,R6:R36)</f>
        <v>0.33999999999999997</v>
      </c>
      <c r="S5" s="109">
        <f t="shared" si="3"/>
        <v>4625990</v>
      </c>
      <c r="T5" s="110">
        <f t="shared" si="3"/>
        <v>894.5</v>
      </c>
      <c r="U5" s="111">
        <f t="shared" si="3"/>
        <v>574123</v>
      </c>
      <c r="V5" s="14">
        <f t="shared" si="3"/>
        <v>70.61</v>
      </c>
      <c r="W5" s="103"/>
      <c r="X5" s="116"/>
      <c r="Y5" s="116"/>
    </row>
    <row r="6" spans="1:28" hidden="1" outlineLevel="1">
      <c r="A6" s="114">
        <v>43101</v>
      </c>
      <c r="B6" s="115">
        <f t="shared" ref="B6:B25" si="4">MONTH(A6)</f>
        <v>1</v>
      </c>
      <c r="C6" s="35">
        <v>468</v>
      </c>
      <c r="D6" s="36">
        <v>0.02</v>
      </c>
      <c r="E6" s="51">
        <v>2474930</v>
      </c>
      <c r="F6" s="52">
        <v>203.37</v>
      </c>
      <c r="G6" s="58">
        <v>205252</v>
      </c>
      <c r="H6" s="17">
        <v>11</v>
      </c>
      <c r="I6" s="101"/>
      <c r="J6" s="35">
        <v>188</v>
      </c>
      <c r="K6" s="36">
        <v>0.02</v>
      </c>
      <c r="L6" s="51">
        <v>2402473</v>
      </c>
      <c r="M6" s="52">
        <v>190.71</v>
      </c>
      <c r="N6" s="58">
        <v>190946</v>
      </c>
      <c r="O6" s="17">
        <v>9.73</v>
      </c>
      <c r="P6" s="101"/>
      <c r="Q6" s="35">
        <f t="shared" ref="Q6:V36" si="5">C6-J6</f>
        <v>280</v>
      </c>
      <c r="R6" s="36">
        <f t="shared" si="5"/>
        <v>0</v>
      </c>
      <c r="S6" s="51">
        <f t="shared" si="5"/>
        <v>72457</v>
      </c>
      <c r="T6" s="52">
        <f t="shared" si="5"/>
        <v>12.659999999999997</v>
      </c>
      <c r="U6" s="58">
        <f t="shared" si="5"/>
        <v>14306</v>
      </c>
      <c r="V6" s="17">
        <f t="shared" si="5"/>
        <v>1.2699999999999996</v>
      </c>
      <c r="W6" s="101"/>
      <c r="X6" s="555">
        <f>SUM(C6,E6,G6)</f>
        <v>2680650</v>
      </c>
      <c r="Y6" s="632">
        <f>SUM(D6,F6,H6)</f>
        <v>214.39000000000001</v>
      </c>
      <c r="AA6" s="116">
        <v>1</v>
      </c>
      <c r="AB6" s="676">
        <v>31</v>
      </c>
    </row>
    <row r="7" spans="1:28" hidden="1" outlineLevel="1">
      <c r="A7" s="114">
        <v>43102</v>
      </c>
      <c r="B7" s="115">
        <f t="shared" si="4"/>
        <v>1</v>
      </c>
      <c r="C7" s="35">
        <v>482</v>
      </c>
      <c r="D7" s="36">
        <v>0.01</v>
      </c>
      <c r="E7" s="51">
        <v>1900625</v>
      </c>
      <c r="F7" s="52">
        <v>182.01</v>
      </c>
      <c r="G7" s="58">
        <v>196997</v>
      </c>
      <c r="H7" s="17">
        <v>12.44</v>
      </c>
      <c r="I7" s="101"/>
      <c r="J7" s="35">
        <v>186</v>
      </c>
      <c r="K7" s="36">
        <v>0.01</v>
      </c>
      <c r="L7" s="51">
        <v>1831112</v>
      </c>
      <c r="M7" s="52">
        <v>165.43</v>
      </c>
      <c r="N7" s="58">
        <v>180191</v>
      </c>
      <c r="O7" s="17">
        <v>10.68</v>
      </c>
      <c r="P7" s="101"/>
      <c r="Q7" s="35">
        <f t="shared" si="5"/>
        <v>296</v>
      </c>
      <c r="R7" s="36">
        <f t="shared" si="5"/>
        <v>0</v>
      </c>
      <c r="S7" s="51">
        <f t="shared" si="5"/>
        <v>69513</v>
      </c>
      <c r="T7" s="52">
        <f t="shared" si="5"/>
        <v>16.579999999999984</v>
      </c>
      <c r="U7" s="58">
        <f t="shared" si="5"/>
        <v>16806</v>
      </c>
      <c r="V7" s="17">
        <f t="shared" si="5"/>
        <v>1.7599999999999998</v>
      </c>
      <c r="W7" s="101"/>
      <c r="X7" s="555">
        <f t="shared" ref="X7:Y36" si="6">SUM(C7,E7,G7)</f>
        <v>2098104</v>
      </c>
      <c r="Y7" s="632">
        <f t="shared" si="6"/>
        <v>194.45999999999998</v>
      </c>
      <c r="AA7" s="116">
        <v>2</v>
      </c>
      <c r="AB7" s="676">
        <v>28</v>
      </c>
    </row>
    <row r="8" spans="1:28" hidden="1" outlineLevel="1">
      <c r="A8" s="114">
        <v>43103</v>
      </c>
      <c r="B8" s="115">
        <f t="shared" si="4"/>
        <v>1</v>
      </c>
      <c r="C8" s="35">
        <v>455</v>
      </c>
      <c r="D8" s="36">
        <v>0.02</v>
      </c>
      <c r="E8" s="51">
        <v>1998811</v>
      </c>
      <c r="F8" s="52">
        <v>214.93</v>
      </c>
      <c r="G8" s="58">
        <v>206918</v>
      </c>
      <c r="H8" s="17">
        <v>13.9</v>
      </c>
      <c r="I8" s="101"/>
      <c r="J8" s="35">
        <v>184</v>
      </c>
      <c r="K8" s="36">
        <v>0.01</v>
      </c>
      <c r="L8" s="51">
        <v>1928145</v>
      </c>
      <c r="M8" s="52">
        <v>195.72</v>
      </c>
      <c r="N8" s="58">
        <v>187755</v>
      </c>
      <c r="O8" s="17">
        <v>12.19</v>
      </c>
      <c r="P8" s="101"/>
      <c r="Q8" s="35">
        <f t="shared" si="5"/>
        <v>271</v>
      </c>
      <c r="R8" s="36">
        <f t="shared" si="5"/>
        <v>0.01</v>
      </c>
      <c r="S8" s="51">
        <f t="shared" si="5"/>
        <v>70666</v>
      </c>
      <c r="T8" s="52">
        <f t="shared" si="5"/>
        <v>19.210000000000008</v>
      </c>
      <c r="U8" s="58">
        <f t="shared" si="5"/>
        <v>19163</v>
      </c>
      <c r="V8" s="17">
        <f t="shared" si="5"/>
        <v>1.7100000000000009</v>
      </c>
      <c r="W8" s="101"/>
      <c r="X8" s="555">
        <f t="shared" si="6"/>
        <v>2206184</v>
      </c>
      <c r="Y8" s="632">
        <f t="shared" si="6"/>
        <v>228.85000000000002</v>
      </c>
      <c r="AA8" s="116">
        <v>3</v>
      </c>
      <c r="AB8" s="676">
        <v>31</v>
      </c>
    </row>
    <row r="9" spans="1:28" hidden="1" outlineLevel="1">
      <c r="A9" s="114">
        <v>43104</v>
      </c>
      <c r="B9" s="115">
        <f t="shared" si="4"/>
        <v>1</v>
      </c>
      <c r="C9" s="35">
        <v>419</v>
      </c>
      <c r="D9" s="36">
        <v>0.02</v>
      </c>
      <c r="E9" s="51">
        <v>2097524</v>
      </c>
      <c r="F9" s="52">
        <v>215.51</v>
      </c>
      <c r="G9" s="58">
        <v>207081</v>
      </c>
      <c r="H9" s="17">
        <v>13.76</v>
      </c>
      <c r="I9" s="101"/>
      <c r="J9" s="35">
        <v>161</v>
      </c>
      <c r="K9" s="36">
        <v>0.01</v>
      </c>
      <c r="L9" s="51">
        <v>2018423</v>
      </c>
      <c r="M9" s="52">
        <v>195.28</v>
      </c>
      <c r="N9" s="58">
        <v>187491</v>
      </c>
      <c r="O9" s="17">
        <v>12.15</v>
      </c>
      <c r="P9" s="101"/>
      <c r="Q9" s="35">
        <f t="shared" si="5"/>
        <v>258</v>
      </c>
      <c r="R9" s="36">
        <f t="shared" si="5"/>
        <v>0.01</v>
      </c>
      <c r="S9" s="51">
        <f t="shared" si="5"/>
        <v>79101</v>
      </c>
      <c r="T9" s="52">
        <f t="shared" si="5"/>
        <v>20.22999999999999</v>
      </c>
      <c r="U9" s="58">
        <f t="shared" si="5"/>
        <v>19590</v>
      </c>
      <c r="V9" s="17">
        <f t="shared" si="5"/>
        <v>1.6099999999999994</v>
      </c>
      <c r="W9" s="101"/>
      <c r="X9" s="555">
        <f t="shared" si="6"/>
        <v>2305024</v>
      </c>
      <c r="Y9" s="632">
        <f t="shared" si="6"/>
        <v>229.29</v>
      </c>
      <c r="AA9" s="116">
        <v>4</v>
      </c>
      <c r="AB9" s="676">
        <v>30</v>
      </c>
    </row>
    <row r="10" spans="1:28" hidden="1" outlineLevel="1">
      <c r="A10" s="114">
        <v>43105</v>
      </c>
      <c r="B10" s="115">
        <f t="shared" si="4"/>
        <v>1</v>
      </c>
      <c r="C10" s="35">
        <v>441</v>
      </c>
      <c r="D10" s="36">
        <v>0.01</v>
      </c>
      <c r="E10" s="51">
        <v>3074976</v>
      </c>
      <c r="F10" s="52">
        <v>294.74</v>
      </c>
      <c r="G10" s="58">
        <v>255631</v>
      </c>
      <c r="H10" s="17">
        <v>14.2</v>
      </c>
      <c r="I10" s="101"/>
      <c r="J10" s="35">
        <v>179</v>
      </c>
      <c r="K10" s="36">
        <v>0.01</v>
      </c>
      <c r="L10" s="51">
        <v>2966791</v>
      </c>
      <c r="M10" s="52">
        <v>271.19</v>
      </c>
      <c r="N10" s="58">
        <v>233310</v>
      </c>
      <c r="O10" s="17">
        <v>12.6</v>
      </c>
      <c r="P10" s="101"/>
      <c r="Q10" s="35">
        <f t="shared" si="5"/>
        <v>262</v>
      </c>
      <c r="R10" s="36">
        <f t="shared" si="5"/>
        <v>0</v>
      </c>
      <c r="S10" s="51">
        <f t="shared" si="5"/>
        <v>108185</v>
      </c>
      <c r="T10" s="52">
        <f t="shared" si="5"/>
        <v>23.550000000000011</v>
      </c>
      <c r="U10" s="58">
        <f t="shared" si="5"/>
        <v>22321</v>
      </c>
      <c r="V10" s="17">
        <f t="shared" si="5"/>
        <v>1.5999999999999996</v>
      </c>
      <c r="W10" s="101"/>
      <c r="X10" s="555">
        <f t="shared" si="6"/>
        <v>3331048</v>
      </c>
      <c r="Y10" s="632">
        <f t="shared" si="6"/>
        <v>308.95</v>
      </c>
      <c r="AA10" s="116">
        <v>5</v>
      </c>
      <c r="AB10" s="676">
        <v>31</v>
      </c>
    </row>
    <row r="11" spans="1:28" hidden="1" outlineLevel="1">
      <c r="A11" s="114">
        <v>43106</v>
      </c>
      <c r="B11" s="115">
        <f t="shared" si="4"/>
        <v>1</v>
      </c>
      <c r="C11" s="35">
        <v>515</v>
      </c>
      <c r="D11" s="36">
        <v>0.02</v>
      </c>
      <c r="E11" s="51">
        <v>3038045</v>
      </c>
      <c r="F11" s="52">
        <v>258.33</v>
      </c>
      <c r="G11" s="58">
        <v>276237</v>
      </c>
      <c r="H11" s="17">
        <v>14.4</v>
      </c>
      <c r="I11" s="101"/>
      <c r="J11" s="35">
        <v>196</v>
      </c>
      <c r="K11" s="36">
        <v>0.01</v>
      </c>
      <c r="L11" s="51">
        <v>2911672</v>
      </c>
      <c r="M11" s="52">
        <v>239.66</v>
      </c>
      <c r="N11" s="58">
        <v>251191</v>
      </c>
      <c r="O11" s="17">
        <v>12.9</v>
      </c>
      <c r="P11" s="101"/>
      <c r="Q11" s="35">
        <f t="shared" si="5"/>
        <v>319</v>
      </c>
      <c r="R11" s="36">
        <f t="shared" si="5"/>
        <v>0.01</v>
      </c>
      <c r="S11" s="51">
        <f t="shared" si="5"/>
        <v>126373</v>
      </c>
      <c r="T11" s="52">
        <f t="shared" si="5"/>
        <v>18.669999999999987</v>
      </c>
      <c r="U11" s="58">
        <f t="shared" si="5"/>
        <v>25046</v>
      </c>
      <c r="V11" s="17">
        <f t="shared" si="5"/>
        <v>1.5</v>
      </c>
      <c r="W11" s="101"/>
      <c r="X11" s="555">
        <f t="shared" si="6"/>
        <v>3314797</v>
      </c>
      <c r="Y11" s="632">
        <f t="shared" si="6"/>
        <v>272.74999999999994</v>
      </c>
      <c r="AA11" s="116">
        <v>6</v>
      </c>
      <c r="AB11" s="676">
        <v>30</v>
      </c>
    </row>
    <row r="12" spans="1:28" hidden="1" outlineLevel="1">
      <c r="A12" s="114">
        <v>43107</v>
      </c>
      <c r="B12" s="115">
        <f t="shared" si="4"/>
        <v>1</v>
      </c>
      <c r="C12" s="35">
        <v>499</v>
      </c>
      <c r="D12" s="36">
        <v>0.01</v>
      </c>
      <c r="E12" s="51">
        <v>1875582</v>
      </c>
      <c r="F12" s="52">
        <v>168.64</v>
      </c>
      <c r="G12" s="58">
        <v>195319</v>
      </c>
      <c r="H12" s="17">
        <v>12.35</v>
      </c>
      <c r="I12" s="101"/>
      <c r="J12" s="35">
        <v>164</v>
      </c>
      <c r="K12" s="36">
        <v>0.01</v>
      </c>
      <c r="L12" s="51">
        <v>1762011</v>
      </c>
      <c r="M12" s="52">
        <v>149.01</v>
      </c>
      <c r="N12" s="58">
        <v>175695</v>
      </c>
      <c r="O12" s="17">
        <v>11.04</v>
      </c>
      <c r="P12" s="101"/>
      <c r="Q12" s="35">
        <f t="shared" si="5"/>
        <v>335</v>
      </c>
      <c r="R12" s="36">
        <f t="shared" si="5"/>
        <v>0</v>
      </c>
      <c r="S12" s="51">
        <f t="shared" si="5"/>
        <v>113571</v>
      </c>
      <c r="T12" s="52">
        <f t="shared" si="5"/>
        <v>19.629999999999995</v>
      </c>
      <c r="U12" s="58">
        <f t="shared" si="5"/>
        <v>19624</v>
      </c>
      <c r="V12" s="17">
        <f t="shared" si="5"/>
        <v>1.3100000000000005</v>
      </c>
      <c r="W12" s="101"/>
      <c r="X12" s="555">
        <f t="shared" si="6"/>
        <v>2071400</v>
      </c>
      <c r="Y12" s="632">
        <f t="shared" si="6"/>
        <v>180.99999999999997</v>
      </c>
      <c r="AA12" s="116">
        <v>7</v>
      </c>
      <c r="AB12" s="676">
        <v>31</v>
      </c>
    </row>
    <row r="13" spans="1:28" hidden="1" outlineLevel="1">
      <c r="A13" s="114">
        <v>43108</v>
      </c>
      <c r="B13" s="115">
        <f t="shared" si="4"/>
        <v>1</v>
      </c>
      <c r="C13" s="35">
        <v>559</v>
      </c>
      <c r="D13" s="36">
        <v>0.04</v>
      </c>
      <c r="E13" s="51">
        <v>1867154</v>
      </c>
      <c r="F13" s="52">
        <v>190.72</v>
      </c>
      <c r="G13" s="58">
        <v>195597</v>
      </c>
      <c r="H13" s="17">
        <v>13.58</v>
      </c>
      <c r="I13" s="101"/>
      <c r="J13" s="35">
        <v>206</v>
      </c>
      <c r="K13" s="36">
        <v>0.03</v>
      </c>
      <c r="L13" s="51">
        <v>1760168</v>
      </c>
      <c r="M13" s="52">
        <v>164.66</v>
      </c>
      <c r="N13" s="58">
        <v>177545</v>
      </c>
      <c r="O13" s="17">
        <v>12.03</v>
      </c>
      <c r="P13" s="101"/>
      <c r="Q13" s="35">
        <f t="shared" si="5"/>
        <v>353</v>
      </c>
      <c r="R13" s="36">
        <f t="shared" si="5"/>
        <v>1.0000000000000002E-2</v>
      </c>
      <c r="S13" s="51">
        <f t="shared" si="5"/>
        <v>106986</v>
      </c>
      <c r="T13" s="52">
        <f t="shared" si="5"/>
        <v>26.060000000000002</v>
      </c>
      <c r="U13" s="58">
        <f t="shared" si="5"/>
        <v>18052</v>
      </c>
      <c r="V13" s="17">
        <f t="shared" si="5"/>
        <v>1.5500000000000007</v>
      </c>
      <c r="W13" s="101"/>
      <c r="X13" s="555">
        <f t="shared" si="6"/>
        <v>2063310</v>
      </c>
      <c r="Y13" s="632">
        <f t="shared" si="6"/>
        <v>204.34</v>
      </c>
      <c r="AA13" s="116">
        <v>8</v>
      </c>
      <c r="AB13" s="676">
        <v>31</v>
      </c>
    </row>
    <row r="14" spans="1:28" hidden="1" outlineLevel="1">
      <c r="A14" s="114">
        <v>43109</v>
      </c>
      <c r="B14" s="115">
        <f t="shared" si="4"/>
        <v>1</v>
      </c>
      <c r="C14" s="35">
        <v>572</v>
      </c>
      <c r="D14" s="36">
        <v>0.01</v>
      </c>
      <c r="E14" s="51">
        <v>2046639</v>
      </c>
      <c r="F14" s="52">
        <v>203.89</v>
      </c>
      <c r="G14" s="58">
        <v>212498</v>
      </c>
      <c r="H14" s="17">
        <v>16.920000000000002</v>
      </c>
      <c r="I14" s="101"/>
      <c r="J14" s="35">
        <v>208</v>
      </c>
      <c r="K14" s="36">
        <v>0.01</v>
      </c>
      <c r="L14" s="51">
        <v>1938312</v>
      </c>
      <c r="M14" s="52">
        <v>179.69</v>
      </c>
      <c r="N14" s="58">
        <v>193059</v>
      </c>
      <c r="O14" s="17">
        <v>14.84</v>
      </c>
      <c r="P14" s="101"/>
      <c r="Q14" s="35">
        <f t="shared" si="5"/>
        <v>364</v>
      </c>
      <c r="R14" s="36">
        <f t="shared" si="5"/>
        <v>0</v>
      </c>
      <c r="S14" s="51">
        <f t="shared" si="5"/>
        <v>108327</v>
      </c>
      <c r="T14" s="52">
        <f t="shared" si="5"/>
        <v>24.199999999999989</v>
      </c>
      <c r="U14" s="58">
        <f t="shared" si="5"/>
        <v>19439</v>
      </c>
      <c r="V14" s="17">
        <f t="shared" si="5"/>
        <v>2.0800000000000018</v>
      </c>
      <c r="W14" s="101"/>
      <c r="X14" s="555">
        <f t="shared" si="6"/>
        <v>2259709</v>
      </c>
      <c r="Y14" s="632">
        <f t="shared" si="6"/>
        <v>220.82</v>
      </c>
      <c r="AA14" s="116">
        <v>9</v>
      </c>
      <c r="AB14" s="676">
        <v>30</v>
      </c>
    </row>
    <row r="15" spans="1:28" hidden="1" outlineLevel="1">
      <c r="A15" s="114">
        <v>43110</v>
      </c>
      <c r="B15" s="115">
        <f t="shared" si="4"/>
        <v>1</v>
      </c>
      <c r="C15" s="35">
        <v>510</v>
      </c>
      <c r="D15" s="36">
        <v>0.02</v>
      </c>
      <c r="E15" s="51">
        <v>1994473</v>
      </c>
      <c r="F15" s="52">
        <v>209.52</v>
      </c>
      <c r="G15" s="58">
        <v>203221</v>
      </c>
      <c r="H15" s="17">
        <v>15.61</v>
      </c>
      <c r="I15" s="101"/>
      <c r="J15" s="35">
        <v>164</v>
      </c>
      <c r="K15" s="36">
        <v>0.01</v>
      </c>
      <c r="L15" s="51">
        <v>1892423</v>
      </c>
      <c r="M15" s="52">
        <v>183.25</v>
      </c>
      <c r="N15" s="58">
        <v>184662</v>
      </c>
      <c r="O15" s="17">
        <v>13.73</v>
      </c>
      <c r="P15" s="101"/>
      <c r="Q15" s="35">
        <f t="shared" si="5"/>
        <v>346</v>
      </c>
      <c r="R15" s="36">
        <f t="shared" si="5"/>
        <v>0.01</v>
      </c>
      <c r="S15" s="51">
        <f t="shared" si="5"/>
        <v>102050</v>
      </c>
      <c r="T15" s="52">
        <f t="shared" si="5"/>
        <v>26.27000000000001</v>
      </c>
      <c r="U15" s="58">
        <f t="shared" si="5"/>
        <v>18559</v>
      </c>
      <c r="V15" s="17">
        <f t="shared" si="5"/>
        <v>1.879999999999999</v>
      </c>
      <c r="W15" s="101"/>
      <c r="X15" s="555">
        <f t="shared" si="6"/>
        <v>2198204</v>
      </c>
      <c r="Y15" s="632">
        <f t="shared" si="6"/>
        <v>225.15000000000003</v>
      </c>
      <c r="AA15" s="116">
        <v>10</v>
      </c>
      <c r="AB15" s="676">
        <v>31</v>
      </c>
    </row>
    <row r="16" spans="1:28" hidden="1" outlineLevel="1">
      <c r="A16" s="114">
        <v>43111</v>
      </c>
      <c r="B16" s="115">
        <f t="shared" si="4"/>
        <v>1</v>
      </c>
      <c r="C16" s="35">
        <v>570</v>
      </c>
      <c r="D16" s="36">
        <v>0.02</v>
      </c>
      <c r="E16" s="51">
        <v>2080943</v>
      </c>
      <c r="F16" s="52">
        <v>232.69</v>
      </c>
      <c r="G16" s="58">
        <v>190037</v>
      </c>
      <c r="H16" s="17">
        <v>14.54</v>
      </c>
      <c r="I16" s="101"/>
      <c r="J16" s="35">
        <v>181</v>
      </c>
      <c r="K16" s="36">
        <v>0.01</v>
      </c>
      <c r="L16" s="51">
        <v>1973378</v>
      </c>
      <c r="M16" s="52">
        <v>207.67</v>
      </c>
      <c r="N16" s="58">
        <v>172445</v>
      </c>
      <c r="O16" s="17">
        <v>12.46</v>
      </c>
      <c r="P16" s="101"/>
      <c r="Q16" s="35">
        <f t="shared" si="5"/>
        <v>389</v>
      </c>
      <c r="R16" s="36">
        <f t="shared" si="5"/>
        <v>0.01</v>
      </c>
      <c r="S16" s="51">
        <f t="shared" si="5"/>
        <v>107565</v>
      </c>
      <c r="T16" s="52">
        <f t="shared" si="5"/>
        <v>25.02000000000001</v>
      </c>
      <c r="U16" s="58">
        <f t="shared" si="5"/>
        <v>17592</v>
      </c>
      <c r="V16" s="17">
        <f t="shared" si="5"/>
        <v>2.0799999999999983</v>
      </c>
      <c r="W16" s="101"/>
      <c r="X16" s="555">
        <f t="shared" si="6"/>
        <v>2271550</v>
      </c>
      <c r="Y16" s="632">
        <f t="shared" si="6"/>
        <v>247.25</v>
      </c>
      <c r="AA16" s="116">
        <v>11</v>
      </c>
      <c r="AB16" s="676">
        <v>30</v>
      </c>
    </row>
    <row r="17" spans="1:33" hidden="1" outlineLevel="1">
      <c r="A17" s="114">
        <v>43112</v>
      </c>
      <c r="B17" s="115">
        <f t="shared" si="4"/>
        <v>1</v>
      </c>
      <c r="C17" s="35">
        <v>597</v>
      </c>
      <c r="D17" s="36">
        <v>0.03</v>
      </c>
      <c r="E17" s="51">
        <v>2632134</v>
      </c>
      <c r="F17" s="52">
        <v>337.42</v>
      </c>
      <c r="G17" s="58">
        <v>237989</v>
      </c>
      <c r="H17" s="17">
        <v>21.68</v>
      </c>
      <c r="I17" s="101"/>
      <c r="J17" s="35">
        <v>220</v>
      </c>
      <c r="K17" s="36">
        <v>0.02</v>
      </c>
      <c r="L17" s="51">
        <v>2502034</v>
      </c>
      <c r="M17" s="52">
        <v>313.61</v>
      </c>
      <c r="N17" s="58">
        <v>216421</v>
      </c>
      <c r="O17" s="17">
        <v>19.3</v>
      </c>
      <c r="P17" s="101"/>
      <c r="Q17" s="35">
        <f t="shared" si="5"/>
        <v>377</v>
      </c>
      <c r="R17" s="36">
        <f t="shared" si="5"/>
        <v>9.9999999999999985E-3</v>
      </c>
      <c r="S17" s="51">
        <f t="shared" si="5"/>
        <v>130100</v>
      </c>
      <c r="T17" s="52">
        <f t="shared" si="5"/>
        <v>23.810000000000002</v>
      </c>
      <c r="U17" s="58">
        <f t="shared" si="5"/>
        <v>21568</v>
      </c>
      <c r="V17" s="17">
        <f t="shared" si="5"/>
        <v>2.379999999999999</v>
      </c>
      <c r="W17" s="101"/>
      <c r="X17" s="555">
        <f t="shared" si="6"/>
        <v>2870720</v>
      </c>
      <c r="Y17" s="632">
        <f t="shared" si="6"/>
        <v>359.13</v>
      </c>
      <c r="AA17" s="116">
        <v>12</v>
      </c>
      <c r="AB17" s="676">
        <v>31</v>
      </c>
      <c r="AC17" s="554"/>
      <c r="AD17" s="554"/>
      <c r="AE17" s="554"/>
      <c r="AF17" s="554"/>
      <c r="AG17" s="554"/>
    </row>
    <row r="18" spans="1:33" hidden="1" outlineLevel="1">
      <c r="A18" s="114">
        <v>43113</v>
      </c>
      <c r="B18" s="115">
        <f t="shared" si="4"/>
        <v>1</v>
      </c>
      <c r="C18" s="35">
        <v>629</v>
      </c>
      <c r="D18" s="36">
        <v>0.01</v>
      </c>
      <c r="E18" s="51">
        <v>2932369</v>
      </c>
      <c r="F18" s="52">
        <v>336.75</v>
      </c>
      <c r="G18" s="58">
        <v>235839</v>
      </c>
      <c r="H18" s="17">
        <v>20.170000000000002</v>
      </c>
      <c r="I18" s="101"/>
      <c r="J18" s="35">
        <v>259</v>
      </c>
      <c r="K18" s="36">
        <v>0.01</v>
      </c>
      <c r="L18" s="51">
        <v>2775126</v>
      </c>
      <c r="M18" s="52">
        <v>312.48</v>
      </c>
      <c r="N18" s="58">
        <v>214797</v>
      </c>
      <c r="O18" s="17">
        <v>17.98</v>
      </c>
      <c r="P18" s="101"/>
      <c r="Q18" s="35">
        <f t="shared" si="5"/>
        <v>370</v>
      </c>
      <c r="R18" s="36">
        <f t="shared" si="5"/>
        <v>0</v>
      </c>
      <c r="S18" s="51">
        <f t="shared" si="5"/>
        <v>157243</v>
      </c>
      <c r="T18" s="52">
        <f t="shared" si="5"/>
        <v>24.269999999999982</v>
      </c>
      <c r="U18" s="58">
        <f t="shared" si="5"/>
        <v>21042</v>
      </c>
      <c r="V18" s="17">
        <f t="shared" si="5"/>
        <v>2.1900000000000013</v>
      </c>
      <c r="W18" s="101"/>
      <c r="X18" s="555">
        <f t="shared" si="6"/>
        <v>3168837</v>
      </c>
      <c r="Y18" s="632">
        <f t="shared" si="6"/>
        <v>356.93</v>
      </c>
      <c r="AA18" s="554"/>
      <c r="AB18" s="554"/>
      <c r="AC18" s="554"/>
      <c r="AD18" s="554"/>
      <c r="AE18" s="554"/>
      <c r="AF18" s="554"/>
      <c r="AG18" s="554"/>
    </row>
    <row r="19" spans="1:33" hidden="1" outlineLevel="1">
      <c r="A19" s="114">
        <v>43114</v>
      </c>
      <c r="B19" s="115">
        <f t="shared" si="4"/>
        <v>1</v>
      </c>
      <c r="C19" s="35">
        <v>491</v>
      </c>
      <c r="D19" s="36">
        <v>0.03</v>
      </c>
      <c r="E19" s="51">
        <v>2254852</v>
      </c>
      <c r="F19" s="52">
        <v>289.36</v>
      </c>
      <c r="G19" s="58">
        <v>195781</v>
      </c>
      <c r="H19" s="17">
        <v>18.649999999999999</v>
      </c>
      <c r="I19" s="101"/>
      <c r="J19" s="35">
        <v>169</v>
      </c>
      <c r="K19" s="36">
        <v>0.01</v>
      </c>
      <c r="L19" s="51">
        <v>2090462</v>
      </c>
      <c r="M19" s="52">
        <v>260.43</v>
      </c>
      <c r="N19" s="58">
        <v>175950</v>
      </c>
      <c r="O19" s="17">
        <v>16.79</v>
      </c>
      <c r="P19" s="101"/>
      <c r="Q19" s="35">
        <f t="shared" si="5"/>
        <v>322</v>
      </c>
      <c r="R19" s="36">
        <f t="shared" si="5"/>
        <v>1.9999999999999997E-2</v>
      </c>
      <c r="S19" s="51">
        <f t="shared" si="5"/>
        <v>164390</v>
      </c>
      <c r="T19" s="52">
        <f t="shared" si="5"/>
        <v>28.930000000000007</v>
      </c>
      <c r="U19" s="58">
        <f t="shared" si="5"/>
        <v>19831</v>
      </c>
      <c r="V19" s="17">
        <f t="shared" si="5"/>
        <v>1.8599999999999994</v>
      </c>
      <c r="W19" s="101"/>
      <c r="X19" s="555">
        <f t="shared" si="6"/>
        <v>2451124</v>
      </c>
      <c r="Y19" s="632">
        <f t="shared" si="6"/>
        <v>308.03999999999996</v>
      </c>
    </row>
    <row r="20" spans="1:33" hidden="1" outlineLevel="1">
      <c r="A20" s="114">
        <v>43115</v>
      </c>
      <c r="B20" s="115">
        <f t="shared" si="4"/>
        <v>1</v>
      </c>
      <c r="C20" s="35">
        <v>533</v>
      </c>
      <c r="D20" s="36">
        <v>0.02</v>
      </c>
      <c r="E20" s="51">
        <v>3234906</v>
      </c>
      <c r="F20" s="52">
        <v>437.65</v>
      </c>
      <c r="G20" s="58">
        <v>245854</v>
      </c>
      <c r="H20" s="17">
        <v>23.81</v>
      </c>
      <c r="I20" s="101"/>
      <c r="J20" s="35">
        <v>202</v>
      </c>
      <c r="K20" s="36">
        <v>0.02</v>
      </c>
      <c r="L20" s="51">
        <v>3068052</v>
      </c>
      <c r="M20" s="52">
        <v>407.09</v>
      </c>
      <c r="N20" s="58">
        <v>225672</v>
      </c>
      <c r="O20" s="17">
        <v>21.2</v>
      </c>
      <c r="P20" s="101"/>
      <c r="Q20" s="35">
        <f t="shared" si="5"/>
        <v>331</v>
      </c>
      <c r="R20" s="36">
        <f t="shared" si="5"/>
        <v>0</v>
      </c>
      <c r="S20" s="51">
        <f t="shared" si="5"/>
        <v>166854</v>
      </c>
      <c r="T20" s="52">
        <f t="shared" si="5"/>
        <v>30.560000000000002</v>
      </c>
      <c r="U20" s="58">
        <f t="shared" si="5"/>
        <v>20182</v>
      </c>
      <c r="V20" s="17">
        <f t="shared" si="5"/>
        <v>2.6099999999999994</v>
      </c>
      <c r="W20" s="101"/>
      <c r="X20" s="555">
        <f t="shared" si="6"/>
        <v>3481293</v>
      </c>
      <c r="Y20" s="632">
        <f t="shared" si="6"/>
        <v>461.47999999999996</v>
      </c>
    </row>
    <row r="21" spans="1:33" hidden="1" outlineLevel="1">
      <c r="A21" s="114">
        <v>43116</v>
      </c>
      <c r="B21" s="115">
        <f t="shared" si="4"/>
        <v>1</v>
      </c>
      <c r="C21" s="35">
        <v>512</v>
      </c>
      <c r="D21" s="36">
        <v>0.02</v>
      </c>
      <c r="E21" s="51">
        <v>2324648</v>
      </c>
      <c r="F21" s="52">
        <v>372.34</v>
      </c>
      <c r="G21" s="58">
        <v>213273</v>
      </c>
      <c r="H21" s="17">
        <v>23.33</v>
      </c>
      <c r="I21" s="101"/>
      <c r="J21" s="35">
        <v>129</v>
      </c>
      <c r="K21" s="36">
        <v>0.02</v>
      </c>
      <c r="L21" s="51">
        <v>2164797</v>
      </c>
      <c r="M21" s="52">
        <v>341.47</v>
      </c>
      <c r="N21" s="58">
        <v>193104</v>
      </c>
      <c r="O21" s="17">
        <v>20.149999999999999</v>
      </c>
      <c r="P21" s="101"/>
      <c r="Q21" s="35">
        <f t="shared" si="5"/>
        <v>383</v>
      </c>
      <c r="R21" s="36">
        <f t="shared" si="5"/>
        <v>0</v>
      </c>
      <c r="S21" s="51">
        <f t="shared" si="5"/>
        <v>159851</v>
      </c>
      <c r="T21" s="52">
        <f t="shared" si="5"/>
        <v>30.869999999999948</v>
      </c>
      <c r="U21" s="58">
        <f t="shared" si="5"/>
        <v>20169</v>
      </c>
      <c r="V21" s="17">
        <f t="shared" si="5"/>
        <v>3.1799999999999997</v>
      </c>
      <c r="W21" s="101"/>
      <c r="X21" s="555">
        <f t="shared" si="6"/>
        <v>2538433</v>
      </c>
      <c r="Y21" s="632">
        <f t="shared" si="6"/>
        <v>395.68999999999994</v>
      </c>
    </row>
    <row r="22" spans="1:33" hidden="1" outlineLevel="1">
      <c r="A22" s="114">
        <v>43117</v>
      </c>
      <c r="B22" s="115">
        <f t="shared" si="4"/>
        <v>1</v>
      </c>
      <c r="C22" s="35">
        <v>607</v>
      </c>
      <c r="D22" s="36">
        <v>7.0000000000000007E-2</v>
      </c>
      <c r="E22" s="51">
        <v>2149158</v>
      </c>
      <c r="F22" s="52">
        <v>360.65</v>
      </c>
      <c r="G22" s="58">
        <v>194901</v>
      </c>
      <c r="H22" s="17">
        <v>23.43</v>
      </c>
      <c r="I22" s="101"/>
      <c r="J22" s="35">
        <v>207</v>
      </c>
      <c r="K22" s="36">
        <v>7.0000000000000007E-2</v>
      </c>
      <c r="L22" s="51">
        <v>1990954</v>
      </c>
      <c r="M22" s="52">
        <v>330.44</v>
      </c>
      <c r="N22" s="58">
        <v>175205</v>
      </c>
      <c r="O22" s="17">
        <v>20.2</v>
      </c>
      <c r="P22" s="101"/>
      <c r="Q22" s="35">
        <f t="shared" si="5"/>
        <v>400</v>
      </c>
      <c r="R22" s="36">
        <f t="shared" si="5"/>
        <v>0</v>
      </c>
      <c r="S22" s="51">
        <f t="shared" si="5"/>
        <v>158204</v>
      </c>
      <c r="T22" s="52">
        <f t="shared" si="5"/>
        <v>30.20999999999998</v>
      </c>
      <c r="U22" s="58">
        <f t="shared" si="5"/>
        <v>19696</v>
      </c>
      <c r="V22" s="17">
        <f t="shared" si="5"/>
        <v>3.2300000000000004</v>
      </c>
      <c r="W22" s="101"/>
      <c r="X22" s="555">
        <f t="shared" si="6"/>
        <v>2344666</v>
      </c>
      <c r="Y22" s="632">
        <f t="shared" si="6"/>
        <v>384.15</v>
      </c>
    </row>
    <row r="23" spans="1:33" hidden="1" outlineLevel="1">
      <c r="A23" s="114">
        <v>43118</v>
      </c>
      <c r="B23" s="115">
        <f t="shared" si="4"/>
        <v>1</v>
      </c>
      <c r="C23" s="35">
        <v>669</v>
      </c>
      <c r="D23" s="36">
        <v>0.02</v>
      </c>
      <c r="E23" s="51">
        <v>2151518</v>
      </c>
      <c r="F23" s="52">
        <v>397.11</v>
      </c>
      <c r="G23" s="58">
        <v>209407</v>
      </c>
      <c r="H23" s="17">
        <v>25.2</v>
      </c>
      <c r="I23" s="101"/>
      <c r="J23" s="35">
        <v>236</v>
      </c>
      <c r="K23" s="36">
        <v>0.02</v>
      </c>
      <c r="L23" s="51">
        <v>1987656</v>
      </c>
      <c r="M23" s="52">
        <v>366.59</v>
      </c>
      <c r="N23" s="58">
        <v>189701</v>
      </c>
      <c r="O23" s="17">
        <v>22.82</v>
      </c>
      <c r="P23" s="101"/>
      <c r="Q23" s="35">
        <f t="shared" si="5"/>
        <v>433</v>
      </c>
      <c r="R23" s="36">
        <f t="shared" si="5"/>
        <v>0</v>
      </c>
      <c r="S23" s="51">
        <f t="shared" si="5"/>
        <v>163862</v>
      </c>
      <c r="T23" s="52">
        <f t="shared" si="5"/>
        <v>30.520000000000039</v>
      </c>
      <c r="U23" s="58">
        <f t="shared" si="5"/>
        <v>19706</v>
      </c>
      <c r="V23" s="17">
        <f t="shared" si="5"/>
        <v>2.379999999999999</v>
      </c>
      <c r="W23" s="101"/>
      <c r="X23" s="555">
        <f t="shared" si="6"/>
        <v>2361594</v>
      </c>
      <c r="Y23" s="632">
        <f t="shared" si="6"/>
        <v>422.33</v>
      </c>
    </row>
    <row r="24" spans="1:33" hidden="1" outlineLevel="1">
      <c r="A24" s="114">
        <v>43119</v>
      </c>
      <c r="B24" s="115">
        <f t="shared" si="4"/>
        <v>1</v>
      </c>
      <c r="C24" s="35">
        <v>690</v>
      </c>
      <c r="D24" s="36">
        <v>0.03</v>
      </c>
      <c r="E24" s="51">
        <v>4804955</v>
      </c>
      <c r="F24" s="52">
        <v>732.88</v>
      </c>
      <c r="G24" s="58">
        <v>234108</v>
      </c>
      <c r="H24" s="17">
        <v>19.87</v>
      </c>
      <c r="I24" s="101"/>
      <c r="J24" s="35">
        <v>197</v>
      </c>
      <c r="K24" s="36">
        <v>0.01</v>
      </c>
      <c r="L24" s="51">
        <v>4559926</v>
      </c>
      <c r="M24" s="52">
        <v>694.56</v>
      </c>
      <c r="N24" s="58">
        <v>213622</v>
      </c>
      <c r="O24" s="17">
        <v>17.739999999999998</v>
      </c>
      <c r="P24" s="101"/>
      <c r="Q24" s="35">
        <f t="shared" si="5"/>
        <v>493</v>
      </c>
      <c r="R24" s="36">
        <f t="shared" si="5"/>
        <v>1.9999999999999997E-2</v>
      </c>
      <c r="S24" s="51">
        <f t="shared" si="5"/>
        <v>245029</v>
      </c>
      <c r="T24" s="52">
        <f t="shared" si="5"/>
        <v>38.32000000000005</v>
      </c>
      <c r="U24" s="58">
        <f t="shared" si="5"/>
        <v>20486</v>
      </c>
      <c r="V24" s="17">
        <f t="shared" si="5"/>
        <v>2.1300000000000026</v>
      </c>
      <c r="W24" s="101"/>
      <c r="X24" s="555">
        <f t="shared" si="6"/>
        <v>5039753</v>
      </c>
      <c r="Y24" s="632">
        <f t="shared" si="6"/>
        <v>752.78</v>
      </c>
    </row>
    <row r="25" spans="1:33" hidden="1" outlineLevel="1">
      <c r="A25" s="114">
        <v>43120</v>
      </c>
      <c r="B25" s="115">
        <f t="shared" si="4"/>
        <v>1</v>
      </c>
      <c r="C25" s="35">
        <v>623</v>
      </c>
      <c r="D25" s="36">
        <v>0.04</v>
      </c>
      <c r="E25" s="51">
        <v>4634740</v>
      </c>
      <c r="F25" s="52">
        <v>679.99</v>
      </c>
      <c r="G25" s="58">
        <v>225273</v>
      </c>
      <c r="H25" s="17">
        <v>16.489999999999998</v>
      </c>
      <c r="I25" s="101"/>
      <c r="J25" s="35">
        <v>161</v>
      </c>
      <c r="K25" s="36">
        <v>0.01</v>
      </c>
      <c r="L25" s="51">
        <v>4371761</v>
      </c>
      <c r="M25" s="52">
        <v>642.28</v>
      </c>
      <c r="N25" s="58">
        <v>204348</v>
      </c>
      <c r="O25" s="17">
        <v>14.13</v>
      </c>
      <c r="P25" s="101"/>
      <c r="Q25" s="35">
        <f t="shared" si="5"/>
        <v>462</v>
      </c>
      <c r="R25" s="36">
        <f t="shared" si="5"/>
        <v>0.03</v>
      </c>
      <c r="S25" s="51">
        <f t="shared" si="5"/>
        <v>262979</v>
      </c>
      <c r="T25" s="52">
        <f t="shared" si="5"/>
        <v>37.710000000000036</v>
      </c>
      <c r="U25" s="58">
        <f t="shared" si="5"/>
        <v>20925</v>
      </c>
      <c r="V25" s="17">
        <f t="shared" si="5"/>
        <v>2.3599999999999977</v>
      </c>
      <c r="W25" s="101"/>
      <c r="X25" s="555">
        <f t="shared" si="6"/>
        <v>4860636</v>
      </c>
      <c r="Y25" s="632">
        <f t="shared" si="6"/>
        <v>696.52</v>
      </c>
    </row>
    <row r="26" spans="1:33" hidden="1" outlineLevel="1">
      <c r="A26" s="114">
        <v>43121</v>
      </c>
      <c r="B26" s="115">
        <f>MONTH(A26)</f>
        <v>1</v>
      </c>
      <c r="C26" s="35">
        <v>654</v>
      </c>
      <c r="D26" s="36">
        <v>0.03</v>
      </c>
      <c r="E26" s="51">
        <v>2978112</v>
      </c>
      <c r="F26" s="52">
        <v>499.25</v>
      </c>
      <c r="G26" s="58">
        <v>165942</v>
      </c>
      <c r="H26" s="17">
        <v>15.77</v>
      </c>
      <c r="I26" s="101"/>
      <c r="J26" s="35">
        <v>176</v>
      </c>
      <c r="K26" s="36">
        <v>0.01</v>
      </c>
      <c r="L26" s="51">
        <v>2770017</v>
      </c>
      <c r="M26" s="52">
        <v>465.94</v>
      </c>
      <c r="N26" s="58">
        <v>145675</v>
      </c>
      <c r="O26" s="17">
        <v>13.53</v>
      </c>
      <c r="P26" s="101"/>
      <c r="Q26" s="35">
        <f t="shared" si="5"/>
        <v>478</v>
      </c>
      <c r="R26" s="36">
        <f t="shared" si="5"/>
        <v>1.9999999999999997E-2</v>
      </c>
      <c r="S26" s="51">
        <f t="shared" si="5"/>
        <v>208095</v>
      </c>
      <c r="T26" s="52">
        <f t="shared" si="5"/>
        <v>33.31</v>
      </c>
      <c r="U26" s="58">
        <f t="shared" si="5"/>
        <v>20267</v>
      </c>
      <c r="V26" s="17">
        <f t="shared" si="5"/>
        <v>2.2400000000000002</v>
      </c>
      <c r="W26" s="101"/>
      <c r="X26" s="555">
        <f t="shared" si="6"/>
        <v>3144708</v>
      </c>
      <c r="Y26" s="632">
        <f t="shared" si="6"/>
        <v>515.04999999999995</v>
      </c>
    </row>
    <row r="27" spans="1:33" hidden="1" outlineLevel="1">
      <c r="A27" s="114">
        <v>43122</v>
      </c>
      <c r="B27" s="115">
        <f t="shared" ref="B27:B92" si="7">MONTH(A27)</f>
        <v>1</v>
      </c>
      <c r="C27" s="35">
        <v>772</v>
      </c>
      <c r="D27" s="36">
        <v>0.02</v>
      </c>
      <c r="E27" s="51">
        <v>3035421</v>
      </c>
      <c r="F27" s="52">
        <v>577.86</v>
      </c>
      <c r="G27" s="58">
        <v>191940</v>
      </c>
      <c r="H27" s="17">
        <v>25.66</v>
      </c>
      <c r="I27" s="101"/>
      <c r="J27" s="35">
        <v>342</v>
      </c>
      <c r="K27" s="36">
        <v>0.01</v>
      </c>
      <c r="L27" s="51">
        <v>2867377</v>
      </c>
      <c r="M27" s="52">
        <v>544.46</v>
      </c>
      <c r="N27" s="58">
        <v>169561</v>
      </c>
      <c r="O27" s="17">
        <v>22.58</v>
      </c>
      <c r="P27" s="101"/>
      <c r="Q27" s="35">
        <f t="shared" si="5"/>
        <v>430</v>
      </c>
      <c r="R27" s="36">
        <f t="shared" si="5"/>
        <v>0.01</v>
      </c>
      <c r="S27" s="51">
        <f t="shared" si="5"/>
        <v>168044</v>
      </c>
      <c r="T27" s="52">
        <f t="shared" si="5"/>
        <v>33.399999999999977</v>
      </c>
      <c r="U27" s="58">
        <f t="shared" si="5"/>
        <v>22379</v>
      </c>
      <c r="V27" s="17">
        <f t="shared" si="5"/>
        <v>3.0800000000000018</v>
      </c>
      <c r="W27" s="101"/>
      <c r="X27" s="555">
        <f t="shared" si="6"/>
        <v>3228133</v>
      </c>
      <c r="Y27" s="632">
        <f t="shared" si="6"/>
        <v>603.54</v>
      </c>
    </row>
    <row r="28" spans="1:33" hidden="1" outlineLevel="1">
      <c r="A28" s="114">
        <v>43123</v>
      </c>
      <c r="B28" s="115">
        <f t="shared" si="7"/>
        <v>1</v>
      </c>
      <c r="C28" s="35">
        <v>797</v>
      </c>
      <c r="D28" s="36">
        <v>0.04</v>
      </c>
      <c r="E28" s="51">
        <v>2755225</v>
      </c>
      <c r="F28" s="52">
        <v>535.74</v>
      </c>
      <c r="G28" s="58">
        <v>193925</v>
      </c>
      <c r="H28" s="17">
        <v>22.93</v>
      </c>
      <c r="I28" s="101"/>
      <c r="J28" s="35">
        <v>407</v>
      </c>
      <c r="K28" s="36">
        <v>0.02</v>
      </c>
      <c r="L28" s="51">
        <v>2590625</v>
      </c>
      <c r="M28" s="52">
        <v>500.9</v>
      </c>
      <c r="N28" s="58">
        <v>172991</v>
      </c>
      <c r="O28" s="17">
        <v>20.62</v>
      </c>
      <c r="P28" s="101"/>
      <c r="Q28" s="35">
        <f t="shared" si="5"/>
        <v>390</v>
      </c>
      <c r="R28" s="36">
        <f t="shared" si="5"/>
        <v>0.02</v>
      </c>
      <c r="S28" s="51">
        <f t="shared" si="5"/>
        <v>164600</v>
      </c>
      <c r="T28" s="52">
        <f t="shared" si="5"/>
        <v>34.840000000000032</v>
      </c>
      <c r="U28" s="58">
        <f t="shared" si="5"/>
        <v>20934</v>
      </c>
      <c r="V28" s="17">
        <f t="shared" si="5"/>
        <v>2.3099999999999987</v>
      </c>
      <c r="W28" s="101"/>
      <c r="X28" s="555">
        <f t="shared" si="6"/>
        <v>2949947</v>
      </c>
      <c r="Y28" s="632">
        <f t="shared" si="6"/>
        <v>558.70999999999992</v>
      </c>
    </row>
    <row r="29" spans="1:33" hidden="1" outlineLevel="1">
      <c r="A29" s="114">
        <v>43124</v>
      </c>
      <c r="B29" s="115">
        <f t="shared" si="7"/>
        <v>1</v>
      </c>
      <c r="C29" s="35">
        <v>609</v>
      </c>
      <c r="D29" s="36">
        <v>0.03</v>
      </c>
      <c r="E29" s="51">
        <v>2693733</v>
      </c>
      <c r="F29" s="52">
        <v>444.69</v>
      </c>
      <c r="G29" s="58">
        <v>172065</v>
      </c>
      <c r="H29" s="17">
        <v>19.3</v>
      </c>
      <c r="I29" s="101"/>
      <c r="J29" s="35">
        <v>226</v>
      </c>
      <c r="K29" s="36">
        <v>0.01</v>
      </c>
      <c r="L29" s="51">
        <v>2524820</v>
      </c>
      <c r="M29" s="52">
        <v>411.15</v>
      </c>
      <c r="N29" s="58">
        <v>158446</v>
      </c>
      <c r="O29" s="17">
        <v>16.62</v>
      </c>
      <c r="P29" s="101"/>
      <c r="Q29" s="35">
        <f t="shared" si="5"/>
        <v>383</v>
      </c>
      <c r="R29" s="36">
        <f t="shared" si="5"/>
        <v>1.9999999999999997E-2</v>
      </c>
      <c r="S29" s="51">
        <f t="shared" si="5"/>
        <v>168913</v>
      </c>
      <c r="T29" s="52">
        <f t="shared" si="5"/>
        <v>33.54000000000002</v>
      </c>
      <c r="U29" s="58">
        <f t="shared" si="5"/>
        <v>13619</v>
      </c>
      <c r="V29" s="17">
        <f t="shared" si="5"/>
        <v>2.6799999999999997</v>
      </c>
      <c r="W29" s="101"/>
      <c r="X29" s="555">
        <f t="shared" si="6"/>
        <v>2866407</v>
      </c>
      <c r="Y29" s="632">
        <f t="shared" si="6"/>
        <v>464.02</v>
      </c>
    </row>
    <row r="30" spans="1:33" hidden="1" outlineLevel="1">
      <c r="A30" s="114">
        <v>43125</v>
      </c>
      <c r="B30" s="115">
        <f t="shared" si="7"/>
        <v>1</v>
      </c>
      <c r="C30" s="35">
        <v>576</v>
      </c>
      <c r="D30" s="36">
        <v>0.05</v>
      </c>
      <c r="E30" s="51">
        <v>2657299</v>
      </c>
      <c r="F30" s="52">
        <v>441.82</v>
      </c>
      <c r="G30" s="58">
        <v>188884</v>
      </c>
      <c r="H30" s="17">
        <v>20.07</v>
      </c>
      <c r="I30" s="101"/>
      <c r="J30" s="35">
        <v>217</v>
      </c>
      <c r="K30" s="36">
        <v>0.02</v>
      </c>
      <c r="L30" s="51">
        <v>2474513</v>
      </c>
      <c r="M30" s="52">
        <v>406.08</v>
      </c>
      <c r="N30" s="58">
        <v>173463</v>
      </c>
      <c r="O30" s="17">
        <v>16.93</v>
      </c>
      <c r="P30" s="101"/>
      <c r="Q30" s="35">
        <f t="shared" si="5"/>
        <v>359</v>
      </c>
      <c r="R30" s="36">
        <f t="shared" si="5"/>
        <v>3.0000000000000002E-2</v>
      </c>
      <c r="S30" s="51">
        <f t="shared" si="5"/>
        <v>182786</v>
      </c>
      <c r="T30" s="52">
        <f t="shared" si="5"/>
        <v>35.740000000000009</v>
      </c>
      <c r="U30" s="58">
        <f t="shared" si="5"/>
        <v>15421</v>
      </c>
      <c r="V30" s="17">
        <f t="shared" si="5"/>
        <v>3.1400000000000006</v>
      </c>
      <c r="W30" s="101"/>
      <c r="X30" s="555">
        <f t="shared" si="6"/>
        <v>2846759</v>
      </c>
      <c r="Y30" s="632">
        <f t="shared" si="6"/>
        <v>461.94</v>
      </c>
    </row>
    <row r="31" spans="1:33" hidden="1" outlineLevel="1">
      <c r="A31" s="114">
        <v>43126</v>
      </c>
      <c r="B31" s="115">
        <f t="shared" si="7"/>
        <v>1</v>
      </c>
      <c r="C31" s="35">
        <v>608</v>
      </c>
      <c r="D31" s="36">
        <v>0.02</v>
      </c>
      <c r="E31" s="51">
        <v>4092600</v>
      </c>
      <c r="F31" s="52">
        <v>641.29</v>
      </c>
      <c r="G31" s="58">
        <v>226069</v>
      </c>
      <c r="H31" s="17">
        <v>21.81</v>
      </c>
      <c r="I31" s="101"/>
      <c r="J31" s="35">
        <v>249</v>
      </c>
      <c r="K31" s="36">
        <v>0.01</v>
      </c>
      <c r="L31" s="51">
        <v>3873183</v>
      </c>
      <c r="M31" s="52">
        <v>599.91</v>
      </c>
      <c r="N31" s="58">
        <v>210694</v>
      </c>
      <c r="O31" s="17">
        <v>19.05</v>
      </c>
      <c r="P31" s="101"/>
      <c r="Q31" s="35">
        <f t="shared" si="5"/>
        <v>359</v>
      </c>
      <c r="R31" s="36">
        <f t="shared" si="5"/>
        <v>0.01</v>
      </c>
      <c r="S31" s="51">
        <f t="shared" si="5"/>
        <v>219417</v>
      </c>
      <c r="T31" s="52">
        <f t="shared" si="5"/>
        <v>41.379999999999995</v>
      </c>
      <c r="U31" s="58">
        <f t="shared" si="5"/>
        <v>15375</v>
      </c>
      <c r="V31" s="17">
        <f t="shared" si="5"/>
        <v>2.759999999999998</v>
      </c>
      <c r="W31" s="101"/>
      <c r="X31" s="555">
        <f t="shared" si="6"/>
        <v>4319277</v>
      </c>
      <c r="Y31" s="632">
        <f t="shared" si="6"/>
        <v>663.11999999999989</v>
      </c>
    </row>
    <row r="32" spans="1:33" hidden="1" outlineLevel="1">
      <c r="A32" s="114">
        <v>43127</v>
      </c>
      <c r="B32" s="115">
        <f t="shared" si="7"/>
        <v>1</v>
      </c>
      <c r="C32" s="35">
        <v>608</v>
      </c>
      <c r="D32" s="36">
        <v>0.02</v>
      </c>
      <c r="E32" s="51">
        <v>3951472</v>
      </c>
      <c r="F32" s="52">
        <v>551.49</v>
      </c>
      <c r="G32" s="58">
        <v>242293</v>
      </c>
      <c r="H32" s="17">
        <v>20.399999999999999</v>
      </c>
      <c r="I32" s="101"/>
      <c r="J32" s="35">
        <v>257</v>
      </c>
      <c r="K32" s="36">
        <v>0.01</v>
      </c>
      <c r="L32" s="51">
        <v>3715501</v>
      </c>
      <c r="M32" s="52">
        <v>511.3</v>
      </c>
      <c r="N32" s="58">
        <v>225953</v>
      </c>
      <c r="O32" s="17">
        <v>17.510000000000002</v>
      </c>
      <c r="P32" s="101"/>
      <c r="Q32" s="35">
        <f t="shared" si="5"/>
        <v>351</v>
      </c>
      <c r="R32" s="36">
        <f t="shared" si="5"/>
        <v>0.01</v>
      </c>
      <c r="S32" s="51">
        <f t="shared" si="5"/>
        <v>235971</v>
      </c>
      <c r="T32" s="52">
        <f t="shared" si="5"/>
        <v>40.19</v>
      </c>
      <c r="U32" s="58">
        <f t="shared" si="5"/>
        <v>16340</v>
      </c>
      <c r="V32" s="17">
        <f t="shared" si="5"/>
        <v>2.889999999999997</v>
      </c>
      <c r="W32" s="101"/>
      <c r="X32" s="555">
        <f t="shared" si="6"/>
        <v>4194373</v>
      </c>
      <c r="Y32" s="632">
        <f t="shared" si="6"/>
        <v>571.91</v>
      </c>
    </row>
    <row r="33" spans="1:25" hidden="1" outlineLevel="1">
      <c r="A33" s="114">
        <v>43128</v>
      </c>
      <c r="B33" s="115">
        <f t="shared" si="7"/>
        <v>1</v>
      </c>
      <c r="C33" s="35">
        <v>584</v>
      </c>
      <c r="D33" s="36">
        <v>0.02</v>
      </c>
      <c r="E33" s="51">
        <v>2591578</v>
      </c>
      <c r="F33" s="52">
        <v>419.76</v>
      </c>
      <c r="G33" s="58">
        <v>184414</v>
      </c>
      <c r="H33" s="17">
        <v>18.2</v>
      </c>
      <c r="I33" s="101"/>
      <c r="J33" s="35">
        <v>198</v>
      </c>
      <c r="K33" s="36">
        <v>0.01</v>
      </c>
      <c r="L33" s="51">
        <v>2412975</v>
      </c>
      <c r="M33" s="52">
        <v>385.03</v>
      </c>
      <c r="N33" s="58">
        <v>168951</v>
      </c>
      <c r="O33" s="17">
        <v>15.92</v>
      </c>
      <c r="P33" s="101"/>
      <c r="Q33" s="35">
        <f t="shared" si="5"/>
        <v>386</v>
      </c>
      <c r="R33" s="36">
        <f t="shared" si="5"/>
        <v>0.01</v>
      </c>
      <c r="S33" s="51">
        <f t="shared" si="5"/>
        <v>178603</v>
      </c>
      <c r="T33" s="52">
        <f t="shared" si="5"/>
        <v>34.730000000000018</v>
      </c>
      <c r="U33" s="58">
        <f t="shared" si="5"/>
        <v>15463</v>
      </c>
      <c r="V33" s="17">
        <f t="shared" si="5"/>
        <v>2.2799999999999994</v>
      </c>
      <c r="W33" s="101"/>
      <c r="X33" s="555">
        <f t="shared" si="6"/>
        <v>2776576</v>
      </c>
      <c r="Y33" s="632">
        <f t="shared" si="6"/>
        <v>437.97999999999996</v>
      </c>
    </row>
    <row r="34" spans="1:25" hidden="1" outlineLevel="1">
      <c r="A34" s="114">
        <v>43129</v>
      </c>
      <c r="B34" s="115">
        <f t="shared" si="7"/>
        <v>1</v>
      </c>
      <c r="C34" s="35">
        <v>623</v>
      </c>
      <c r="D34" s="36">
        <v>0.03</v>
      </c>
      <c r="E34" s="51">
        <v>2481222</v>
      </c>
      <c r="F34" s="52">
        <v>421.95</v>
      </c>
      <c r="G34" s="58">
        <v>180441</v>
      </c>
      <c r="H34" s="17">
        <v>19.809999999999999</v>
      </c>
      <c r="I34" s="101"/>
      <c r="J34" s="35">
        <v>209</v>
      </c>
      <c r="K34" s="36">
        <v>0.02</v>
      </c>
      <c r="L34" s="51">
        <v>2338272</v>
      </c>
      <c r="M34" s="52">
        <v>389.7</v>
      </c>
      <c r="N34" s="58">
        <v>166904</v>
      </c>
      <c r="O34" s="17">
        <v>17.23</v>
      </c>
      <c r="P34" s="101"/>
      <c r="Q34" s="35">
        <f t="shared" si="5"/>
        <v>414</v>
      </c>
      <c r="R34" s="36">
        <f t="shared" si="5"/>
        <v>9.9999999999999985E-3</v>
      </c>
      <c r="S34" s="51">
        <f t="shared" si="5"/>
        <v>142950</v>
      </c>
      <c r="T34" s="52">
        <f t="shared" si="5"/>
        <v>32.25</v>
      </c>
      <c r="U34" s="58">
        <f t="shared" si="5"/>
        <v>13537</v>
      </c>
      <c r="V34" s="17">
        <f t="shared" si="5"/>
        <v>2.5799999999999983</v>
      </c>
      <c r="W34" s="101"/>
      <c r="X34" s="555">
        <f t="shared" si="6"/>
        <v>2662286</v>
      </c>
      <c r="Y34" s="632">
        <f t="shared" si="6"/>
        <v>441.78999999999996</v>
      </c>
    </row>
    <row r="35" spans="1:25" hidden="1" outlineLevel="1">
      <c r="A35" s="114">
        <v>43130</v>
      </c>
      <c r="B35" s="115">
        <f t="shared" si="7"/>
        <v>1</v>
      </c>
      <c r="C35" s="35">
        <v>590</v>
      </c>
      <c r="D35" s="36">
        <v>0.05</v>
      </c>
      <c r="E35" s="51">
        <v>2535354</v>
      </c>
      <c r="F35" s="52">
        <v>473.59</v>
      </c>
      <c r="G35" s="58">
        <v>180433</v>
      </c>
      <c r="H35" s="17">
        <v>20.85</v>
      </c>
      <c r="I35" s="101"/>
      <c r="J35" s="35">
        <v>229</v>
      </c>
      <c r="K35" s="36">
        <v>0.03</v>
      </c>
      <c r="L35" s="51">
        <v>2390477</v>
      </c>
      <c r="M35" s="52">
        <v>438.69</v>
      </c>
      <c r="N35" s="58">
        <v>166865</v>
      </c>
      <c r="O35" s="17">
        <v>17.649999999999999</v>
      </c>
      <c r="P35" s="101"/>
      <c r="Q35" s="35">
        <f t="shared" si="5"/>
        <v>361</v>
      </c>
      <c r="R35" s="36">
        <f t="shared" si="5"/>
        <v>2.0000000000000004E-2</v>
      </c>
      <c r="S35" s="51">
        <f t="shared" si="5"/>
        <v>144877</v>
      </c>
      <c r="T35" s="52">
        <f t="shared" si="5"/>
        <v>34.899999999999977</v>
      </c>
      <c r="U35" s="58">
        <f t="shared" si="5"/>
        <v>13568</v>
      </c>
      <c r="V35" s="17">
        <f t="shared" si="5"/>
        <v>3.2000000000000028</v>
      </c>
      <c r="W35" s="101"/>
      <c r="X35" s="555">
        <f t="shared" si="6"/>
        <v>2716377</v>
      </c>
      <c r="Y35" s="632">
        <f t="shared" si="6"/>
        <v>494.49</v>
      </c>
    </row>
    <row r="36" spans="1:25" hidden="1" outlineLevel="1">
      <c r="A36" s="114">
        <v>43131</v>
      </c>
      <c r="B36" s="115">
        <f t="shared" si="7"/>
        <v>1</v>
      </c>
      <c r="C36" s="35">
        <v>723</v>
      </c>
      <c r="D36" s="36">
        <v>7.0000000000000007E-2</v>
      </c>
      <c r="E36" s="51">
        <v>2390676</v>
      </c>
      <c r="F36" s="52">
        <v>418.84</v>
      </c>
      <c r="G36" s="58">
        <v>164224</v>
      </c>
      <c r="H36" s="17">
        <v>21.57</v>
      </c>
      <c r="I36" s="101"/>
      <c r="J36" s="35">
        <v>309</v>
      </c>
      <c r="K36" s="36">
        <v>0.03</v>
      </c>
      <c r="L36" s="51">
        <v>2252248</v>
      </c>
      <c r="M36" s="52">
        <v>385.9</v>
      </c>
      <c r="N36" s="58">
        <v>151107</v>
      </c>
      <c r="O36" s="17">
        <v>18.79</v>
      </c>
      <c r="P36" s="101"/>
      <c r="Q36" s="35">
        <f t="shared" si="5"/>
        <v>414</v>
      </c>
      <c r="R36" s="36">
        <f t="shared" si="5"/>
        <v>4.0000000000000008E-2</v>
      </c>
      <c r="S36" s="51">
        <f t="shared" si="5"/>
        <v>138428</v>
      </c>
      <c r="T36" s="52">
        <f t="shared" si="5"/>
        <v>32.94</v>
      </c>
      <c r="U36" s="58">
        <f t="shared" si="5"/>
        <v>13117</v>
      </c>
      <c r="V36" s="17">
        <f t="shared" si="5"/>
        <v>2.7800000000000011</v>
      </c>
      <c r="W36" s="101"/>
      <c r="X36" s="555">
        <f t="shared" si="6"/>
        <v>2555623</v>
      </c>
      <c r="Y36" s="632">
        <f t="shared" si="6"/>
        <v>440.47999999999996</v>
      </c>
    </row>
    <row r="37" spans="1:25" collapsed="1">
      <c r="A37" s="104"/>
      <c r="B37" s="104" t="s">
        <v>15</v>
      </c>
      <c r="C37" s="105">
        <f>SUBTOTAL(9,C38:C65)</f>
        <v>23347</v>
      </c>
      <c r="D37" s="106">
        <f t="shared" ref="D37:H37" si="8">SUBTOTAL(9,D38:D65)</f>
        <v>1.3700000000000006</v>
      </c>
      <c r="E37" s="109">
        <f t="shared" si="8"/>
        <v>80755802</v>
      </c>
      <c r="F37" s="110">
        <f t="shared" si="8"/>
        <v>17885.199999999997</v>
      </c>
      <c r="G37" s="111">
        <f t="shared" si="8"/>
        <v>6236890</v>
      </c>
      <c r="H37" s="14">
        <f t="shared" si="8"/>
        <v>826.6099999999999</v>
      </c>
      <c r="I37" s="103"/>
      <c r="J37" s="105">
        <f>SUBTOTAL(9,J38:J65)</f>
        <v>10109</v>
      </c>
      <c r="K37" s="106">
        <f t="shared" ref="K37:O37" si="9">SUBTOTAL(9,K38:K65)</f>
        <v>0.97000000000000042</v>
      </c>
      <c r="L37" s="109">
        <f t="shared" si="9"/>
        <v>76944769</v>
      </c>
      <c r="M37" s="110">
        <f t="shared" si="9"/>
        <v>16814.939999999999</v>
      </c>
      <c r="N37" s="111">
        <f t="shared" si="9"/>
        <v>5740417</v>
      </c>
      <c r="O37" s="14">
        <f t="shared" si="9"/>
        <v>725.43000000000006</v>
      </c>
      <c r="P37" s="103"/>
      <c r="Q37" s="105">
        <f>SUBTOTAL(9,Q38:Q65)</f>
        <v>13238</v>
      </c>
      <c r="R37" s="106">
        <f t="shared" ref="R37:V37" si="10">SUBTOTAL(9,R38:R65)</f>
        <v>0.40000000000000008</v>
      </c>
      <c r="S37" s="109">
        <f t="shared" si="10"/>
        <v>3811033</v>
      </c>
      <c r="T37" s="110">
        <f t="shared" si="10"/>
        <v>1070.2599999999998</v>
      </c>
      <c r="U37" s="111">
        <f t="shared" si="10"/>
        <v>496473</v>
      </c>
      <c r="V37" s="14">
        <f t="shared" si="10"/>
        <v>101.17999999999998</v>
      </c>
      <c r="W37" s="103"/>
      <c r="X37" s="116"/>
      <c r="Y37" s="116"/>
    </row>
    <row r="38" spans="1:25" hidden="1" outlineLevel="1">
      <c r="A38" s="97">
        <v>43132</v>
      </c>
      <c r="B38" s="98">
        <f t="shared" si="7"/>
        <v>2</v>
      </c>
      <c r="C38" s="35">
        <v>657</v>
      </c>
      <c r="D38" s="36">
        <v>0.03</v>
      </c>
      <c r="E38" s="51">
        <v>2510892</v>
      </c>
      <c r="F38" s="52">
        <v>494.45</v>
      </c>
      <c r="G38" s="58">
        <v>176533</v>
      </c>
      <c r="H38" s="17">
        <v>23.21</v>
      </c>
      <c r="I38" s="101"/>
      <c r="J38" s="35">
        <v>247</v>
      </c>
      <c r="K38" s="36">
        <v>0.02</v>
      </c>
      <c r="L38" s="51">
        <v>2369086</v>
      </c>
      <c r="M38" s="52">
        <v>463.19</v>
      </c>
      <c r="N38" s="58">
        <v>162665</v>
      </c>
      <c r="O38" s="17">
        <v>19.77</v>
      </c>
      <c r="P38" s="101"/>
      <c r="Q38" s="35">
        <f t="shared" ref="Q38:V65" si="11">C38-J38</f>
        <v>410</v>
      </c>
      <c r="R38" s="36">
        <f t="shared" si="11"/>
        <v>9.9999999999999985E-3</v>
      </c>
      <c r="S38" s="51">
        <f t="shared" si="11"/>
        <v>141806</v>
      </c>
      <c r="T38" s="52">
        <f t="shared" si="11"/>
        <v>31.259999999999991</v>
      </c>
      <c r="U38" s="58">
        <f t="shared" si="11"/>
        <v>13868</v>
      </c>
      <c r="V38" s="17">
        <f t="shared" si="11"/>
        <v>3.4400000000000013</v>
      </c>
      <c r="W38" s="101"/>
      <c r="X38" s="555">
        <f t="shared" ref="X38:Y65" si="12">SUM(C38,E38,G38)</f>
        <v>2688082</v>
      </c>
      <c r="Y38" s="632">
        <f t="shared" si="12"/>
        <v>517.68999999999994</v>
      </c>
    </row>
    <row r="39" spans="1:25" hidden="1" outlineLevel="1">
      <c r="A39" s="97">
        <v>43133</v>
      </c>
      <c r="B39" s="98">
        <f t="shared" si="7"/>
        <v>2</v>
      </c>
      <c r="C39" s="35">
        <v>656</v>
      </c>
      <c r="D39" s="36">
        <v>0.02</v>
      </c>
      <c r="E39" s="51">
        <v>3927131</v>
      </c>
      <c r="F39" s="52">
        <v>738.1</v>
      </c>
      <c r="G39" s="58">
        <v>187461</v>
      </c>
      <c r="H39" s="17">
        <v>23.45</v>
      </c>
      <c r="I39" s="101"/>
      <c r="J39" s="35">
        <v>203</v>
      </c>
      <c r="K39" s="36">
        <v>0.01</v>
      </c>
      <c r="L39" s="51">
        <v>3764792</v>
      </c>
      <c r="M39" s="52">
        <v>702.69</v>
      </c>
      <c r="N39" s="58">
        <v>173627</v>
      </c>
      <c r="O39" s="17">
        <v>20.079999999999998</v>
      </c>
      <c r="P39" s="101"/>
      <c r="Q39" s="35">
        <f t="shared" si="11"/>
        <v>453</v>
      </c>
      <c r="R39" s="36">
        <f t="shared" si="11"/>
        <v>0.01</v>
      </c>
      <c r="S39" s="51">
        <f t="shared" si="11"/>
        <v>162339</v>
      </c>
      <c r="T39" s="52">
        <f t="shared" si="11"/>
        <v>35.409999999999968</v>
      </c>
      <c r="U39" s="58">
        <f t="shared" si="11"/>
        <v>13834</v>
      </c>
      <c r="V39" s="17">
        <f t="shared" si="11"/>
        <v>3.370000000000001</v>
      </c>
      <c r="W39" s="101"/>
      <c r="X39" s="555">
        <f t="shared" si="12"/>
        <v>4115248</v>
      </c>
      <c r="Y39" s="632">
        <f t="shared" si="12"/>
        <v>761.57</v>
      </c>
    </row>
    <row r="40" spans="1:25" hidden="1" outlineLevel="1">
      <c r="A40" s="97">
        <v>43134</v>
      </c>
      <c r="B40" s="98">
        <f t="shared" si="7"/>
        <v>2</v>
      </c>
      <c r="C40" s="35">
        <v>727</v>
      </c>
      <c r="D40" s="36">
        <v>0.02</v>
      </c>
      <c r="E40" s="51">
        <v>3468618</v>
      </c>
      <c r="F40" s="52">
        <v>572.62</v>
      </c>
      <c r="G40" s="58">
        <v>183141</v>
      </c>
      <c r="H40" s="17">
        <v>20.58</v>
      </c>
      <c r="I40" s="101"/>
      <c r="J40" s="35">
        <v>279</v>
      </c>
      <c r="K40" s="36">
        <v>0.01</v>
      </c>
      <c r="L40" s="51">
        <v>3299549</v>
      </c>
      <c r="M40" s="52">
        <v>537.17999999999995</v>
      </c>
      <c r="N40" s="58">
        <v>169650</v>
      </c>
      <c r="O40" s="17">
        <v>17.670000000000002</v>
      </c>
      <c r="P40" s="101"/>
      <c r="Q40" s="35">
        <f t="shared" si="11"/>
        <v>448</v>
      </c>
      <c r="R40" s="36">
        <f t="shared" si="11"/>
        <v>0.01</v>
      </c>
      <c r="S40" s="51">
        <f t="shared" si="11"/>
        <v>169069</v>
      </c>
      <c r="T40" s="52">
        <f t="shared" si="11"/>
        <v>35.440000000000055</v>
      </c>
      <c r="U40" s="58">
        <f t="shared" si="11"/>
        <v>13491</v>
      </c>
      <c r="V40" s="17">
        <f t="shared" si="11"/>
        <v>2.9099999999999966</v>
      </c>
      <c r="W40" s="101"/>
      <c r="X40" s="555">
        <f t="shared" si="12"/>
        <v>3652486</v>
      </c>
      <c r="Y40" s="632">
        <f t="shared" si="12"/>
        <v>593.22</v>
      </c>
    </row>
    <row r="41" spans="1:25" hidden="1" outlineLevel="1">
      <c r="A41" s="97">
        <v>43135</v>
      </c>
      <c r="B41" s="98">
        <f t="shared" si="7"/>
        <v>2</v>
      </c>
      <c r="C41" s="35">
        <v>600</v>
      </c>
      <c r="D41" s="36">
        <v>0.02</v>
      </c>
      <c r="E41" s="51">
        <v>2280937</v>
      </c>
      <c r="F41" s="52">
        <v>418.43</v>
      </c>
      <c r="G41" s="58">
        <v>155264</v>
      </c>
      <c r="H41" s="17">
        <v>18.809999999999999</v>
      </c>
      <c r="I41" s="101"/>
      <c r="J41" s="35">
        <v>179</v>
      </c>
      <c r="K41" s="36">
        <v>0.01</v>
      </c>
      <c r="L41" s="51">
        <v>2146726</v>
      </c>
      <c r="M41" s="52">
        <v>383.92</v>
      </c>
      <c r="N41" s="58">
        <v>143141</v>
      </c>
      <c r="O41" s="17">
        <v>15.95</v>
      </c>
      <c r="P41" s="101"/>
      <c r="Q41" s="35">
        <f t="shared" si="11"/>
        <v>421</v>
      </c>
      <c r="R41" s="36">
        <f t="shared" si="11"/>
        <v>0.01</v>
      </c>
      <c r="S41" s="51">
        <f t="shared" si="11"/>
        <v>134211</v>
      </c>
      <c r="T41" s="52">
        <f t="shared" si="11"/>
        <v>34.509999999999991</v>
      </c>
      <c r="U41" s="58">
        <f t="shared" si="11"/>
        <v>12123</v>
      </c>
      <c r="V41" s="17">
        <f t="shared" si="11"/>
        <v>2.8599999999999994</v>
      </c>
      <c r="W41" s="101"/>
      <c r="X41" s="555">
        <f t="shared" si="12"/>
        <v>2436801</v>
      </c>
      <c r="Y41" s="632">
        <f t="shared" si="12"/>
        <v>437.26</v>
      </c>
    </row>
    <row r="42" spans="1:25" hidden="1" outlineLevel="1">
      <c r="A42" s="97">
        <v>43136</v>
      </c>
      <c r="B42" s="98">
        <f t="shared" si="7"/>
        <v>2</v>
      </c>
      <c r="C42" s="35">
        <v>585</v>
      </c>
      <c r="D42" s="36">
        <v>0.02</v>
      </c>
      <c r="E42" s="51">
        <v>2250427</v>
      </c>
      <c r="F42" s="52">
        <v>497.1</v>
      </c>
      <c r="G42" s="58">
        <v>145303</v>
      </c>
      <c r="H42" s="17">
        <v>24.25</v>
      </c>
      <c r="I42" s="101"/>
      <c r="J42" s="35">
        <v>133</v>
      </c>
      <c r="K42" s="36">
        <v>0.01</v>
      </c>
      <c r="L42" s="51">
        <v>2134091</v>
      </c>
      <c r="M42" s="52">
        <v>461.22</v>
      </c>
      <c r="N42" s="58">
        <v>135198</v>
      </c>
      <c r="O42" s="17">
        <v>20.43</v>
      </c>
      <c r="P42" s="101"/>
      <c r="Q42" s="35">
        <f t="shared" si="11"/>
        <v>452</v>
      </c>
      <c r="R42" s="36">
        <f t="shared" si="11"/>
        <v>0.01</v>
      </c>
      <c r="S42" s="51">
        <f t="shared" si="11"/>
        <v>116336</v>
      </c>
      <c r="T42" s="52">
        <f t="shared" si="11"/>
        <v>35.879999999999995</v>
      </c>
      <c r="U42" s="58">
        <f t="shared" si="11"/>
        <v>10105</v>
      </c>
      <c r="V42" s="17">
        <f t="shared" si="11"/>
        <v>3.8200000000000003</v>
      </c>
      <c r="W42" s="101"/>
      <c r="X42" s="555">
        <f t="shared" si="12"/>
        <v>2396315</v>
      </c>
      <c r="Y42" s="632">
        <f t="shared" si="12"/>
        <v>521.37</v>
      </c>
    </row>
    <row r="43" spans="1:25" hidden="1" outlineLevel="1">
      <c r="A43" s="97">
        <v>43137</v>
      </c>
      <c r="B43" s="98">
        <f t="shared" si="7"/>
        <v>2</v>
      </c>
      <c r="C43" s="35">
        <v>947</v>
      </c>
      <c r="D43" s="36">
        <v>0.04</v>
      </c>
      <c r="E43" s="51">
        <v>2234724</v>
      </c>
      <c r="F43" s="52">
        <v>491.49</v>
      </c>
      <c r="G43" s="58">
        <v>136595</v>
      </c>
      <c r="H43" s="17">
        <v>21.14</v>
      </c>
      <c r="I43" s="101"/>
      <c r="J43" s="35">
        <v>482</v>
      </c>
      <c r="K43" s="36">
        <v>0.02</v>
      </c>
      <c r="L43" s="51">
        <v>2116571</v>
      </c>
      <c r="M43" s="52">
        <v>450.04</v>
      </c>
      <c r="N43" s="58">
        <v>127532</v>
      </c>
      <c r="O43" s="17">
        <v>17.87</v>
      </c>
      <c r="P43" s="101"/>
      <c r="Q43" s="35">
        <f t="shared" si="11"/>
        <v>465</v>
      </c>
      <c r="R43" s="36">
        <f t="shared" si="11"/>
        <v>0.02</v>
      </c>
      <c r="S43" s="51">
        <f t="shared" si="11"/>
        <v>118153</v>
      </c>
      <c r="T43" s="52">
        <f t="shared" si="11"/>
        <v>41.449999999999989</v>
      </c>
      <c r="U43" s="58">
        <f t="shared" si="11"/>
        <v>9063</v>
      </c>
      <c r="V43" s="17">
        <f t="shared" si="11"/>
        <v>3.2699999999999996</v>
      </c>
      <c r="W43" s="101"/>
      <c r="X43" s="555">
        <f t="shared" si="12"/>
        <v>2372266</v>
      </c>
      <c r="Y43" s="632">
        <f t="shared" si="12"/>
        <v>512.67000000000007</v>
      </c>
    </row>
    <row r="44" spans="1:25" hidden="1" outlineLevel="1">
      <c r="A44" s="97">
        <v>43138</v>
      </c>
      <c r="B44" s="98">
        <f t="shared" si="7"/>
        <v>2</v>
      </c>
      <c r="C44" s="35">
        <v>1285</v>
      </c>
      <c r="D44" s="36">
        <v>0.1</v>
      </c>
      <c r="E44" s="51">
        <v>2211548</v>
      </c>
      <c r="F44" s="52">
        <v>485.61</v>
      </c>
      <c r="G44" s="58">
        <v>145031</v>
      </c>
      <c r="H44" s="17">
        <v>22.37</v>
      </c>
      <c r="I44" s="101"/>
      <c r="J44" s="35">
        <v>741</v>
      </c>
      <c r="K44" s="36">
        <v>7.0000000000000007E-2</v>
      </c>
      <c r="L44" s="51">
        <v>2095793</v>
      </c>
      <c r="M44" s="52">
        <v>446.77</v>
      </c>
      <c r="N44" s="58">
        <v>135905</v>
      </c>
      <c r="O44" s="17">
        <v>18.920000000000002</v>
      </c>
      <c r="P44" s="101"/>
      <c r="Q44" s="35">
        <f t="shared" si="11"/>
        <v>544</v>
      </c>
      <c r="R44" s="36">
        <f t="shared" si="11"/>
        <v>0.03</v>
      </c>
      <c r="S44" s="51">
        <f t="shared" si="11"/>
        <v>115755</v>
      </c>
      <c r="T44" s="52">
        <f t="shared" si="11"/>
        <v>38.840000000000032</v>
      </c>
      <c r="U44" s="58">
        <f t="shared" si="11"/>
        <v>9126</v>
      </c>
      <c r="V44" s="17">
        <f t="shared" si="11"/>
        <v>3.4499999999999993</v>
      </c>
      <c r="W44" s="101"/>
      <c r="X44" s="555">
        <f t="shared" si="12"/>
        <v>2357864</v>
      </c>
      <c r="Y44" s="632">
        <f t="shared" si="12"/>
        <v>508.08000000000004</v>
      </c>
    </row>
    <row r="45" spans="1:25" hidden="1" outlineLevel="1">
      <c r="A45" s="97">
        <v>43139</v>
      </c>
      <c r="B45" s="98">
        <f t="shared" si="7"/>
        <v>2</v>
      </c>
      <c r="C45" s="35">
        <v>1414</v>
      </c>
      <c r="D45" s="36">
        <v>0.09</v>
      </c>
      <c r="E45" s="51">
        <v>2296425</v>
      </c>
      <c r="F45" s="52">
        <v>503.84</v>
      </c>
      <c r="G45" s="58">
        <v>191520</v>
      </c>
      <c r="H45" s="17">
        <v>24.22</v>
      </c>
      <c r="I45" s="101"/>
      <c r="J45" s="35">
        <v>878</v>
      </c>
      <c r="K45" s="36">
        <v>7.0000000000000007E-2</v>
      </c>
      <c r="L45" s="51">
        <v>2172401</v>
      </c>
      <c r="M45" s="52">
        <v>465.68</v>
      </c>
      <c r="N45" s="58">
        <v>178190</v>
      </c>
      <c r="O45" s="17">
        <v>20.58</v>
      </c>
      <c r="P45" s="101"/>
      <c r="Q45" s="35">
        <f t="shared" si="11"/>
        <v>536</v>
      </c>
      <c r="R45" s="36">
        <f t="shared" si="11"/>
        <v>1.999999999999999E-2</v>
      </c>
      <c r="S45" s="51">
        <f t="shared" si="11"/>
        <v>124024</v>
      </c>
      <c r="T45" s="52">
        <f t="shared" si="11"/>
        <v>38.159999999999968</v>
      </c>
      <c r="U45" s="58">
        <f t="shared" si="11"/>
        <v>13330</v>
      </c>
      <c r="V45" s="17">
        <f t="shared" si="11"/>
        <v>3.6400000000000006</v>
      </c>
      <c r="W45" s="101"/>
      <c r="X45" s="555">
        <f t="shared" si="12"/>
        <v>2489359</v>
      </c>
      <c r="Y45" s="632">
        <f t="shared" si="12"/>
        <v>528.15</v>
      </c>
    </row>
    <row r="46" spans="1:25" hidden="1" outlineLevel="1">
      <c r="A46" s="97">
        <v>43140</v>
      </c>
      <c r="B46" s="98">
        <f t="shared" si="7"/>
        <v>2</v>
      </c>
      <c r="C46" s="35">
        <v>1213</v>
      </c>
      <c r="D46" s="36">
        <v>0.12</v>
      </c>
      <c r="E46" s="51">
        <v>4256122</v>
      </c>
      <c r="F46" s="52">
        <v>888.24</v>
      </c>
      <c r="G46" s="58">
        <v>234904</v>
      </c>
      <c r="H46" s="17">
        <v>27.12</v>
      </c>
      <c r="I46" s="101"/>
      <c r="J46" s="35">
        <v>651</v>
      </c>
      <c r="K46" s="36">
        <v>7.0000000000000007E-2</v>
      </c>
      <c r="L46" s="51">
        <v>4084595</v>
      </c>
      <c r="M46" s="52">
        <v>845.2</v>
      </c>
      <c r="N46" s="58">
        <v>213760</v>
      </c>
      <c r="O46" s="17">
        <v>23.32</v>
      </c>
      <c r="P46" s="101"/>
      <c r="Q46" s="35">
        <f t="shared" si="11"/>
        <v>562</v>
      </c>
      <c r="R46" s="36">
        <f t="shared" si="11"/>
        <v>4.9999999999999989E-2</v>
      </c>
      <c r="S46" s="51">
        <f t="shared" si="11"/>
        <v>171527</v>
      </c>
      <c r="T46" s="52">
        <f t="shared" si="11"/>
        <v>43.039999999999964</v>
      </c>
      <c r="U46" s="58">
        <f t="shared" si="11"/>
        <v>21144</v>
      </c>
      <c r="V46" s="17">
        <f t="shared" si="11"/>
        <v>3.8000000000000007</v>
      </c>
      <c r="W46" s="101"/>
      <c r="X46" s="555">
        <f t="shared" si="12"/>
        <v>4492239</v>
      </c>
      <c r="Y46" s="632">
        <f t="shared" si="12"/>
        <v>915.48</v>
      </c>
    </row>
    <row r="47" spans="1:25" hidden="1" outlineLevel="1">
      <c r="A47" s="97">
        <v>43141</v>
      </c>
      <c r="B47" s="98">
        <f t="shared" si="7"/>
        <v>2</v>
      </c>
      <c r="C47" s="35">
        <v>1210</v>
      </c>
      <c r="D47" s="36">
        <v>0.06</v>
      </c>
      <c r="E47" s="51">
        <v>3848963</v>
      </c>
      <c r="F47" s="52">
        <v>767.21</v>
      </c>
      <c r="G47" s="58">
        <v>231368</v>
      </c>
      <c r="H47" s="17">
        <v>24.84</v>
      </c>
      <c r="I47" s="101"/>
      <c r="J47" s="35">
        <v>620</v>
      </c>
      <c r="K47" s="36">
        <v>0.04</v>
      </c>
      <c r="L47" s="51">
        <v>3684543</v>
      </c>
      <c r="M47" s="52">
        <v>730.08</v>
      </c>
      <c r="N47" s="58">
        <v>207292</v>
      </c>
      <c r="O47" s="17">
        <v>21.52</v>
      </c>
      <c r="P47" s="101"/>
      <c r="Q47" s="35">
        <f t="shared" si="11"/>
        <v>590</v>
      </c>
      <c r="R47" s="36">
        <f t="shared" si="11"/>
        <v>1.9999999999999997E-2</v>
      </c>
      <c r="S47" s="51">
        <f t="shared" si="11"/>
        <v>164420</v>
      </c>
      <c r="T47" s="52">
        <f t="shared" si="11"/>
        <v>37.129999999999995</v>
      </c>
      <c r="U47" s="58">
        <f t="shared" si="11"/>
        <v>24076</v>
      </c>
      <c r="V47" s="17">
        <f t="shared" si="11"/>
        <v>3.3200000000000003</v>
      </c>
      <c r="W47" s="101"/>
      <c r="X47" s="555">
        <f t="shared" si="12"/>
        <v>4081541</v>
      </c>
      <c r="Y47" s="632">
        <f t="shared" si="12"/>
        <v>792.11</v>
      </c>
    </row>
    <row r="48" spans="1:25" hidden="1" outlineLevel="1">
      <c r="A48" s="97">
        <v>43142</v>
      </c>
      <c r="B48" s="98">
        <f t="shared" si="7"/>
        <v>2</v>
      </c>
      <c r="C48" s="35">
        <v>1172</v>
      </c>
      <c r="D48" s="36">
        <v>0.06</v>
      </c>
      <c r="E48" s="51">
        <v>2489576</v>
      </c>
      <c r="F48" s="52">
        <v>500.19</v>
      </c>
      <c r="G48" s="58">
        <v>181041</v>
      </c>
      <c r="H48" s="17">
        <v>20.51</v>
      </c>
      <c r="I48" s="101"/>
      <c r="J48" s="35">
        <v>627</v>
      </c>
      <c r="K48" s="36">
        <v>0.04</v>
      </c>
      <c r="L48" s="51">
        <v>2347966</v>
      </c>
      <c r="M48" s="52">
        <v>462.58</v>
      </c>
      <c r="N48" s="58">
        <v>159704</v>
      </c>
      <c r="O48" s="17">
        <v>17.02</v>
      </c>
      <c r="P48" s="101"/>
      <c r="Q48" s="35">
        <f t="shared" si="11"/>
        <v>545</v>
      </c>
      <c r="R48" s="36">
        <f t="shared" si="11"/>
        <v>1.9999999999999997E-2</v>
      </c>
      <c r="S48" s="51">
        <f t="shared" si="11"/>
        <v>141610</v>
      </c>
      <c r="T48" s="52">
        <f t="shared" si="11"/>
        <v>37.610000000000014</v>
      </c>
      <c r="U48" s="58">
        <f t="shared" si="11"/>
        <v>21337</v>
      </c>
      <c r="V48" s="17">
        <f t="shared" si="11"/>
        <v>3.490000000000002</v>
      </c>
      <c r="W48" s="101"/>
      <c r="X48" s="555">
        <f t="shared" si="12"/>
        <v>2671789</v>
      </c>
      <c r="Y48" s="632">
        <f t="shared" si="12"/>
        <v>520.76</v>
      </c>
    </row>
    <row r="49" spans="1:25" hidden="1" outlineLevel="1">
      <c r="A49" s="97">
        <v>43143</v>
      </c>
      <c r="B49" s="98">
        <f t="shared" si="7"/>
        <v>2</v>
      </c>
      <c r="C49" s="35">
        <v>1725</v>
      </c>
      <c r="D49" s="36">
        <v>0.11</v>
      </c>
      <c r="E49" s="51">
        <v>2348591</v>
      </c>
      <c r="F49" s="52">
        <v>532.1</v>
      </c>
      <c r="G49" s="58">
        <v>182468</v>
      </c>
      <c r="H49" s="17">
        <v>23.09</v>
      </c>
      <c r="I49" s="101"/>
      <c r="J49" s="35">
        <v>1187</v>
      </c>
      <c r="K49" s="36">
        <v>0.1</v>
      </c>
      <c r="L49" s="51">
        <v>2230848</v>
      </c>
      <c r="M49" s="52">
        <v>500.07</v>
      </c>
      <c r="N49" s="58">
        <v>161861</v>
      </c>
      <c r="O49" s="17">
        <v>19.649999999999999</v>
      </c>
      <c r="P49" s="101"/>
      <c r="Q49" s="35">
        <f t="shared" si="11"/>
        <v>538</v>
      </c>
      <c r="R49" s="36">
        <f t="shared" si="11"/>
        <v>9.999999999999995E-3</v>
      </c>
      <c r="S49" s="51">
        <f t="shared" si="11"/>
        <v>117743</v>
      </c>
      <c r="T49" s="52">
        <f t="shared" si="11"/>
        <v>32.03000000000003</v>
      </c>
      <c r="U49" s="58">
        <f t="shared" si="11"/>
        <v>20607</v>
      </c>
      <c r="V49" s="17">
        <f t="shared" si="11"/>
        <v>3.4400000000000013</v>
      </c>
      <c r="W49" s="101"/>
      <c r="X49" s="555">
        <f t="shared" si="12"/>
        <v>2532784</v>
      </c>
      <c r="Y49" s="632">
        <f t="shared" si="12"/>
        <v>555.30000000000007</v>
      </c>
    </row>
    <row r="50" spans="1:25" hidden="1" outlineLevel="1">
      <c r="A50" s="97">
        <v>43144</v>
      </c>
      <c r="B50" s="98">
        <f t="shared" si="7"/>
        <v>2</v>
      </c>
      <c r="C50" s="35">
        <v>931</v>
      </c>
      <c r="D50" s="36">
        <v>0.06</v>
      </c>
      <c r="E50" s="51">
        <v>2441374</v>
      </c>
      <c r="F50" s="52">
        <v>568.41999999999996</v>
      </c>
      <c r="G50" s="58">
        <v>175106</v>
      </c>
      <c r="H50" s="17">
        <v>24.22</v>
      </c>
      <c r="I50" s="101"/>
      <c r="J50" s="35">
        <v>456</v>
      </c>
      <c r="K50" s="36">
        <v>0.05</v>
      </c>
      <c r="L50" s="51">
        <v>2329512</v>
      </c>
      <c r="M50" s="52">
        <v>536.72</v>
      </c>
      <c r="N50" s="58">
        <v>156937</v>
      </c>
      <c r="O50" s="17">
        <v>19.84</v>
      </c>
      <c r="P50" s="101"/>
      <c r="Q50" s="35">
        <f t="shared" si="11"/>
        <v>475</v>
      </c>
      <c r="R50" s="36">
        <f t="shared" si="11"/>
        <v>9.999999999999995E-3</v>
      </c>
      <c r="S50" s="51">
        <f t="shared" si="11"/>
        <v>111862</v>
      </c>
      <c r="T50" s="52">
        <f t="shared" si="11"/>
        <v>31.699999999999932</v>
      </c>
      <c r="U50" s="58">
        <f t="shared" si="11"/>
        <v>18169</v>
      </c>
      <c r="V50" s="17">
        <f t="shared" si="11"/>
        <v>4.379999999999999</v>
      </c>
      <c r="W50" s="101"/>
      <c r="X50" s="555">
        <f t="shared" si="12"/>
        <v>2617411</v>
      </c>
      <c r="Y50" s="632">
        <f t="shared" si="12"/>
        <v>592.69999999999993</v>
      </c>
    </row>
    <row r="51" spans="1:25" hidden="1" outlineLevel="1">
      <c r="A51" s="97">
        <v>43145</v>
      </c>
      <c r="B51" s="98">
        <f t="shared" si="7"/>
        <v>2</v>
      </c>
      <c r="C51" s="35">
        <v>804</v>
      </c>
      <c r="D51" s="36">
        <v>0.06</v>
      </c>
      <c r="E51" s="51">
        <v>2560009</v>
      </c>
      <c r="F51" s="52">
        <v>626.15</v>
      </c>
      <c r="G51" s="58">
        <v>169529</v>
      </c>
      <c r="H51" s="17">
        <v>22.75</v>
      </c>
      <c r="I51" s="101"/>
      <c r="J51" s="35">
        <v>350</v>
      </c>
      <c r="K51" s="36">
        <v>0.04</v>
      </c>
      <c r="L51" s="51">
        <v>2443925</v>
      </c>
      <c r="M51" s="52">
        <v>591.74</v>
      </c>
      <c r="N51" s="58">
        <v>152239</v>
      </c>
      <c r="O51" s="17">
        <v>19.59</v>
      </c>
      <c r="P51" s="101"/>
      <c r="Q51" s="35">
        <f t="shared" si="11"/>
        <v>454</v>
      </c>
      <c r="R51" s="36">
        <f t="shared" si="11"/>
        <v>1.9999999999999997E-2</v>
      </c>
      <c r="S51" s="51">
        <f t="shared" si="11"/>
        <v>116084</v>
      </c>
      <c r="T51" s="52">
        <f t="shared" si="11"/>
        <v>34.409999999999968</v>
      </c>
      <c r="U51" s="58">
        <f t="shared" si="11"/>
        <v>17290</v>
      </c>
      <c r="V51" s="17">
        <f t="shared" si="11"/>
        <v>3.16</v>
      </c>
      <c r="W51" s="101"/>
      <c r="X51" s="555">
        <f t="shared" si="12"/>
        <v>2730342</v>
      </c>
      <c r="Y51" s="632">
        <f t="shared" si="12"/>
        <v>648.95999999999992</v>
      </c>
    </row>
    <row r="52" spans="1:25" hidden="1" outlineLevel="1">
      <c r="A52" s="97">
        <v>43146</v>
      </c>
      <c r="B52" s="98">
        <f t="shared" si="7"/>
        <v>2</v>
      </c>
      <c r="C52" s="35">
        <v>778</v>
      </c>
      <c r="D52" s="36">
        <v>0.05</v>
      </c>
      <c r="E52" s="51">
        <v>2662113</v>
      </c>
      <c r="F52" s="52">
        <v>620.33000000000004</v>
      </c>
      <c r="G52" s="58">
        <v>167438</v>
      </c>
      <c r="H52" s="17">
        <v>22.85</v>
      </c>
      <c r="I52" s="101"/>
      <c r="J52" s="35">
        <v>267</v>
      </c>
      <c r="K52" s="36">
        <v>0.03</v>
      </c>
      <c r="L52" s="51">
        <v>2536345</v>
      </c>
      <c r="M52" s="52">
        <v>586.46</v>
      </c>
      <c r="N52" s="58">
        <v>150178</v>
      </c>
      <c r="O52" s="17">
        <v>19.96</v>
      </c>
      <c r="P52" s="101"/>
      <c r="Q52" s="35">
        <f t="shared" si="11"/>
        <v>511</v>
      </c>
      <c r="R52" s="36">
        <f t="shared" si="11"/>
        <v>2.0000000000000004E-2</v>
      </c>
      <c r="S52" s="51">
        <f t="shared" si="11"/>
        <v>125768</v>
      </c>
      <c r="T52" s="52">
        <f t="shared" si="11"/>
        <v>33.870000000000005</v>
      </c>
      <c r="U52" s="58">
        <f t="shared" si="11"/>
        <v>17260</v>
      </c>
      <c r="V52" s="17">
        <f t="shared" si="11"/>
        <v>2.8900000000000006</v>
      </c>
      <c r="W52" s="101"/>
      <c r="X52" s="555">
        <f t="shared" si="12"/>
        <v>2830329</v>
      </c>
      <c r="Y52" s="632">
        <f t="shared" si="12"/>
        <v>643.23</v>
      </c>
    </row>
    <row r="53" spans="1:25" hidden="1" outlineLevel="1">
      <c r="A53" s="97">
        <v>43147</v>
      </c>
      <c r="B53" s="98">
        <f t="shared" si="7"/>
        <v>2</v>
      </c>
      <c r="C53" s="35">
        <v>757</v>
      </c>
      <c r="D53" s="36">
        <v>0.06</v>
      </c>
      <c r="E53" s="51">
        <v>3990090</v>
      </c>
      <c r="F53" s="52">
        <v>869.05</v>
      </c>
      <c r="G53" s="58">
        <v>213931</v>
      </c>
      <c r="H53" s="17">
        <v>25.56</v>
      </c>
      <c r="I53" s="101"/>
      <c r="J53" s="35">
        <v>262</v>
      </c>
      <c r="K53" s="36">
        <v>0.04</v>
      </c>
      <c r="L53" s="51">
        <v>3831530</v>
      </c>
      <c r="M53" s="52">
        <v>832</v>
      </c>
      <c r="N53" s="58">
        <v>194381</v>
      </c>
      <c r="O53" s="17">
        <v>22.23</v>
      </c>
      <c r="P53" s="101"/>
      <c r="Q53" s="35">
        <f t="shared" si="11"/>
        <v>495</v>
      </c>
      <c r="R53" s="36">
        <f t="shared" si="11"/>
        <v>1.9999999999999997E-2</v>
      </c>
      <c r="S53" s="51">
        <f t="shared" si="11"/>
        <v>158560</v>
      </c>
      <c r="T53" s="52">
        <f t="shared" si="11"/>
        <v>37.049999999999955</v>
      </c>
      <c r="U53" s="58">
        <f t="shared" si="11"/>
        <v>19550</v>
      </c>
      <c r="V53" s="17">
        <f t="shared" si="11"/>
        <v>3.3299999999999983</v>
      </c>
      <c r="W53" s="101"/>
      <c r="X53" s="555">
        <f t="shared" si="12"/>
        <v>4204778</v>
      </c>
      <c r="Y53" s="632">
        <f t="shared" si="12"/>
        <v>894.66999999999985</v>
      </c>
    </row>
    <row r="54" spans="1:25" hidden="1" outlineLevel="1">
      <c r="A54" s="97">
        <v>43148</v>
      </c>
      <c r="B54" s="98">
        <f t="shared" si="7"/>
        <v>2</v>
      </c>
      <c r="C54" s="35">
        <v>794</v>
      </c>
      <c r="D54" s="36">
        <v>0.03</v>
      </c>
      <c r="E54" s="51">
        <v>3661626</v>
      </c>
      <c r="F54" s="52">
        <v>760.08</v>
      </c>
      <c r="G54" s="58">
        <v>212065</v>
      </c>
      <c r="H54" s="17">
        <v>27.1</v>
      </c>
      <c r="I54" s="101"/>
      <c r="J54" s="35">
        <v>244</v>
      </c>
      <c r="K54" s="36">
        <v>0.02</v>
      </c>
      <c r="L54" s="51">
        <v>3494512</v>
      </c>
      <c r="M54" s="52">
        <v>722.53</v>
      </c>
      <c r="N54" s="58">
        <v>193384</v>
      </c>
      <c r="O54" s="17">
        <v>23.66</v>
      </c>
      <c r="P54" s="101"/>
      <c r="Q54" s="35">
        <f t="shared" si="11"/>
        <v>550</v>
      </c>
      <c r="R54" s="36">
        <f t="shared" si="11"/>
        <v>9.9999999999999985E-3</v>
      </c>
      <c r="S54" s="51">
        <f t="shared" si="11"/>
        <v>167114</v>
      </c>
      <c r="T54" s="52">
        <f t="shared" si="11"/>
        <v>37.550000000000068</v>
      </c>
      <c r="U54" s="58">
        <f t="shared" si="11"/>
        <v>18681</v>
      </c>
      <c r="V54" s="17">
        <f t="shared" si="11"/>
        <v>3.4400000000000013</v>
      </c>
      <c r="W54" s="101"/>
      <c r="X54" s="555">
        <f t="shared" si="12"/>
        <v>3874485</v>
      </c>
      <c r="Y54" s="632">
        <f t="shared" si="12"/>
        <v>787.21</v>
      </c>
    </row>
    <row r="55" spans="1:25" hidden="1" outlineLevel="1">
      <c r="A55" s="97">
        <v>43149</v>
      </c>
      <c r="B55" s="98">
        <f t="shared" si="7"/>
        <v>2</v>
      </c>
      <c r="C55" s="35">
        <v>655</v>
      </c>
      <c r="D55" s="36">
        <v>0.04</v>
      </c>
      <c r="E55" s="51">
        <v>2437636</v>
      </c>
      <c r="F55" s="52">
        <v>542.28</v>
      </c>
      <c r="G55" s="58">
        <v>170117</v>
      </c>
      <c r="H55" s="17">
        <v>25.23</v>
      </c>
      <c r="I55" s="101"/>
      <c r="J55" s="35">
        <v>187</v>
      </c>
      <c r="K55" s="36">
        <v>0.03</v>
      </c>
      <c r="L55" s="51">
        <v>2298520</v>
      </c>
      <c r="M55" s="52">
        <v>508.75</v>
      </c>
      <c r="N55" s="58">
        <v>154281</v>
      </c>
      <c r="O55" s="17">
        <v>22.21</v>
      </c>
      <c r="P55" s="101"/>
      <c r="Q55" s="35">
        <f t="shared" si="11"/>
        <v>468</v>
      </c>
      <c r="R55" s="36">
        <f t="shared" si="11"/>
        <v>1.0000000000000002E-2</v>
      </c>
      <c r="S55" s="51">
        <f t="shared" si="11"/>
        <v>139116</v>
      </c>
      <c r="T55" s="52">
        <f t="shared" si="11"/>
        <v>33.529999999999973</v>
      </c>
      <c r="U55" s="58">
        <f t="shared" si="11"/>
        <v>15836</v>
      </c>
      <c r="V55" s="17">
        <f t="shared" si="11"/>
        <v>3.0199999999999996</v>
      </c>
      <c r="W55" s="101"/>
      <c r="X55" s="555">
        <f t="shared" si="12"/>
        <v>2608408</v>
      </c>
      <c r="Y55" s="632">
        <f t="shared" si="12"/>
        <v>567.54999999999995</v>
      </c>
    </row>
    <row r="56" spans="1:25" hidden="1" outlineLevel="1">
      <c r="A56" s="97">
        <v>43150</v>
      </c>
      <c r="B56" s="98">
        <f t="shared" si="7"/>
        <v>2</v>
      </c>
      <c r="C56" s="35">
        <v>738</v>
      </c>
      <c r="D56" s="36">
        <v>0.04</v>
      </c>
      <c r="E56" s="51">
        <v>2579169</v>
      </c>
      <c r="F56" s="52">
        <v>631.16999999999996</v>
      </c>
      <c r="G56" s="58">
        <v>203048</v>
      </c>
      <c r="H56" s="17">
        <v>29.98</v>
      </c>
      <c r="I56" s="101"/>
      <c r="J56" s="35">
        <v>261</v>
      </c>
      <c r="K56" s="36">
        <v>0.03</v>
      </c>
      <c r="L56" s="51">
        <v>2444961</v>
      </c>
      <c r="M56" s="52">
        <v>591.34</v>
      </c>
      <c r="N56" s="58">
        <v>184297</v>
      </c>
      <c r="O56" s="17">
        <v>26.52</v>
      </c>
      <c r="P56" s="101"/>
      <c r="Q56" s="35">
        <f t="shared" si="11"/>
        <v>477</v>
      </c>
      <c r="R56" s="36">
        <f t="shared" si="11"/>
        <v>1.0000000000000002E-2</v>
      </c>
      <c r="S56" s="51">
        <f t="shared" si="11"/>
        <v>134208</v>
      </c>
      <c r="T56" s="52">
        <f t="shared" si="11"/>
        <v>39.829999999999927</v>
      </c>
      <c r="U56" s="58">
        <f t="shared" si="11"/>
        <v>18751</v>
      </c>
      <c r="V56" s="17">
        <f t="shared" si="11"/>
        <v>3.4600000000000009</v>
      </c>
      <c r="W56" s="101"/>
      <c r="X56" s="555">
        <f t="shared" si="12"/>
        <v>2782955</v>
      </c>
      <c r="Y56" s="632">
        <f t="shared" si="12"/>
        <v>661.18999999999994</v>
      </c>
    </row>
    <row r="57" spans="1:25" hidden="1" outlineLevel="1">
      <c r="A57" s="97">
        <v>43151</v>
      </c>
      <c r="B57" s="98">
        <f t="shared" si="7"/>
        <v>2</v>
      </c>
      <c r="C57" s="35">
        <v>652</v>
      </c>
      <c r="D57" s="36">
        <v>0.05</v>
      </c>
      <c r="E57" s="51">
        <v>2281795</v>
      </c>
      <c r="F57" s="52">
        <v>552</v>
      </c>
      <c r="G57" s="58">
        <v>227293</v>
      </c>
      <c r="H57" s="17">
        <v>36.01</v>
      </c>
      <c r="I57" s="101"/>
      <c r="J57" s="35">
        <v>200</v>
      </c>
      <c r="K57" s="36">
        <v>0.04</v>
      </c>
      <c r="L57" s="51">
        <v>2171220</v>
      </c>
      <c r="M57" s="52">
        <v>512.13</v>
      </c>
      <c r="N57" s="58">
        <v>206665</v>
      </c>
      <c r="O57" s="17">
        <v>31.75</v>
      </c>
      <c r="P57" s="101"/>
      <c r="Q57" s="35">
        <f t="shared" si="11"/>
        <v>452</v>
      </c>
      <c r="R57" s="36">
        <f t="shared" si="11"/>
        <v>1.0000000000000002E-2</v>
      </c>
      <c r="S57" s="51">
        <f t="shared" si="11"/>
        <v>110575</v>
      </c>
      <c r="T57" s="52">
        <f t="shared" si="11"/>
        <v>39.870000000000005</v>
      </c>
      <c r="U57" s="58">
        <f t="shared" si="11"/>
        <v>20628</v>
      </c>
      <c r="V57" s="17">
        <f t="shared" si="11"/>
        <v>4.259999999999998</v>
      </c>
      <c r="W57" s="101"/>
      <c r="X57" s="555">
        <f t="shared" si="12"/>
        <v>2509740</v>
      </c>
      <c r="Y57" s="632">
        <f t="shared" si="12"/>
        <v>588.05999999999995</v>
      </c>
    </row>
    <row r="58" spans="1:25" hidden="1" outlineLevel="1">
      <c r="A58" s="97">
        <v>43152</v>
      </c>
      <c r="B58" s="98">
        <f t="shared" si="7"/>
        <v>2</v>
      </c>
      <c r="C58" s="35">
        <v>644</v>
      </c>
      <c r="D58" s="36">
        <v>0.04</v>
      </c>
      <c r="E58" s="51">
        <v>2606258</v>
      </c>
      <c r="F58" s="52">
        <v>646.01</v>
      </c>
      <c r="G58" s="58">
        <v>246094</v>
      </c>
      <c r="H58" s="17">
        <v>36.44</v>
      </c>
      <c r="I58" s="101"/>
      <c r="J58" s="35">
        <v>233</v>
      </c>
      <c r="K58" s="36">
        <v>0.02</v>
      </c>
      <c r="L58" s="51">
        <v>2492595</v>
      </c>
      <c r="M58" s="52">
        <v>601.57000000000005</v>
      </c>
      <c r="N58" s="58">
        <v>224474</v>
      </c>
      <c r="O58" s="17">
        <v>31.88</v>
      </c>
      <c r="P58" s="101"/>
      <c r="Q58" s="35">
        <f t="shared" si="11"/>
        <v>411</v>
      </c>
      <c r="R58" s="36">
        <f t="shared" si="11"/>
        <v>0.02</v>
      </c>
      <c r="S58" s="51">
        <f t="shared" si="11"/>
        <v>113663</v>
      </c>
      <c r="T58" s="52">
        <f t="shared" si="11"/>
        <v>44.439999999999941</v>
      </c>
      <c r="U58" s="58">
        <f t="shared" si="11"/>
        <v>21620</v>
      </c>
      <c r="V58" s="17">
        <f t="shared" si="11"/>
        <v>4.5599999999999987</v>
      </c>
      <c r="W58" s="101"/>
      <c r="X58" s="555">
        <f t="shared" si="12"/>
        <v>2852996</v>
      </c>
      <c r="Y58" s="632">
        <f t="shared" si="12"/>
        <v>682.49</v>
      </c>
    </row>
    <row r="59" spans="1:25" hidden="1" outlineLevel="1">
      <c r="A59" s="97">
        <v>43153</v>
      </c>
      <c r="B59" s="98">
        <f t="shared" si="7"/>
        <v>2</v>
      </c>
      <c r="C59" s="35">
        <v>655</v>
      </c>
      <c r="D59" s="36">
        <v>0.04</v>
      </c>
      <c r="E59" s="51">
        <v>2661202</v>
      </c>
      <c r="F59" s="52">
        <v>638.82000000000005</v>
      </c>
      <c r="G59" s="58">
        <v>276307</v>
      </c>
      <c r="H59" s="17">
        <v>38.770000000000003</v>
      </c>
      <c r="I59" s="101"/>
      <c r="J59" s="35">
        <v>219</v>
      </c>
      <c r="K59" s="36">
        <v>0.04</v>
      </c>
      <c r="L59" s="51">
        <v>2543716</v>
      </c>
      <c r="M59" s="52">
        <v>596.39</v>
      </c>
      <c r="N59" s="58">
        <v>255493</v>
      </c>
      <c r="O59" s="17">
        <v>34.29</v>
      </c>
      <c r="P59" s="101"/>
      <c r="Q59" s="35">
        <f t="shared" si="11"/>
        <v>436</v>
      </c>
      <c r="R59" s="36">
        <f t="shared" si="11"/>
        <v>0</v>
      </c>
      <c r="S59" s="51">
        <f t="shared" si="11"/>
        <v>117486</v>
      </c>
      <c r="T59" s="52">
        <f t="shared" si="11"/>
        <v>42.430000000000064</v>
      </c>
      <c r="U59" s="58">
        <f t="shared" si="11"/>
        <v>20814</v>
      </c>
      <c r="V59" s="17">
        <f t="shared" si="11"/>
        <v>4.480000000000004</v>
      </c>
      <c r="W59" s="101"/>
      <c r="X59" s="555">
        <f t="shared" si="12"/>
        <v>2938164</v>
      </c>
      <c r="Y59" s="632">
        <f t="shared" si="12"/>
        <v>677.63</v>
      </c>
    </row>
    <row r="60" spans="1:25" hidden="1" outlineLevel="1">
      <c r="A60" s="97">
        <v>43154</v>
      </c>
      <c r="B60" s="98">
        <f t="shared" si="7"/>
        <v>2</v>
      </c>
      <c r="C60" s="35">
        <v>659</v>
      </c>
      <c r="D60" s="36">
        <v>0.03</v>
      </c>
      <c r="E60" s="51">
        <v>3987109</v>
      </c>
      <c r="F60" s="52">
        <v>917.01</v>
      </c>
      <c r="G60" s="58">
        <v>413818</v>
      </c>
      <c r="H60" s="17">
        <v>50.01</v>
      </c>
      <c r="I60" s="101"/>
      <c r="J60" s="35">
        <v>198</v>
      </c>
      <c r="K60" s="36">
        <v>0.03</v>
      </c>
      <c r="L60" s="51">
        <v>3833609</v>
      </c>
      <c r="M60" s="52">
        <v>870.23</v>
      </c>
      <c r="N60" s="58">
        <v>393809</v>
      </c>
      <c r="O60" s="17">
        <v>45.25</v>
      </c>
      <c r="P60" s="101"/>
      <c r="Q60" s="35">
        <f t="shared" si="11"/>
        <v>461</v>
      </c>
      <c r="R60" s="36">
        <f t="shared" si="11"/>
        <v>0</v>
      </c>
      <c r="S60" s="51">
        <f t="shared" si="11"/>
        <v>153500</v>
      </c>
      <c r="T60" s="52">
        <f t="shared" si="11"/>
        <v>46.779999999999973</v>
      </c>
      <c r="U60" s="58">
        <f t="shared" si="11"/>
        <v>20009</v>
      </c>
      <c r="V60" s="17">
        <f t="shared" si="11"/>
        <v>4.759999999999998</v>
      </c>
      <c r="W60" s="101"/>
      <c r="X60" s="555">
        <f t="shared" si="12"/>
        <v>4401586</v>
      </c>
      <c r="Y60" s="632">
        <f t="shared" si="12"/>
        <v>967.05</v>
      </c>
    </row>
    <row r="61" spans="1:25" hidden="1" outlineLevel="1">
      <c r="A61" s="97">
        <v>43155</v>
      </c>
      <c r="B61" s="98">
        <f t="shared" si="7"/>
        <v>2</v>
      </c>
      <c r="C61" s="35">
        <v>567</v>
      </c>
      <c r="D61" s="36">
        <v>0.03</v>
      </c>
      <c r="E61" s="51">
        <v>3752554</v>
      </c>
      <c r="F61" s="52">
        <v>829.05</v>
      </c>
      <c r="G61" s="58">
        <v>321180</v>
      </c>
      <c r="H61" s="17">
        <v>38.1</v>
      </c>
      <c r="I61" s="101"/>
      <c r="J61" s="35">
        <v>187</v>
      </c>
      <c r="K61" s="36">
        <v>0.03</v>
      </c>
      <c r="L61" s="51">
        <v>3585756</v>
      </c>
      <c r="M61" s="52">
        <v>783.62</v>
      </c>
      <c r="N61" s="58">
        <v>304051</v>
      </c>
      <c r="O61" s="17">
        <v>34.99</v>
      </c>
      <c r="P61" s="101"/>
      <c r="Q61" s="35">
        <f t="shared" si="11"/>
        <v>380</v>
      </c>
      <c r="R61" s="36">
        <f t="shared" si="11"/>
        <v>0</v>
      </c>
      <c r="S61" s="51">
        <f t="shared" si="11"/>
        <v>166798</v>
      </c>
      <c r="T61" s="52">
        <f t="shared" si="11"/>
        <v>45.42999999999995</v>
      </c>
      <c r="U61" s="58">
        <f t="shared" si="11"/>
        <v>17129</v>
      </c>
      <c r="V61" s="17">
        <f t="shared" si="11"/>
        <v>3.1099999999999994</v>
      </c>
      <c r="W61" s="101"/>
      <c r="X61" s="555">
        <f t="shared" si="12"/>
        <v>4074301</v>
      </c>
      <c r="Y61" s="632">
        <f t="shared" si="12"/>
        <v>867.18</v>
      </c>
    </row>
    <row r="62" spans="1:25" hidden="1" outlineLevel="1">
      <c r="A62" s="97">
        <v>43156</v>
      </c>
      <c r="B62" s="98">
        <f t="shared" si="7"/>
        <v>2</v>
      </c>
      <c r="C62" s="35">
        <v>627</v>
      </c>
      <c r="D62" s="36">
        <v>0.04</v>
      </c>
      <c r="E62" s="51">
        <v>2379379</v>
      </c>
      <c r="F62" s="52">
        <v>584.70000000000005</v>
      </c>
      <c r="G62" s="58">
        <v>262602</v>
      </c>
      <c r="H62" s="17">
        <v>35.17</v>
      </c>
      <c r="I62" s="101"/>
      <c r="J62" s="35">
        <v>191</v>
      </c>
      <c r="K62" s="36">
        <v>0.02</v>
      </c>
      <c r="L62" s="51">
        <v>2240438</v>
      </c>
      <c r="M62" s="52">
        <v>542.09</v>
      </c>
      <c r="N62" s="58">
        <v>242397</v>
      </c>
      <c r="O62" s="17">
        <v>31.41</v>
      </c>
      <c r="P62" s="101"/>
      <c r="Q62" s="35">
        <f t="shared" si="11"/>
        <v>436</v>
      </c>
      <c r="R62" s="36">
        <f t="shared" si="11"/>
        <v>0.02</v>
      </c>
      <c r="S62" s="51">
        <f t="shared" si="11"/>
        <v>138941</v>
      </c>
      <c r="T62" s="52">
        <f t="shared" si="11"/>
        <v>42.610000000000014</v>
      </c>
      <c r="U62" s="58">
        <f t="shared" si="11"/>
        <v>20205</v>
      </c>
      <c r="V62" s="17">
        <f t="shared" si="11"/>
        <v>3.7600000000000016</v>
      </c>
      <c r="W62" s="101"/>
      <c r="X62" s="555">
        <f t="shared" si="12"/>
        <v>2642608</v>
      </c>
      <c r="Y62" s="632">
        <f t="shared" si="12"/>
        <v>619.91</v>
      </c>
    </row>
    <row r="63" spans="1:25" hidden="1" outlineLevel="1">
      <c r="A63" s="97">
        <v>43157</v>
      </c>
      <c r="B63" s="98">
        <f t="shared" si="7"/>
        <v>2</v>
      </c>
      <c r="C63" s="35">
        <v>644</v>
      </c>
      <c r="D63" s="36">
        <v>0.04</v>
      </c>
      <c r="E63" s="51">
        <v>2362387</v>
      </c>
      <c r="F63" s="52">
        <v>636.55999999999995</v>
      </c>
      <c r="G63" s="58">
        <v>351023</v>
      </c>
      <c r="H63" s="17">
        <v>49.66</v>
      </c>
      <c r="I63" s="101"/>
      <c r="J63" s="35">
        <v>235</v>
      </c>
      <c r="K63" s="36">
        <v>0.03</v>
      </c>
      <c r="L63" s="51">
        <v>2239835</v>
      </c>
      <c r="M63" s="52">
        <v>598.20000000000005</v>
      </c>
      <c r="N63" s="58">
        <v>327279</v>
      </c>
      <c r="O63" s="17">
        <v>45.64</v>
      </c>
      <c r="P63" s="101"/>
      <c r="Q63" s="35">
        <f t="shared" si="11"/>
        <v>409</v>
      </c>
      <c r="R63" s="36">
        <f t="shared" si="11"/>
        <v>1.0000000000000002E-2</v>
      </c>
      <c r="S63" s="51">
        <f t="shared" si="11"/>
        <v>122552</v>
      </c>
      <c r="T63" s="52">
        <f t="shared" si="11"/>
        <v>38.3599999999999</v>
      </c>
      <c r="U63" s="58">
        <f t="shared" si="11"/>
        <v>23744</v>
      </c>
      <c r="V63" s="17">
        <f t="shared" si="11"/>
        <v>4.019999999999996</v>
      </c>
      <c r="W63" s="101"/>
      <c r="X63" s="555">
        <f t="shared" si="12"/>
        <v>2714054</v>
      </c>
      <c r="Y63" s="632">
        <f t="shared" si="12"/>
        <v>686.25999999999988</v>
      </c>
    </row>
    <row r="64" spans="1:25" hidden="1" outlineLevel="1">
      <c r="A64" s="97">
        <v>43158</v>
      </c>
      <c r="B64" s="98">
        <f t="shared" si="7"/>
        <v>2</v>
      </c>
      <c r="C64" s="35">
        <v>671</v>
      </c>
      <c r="D64" s="36">
        <v>0.03</v>
      </c>
      <c r="E64" s="51">
        <v>2549814</v>
      </c>
      <c r="F64" s="52">
        <v>697.57</v>
      </c>
      <c r="G64" s="58">
        <v>342333</v>
      </c>
      <c r="H64" s="17">
        <v>47.77</v>
      </c>
      <c r="I64" s="101"/>
      <c r="J64" s="35">
        <v>227</v>
      </c>
      <c r="K64" s="36">
        <v>0.02</v>
      </c>
      <c r="L64" s="51">
        <v>2421000</v>
      </c>
      <c r="M64" s="52">
        <v>652.16999999999996</v>
      </c>
      <c r="N64" s="58">
        <v>318195</v>
      </c>
      <c r="O64" s="17">
        <v>43.84</v>
      </c>
      <c r="P64" s="101"/>
      <c r="Q64" s="35">
        <f t="shared" si="11"/>
        <v>444</v>
      </c>
      <c r="R64" s="36">
        <f t="shared" si="11"/>
        <v>9.9999999999999985E-3</v>
      </c>
      <c r="S64" s="51">
        <f t="shared" si="11"/>
        <v>128814</v>
      </c>
      <c r="T64" s="52">
        <f t="shared" si="11"/>
        <v>45.400000000000091</v>
      </c>
      <c r="U64" s="58">
        <f t="shared" si="11"/>
        <v>24138</v>
      </c>
      <c r="V64" s="17">
        <f t="shared" si="11"/>
        <v>3.9299999999999997</v>
      </c>
      <c r="W64" s="101"/>
      <c r="X64" s="555">
        <f t="shared" si="12"/>
        <v>2892818</v>
      </c>
      <c r="Y64" s="632">
        <f t="shared" si="12"/>
        <v>745.37</v>
      </c>
    </row>
    <row r="65" spans="1:25" hidden="1" outlineLevel="1">
      <c r="A65" s="97">
        <v>43159</v>
      </c>
      <c r="B65" s="98">
        <f t="shared" si="7"/>
        <v>2</v>
      </c>
      <c r="C65" s="35">
        <v>580</v>
      </c>
      <c r="D65" s="36">
        <v>0.04</v>
      </c>
      <c r="E65" s="51">
        <v>3719333</v>
      </c>
      <c r="F65" s="52">
        <v>876.62</v>
      </c>
      <c r="G65" s="58">
        <v>334377</v>
      </c>
      <c r="H65" s="17">
        <v>43.4</v>
      </c>
      <c r="I65" s="101"/>
      <c r="J65" s="35">
        <v>165</v>
      </c>
      <c r="K65" s="36">
        <v>0.03</v>
      </c>
      <c r="L65" s="51">
        <v>3590334</v>
      </c>
      <c r="M65" s="52">
        <v>840.38</v>
      </c>
      <c r="N65" s="58">
        <v>313832</v>
      </c>
      <c r="O65" s="17">
        <v>39.590000000000003</v>
      </c>
      <c r="P65" s="101"/>
      <c r="Q65" s="35">
        <f t="shared" si="11"/>
        <v>415</v>
      </c>
      <c r="R65" s="36">
        <f t="shared" si="11"/>
        <v>1.0000000000000002E-2</v>
      </c>
      <c r="S65" s="51">
        <f t="shared" si="11"/>
        <v>128999</v>
      </c>
      <c r="T65" s="52">
        <f t="shared" si="11"/>
        <v>36.240000000000009</v>
      </c>
      <c r="U65" s="58">
        <f t="shared" si="11"/>
        <v>20545</v>
      </c>
      <c r="V65" s="17">
        <f t="shared" si="11"/>
        <v>3.8099999999999952</v>
      </c>
      <c r="W65" s="101"/>
      <c r="X65" s="555">
        <f t="shared" si="12"/>
        <v>4054290</v>
      </c>
      <c r="Y65" s="632">
        <f t="shared" si="12"/>
        <v>920.06</v>
      </c>
    </row>
    <row r="66" spans="1:25" collapsed="1">
      <c r="A66" s="104"/>
      <c r="B66" s="104" t="s">
        <v>16</v>
      </c>
      <c r="C66" s="105">
        <f>SUBTOTAL(9,C67:C97)</f>
        <v>14334</v>
      </c>
      <c r="D66" s="106">
        <f t="shared" ref="D66:V66" si="13">SUBTOTAL(9,D67:D97)</f>
        <v>0.52000000000000024</v>
      </c>
      <c r="E66" s="109">
        <f t="shared" si="13"/>
        <v>103932465</v>
      </c>
      <c r="F66" s="110">
        <f t="shared" si="13"/>
        <v>34740.61</v>
      </c>
      <c r="G66" s="111">
        <f t="shared" si="13"/>
        <v>8986233</v>
      </c>
      <c r="H66" s="14">
        <f t="shared" si="13"/>
        <v>1861.6100000000001</v>
      </c>
      <c r="I66" s="103"/>
      <c r="J66" s="105">
        <f t="shared" si="13"/>
        <v>2043</v>
      </c>
      <c r="K66" s="106">
        <f t="shared" si="13"/>
        <v>0.17</v>
      </c>
      <c r="L66" s="109">
        <f t="shared" si="13"/>
        <v>99058641</v>
      </c>
      <c r="M66" s="110">
        <f t="shared" si="13"/>
        <v>33332.479999999996</v>
      </c>
      <c r="N66" s="111">
        <f t="shared" si="13"/>
        <v>8280425</v>
      </c>
      <c r="O66" s="14">
        <f t="shared" si="13"/>
        <v>1732.85</v>
      </c>
      <c r="P66" s="103"/>
      <c r="Q66" s="105">
        <f t="shared" si="13"/>
        <v>12291</v>
      </c>
      <c r="R66" s="106">
        <f t="shared" si="13"/>
        <v>0.35000000000000009</v>
      </c>
      <c r="S66" s="109">
        <f t="shared" si="13"/>
        <v>4873824</v>
      </c>
      <c r="T66" s="110">
        <f t="shared" si="13"/>
        <v>1408.13</v>
      </c>
      <c r="U66" s="111">
        <f t="shared" si="13"/>
        <v>705808</v>
      </c>
      <c r="V66" s="14">
        <f t="shared" si="13"/>
        <v>128.76</v>
      </c>
      <c r="W66" s="103"/>
      <c r="X66" s="116"/>
      <c r="Y66" s="116"/>
    </row>
    <row r="67" spans="1:25" hidden="1" outlineLevel="1">
      <c r="A67" s="114">
        <v>43160</v>
      </c>
      <c r="B67" s="115">
        <f t="shared" si="7"/>
        <v>3</v>
      </c>
      <c r="C67" s="35">
        <v>683</v>
      </c>
      <c r="D67" s="36">
        <v>0.02</v>
      </c>
      <c r="E67" s="51">
        <v>2579918</v>
      </c>
      <c r="F67" s="52">
        <v>625.70000000000005</v>
      </c>
      <c r="G67" s="58">
        <v>253604</v>
      </c>
      <c r="H67" s="17">
        <v>31.95</v>
      </c>
      <c r="I67" s="101"/>
      <c r="J67" s="35">
        <v>202</v>
      </c>
      <c r="K67" s="36">
        <v>0.02</v>
      </c>
      <c r="L67" s="51">
        <v>2454095</v>
      </c>
      <c r="M67" s="52">
        <v>588.64</v>
      </c>
      <c r="N67" s="58">
        <v>232156</v>
      </c>
      <c r="O67" s="17">
        <v>28.87</v>
      </c>
      <c r="P67" s="101"/>
      <c r="Q67" s="35">
        <f t="shared" ref="Q67:V97" si="14">C67-J67</f>
        <v>481</v>
      </c>
      <c r="R67" s="36">
        <f t="shared" si="14"/>
        <v>0</v>
      </c>
      <c r="S67" s="51">
        <f t="shared" si="14"/>
        <v>125823</v>
      </c>
      <c r="T67" s="52">
        <f t="shared" si="14"/>
        <v>37.060000000000059</v>
      </c>
      <c r="U67" s="58">
        <f t="shared" si="14"/>
        <v>21448</v>
      </c>
      <c r="V67" s="17">
        <f t="shared" si="14"/>
        <v>3.0799999999999983</v>
      </c>
      <c r="W67" s="101"/>
      <c r="X67" s="555">
        <f t="shared" ref="X67:Y97" si="15">SUM(C67,E67,G67)</f>
        <v>2834205</v>
      </c>
      <c r="Y67" s="632">
        <f t="shared" si="15"/>
        <v>657.67000000000007</v>
      </c>
    </row>
    <row r="68" spans="1:25" hidden="1" outlineLevel="1">
      <c r="A68" s="114">
        <v>43161</v>
      </c>
      <c r="B68" s="115">
        <f t="shared" si="7"/>
        <v>3</v>
      </c>
      <c r="C68" s="35">
        <v>606</v>
      </c>
      <c r="D68" s="36">
        <v>0.03</v>
      </c>
      <c r="E68" s="51">
        <v>3542891</v>
      </c>
      <c r="F68" s="52">
        <v>763.2</v>
      </c>
      <c r="G68" s="58">
        <v>316773</v>
      </c>
      <c r="H68" s="17">
        <v>36.229999999999997</v>
      </c>
      <c r="I68" s="101"/>
      <c r="J68" s="35">
        <v>164</v>
      </c>
      <c r="K68" s="36">
        <v>0.02</v>
      </c>
      <c r="L68" s="51">
        <v>3373530</v>
      </c>
      <c r="M68" s="52">
        <v>725.26</v>
      </c>
      <c r="N68" s="58">
        <v>292767</v>
      </c>
      <c r="O68" s="17">
        <v>32.65</v>
      </c>
      <c r="P68" s="101"/>
      <c r="Q68" s="35">
        <f t="shared" si="14"/>
        <v>442</v>
      </c>
      <c r="R68" s="36">
        <f t="shared" si="14"/>
        <v>9.9999999999999985E-3</v>
      </c>
      <c r="S68" s="51">
        <f t="shared" si="14"/>
        <v>169361</v>
      </c>
      <c r="T68" s="52">
        <f t="shared" si="14"/>
        <v>37.940000000000055</v>
      </c>
      <c r="U68" s="58">
        <f t="shared" si="14"/>
        <v>24006</v>
      </c>
      <c r="V68" s="17">
        <f t="shared" si="14"/>
        <v>3.5799999999999983</v>
      </c>
      <c r="W68" s="101"/>
      <c r="X68" s="555">
        <f t="shared" si="15"/>
        <v>3860270</v>
      </c>
      <c r="Y68" s="632">
        <f t="shared" si="15"/>
        <v>799.46</v>
      </c>
    </row>
    <row r="69" spans="1:25" hidden="1" outlineLevel="1">
      <c r="A69" s="114">
        <v>43162</v>
      </c>
      <c r="B69" s="115">
        <f t="shared" si="7"/>
        <v>3</v>
      </c>
      <c r="C69" s="35">
        <v>602</v>
      </c>
      <c r="D69" s="36">
        <v>0.03</v>
      </c>
      <c r="E69" s="51">
        <v>3315517</v>
      </c>
      <c r="F69" s="52">
        <v>689.45</v>
      </c>
      <c r="G69" s="58">
        <v>301021</v>
      </c>
      <c r="H69" s="17">
        <v>30.48</v>
      </c>
      <c r="I69" s="101"/>
      <c r="J69" s="35">
        <v>171</v>
      </c>
      <c r="K69" s="36">
        <v>0.01</v>
      </c>
      <c r="L69" s="51">
        <v>3140966</v>
      </c>
      <c r="M69" s="52">
        <v>649.20000000000005</v>
      </c>
      <c r="N69" s="58">
        <v>276095</v>
      </c>
      <c r="O69" s="17">
        <v>27.32</v>
      </c>
      <c r="P69" s="101"/>
      <c r="Q69" s="35">
        <f t="shared" si="14"/>
        <v>431</v>
      </c>
      <c r="R69" s="36">
        <f t="shared" si="14"/>
        <v>1.9999999999999997E-2</v>
      </c>
      <c r="S69" s="51">
        <f t="shared" si="14"/>
        <v>174551</v>
      </c>
      <c r="T69" s="52">
        <f t="shared" si="14"/>
        <v>40.25</v>
      </c>
      <c r="U69" s="58">
        <f t="shared" si="14"/>
        <v>24926</v>
      </c>
      <c r="V69" s="17">
        <f t="shared" si="14"/>
        <v>3.16</v>
      </c>
      <c r="W69" s="101"/>
      <c r="X69" s="555">
        <f t="shared" si="15"/>
        <v>3617140</v>
      </c>
      <c r="Y69" s="632">
        <f t="shared" si="15"/>
        <v>719.96</v>
      </c>
    </row>
    <row r="70" spans="1:25" hidden="1" outlineLevel="1">
      <c r="A70" s="114">
        <v>43163</v>
      </c>
      <c r="B70" s="115">
        <f t="shared" si="7"/>
        <v>3</v>
      </c>
      <c r="C70" s="35">
        <v>647</v>
      </c>
      <c r="D70" s="36">
        <v>0.05</v>
      </c>
      <c r="E70" s="51">
        <v>2419381</v>
      </c>
      <c r="F70" s="52">
        <v>553.5</v>
      </c>
      <c r="G70" s="58">
        <v>227700</v>
      </c>
      <c r="H70" s="17">
        <v>26.2</v>
      </c>
      <c r="I70" s="101"/>
      <c r="J70" s="35">
        <v>153</v>
      </c>
      <c r="K70" s="36">
        <v>0.04</v>
      </c>
      <c r="L70" s="51">
        <v>2259423</v>
      </c>
      <c r="M70" s="52">
        <v>507.64</v>
      </c>
      <c r="N70" s="58">
        <v>207761</v>
      </c>
      <c r="O70" s="17">
        <v>23.08</v>
      </c>
      <c r="P70" s="101"/>
      <c r="Q70" s="35">
        <f t="shared" si="14"/>
        <v>494</v>
      </c>
      <c r="R70" s="36">
        <f t="shared" si="14"/>
        <v>1.0000000000000002E-2</v>
      </c>
      <c r="S70" s="51">
        <f t="shared" si="14"/>
        <v>159958</v>
      </c>
      <c r="T70" s="52">
        <f t="shared" si="14"/>
        <v>45.860000000000014</v>
      </c>
      <c r="U70" s="58">
        <f t="shared" si="14"/>
        <v>19939</v>
      </c>
      <c r="V70" s="17">
        <f t="shared" si="14"/>
        <v>3.120000000000001</v>
      </c>
      <c r="W70" s="101"/>
      <c r="X70" s="555">
        <f t="shared" si="15"/>
        <v>2647728</v>
      </c>
      <c r="Y70" s="632">
        <f t="shared" si="15"/>
        <v>579.75</v>
      </c>
    </row>
    <row r="71" spans="1:25" hidden="1" outlineLevel="1">
      <c r="A71" s="114">
        <v>43164</v>
      </c>
      <c r="B71" s="115">
        <f t="shared" si="7"/>
        <v>3</v>
      </c>
      <c r="C71" s="35">
        <v>690</v>
      </c>
      <c r="D71" s="36">
        <v>0.03</v>
      </c>
      <c r="E71" s="51">
        <v>2366907</v>
      </c>
      <c r="F71" s="52">
        <v>623.27</v>
      </c>
      <c r="G71" s="58">
        <v>270768</v>
      </c>
      <c r="H71" s="17">
        <v>38.590000000000003</v>
      </c>
      <c r="I71" s="101"/>
      <c r="J71" s="35">
        <v>250</v>
      </c>
      <c r="K71" s="36">
        <v>0.02</v>
      </c>
      <c r="L71" s="51">
        <v>2231578</v>
      </c>
      <c r="M71" s="52">
        <v>573.04999999999995</v>
      </c>
      <c r="N71" s="58">
        <v>250881</v>
      </c>
      <c r="O71" s="17">
        <v>34.4</v>
      </c>
      <c r="P71" s="101"/>
      <c r="Q71" s="35">
        <f t="shared" si="14"/>
        <v>440</v>
      </c>
      <c r="R71" s="36">
        <f t="shared" si="14"/>
        <v>9.9999999999999985E-3</v>
      </c>
      <c r="S71" s="51">
        <f t="shared" si="14"/>
        <v>135329</v>
      </c>
      <c r="T71" s="52">
        <f t="shared" si="14"/>
        <v>50.220000000000027</v>
      </c>
      <c r="U71" s="58">
        <f t="shared" si="14"/>
        <v>19887</v>
      </c>
      <c r="V71" s="17">
        <f t="shared" si="14"/>
        <v>4.1900000000000048</v>
      </c>
      <c r="W71" s="101"/>
      <c r="X71" s="555">
        <f t="shared" si="15"/>
        <v>2638365</v>
      </c>
      <c r="Y71" s="632">
        <f t="shared" si="15"/>
        <v>661.89</v>
      </c>
    </row>
    <row r="72" spans="1:25" hidden="1" outlineLevel="1">
      <c r="A72" s="114">
        <v>43165</v>
      </c>
      <c r="B72" s="115">
        <f t="shared" si="7"/>
        <v>3</v>
      </c>
      <c r="C72" s="35">
        <v>595</v>
      </c>
      <c r="D72" s="36">
        <v>0.04</v>
      </c>
      <c r="E72" s="51">
        <v>2518130</v>
      </c>
      <c r="F72" s="52">
        <v>677.66</v>
      </c>
      <c r="G72" s="58">
        <v>263331</v>
      </c>
      <c r="H72" s="17">
        <v>39.06</v>
      </c>
      <c r="I72" s="101"/>
      <c r="J72" s="35">
        <v>175</v>
      </c>
      <c r="K72" s="36">
        <v>0.03</v>
      </c>
      <c r="L72" s="51">
        <v>2383445</v>
      </c>
      <c r="M72" s="52">
        <v>631.41999999999996</v>
      </c>
      <c r="N72" s="58">
        <v>243878</v>
      </c>
      <c r="O72" s="17">
        <v>35.71</v>
      </c>
      <c r="P72" s="101"/>
      <c r="Q72" s="35">
        <f t="shared" si="14"/>
        <v>420</v>
      </c>
      <c r="R72" s="36">
        <f t="shared" si="14"/>
        <v>1.0000000000000002E-2</v>
      </c>
      <c r="S72" s="51">
        <f t="shared" si="14"/>
        <v>134685</v>
      </c>
      <c r="T72" s="52">
        <f t="shared" si="14"/>
        <v>46.240000000000009</v>
      </c>
      <c r="U72" s="58">
        <f t="shared" si="14"/>
        <v>19453</v>
      </c>
      <c r="V72" s="17">
        <f t="shared" si="14"/>
        <v>3.3500000000000014</v>
      </c>
      <c r="W72" s="101"/>
      <c r="X72" s="555">
        <f t="shared" si="15"/>
        <v>2782056</v>
      </c>
      <c r="Y72" s="632">
        <f t="shared" si="15"/>
        <v>716.76</v>
      </c>
    </row>
    <row r="73" spans="1:25" hidden="1" outlineLevel="1">
      <c r="A73" s="114">
        <v>43166</v>
      </c>
      <c r="B73" s="115">
        <f t="shared" si="7"/>
        <v>3</v>
      </c>
      <c r="C73" s="35">
        <v>606</v>
      </c>
      <c r="D73" s="36">
        <v>0.04</v>
      </c>
      <c r="E73" s="51">
        <v>2638115</v>
      </c>
      <c r="F73" s="52">
        <v>790.14</v>
      </c>
      <c r="G73" s="58">
        <v>236482</v>
      </c>
      <c r="H73" s="17">
        <v>38.270000000000003</v>
      </c>
      <c r="I73" s="101"/>
      <c r="J73" s="35">
        <v>191</v>
      </c>
      <c r="K73" s="36">
        <v>0.03</v>
      </c>
      <c r="L73" s="51">
        <v>2484498</v>
      </c>
      <c r="M73" s="52">
        <v>735.77</v>
      </c>
      <c r="N73" s="58">
        <v>215777</v>
      </c>
      <c r="O73" s="17">
        <v>35.659999999999997</v>
      </c>
      <c r="P73" s="101"/>
      <c r="Q73" s="35">
        <f t="shared" si="14"/>
        <v>415</v>
      </c>
      <c r="R73" s="36">
        <f t="shared" si="14"/>
        <v>1.0000000000000002E-2</v>
      </c>
      <c r="S73" s="51">
        <f t="shared" si="14"/>
        <v>153617</v>
      </c>
      <c r="T73" s="52">
        <f t="shared" si="14"/>
        <v>54.370000000000005</v>
      </c>
      <c r="U73" s="58">
        <f t="shared" si="14"/>
        <v>20705</v>
      </c>
      <c r="V73" s="17">
        <f t="shared" si="14"/>
        <v>2.6100000000000065</v>
      </c>
      <c r="W73" s="101"/>
      <c r="X73" s="555">
        <f t="shared" si="15"/>
        <v>2875203</v>
      </c>
      <c r="Y73" s="632">
        <f t="shared" si="15"/>
        <v>828.44999999999993</v>
      </c>
    </row>
    <row r="74" spans="1:25" hidden="1" outlineLevel="1">
      <c r="A74" s="114">
        <v>43167</v>
      </c>
      <c r="B74" s="115">
        <f t="shared" si="7"/>
        <v>3</v>
      </c>
      <c r="C74" s="35">
        <v>436</v>
      </c>
      <c r="D74" s="36">
        <v>0.01</v>
      </c>
      <c r="E74" s="51">
        <v>2694752</v>
      </c>
      <c r="F74" s="52">
        <v>830.83</v>
      </c>
      <c r="G74" s="58">
        <v>237532</v>
      </c>
      <c r="H74" s="17">
        <v>41.31</v>
      </c>
      <c r="I74" s="101"/>
      <c r="J74" s="35">
        <v>51</v>
      </c>
      <c r="K74" s="36">
        <v>0</v>
      </c>
      <c r="L74" s="51">
        <v>2536056</v>
      </c>
      <c r="M74" s="52">
        <v>779.41</v>
      </c>
      <c r="N74" s="58">
        <v>216732</v>
      </c>
      <c r="O74" s="17">
        <v>37.770000000000003</v>
      </c>
      <c r="P74" s="101"/>
      <c r="Q74" s="35">
        <f t="shared" si="14"/>
        <v>385</v>
      </c>
      <c r="R74" s="36">
        <f t="shared" si="14"/>
        <v>0.01</v>
      </c>
      <c r="S74" s="51">
        <f t="shared" si="14"/>
        <v>158696</v>
      </c>
      <c r="T74" s="52">
        <f t="shared" si="14"/>
        <v>51.420000000000073</v>
      </c>
      <c r="U74" s="58">
        <f t="shared" si="14"/>
        <v>20800</v>
      </c>
      <c r="V74" s="17">
        <f t="shared" si="14"/>
        <v>3.5399999999999991</v>
      </c>
      <c r="W74" s="101"/>
      <c r="X74" s="555">
        <f t="shared" si="15"/>
        <v>2932720</v>
      </c>
      <c r="Y74" s="632">
        <f t="shared" si="15"/>
        <v>872.15000000000009</v>
      </c>
    </row>
    <row r="75" spans="1:25" hidden="1" outlineLevel="1">
      <c r="A75" s="114">
        <v>43168</v>
      </c>
      <c r="B75" s="115">
        <f t="shared" si="7"/>
        <v>3</v>
      </c>
      <c r="C75" s="35">
        <v>476</v>
      </c>
      <c r="D75" s="36">
        <v>0.01</v>
      </c>
      <c r="E75" s="51">
        <v>3346994</v>
      </c>
      <c r="F75" s="52">
        <v>944.79</v>
      </c>
      <c r="G75" s="58">
        <v>269071</v>
      </c>
      <c r="H75" s="17">
        <v>37.19</v>
      </c>
      <c r="I75" s="101"/>
      <c r="J75" s="35">
        <v>47</v>
      </c>
      <c r="K75" s="36">
        <v>0</v>
      </c>
      <c r="L75" s="51">
        <v>3157814</v>
      </c>
      <c r="M75" s="52">
        <v>904.27</v>
      </c>
      <c r="N75" s="58">
        <v>246634</v>
      </c>
      <c r="O75" s="17">
        <v>33.5</v>
      </c>
      <c r="P75" s="101"/>
      <c r="Q75" s="35">
        <f t="shared" si="14"/>
        <v>429</v>
      </c>
      <c r="R75" s="36">
        <f t="shared" si="14"/>
        <v>0.01</v>
      </c>
      <c r="S75" s="51">
        <f t="shared" si="14"/>
        <v>189180</v>
      </c>
      <c r="T75" s="52">
        <f t="shared" si="14"/>
        <v>40.519999999999982</v>
      </c>
      <c r="U75" s="58">
        <f t="shared" si="14"/>
        <v>22437</v>
      </c>
      <c r="V75" s="17">
        <f t="shared" si="14"/>
        <v>3.6899999999999977</v>
      </c>
      <c r="W75" s="101"/>
      <c r="X75" s="555">
        <f t="shared" si="15"/>
        <v>3616541</v>
      </c>
      <c r="Y75" s="632">
        <f t="shared" si="15"/>
        <v>981.99</v>
      </c>
    </row>
    <row r="76" spans="1:25" hidden="1" outlineLevel="1">
      <c r="A76" s="114">
        <v>43169</v>
      </c>
      <c r="B76" s="115">
        <f t="shared" si="7"/>
        <v>3</v>
      </c>
      <c r="C76" s="35">
        <v>520</v>
      </c>
      <c r="D76" s="36">
        <v>0.01</v>
      </c>
      <c r="E76" s="51">
        <v>3362973</v>
      </c>
      <c r="F76" s="52">
        <v>964.22</v>
      </c>
      <c r="G76" s="58">
        <v>250712</v>
      </c>
      <c r="H76" s="17">
        <v>36.26</v>
      </c>
      <c r="I76" s="101"/>
      <c r="J76" s="35">
        <v>61</v>
      </c>
      <c r="K76" s="36">
        <v>0</v>
      </c>
      <c r="L76" s="51">
        <v>3156115</v>
      </c>
      <c r="M76" s="52">
        <v>926.8</v>
      </c>
      <c r="N76" s="58">
        <v>229690</v>
      </c>
      <c r="O76" s="17">
        <v>33.07</v>
      </c>
      <c r="P76" s="101"/>
      <c r="Q76" s="35">
        <f t="shared" si="14"/>
        <v>459</v>
      </c>
      <c r="R76" s="36">
        <f t="shared" si="14"/>
        <v>0.01</v>
      </c>
      <c r="S76" s="51">
        <f t="shared" si="14"/>
        <v>206858</v>
      </c>
      <c r="T76" s="52">
        <f t="shared" si="14"/>
        <v>37.420000000000073</v>
      </c>
      <c r="U76" s="58">
        <f t="shared" si="14"/>
        <v>21022</v>
      </c>
      <c r="V76" s="17">
        <f t="shared" si="14"/>
        <v>3.1899999999999977</v>
      </c>
      <c r="W76" s="101"/>
      <c r="X76" s="555">
        <f t="shared" si="15"/>
        <v>3614205</v>
      </c>
      <c r="Y76" s="632">
        <f t="shared" si="15"/>
        <v>1000.49</v>
      </c>
    </row>
    <row r="77" spans="1:25" hidden="1" outlineLevel="1">
      <c r="A77" s="114">
        <v>43170</v>
      </c>
      <c r="B77" s="115">
        <f t="shared" si="7"/>
        <v>3</v>
      </c>
      <c r="C77" s="35">
        <v>432</v>
      </c>
      <c r="D77" s="36">
        <v>0.01</v>
      </c>
      <c r="E77" s="51">
        <v>2809765</v>
      </c>
      <c r="F77" s="52">
        <v>844.98</v>
      </c>
      <c r="G77" s="58">
        <v>206405</v>
      </c>
      <c r="H77" s="17">
        <v>29.6</v>
      </c>
      <c r="I77" s="101"/>
      <c r="J77" s="35">
        <v>25</v>
      </c>
      <c r="K77" s="36">
        <v>0</v>
      </c>
      <c r="L77" s="51">
        <v>2651878</v>
      </c>
      <c r="M77" s="52">
        <v>809.3</v>
      </c>
      <c r="N77" s="58">
        <v>189197</v>
      </c>
      <c r="O77" s="17">
        <v>27.05</v>
      </c>
      <c r="P77" s="101"/>
      <c r="Q77" s="35">
        <f t="shared" si="14"/>
        <v>407</v>
      </c>
      <c r="R77" s="36">
        <f t="shared" si="14"/>
        <v>0.01</v>
      </c>
      <c r="S77" s="51">
        <f t="shared" si="14"/>
        <v>157887</v>
      </c>
      <c r="T77" s="52">
        <f t="shared" si="14"/>
        <v>35.680000000000064</v>
      </c>
      <c r="U77" s="58">
        <f t="shared" si="14"/>
        <v>17208</v>
      </c>
      <c r="V77" s="17">
        <f t="shared" si="14"/>
        <v>2.5500000000000007</v>
      </c>
      <c r="W77" s="101"/>
      <c r="X77" s="555">
        <f t="shared" si="15"/>
        <v>3016602</v>
      </c>
      <c r="Y77" s="632">
        <f t="shared" si="15"/>
        <v>874.59</v>
      </c>
    </row>
    <row r="78" spans="1:25" hidden="1" outlineLevel="1">
      <c r="A78" s="114">
        <v>43171</v>
      </c>
      <c r="B78" s="115">
        <f t="shared" si="7"/>
        <v>3</v>
      </c>
      <c r="C78" s="35">
        <v>443</v>
      </c>
      <c r="D78" s="36">
        <v>0.01</v>
      </c>
      <c r="E78" s="51">
        <v>3052081</v>
      </c>
      <c r="F78" s="52">
        <v>911.11</v>
      </c>
      <c r="G78" s="58">
        <v>234787</v>
      </c>
      <c r="H78" s="17">
        <v>36.21</v>
      </c>
      <c r="I78" s="101"/>
      <c r="J78" s="35">
        <v>18</v>
      </c>
      <c r="K78" s="36">
        <v>0</v>
      </c>
      <c r="L78" s="51">
        <v>2888084</v>
      </c>
      <c r="M78" s="52">
        <v>872.2</v>
      </c>
      <c r="N78" s="58">
        <v>215965</v>
      </c>
      <c r="O78" s="17">
        <v>32.07</v>
      </c>
      <c r="P78" s="101"/>
      <c r="Q78" s="35">
        <f t="shared" si="14"/>
        <v>425</v>
      </c>
      <c r="R78" s="36">
        <f t="shared" si="14"/>
        <v>0.01</v>
      </c>
      <c r="S78" s="51">
        <f t="shared" si="14"/>
        <v>163997</v>
      </c>
      <c r="T78" s="52">
        <f t="shared" si="14"/>
        <v>38.909999999999968</v>
      </c>
      <c r="U78" s="58">
        <f t="shared" si="14"/>
        <v>18822</v>
      </c>
      <c r="V78" s="17">
        <f t="shared" si="14"/>
        <v>4.1400000000000006</v>
      </c>
      <c r="W78" s="101"/>
      <c r="X78" s="555">
        <f t="shared" si="15"/>
        <v>3287311</v>
      </c>
      <c r="Y78" s="632">
        <f t="shared" si="15"/>
        <v>947.33</v>
      </c>
    </row>
    <row r="79" spans="1:25" hidden="1" outlineLevel="1">
      <c r="A79" s="114">
        <v>43172</v>
      </c>
      <c r="B79" s="115">
        <f t="shared" si="7"/>
        <v>3</v>
      </c>
      <c r="C79" s="35">
        <v>450</v>
      </c>
      <c r="D79" s="36">
        <v>0.01</v>
      </c>
      <c r="E79" s="51">
        <v>2891970</v>
      </c>
      <c r="F79" s="52">
        <v>842.02</v>
      </c>
      <c r="G79" s="58">
        <v>246191</v>
      </c>
      <c r="H79" s="17">
        <v>38.93</v>
      </c>
      <c r="I79" s="101"/>
      <c r="J79" s="35">
        <v>22</v>
      </c>
      <c r="K79" s="36">
        <v>0</v>
      </c>
      <c r="L79" s="51">
        <v>2741475</v>
      </c>
      <c r="M79" s="52">
        <v>804.13</v>
      </c>
      <c r="N79" s="58">
        <v>228211</v>
      </c>
      <c r="O79" s="17">
        <v>35.130000000000003</v>
      </c>
      <c r="P79" s="101"/>
      <c r="Q79" s="35">
        <f t="shared" si="14"/>
        <v>428</v>
      </c>
      <c r="R79" s="36">
        <f t="shared" si="14"/>
        <v>0.01</v>
      </c>
      <c r="S79" s="51">
        <f t="shared" si="14"/>
        <v>150495</v>
      </c>
      <c r="T79" s="52">
        <f t="shared" si="14"/>
        <v>37.889999999999986</v>
      </c>
      <c r="U79" s="58">
        <f t="shared" si="14"/>
        <v>17980</v>
      </c>
      <c r="V79" s="17">
        <f t="shared" si="14"/>
        <v>3.7999999999999972</v>
      </c>
      <c r="W79" s="101"/>
      <c r="X79" s="555">
        <f t="shared" si="15"/>
        <v>3138611</v>
      </c>
      <c r="Y79" s="632">
        <f t="shared" si="15"/>
        <v>880.95999999999992</v>
      </c>
    </row>
    <row r="80" spans="1:25" hidden="1" outlineLevel="1">
      <c r="A80" s="114">
        <v>43173</v>
      </c>
      <c r="B80" s="115">
        <f t="shared" si="7"/>
        <v>3</v>
      </c>
      <c r="C80" s="35">
        <v>507</v>
      </c>
      <c r="D80" s="36">
        <v>0.01</v>
      </c>
      <c r="E80" s="51">
        <v>3224105</v>
      </c>
      <c r="F80" s="52">
        <v>1102.51</v>
      </c>
      <c r="G80" s="58">
        <v>270548</v>
      </c>
      <c r="H80" s="17">
        <v>52.88</v>
      </c>
      <c r="I80" s="101"/>
      <c r="J80" s="35">
        <v>147</v>
      </c>
      <c r="K80" s="36">
        <v>0</v>
      </c>
      <c r="L80" s="51">
        <v>3070407</v>
      </c>
      <c r="M80" s="52">
        <v>1063.5899999999999</v>
      </c>
      <c r="N80" s="58">
        <v>249744</v>
      </c>
      <c r="O80" s="17">
        <v>49.52</v>
      </c>
      <c r="P80" s="101"/>
      <c r="Q80" s="35">
        <f t="shared" si="14"/>
        <v>360</v>
      </c>
      <c r="R80" s="36">
        <f t="shared" si="14"/>
        <v>0.01</v>
      </c>
      <c r="S80" s="51">
        <f t="shared" si="14"/>
        <v>153698</v>
      </c>
      <c r="T80" s="52">
        <f t="shared" si="14"/>
        <v>38.920000000000073</v>
      </c>
      <c r="U80" s="58">
        <f t="shared" si="14"/>
        <v>20804</v>
      </c>
      <c r="V80" s="17">
        <f t="shared" si="14"/>
        <v>3.3599999999999994</v>
      </c>
      <c r="W80" s="101"/>
      <c r="X80" s="555">
        <f t="shared" si="15"/>
        <v>3495160</v>
      </c>
      <c r="Y80" s="632">
        <f t="shared" si="15"/>
        <v>1155.4000000000001</v>
      </c>
    </row>
    <row r="81" spans="1:25" hidden="1" outlineLevel="1">
      <c r="A81" s="114">
        <v>43174</v>
      </c>
      <c r="B81" s="115">
        <f t="shared" si="7"/>
        <v>3</v>
      </c>
      <c r="C81" s="35">
        <v>469</v>
      </c>
      <c r="D81" s="36">
        <v>0.02</v>
      </c>
      <c r="E81" s="51">
        <v>3139507</v>
      </c>
      <c r="F81" s="52">
        <v>984.3</v>
      </c>
      <c r="G81" s="58">
        <v>241736</v>
      </c>
      <c r="H81" s="17">
        <v>47.57</v>
      </c>
      <c r="I81" s="101"/>
      <c r="J81" s="35">
        <v>79</v>
      </c>
      <c r="K81" s="36">
        <v>0</v>
      </c>
      <c r="L81" s="51">
        <v>2986986</v>
      </c>
      <c r="M81" s="52">
        <v>942.72</v>
      </c>
      <c r="N81" s="58">
        <v>221313</v>
      </c>
      <c r="O81" s="17">
        <v>43.42</v>
      </c>
      <c r="P81" s="101"/>
      <c r="Q81" s="35">
        <f t="shared" si="14"/>
        <v>390</v>
      </c>
      <c r="R81" s="36">
        <f t="shared" si="14"/>
        <v>0.02</v>
      </c>
      <c r="S81" s="51">
        <f t="shared" si="14"/>
        <v>152521</v>
      </c>
      <c r="T81" s="52">
        <f t="shared" si="14"/>
        <v>41.579999999999927</v>
      </c>
      <c r="U81" s="58">
        <f t="shared" si="14"/>
        <v>20423</v>
      </c>
      <c r="V81" s="17">
        <f t="shared" si="14"/>
        <v>4.1499999999999986</v>
      </c>
      <c r="W81" s="101"/>
      <c r="X81" s="555">
        <f t="shared" si="15"/>
        <v>3381712</v>
      </c>
      <c r="Y81" s="632">
        <f t="shared" si="15"/>
        <v>1031.8899999999999</v>
      </c>
    </row>
    <row r="82" spans="1:25" hidden="1" outlineLevel="1">
      <c r="A82" s="114">
        <v>43175</v>
      </c>
      <c r="B82" s="115">
        <f t="shared" si="7"/>
        <v>3</v>
      </c>
      <c r="C82" s="35">
        <v>386</v>
      </c>
      <c r="D82" s="36">
        <v>0.01</v>
      </c>
      <c r="E82" s="51">
        <v>4086674</v>
      </c>
      <c r="F82" s="52">
        <v>1338.42</v>
      </c>
      <c r="G82" s="58">
        <v>264877</v>
      </c>
      <c r="H82" s="17">
        <v>47.42</v>
      </c>
      <c r="I82" s="101"/>
      <c r="J82" s="35">
        <v>35</v>
      </c>
      <c r="K82" s="36">
        <v>0</v>
      </c>
      <c r="L82" s="51">
        <v>3893120</v>
      </c>
      <c r="M82" s="52">
        <v>1293.26</v>
      </c>
      <c r="N82" s="58">
        <v>242595</v>
      </c>
      <c r="O82" s="17">
        <v>44.29</v>
      </c>
      <c r="P82" s="101"/>
      <c r="Q82" s="35">
        <f t="shared" si="14"/>
        <v>351</v>
      </c>
      <c r="R82" s="36">
        <f t="shared" si="14"/>
        <v>0.01</v>
      </c>
      <c r="S82" s="51">
        <f t="shared" si="14"/>
        <v>193554</v>
      </c>
      <c r="T82" s="52">
        <f t="shared" si="14"/>
        <v>45.160000000000082</v>
      </c>
      <c r="U82" s="58">
        <f t="shared" si="14"/>
        <v>22282</v>
      </c>
      <c r="V82" s="17">
        <f t="shared" si="14"/>
        <v>3.1300000000000026</v>
      </c>
      <c r="W82" s="101"/>
      <c r="X82" s="555">
        <f t="shared" si="15"/>
        <v>4351937</v>
      </c>
      <c r="Y82" s="632">
        <f t="shared" si="15"/>
        <v>1385.8500000000001</v>
      </c>
    </row>
    <row r="83" spans="1:25" hidden="1" outlineLevel="1">
      <c r="A83" s="114">
        <v>43176</v>
      </c>
      <c r="B83" s="115">
        <f t="shared" si="7"/>
        <v>3</v>
      </c>
      <c r="C83" s="35">
        <v>416</v>
      </c>
      <c r="D83" s="36">
        <v>0.02</v>
      </c>
      <c r="E83" s="51">
        <v>3765723</v>
      </c>
      <c r="F83" s="52">
        <v>1115.6600000000001</v>
      </c>
      <c r="G83" s="58">
        <v>282361</v>
      </c>
      <c r="H83" s="17">
        <v>49.22</v>
      </c>
      <c r="I83" s="101"/>
      <c r="J83" s="35">
        <v>32</v>
      </c>
      <c r="K83" s="36">
        <v>0</v>
      </c>
      <c r="L83" s="51">
        <v>3578114</v>
      </c>
      <c r="M83" s="52">
        <v>1073.04</v>
      </c>
      <c r="N83" s="58">
        <v>259834</v>
      </c>
      <c r="O83" s="17">
        <v>45.02</v>
      </c>
      <c r="P83" s="101"/>
      <c r="Q83" s="35">
        <f t="shared" si="14"/>
        <v>384</v>
      </c>
      <c r="R83" s="36">
        <f t="shared" si="14"/>
        <v>0.02</v>
      </c>
      <c r="S83" s="51">
        <f t="shared" si="14"/>
        <v>187609</v>
      </c>
      <c r="T83" s="52">
        <f t="shared" si="14"/>
        <v>42.620000000000118</v>
      </c>
      <c r="U83" s="58">
        <f t="shared" si="14"/>
        <v>22527</v>
      </c>
      <c r="V83" s="17">
        <f t="shared" si="14"/>
        <v>4.1999999999999957</v>
      </c>
      <c r="W83" s="101"/>
      <c r="X83" s="555">
        <f t="shared" si="15"/>
        <v>4048500</v>
      </c>
      <c r="Y83" s="632">
        <f t="shared" si="15"/>
        <v>1164.9000000000001</v>
      </c>
    </row>
    <row r="84" spans="1:25" hidden="1" outlineLevel="1">
      <c r="A84" s="114">
        <v>43177</v>
      </c>
      <c r="B84" s="115">
        <f t="shared" si="7"/>
        <v>3</v>
      </c>
      <c r="C84" s="35">
        <v>380</v>
      </c>
      <c r="D84" s="36">
        <v>0.01</v>
      </c>
      <c r="E84" s="51">
        <v>3279626</v>
      </c>
      <c r="F84" s="52">
        <v>982.26</v>
      </c>
      <c r="G84" s="58">
        <v>270075</v>
      </c>
      <c r="H84" s="17">
        <v>50.61</v>
      </c>
      <c r="I84" s="101"/>
      <c r="J84" s="35">
        <v>32</v>
      </c>
      <c r="K84" s="36">
        <v>0</v>
      </c>
      <c r="L84" s="51">
        <v>3123937</v>
      </c>
      <c r="M84" s="52">
        <v>945.55</v>
      </c>
      <c r="N84" s="58">
        <v>249681</v>
      </c>
      <c r="O84" s="17">
        <v>47.19</v>
      </c>
      <c r="P84" s="101"/>
      <c r="Q84" s="35">
        <f t="shared" si="14"/>
        <v>348</v>
      </c>
      <c r="R84" s="36">
        <f t="shared" si="14"/>
        <v>0.01</v>
      </c>
      <c r="S84" s="51">
        <f t="shared" si="14"/>
        <v>155689</v>
      </c>
      <c r="T84" s="52">
        <f t="shared" si="14"/>
        <v>36.710000000000036</v>
      </c>
      <c r="U84" s="58">
        <f t="shared" si="14"/>
        <v>20394</v>
      </c>
      <c r="V84" s="17">
        <f t="shared" si="14"/>
        <v>3.4200000000000017</v>
      </c>
      <c r="W84" s="101"/>
      <c r="X84" s="555">
        <f t="shared" si="15"/>
        <v>3550081</v>
      </c>
      <c r="Y84" s="632">
        <f t="shared" si="15"/>
        <v>1032.8799999999999</v>
      </c>
    </row>
    <row r="85" spans="1:25" hidden="1" outlineLevel="1">
      <c r="A85" s="114">
        <v>43178</v>
      </c>
      <c r="B85" s="115">
        <f t="shared" si="7"/>
        <v>3</v>
      </c>
      <c r="C85" s="35">
        <v>392</v>
      </c>
      <c r="D85" s="36">
        <v>0.01</v>
      </c>
      <c r="E85" s="51">
        <v>3332940</v>
      </c>
      <c r="F85" s="52">
        <v>1067.06</v>
      </c>
      <c r="G85" s="58">
        <v>265241</v>
      </c>
      <c r="H85" s="17">
        <v>58.28</v>
      </c>
      <c r="I85" s="101"/>
      <c r="J85" s="35">
        <v>19</v>
      </c>
      <c r="K85" s="36">
        <v>0</v>
      </c>
      <c r="L85" s="51">
        <v>3194442</v>
      </c>
      <c r="M85" s="52">
        <v>1020.44</v>
      </c>
      <c r="N85" s="58">
        <v>246772</v>
      </c>
      <c r="O85" s="17">
        <v>52.49</v>
      </c>
      <c r="P85" s="101"/>
      <c r="Q85" s="35">
        <f t="shared" si="14"/>
        <v>373</v>
      </c>
      <c r="R85" s="36">
        <f t="shared" si="14"/>
        <v>0.01</v>
      </c>
      <c r="S85" s="51">
        <f t="shared" si="14"/>
        <v>138498</v>
      </c>
      <c r="T85" s="52">
        <f t="shared" si="14"/>
        <v>46.619999999999891</v>
      </c>
      <c r="U85" s="58">
        <f t="shared" si="14"/>
        <v>18469</v>
      </c>
      <c r="V85" s="17">
        <f t="shared" si="14"/>
        <v>5.7899999999999991</v>
      </c>
      <c r="W85" s="101"/>
      <c r="X85" s="555">
        <f t="shared" si="15"/>
        <v>3598573</v>
      </c>
      <c r="Y85" s="632">
        <f t="shared" si="15"/>
        <v>1125.3499999999999</v>
      </c>
    </row>
    <row r="86" spans="1:25" hidden="1" outlineLevel="1">
      <c r="A86" s="114">
        <v>43179</v>
      </c>
      <c r="B86" s="115">
        <f t="shared" si="7"/>
        <v>3</v>
      </c>
      <c r="C86" s="35">
        <v>432</v>
      </c>
      <c r="D86" s="36">
        <v>0.01</v>
      </c>
      <c r="E86" s="51">
        <v>3254497</v>
      </c>
      <c r="F86" s="52">
        <v>1131.3</v>
      </c>
      <c r="G86" s="58">
        <v>260695</v>
      </c>
      <c r="H86" s="17">
        <v>59.22</v>
      </c>
      <c r="I86" s="101"/>
      <c r="J86" s="35">
        <v>28</v>
      </c>
      <c r="K86" s="36">
        <v>0</v>
      </c>
      <c r="L86" s="51">
        <v>3110403</v>
      </c>
      <c r="M86" s="52">
        <v>1078.2</v>
      </c>
      <c r="N86" s="58">
        <v>242267</v>
      </c>
      <c r="O86" s="17">
        <v>53.8</v>
      </c>
      <c r="P86" s="101"/>
      <c r="Q86" s="35">
        <f t="shared" si="14"/>
        <v>404</v>
      </c>
      <c r="R86" s="36">
        <f t="shared" si="14"/>
        <v>0.01</v>
      </c>
      <c r="S86" s="51">
        <f t="shared" si="14"/>
        <v>144094</v>
      </c>
      <c r="T86" s="52">
        <f t="shared" si="14"/>
        <v>53.099999999999909</v>
      </c>
      <c r="U86" s="58">
        <f t="shared" si="14"/>
        <v>18428</v>
      </c>
      <c r="V86" s="17">
        <f t="shared" si="14"/>
        <v>5.4200000000000017</v>
      </c>
      <c r="W86" s="101"/>
      <c r="X86" s="555">
        <f t="shared" si="15"/>
        <v>3515624</v>
      </c>
      <c r="Y86" s="632">
        <f t="shared" si="15"/>
        <v>1190.53</v>
      </c>
    </row>
    <row r="87" spans="1:25" hidden="1" outlineLevel="1">
      <c r="A87" s="114">
        <v>43180</v>
      </c>
      <c r="B87" s="115">
        <f t="shared" si="7"/>
        <v>3</v>
      </c>
      <c r="C87" s="35">
        <v>383</v>
      </c>
      <c r="D87" s="36">
        <v>0.01</v>
      </c>
      <c r="E87" s="51">
        <v>3290363</v>
      </c>
      <c r="F87" s="52">
        <v>1218.19</v>
      </c>
      <c r="G87" s="58">
        <v>267357</v>
      </c>
      <c r="H87" s="17">
        <v>66.62</v>
      </c>
      <c r="I87" s="101"/>
      <c r="J87" s="35">
        <v>13</v>
      </c>
      <c r="K87" s="36">
        <v>0</v>
      </c>
      <c r="L87" s="51">
        <v>3131071</v>
      </c>
      <c r="M87" s="52">
        <v>1156.82</v>
      </c>
      <c r="N87" s="58">
        <v>248932</v>
      </c>
      <c r="O87" s="17">
        <v>61.27</v>
      </c>
      <c r="P87" s="101"/>
      <c r="Q87" s="35">
        <f t="shared" si="14"/>
        <v>370</v>
      </c>
      <c r="R87" s="36">
        <f t="shared" si="14"/>
        <v>0.01</v>
      </c>
      <c r="S87" s="51">
        <f t="shared" si="14"/>
        <v>159292</v>
      </c>
      <c r="T87" s="52">
        <f t="shared" si="14"/>
        <v>61.370000000000118</v>
      </c>
      <c r="U87" s="58">
        <f t="shared" si="14"/>
        <v>18425</v>
      </c>
      <c r="V87" s="17">
        <f t="shared" si="14"/>
        <v>5.3500000000000014</v>
      </c>
      <c r="W87" s="101"/>
      <c r="X87" s="555">
        <f t="shared" si="15"/>
        <v>3558103</v>
      </c>
      <c r="Y87" s="632">
        <f t="shared" si="15"/>
        <v>1284.8200000000002</v>
      </c>
    </row>
    <row r="88" spans="1:25" hidden="1" outlineLevel="1">
      <c r="A88" s="114">
        <v>43181</v>
      </c>
      <c r="B88" s="115">
        <f t="shared" si="7"/>
        <v>3</v>
      </c>
      <c r="C88" s="35">
        <v>359</v>
      </c>
      <c r="D88" s="36">
        <v>0.01</v>
      </c>
      <c r="E88" s="51">
        <v>3492049</v>
      </c>
      <c r="F88" s="52">
        <v>1351.25</v>
      </c>
      <c r="G88" s="58">
        <v>255777</v>
      </c>
      <c r="H88" s="17">
        <v>66.56</v>
      </c>
      <c r="I88" s="101"/>
      <c r="J88" s="35">
        <v>13</v>
      </c>
      <c r="K88" s="36">
        <v>0</v>
      </c>
      <c r="L88" s="51">
        <v>3344215</v>
      </c>
      <c r="M88" s="52">
        <v>1297.76</v>
      </c>
      <c r="N88" s="58">
        <v>237423</v>
      </c>
      <c r="O88" s="17">
        <v>60.96</v>
      </c>
      <c r="P88" s="101"/>
      <c r="Q88" s="35">
        <f t="shared" si="14"/>
        <v>346</v>
      </c>
      <c r="R88" s="36">
        <f t="shared" si="14"/>
        <v>0.01</v>
      </c>
      <c r="S88" s="51">
        <f t="shared" si="14"/>
        <v>147834</v>
      </c>
      <c r="T88" s="52">
        <f t="shared" si="14"/>
        <v>53.490000000000009</v>
      </c>
      <c r="U88" s="58">
        <f t="shared" si="14"/>
        <v>18354</v>
      </c>
      <c r="V88" s="17">
        <f t="shared" si="14"/>
        <v>5.6000000000000014</v>
      </c>
      <c r="W88" s="101"/>
      <c r="X88" s="555">
        <f t="shared" si="15"/>
        <v>3748185</v>
      </c>
      <c r="Y88" s="632">
        <f t="shared" si="15"/>
        <v>1417.82</v>
      </c>
    </row>
    <row r="89" spans="1:25" hidden="1" outlineLevel="1">
      <c r="A89" s="114">
        <v>43182</v>
      </c>
      <c r="B89" s="115">
        <f t="shared" si="7"/>
        <v>3</v>
      </c>
      <c r="C89" s="35">
        <v>335</v>
      </c>
      <c r="D89" s="36">
        <v>0.01</v>
      </c>
      <c r="E89" s="51">
        <v>4290528</v>
      </c>
      <c r="F89" s="52">
        <v>1832.2</v>
      </c>
      <c r="G89" s="58">
        <v>269382</v>
      </c>
      <c r="H89" s="17">
        <v>73.55</v>
      </c>
      <c r="I89" s="101"/>
      <c r="J89" s="35">
        <v>13</v>
      </c>
      <c r="K89" s="36">
        <v>0</v>
      </c>
      <c r="L89" s="51">
        <v>4103788</v>
      </c>
      <c r="M89" s="52">
        <v>1773.49</v>
      </c>
      <c r="N89" s="58">
        <v>248264</v>
      </c>
      <c r="O89" s="17">
        <v>68.39</v>
      </c>
      <c r="P89" s="101"/>
      <c r="Q89" s="35">
        <f t="shared" si="14"/>
        <v>322</v>
      </c>
      <c r="R89" s="36">
        <f t="shared" si="14"/>
        <v>0.01</v>
      </c>
      <c r="S89" s="51">
        <f t="shared" si="14"/>
        <v>186740</v>
      </c>
      <c r="T89" s="52">
        <f t="shared" si="14"/>
        <v>58.710000000000036</v>
      </c>
      <c r="U89" s="58">
        <f t="shared" si="14"/>
        <v>21118</v>
      </c>
      <c r="V89" s="17">
        <f t="shared" si="14"/>
        <v>5.1599999999999966</v>
      </c>
      <c r="W89" s="101"/>
      <c r="X89" s="555">
        <f t="shared" si="15"/>
        <v>4560245</v>
      </c>
      <c r="Y89" s="632">
        <f t="shared" si="15"/>
        <v>1905.76</v>
      </c>
    </row>
    <row r="90" spans="1:25" hidden="1" outlineLevel="1">
      <c r="A90" s="114">
        <v>43183</v>
      </c>
      <c r="B90" s="115">
        <f t="shared" si="7"/>
        <v>3</v>
      </c>
      <c r="C90" s="35">
        <v>401</v>
      </c>
      <c r="D90" s="36">
        <v>0.01</v>
      </c>
      <c r="E90" s="51">
        <v>4575769</v>
      </c>
      <c r="F90" s="52">
        <v>1788.5</v>
      </c>
      <c r="G90" s="58">
        <v>337061</v>
      </c>
      <c r="H90" s="17">
        <v>74.94</v>
      </c>
      <c r="I90" s="101"/>
      <c r="J90" s="35">
        <v>13</v>
      </c>
      <c r="K90" s="36">
        <v>0</v>
      </c>
      <c r="L90" s="51">
        <v>4378961</v>
      </c>
      <c r="M90" s="52">
        <v>1732.15</v>
      </c>
      <c r="N90" s="58">
        <v>313005</v>
      </c>
      <c r="O90" s="17">
        <v>71.08</v>
      </c>
      <c r="P90" s="101"/>
      <c r="Q90" s="35">
        <f t="shared" si="14"/>
        <v>388</v>
      </c>
      <c r="R90" s="36">
        <f t="shared" si="14"/>
        <v>0.01</v>
      </c>
      <c r="S90" s="51">
        <f t="shared" si="14"/>
        <v>196808</v>
      </c>
      <c r="T90" s="52">
        <f t="shared" si="14"/>
        <v>56.349999999999909</v>
      </c>
      <c r="U90" s="58">
        <f t="shared" si="14"/>
        <v>24056</v>
      </c>
      <c r="V90" s="17">
        <f t="shared" si="14"/>
        <v>3.8599999999999994</v>
      </c>
      <c r="W90" s="101"/>
      <c r="X90" s="555">
        <f t="shared" si="15"/>
        <v>4913231</v>
      </c>
      <c r="Y90" s="632">
        <f t="shared" si="15"/>
        <v>1863.45</v>
      </c>
    </row>
    <row r="91" spans="1:25" hidden="1" outlineLevel="1">
      <c r="A91" s="114">
        <v>43184</v>
      </c>
      <c r="B91" s="115">
        <f t="shared" si="7"/>
        <v>3</v>
      </c>
      <c r="C91" s="35">
        <v>392</v>
      </c>
      <c r="D91" s="36">
        <v>0.01</v>
      </c>
      <c r="E91" s="51">
        <v>4406116</v>
      </c>
      <c r="F91" s="52">
        <v>1801.8</v>
      </c>
      <c r="G91" s="58">
        <v>382702</v>
      </c>
      <c r="H91" s="17">
        <v>105.07</v>
      </c>
      <c r="I91" s="101"/>
      <c r="J91" s="35">
        <v>19</v>
      </c>
      <c r="K91" s="36">
        <v>0</v>
      </c>
      <c r="L91" s="51">
        <v>4236236</v>
      </c>
      <c r="M91" s="52">
        <v>1747.38</v>
      </c>
      <c r="N91" s="58">
        <v>358724</v>
      </c>
      <c r="O91" s="17">
        <v>100.64</v>
      </c>
      <c r="P91" s="101"/>
      <c r="Q91" s="35">
        <f t="shared" si="14"/>
        <v>373</v>
      </c>
      <c r="R91" s="36">
        <f t="shared" si="14"/>
        <v>0.01</v>
      </c>
      <c r="S91" s="51">
        <f t="shared" si="14"/>
        <v>169880</v>
      </c>
      <c r="T91" s="52">
        <f t="shared" si="14"/>
        <v>54.419999999999845</v>
      </c>
      <c r="U91" s="58">
        <f t="shared" si="14"/>
        <v>23978</v>
      </c>
      <c r="V91" s="17">
        <f t="shared" si="14"/>
        <v>4.4299999999999926</v>
      </c>
      <c r="W91" s="101"/>
      <c r="X91" s="555">
        <f t="shared" si="15"/>
        <v>4789210</v>
      </c>
      <c r="Y91" s="632">
        <f t="shared" si="15"/>
        <v>1906.8799999999999</v>
      </c>
    </row>
    <row r="92" spans="1:25" hidden="1" outlineLevel="1">
      <c r="A92" s="114">
        <v>43185</v>
      </c>
      <c r="B92" s="115">
        <f t="shared" si="7"/>
        <v>3</v>
      </c>
      <c r="C92" s="35">
        <v>353</v>
      </c>
      <c r="D92" s="36">
        <v>0.01</v>
      </c>
      <c r="E92" s="51">
        <v>3992388</v>
      </c>
      <c r="F92" s="52">
        <v>1781.24</v>
      </c>
      <c r="G92" s="58">
        <v>353642</v>
      </c>
      <c r="H92" s="17">
        <v>100.03</v>
      </c>
      <c r="I92" s="101"/>
      <c r="J92" s="35">
        <v>10</v>
      </c>
      <c r="K92" s="36">
        <v>0</v>
      </c>
      <c r="L92" s="51">
        <v>3838680</v>
      </c>
      <c r="M92" s="52">
        <v>1726.89</v>
      </c>
      <c r="N92" s="58">
        <v>329254</v>
      </c>
      <c r="O92" s="17">
        <v>95.57</v>
      </c>
      <c r="P92" s="101"/>
      <c r="Q92" s="35">
        <f t="shared" si="14"/>
        <v>343</v>
      </c>
      <c r="R92" s="36">
        <f t="shared" si="14"/>
        <v>0.01</v>
      </c>
      <c r="S92" s="51">
        <f t="shared" si="14"/>
        <v>153708</v>
      </c>
      <c r="T92" s="52">
        <f t="shared" si="14"/>
        <v>54.349999999999909</v>
      </c>
      <c r="U92" s="58">
        <f t="shared" si="14"/>
        <v>24388</v>
      </c>
      <c r="V92" s="17">
        <f t="shared" si="14"/>
        <v>4.460000000000008</v>
      </c>
      <c r="W92" s="101"/>
      <c r="X92" s="555">
        <f t="shared" si="15"/>
        <v>4346383</v>
      </c>
      <c r="Y92" s="632">
        <f t="shared" si="15"/>
        <v>1881.28</v>
      </c>
    </row>
    <row r="93" spans="1:25" hidden="1" outlineLevel="1">
      <c r="A93" s="114">
        <v>43186</v>
      </c>
      <c r="B93" s="115">
        <f t="shared" ref="B93:B158" si="16">MONTH(A93)</f>
        <v>3</v>
      </c>
      <c r="C93" s="35">
        <v>375</v>
      </c>
      <c r="D93" s="36">
        <v>0.01</v>
      </c>
      <c r="E93" s="51">
        <v>3501320</v>
      </c>
      <c r="F93" s="52">
        <v>1437.86</v>
      </c>
      <c r="G93" s="58">
        <v>372601</v>
      </c>
      <c r="H93" s="17">
        <v>103.91</v>
      </c>
      <c r="I93" s="101"/>
      <c r="J93" s="35">
        <v>15</v>
      </c>
      <c r="K93" s="36">
        <v>0</v>
      </c>
      <c r="L93" s="51">
        <v>3370253</v>
      </c>
      <c r="M93" s="52">
        <v>1386.45</v>
      </c>
      <c r="N93" s="58">
        <v>346429</v>
      </c>
      <c r="O93" s="17">
        <v>98.6</v>
      </c>
      <c r="P93" s="101"/>
      <c r="Q93" s="35">
        <f t="shared" si="14"/>
        <v>360</v>
      </c>
      <c r="R93" s="36">
        <f t="shared" si="14"/>
        <v>0.01</v>
      </c>
      <c r="S93" s="51">
        <f t="shared" si="14"/>
        <v>131067</v>
      </c>
      <c r="T93" s="52">
        <f t="shared" si="14"/>
        <v>51.409999999999854</v>
      </c>
      <c r="U93" s="58">
        <f t="shared" si="14"/>
        <v>26172</v>
      </c>
      <c r="V93" s="17">
        <f t="shared" si="14"/>
        <v>5.3100000000000023</v>
      </c>
      <c r="W93" s="101"/>
      <c r="X93" s="555">
        <f t="shared" si="15"/>
        <v>3874296</v>
      </c>
      <c r="Y93" s="632">
        <f t="shared" si="15"/>
        <v>1541.78</v>
      </c>
    </row>
    <row r="94" spans="1:25" hidden="1" outlineLevel="1">
      <c r="A94" s="114">
        <v>43187</v>
      </c>
      <c r="B94" s="115">
        <f t="shared" si="16"/>
        <v>3</v>
      </c>
      <c r="C94" s="35">
        <v>395</v>
      </c>
      <c r="D94" s="36">
        <v>0.01</v>
      </c>
      <c r="E94" s="51">
        <v>3355471</v>
      </c>
      <c r="F94" s="52">
        <v>1506.48</v>
      </c>
      <c r="G94" s="58">
        <v>348548</v>
      </c>
      <c r="H94" s="17">
        <v>105.85</v>
      </c>
      <c r="I94" s="101"/>
      <c r="J94" s="35">
        <v>9</v>
      </c>
      <c r="K94" s="36">
        <v>0</v>
      </c>
      <c r="L94" s="51">
        <v>3237373</v>
      </c>
      <c r="M94" s="52">
        <v>1453.78</v>
      </c>
      <c r="N94" s="58">
        <v>322625</v>
      </c>
      <c r="O94" s="17">
        <v>101.04</v>
      </c>
      <c r="P94" s="101"/>
      <c r="Q94" s="35">
        <f t="shared" si="14"/>
        <v>386</v>
      </c>
      <c r="R94" s="36">
        <f t="shared" si="14"/>
        <v>0.01</v>
      </c>
      <c r="S94" s="51">
        <f t="shared" si="14"/>
        <v>118098</v>
      </c>
      <c r="T94" s="52">
        <f t="shared" si="14"/>
        <v>52.700000000000045</v>
      </c>
      <c r="U94" s="58">
        <f t="shared" si="14"/>
        <v>25923</v>
      </c>
      <c r="V94" s="17">
        <f t="shared" si="14"/>
        <v>4.8099999999999881</v>
      </c>
      <c r="W94" s="101"/>
      <c r="X94" s="555">
        <f t="shared" si="15"/>
        <v>3704414</v>
      </c>
      <c r="Y94" s="632">
        <f t="shared" si="15"/>
        <v>1612.34</v>
      </c>
    </row>
    <row r="95" spans="1:25" hidden="1" outlineLevel="1">
      <c r="A95" s="114">
        <v>43188</v>
      </c>
      <c r="B95" s="115">
        <f t="shared" si="16"/>
        <v>3</v>
      </c>
      <c r="C95" s="35">
        <v>438</v>
      </c>
      <c r="D95" s="36">
        <v>0.03</v>
      </c>
      <c r="E95" s="51">
        <v>4075851</v>
      </c>
      <c r="F95" s="52">
        <v>1752.64</v>
      </c>
      <c r="G95" s="58">
        <v>354851</v>
      </c>
      <c r="H95" s="17">
        <v>114.67</v>
      </c>
      <c r="I95" s="101"/>
      <c r="J95" s="35">
        <v>9</v>
      </c>
      <c r="K95" s="36">
        <v>0</v>
      </c>
      <c r="L95" s="51">
        <v>3941299</v>
      </c>
      <c r="M95" s="52">
        <v>1712.23</v>
      </c>
      <c r="N95" s="58">
        <v>325687</v>
      </c>
      <c r="O95" s="17">
        <v>109.86</v>
      </c>
      <c r="P95" s="101"/>
      <c r="Q95" s="35">
        <f t="shared" si="14"/>
        <v>429</v>
      </c>
      <c r="R95" s="36">
        <f t="shared" si="14"/>
        <v>0.03</v>
      </c>
      <c r="S95" s="51">
        <f t="shared" si="14"/>
        <v>134552</v>
      </c>
      <c r="T95" s="52">
        <f t="shared" si="14"/>
        <v>40.410000000000082</v>
      </c>
      <c r="U95" s="58">
        <f t="shared" si="14"/>
        <v>29164</v>
      </c>
      <c r="V95" s="17">
        <f t="shared" si="14"/>
        <v>4.8100000000000023</v>
      </c>
      <c r="W95" s="101"/>
      <c r="X95" s="555">
        <f t="shared" si="15"/>
        <v>4431140</v>
      </c>
      <c r="Y95" s="632">
        <f t="shared" si="15"/>
        <v>1867.3400000000001</v>
      </c>
    </row>
    <row r="96" spans="1:25" hidden="1" outlineLevel="1">
      <c r="A96" s="114">
        <v>43189</v>
      </c>
      <c r="B96" s="115">
        <f t="shared" si="16"/>
        <v>3</v>
      </c>
      <c r="C96" s="35">
        <v>367</v>
      </c>
      <c r="D96" s="36">
        <v>0.01</v>
      </c>
      <c r="E96" s="51">
        <v>3838852</v>
      </c>
      <c r="F96" s="52">
        <v>1517.75</v>
      </c>
      <c r="G96" s="58">
        <v>411883</v>
      </c>
      <c r="H96" s="17">
        <v>120.19</v>
      </c>
      <c r="I96" s="101"/>
      <c r="J96" s="35">
        <v>8</v>
      </c>
      <c r="K96" s="36">
        <v>0</v>
      </c>
      <c r="L96" s="51">
        <v>3693388</v>
      </c>
      <c r="M96" s="52">
        <v>1478.1</v>
      </c>
      <c r="N96" s="58">
        <v>371959</v>
      </c>
      <c r="O96" s="17">
        <v>114.94</v>
      </c>
      <c r="P96" s="101"/>
      <c r="Q96" s="35">
        <f t="shared" si="14"/>
        <v>359</v>
      </c>
      <c r="R96" s="36">
        <f t="shared" si="14"/>
        <v>0.01</v>
      </c>
      <c r="S96" s="51">
        <f t="shared" si="14"/>
        <v>145464</v>
      </c>
      <c r="T96" s="52">
        <f t="shared" si="14"/>
        <v>39.650000000000091</v>
      </c>
      <c r="U96" s="58">
        <f t="shared" si="14"/>
        <v>39924</v>
      </c>
      <c r="V96" s="17">
        <f t="shared" si="14"/>
        <v>5.25</v>
      </c>
      <c r="W96" s="101"/>
      <c r="X96" s="555">
        <f t="shared" si="15"/>
        <v>4251102</v>
      </c>
      <c r="Y96" s="632">
        <f t="shared" si="15"/>
        <v>1637.95</v>
      </c>
    </row>
    <row r="97" spans="1:25" hidden="1" outlineLevel="1">
      <c r="A97" s="114">
        <v>43190</v>
      </c>
      <c r="B97" s="115">
        <f t="shared" si="16"/>
        <v>3</v>
      </c>
      <c r="C97" s="35">
        <v>368</v>
      </c>
      <c r="D97" s="36">
        <v>0.01</v>
      </c>
      <c r="E97" s="51">
        <v>3491292</v>
      </c>
      <c r="F97" s="52">
        <v>970.32</v>
      </c>
      <c r="G97" s="58">
        <v>462519</v>
      </c>
      <c r="H97" s="17">
        <v>104.74</v>
      </c>
      <c r="I97" s="101"/>
      <c r="J97" s="35">
        <v>19</v>
      </c>
      <c r="K97" s="36">
        <v>0</v>
      </c>
      <c r="L97" s="51">
        <v>3367011</v>
      </c>
      <c r="M97" s="52">
        <v>943.54</v>
      </c>
      <c r="N97" s="58">
        <v>420173</v>
      </c>
      <c r="O97" s="17">
        <v>98.49</v>
      </c>
      <c r="P97" s="101"/>
      <c r="Q97" s="35">
        <f t="shared" si="14"/>
        <v>349</v>
      </c>
      <c r="R97" s="36">
        <f t="shared" si="14"/>
        <v>0.01</v>
      </c>
      <c r="S97" s="51">
        <f t="shared" si="14"/>
        <v>124281</v>
      </c>
      <c r="T97" s="52">
        <f t="shared" si="14"/>
        <v>26.780000000000086</v>
      </c>
      <c r="U97" s="58">
        <f t="shared" si="14"/>
        <v>42346</v>
      </c>
      <c r="V97" s="17">
        <f t="shared" si="14"/>
        <v>6.25</v>
      </c>
      <c r="W97" s="101"/>
      <c r="X97" s="555">
        <f t="shared" si="15"/>
        <v>3954179</v>
      </c>
      <c r="Y97" s="632">
        <f t="shared" si="15"/>
        <v>1075.07</v>
      </c>
    </row>
    <row r="98" spans="1:25" collapsed="1">
      <c r="A98" s="104"/>
      <c r="B98" s="104" t="s">
        <v>17</v>
      </c>
      <c r="C98" s="105">
        <f>SUBTOTAL(9,C99:C128)</f>
        <v>9414</v>
      </c>
      <c r="D98" s="106">
        <f t="shared" ref="D98:V98" si="17">SUBTOTAL(9,D99:D128)</f>
        <v>0.22000000000000006</v>
      </c>
      <c r="E98" s="109">
        <f t="shared" si="17"/>
        <v>111270105</v>
      </c>
      <c r="F98" s="110">
        <f t="shared" si="17"/>
        <v>33316.100000000006</v>
      </c>
      <c r="G98" s="111">
        <f t="shared" si="17"/>
        <v>12987814</v>
      </c>
      <c r="H98" s="14">
        <f t="shared" si="17"/>
        <v>2969.36</v>
      </c>
      <c r="I98" s="103"/>
      <c r="J98" s="105">
        <f t="shared" si="17"/>
        <v>328</v>
      </c>
      <c r="K98" s="106">
        <f t="shared" si="17"/>
        <v>0</v>
      </c>
      <c r="L98" s="109">
        <f t="shared" si="17"/>
        <v>106964570</v>
      </c>
      <c r="M98" s="110">
        <f t="shared" si="17"/>
        <v>32350.280000000002</v>
      </c>
      <c r="N98" s="111">
        <f t="shared" si="17"/>
        <v>11952318</v>
      </c>
      <c r="O98" s="14">
        <f t="shared" si="17"/>
        <v>2815.69</v>
      </c>
      <c r="P98" s="103"/>
      <c r="Q98" s="105">
        <f t="shared" si="17"/>
        <v>9086</v>
      </c>
      <c r="R98" s="106">
        <f t="shared" si="17"/>
        <v>0.22000000000000006</v>
      </c>
      <c r="S98" s="109">
        <f t="shared" si="17"/>
        <v>4305535</v>
      </c>
      <c r="T98" s="110">
        <f t="shared" si="17"/>
        <v>965.81999999999948</v>
      </c>
      <c r="U98" s="111">
        <f t="shared" si="17"/>
        <v>1035496</v>
      </c>
      <c r="V98" s="14">
        <f t="shared" si="17"/>
        <v>153.67000000000007</v>
      </c>
      <c r="W98" s="103"/>
      <c r="X98" s="116"/>
      <c r="Y98" s="116"/>
    </row>
    <row r="99" spans="1:25" hidden="1" outlineLevel="1">
      <c r="A99" s="97">
        <v>43191</v>
      </c>
      <c r="B99" s="98">
        <f t="shared" si="16"/>
        <v>4</v>
      </c>
      <c r="C99" s="35">
        <v>317</v>
      </c>
      <c r="D99" s="36">
        <v>0</v>
      </c>
      <c r="E99" s="51">
        <v>3297506</v>
      </c>
      <c r="F99" s="52">
        <v>840.03</v>
      </c>
      <c r="G99" s="58">
        <v>454246</v>
      </c>
      <c r="H99" s="17">
        <v>92.48</v>
      </c>
      <c r="I99" s="101"/>
      <c r="J99" s="35">
        <v>17</v>
      </c>
      <c r="K99" s="36">
        <v>0</v>
      </c>
      <c r="L99" s="51">
        <v>3196244</v>
      </c>
      <c r="M99" s="52">
        <v>818.49</v>
      </c>
      <c r="N99" s="58">
        <v>418140</v>
      </c>
      <c r="O99" s="17">
        <v>87.48</v>
      </c>
      <c r="P99" s="101"/>
      <c r="Q99" s="35">
        <f t="shared" ref="Q99:V128" si="18">C99-J99</f>
        <v>300</v>
      </c>
      <c r="R99" s="36">
        <f t="shared" si="18"/>
        <v>0</v>
      </c>
      <c r="S99" s="51">
        <f t="shared" si="18"/>
        <v>101262</v>
      </c>
      <c r="T99" s="52">
        <f t="shared" si="18"/>
        <v>21.539999999999964</v>
      </c>
      <c r="U99" s="58">
        <f t="shared" si="18"/>
        <v>36106</v>
      </c>
      <c r="V99" s="17">
        <f t="shared" si="18"/>
        <v>5</v>
      </c>
      <c r="W99" s="101"/>
      <c r="X99" s="555">
        <f t="shared" ref="X99:Y128" si="19">SUM(C99,E99,G99)</f>
        <v>3752069</v>
      </c>
      <c r="Y99" s="632">
        <f t="shared" si="19"/>
        <v>932.51</v>
      </c>
    </row>
    <row r="100" spans="1:25" hidden="1" outlineLevel="1">
      <c r="A100" s="97">
        <v>43192</v>
      </c>
      <c r="B100" s="98">
        <f t="shared" si="16"/>
        <v>4</v>
      </c>
      <c r="C100" s="35">
        <v>374</v>
      </c>
      <c r="D100" s="36">
        <v>0.01</v>
      </c>
      <c r="E100" s="51">
        <v>3175478</v>
      </c>
      <c r="F100" s="52">
        <v>948.01</v>
      </c>
      <c r="G100" s="58">
        <v>431717</v>
      </c>
      <c r="H100" s="17">
        <v>106.51</v>
      </c>
      <c r="I100" s="101"/>
      <c r="J100" s="35">
        <v>12</v>
      </c>
      <c r="K100" s="36">
        <v>0</v>
      </c>
      <c r="L100" s="51">
        <v>3072709</v>
      </c>
      <c r="M100" s="52">
        <v>923</v>
      </c>
      <c r="N100" s="58">
        <v>400419</v>
      </c>
      <c r="O100" s="17">
        <v>102.03</v>
      </c>
      <c r="P100" s="101"/>
      <c r="Q100" s="35">
        <f t="shared" si="18"/>
        <v>362</v>
      </c>
      <c r="R100" s="36">
        <f t="shared" si="18"/>
        <v>0.01</v>
      </c>
      <c r="S100" s="51">
        <f t="shared" si="18"/>
        <v>102769</v>
      </c>
      <c r="T100" s="52">
        <f t="shared" si="18"/>
        <v>25.009999999999991</v>
      </c>
      <c r="U100" s="58">
        <f t="shared" si="18"/>
        <v>31298</v>
      </c>
      <c r="V100" s="17">
        <f t="shared" si="18"/>
        <v>4.480000000000004</v>
      </c>
      <c r="W100" s="101"/>
      <c r="X100" s="555">
        <f t="shared" si="19"/>
        <v>3607569</v>
      </c>
      <c r="Y100" s="632">
        <f t="shared" si="19"/>
        <v>1054.53</v>
      </c>
    </row>
    <row r="101" spans="1:25" hidden="1" outlineLevel="1">
      <c r="A101" s="97">
        <v>43193</v>
      </c>
      <c r="B101" s="98">
        <f t="shared" si="16"/>
        <v>4</v>
      </c>
      <c r="C101" s="35">
        <v>330</v>
      </c>
      <c r="D101" s="36">
        <v>0.01</v>
      </c>
      <c r="E101" s="51">
        <v>3110672</v>
      </c>
      <c r="F101" s="52">
        <v>955.79</v>
      </c>
      <c r="G101" s="58">
        <v>398422</v>
      </c>
      <c r="H101" s="17">
        <v>106.29</v>
      </c>
      <c r="I101" s="101"/>
      <c r="J101" s="35">
        <v>11</v>
      </c>
      <c r="K101" s="36">
        <v>0</v>
      </c>
      <c r="L101" s="51">
        <v>3008888</v>
      </c>
      <c r="M101" s="52">
        <v>930.29</v>
      </c>
      <c r="N101" s="58">
        <v>369723</v>
      </c>
      <c r="O101" s="17">
        <v>102.26</v>
      </c>
      <c r="P101" s="101"/>
      <c r="Q101" s="35">
        <f t="shared" si="18"/>
        <v>319</v>
      </c>
      <c r="R101" s="36">
        <f t="shared" si="18"/>
        <v>0.01</v>
      </c>
      <c r="S101" s="51">
        <f t="shared" si="18"/>
        <v>101784</v>
      </c>
      <c r="T101" s="52">
        <f t="shared" si="18"/>
        <v>25.5</v>
      </c>
      <c r="U101" s="58">
        <f t="shared" si="18"/>
        <v>28699</v>
      </c>
      <c r="V101" s="17">
        <f t="shared" si="18"/>
        <v>4.0300000000000011</v>
      </c>
      <c r="W101" s="101"/>
      <c r="X101" s="555">
        <f t="shared" si="19"/>
        <v>3509424</v>
      </c>
      <c r="Y101" s="632">
        <f t="shared" si="19"/>
        <v>1062.0899999999999</v>
      </c>
    </row>
    <row r="102" spans="1:25" hidden="1" outlineLevel="1">
      <c r="A102" s="97">
        <v>43194</v>
      </c>
      <c r="B102" s="98">
        <f t="shared" si="16"/>
        <v>4</v>
      </c>
      <c r="C102" s="35">
        <v>356</v>
      </c>
      <c r="D102" s="36">
        <v>0.01</v>
      </c>
      <c r="E102" s="51">
        <v>2898629</v>
      </c>
      <c r="F102" s="52">
        <v>927.42</v>
      </c>
      <c r="G102" s="58">
        <v>393925</v>
      </c>
      <c r="H102" s="17">
        <v>108.19</v>
      </c>
      <c r="I102" s="101"/>
      <c r="J102" s="35">
        <v>14</v>
      </c>
      <c r="K102" s="36">
        <v>0</v>
      </c>
      <c r="L102" s="51">
        <v>2789433</v>
      </c>
      <c r="M102" s="52">
        <v>901.85</v>
      </c>
      <c r="N102" s="58">
        <v>364748</v>
      </c>
      <c r="O102" s="17">
        <v>104.05</v>
      </c>
      <c r="P102" s="101"/>
      <c r="Q102" s="35">
        <f t="shared" si="18"/>
        <v>342</v>
      </c>
      <c r="R102" s="36">
        <f t="shared" si="18"/>
        <v>0.01</v>
      </c>
      <c r="S102" s="51">
        <f t="shared" si="18"/>
        <v>109196</v>
      </c>
      <c r="T102" s="52">
        <f t="shared" si="18"/>
        <v>25.569999999999936</v>
      </c>
      <c r="U102" s="58">
        <f t="shared" si="18"/>
        <v>29177</v>
      </c>
      <c r="V102" s="17">
        <f t="shared" si="18"/>
        <v>4.1400000000000006</v>
      </c>
      <c r="W102" s="101"/>
      <c r="X102" s="555">
        <f t="shared" si="19"/>
        <v>3292910</v>
      </c>
      <c r="Y102" s="632">
        <f t="shared" si="19"/>
        <v>1035.6199999999999</v>
      </c>
    </row>
    <row r="103" spans="1:25" hidden="1" outlineLevel="1">
      <c r="A103" s="97">
        <v>43195</v>
      </c>
      <c r="B103" s="98">
        <f t="shared" si="16"/>
        <v>4</v>
      </c>
      <c r="C103" s="35">
        <v>365</v>
      </c>
      <c r="D103" s="36">
        <v>0</v>
      </c>
      <c r="E103" s="51">
        <v>3079222</v>
      </c>
      <c r="F103" s="52">
        <v>960.88</v>
      </c>
      <c r="G103" s="58">
        <v>399360</v>
      </c>
      <c r="H103" s="17">
        <v>109.9</v>
      </c>
      <c r="I103" s="101"/>
      <c r="J103" s="35">
        <v>12</v>
      </c>
      <c r="K103" s="36">
        <v>0</v>
      </c>
      <c r="L103" s="51">
        <v>2977380</v>
      </c>
      <c r="M103" s="52">
        <v>936</v>
      </c>
      <c r="N103" s="58">
        <v>370137</v>
      </c>
      <c r="O103" s="17">
        <v>103.42</v>
      </c>
      <c r="P103" s="101"/>
      <c r="Q103" s="35">
        <f t="shared" si="18"/>
        <v>353</v>
      </c>
      <c r="R103" s="36">
        <f t="shared" si="18"/>
        <v>0</v>
      </c>
      <c r="S103" s="51">
        <f t="shared" si="18"/>
        <v>101842</v>
      </c>
      <c r="T103" s="52">
        <f t="shared" si="18"/>
        <v>24.879999999999995</v>
      </c>
      <c r="U103" s="58">
        <f t="shared" si="18"/>
        <v>29223</v>
      </c>
      <c r="V103" s="17">
        <f t="shared" si="18"/>
        <v>6.480000000000004</v>
      </c>
      <c r="W103" s="101"/>
      <c r="X103" s="555">
        <f t="shared" si="19"/>
        <v>3478947</v>
      </c>
      <c r="Y103" s="632">
        <f t="shared" si="19"/>
        <v>1070.78</v>
      </c>
    </row>
    <row r="104" spans="1:25" hidden="1" outlineLevel="1">
      <c r="A104" s="97">
        <v>43196</v>
      </c>
      <c r="B104" s="98">
        <f t="shared" si="16"/>
        <v>4</v>
      </c>
      <c r="C104" s="35">
        <v>390</v>
      </c>
      <c r="D104" s="36">
        <v>0.01</v>
      </c>
      <c r="E104" s="51">
        <v>3326203</v>
      </c>
      <c r="F104" s="52">
        <v>1008.68</v>
      </c>
      <c r="G104" s="58">
        <v>377591</v>
      </c>
      <c r="H104" s="17">
        <v>93.46</v>
      </c>
      <c r="I104" s="101"/>
      <c r="J104" s="35">
        <v>10</v>
      </c>
      <c r="K104" s="36">
        <v>0</v>
      </c>
      <c r="L104" s="51">
        <v>3190102</v>
      </c>
      <c r="M104" s="52">
        <v>979.53</v>
      </c>
      <c r="N104" s="58">
        <v>346347</v>
      </c>
      <c r="O104" s="17">
        <v>89.86</v>
      </c>
      <c r="P104" s="101"/>
      <c r="Q104" s="35">
        <f t="shared" si="18"/>
        <v>380</v>
      </c>
      <c r="R104" s="36">
        <f t="shared" si="18"/>
        <v>0.01</v>
      </c>
      <c r="S104" s="51">
        <f t="shared" si="18"/>
        <v>136101</v>
      </c>
      <c r="T104" s="52">
        <f t="shared" si="18"/>
        <v>29.149999999999977</v>
      </c>
      <c r="U104" s="58">
        <f t="shared" si="18"/>
        <v>31244</v>
      </c>
      <c r="V104" s="17">
        <f t="shared" si="18"/>
        <v>3.5999999999999943</v>
      </c>
      <c r="W104" s="101"/>
      <c r="X104" s="555">
        <f t="shared" si="19"/>
        <v>3704184</v>
      </c>
      <c r="Y104" s="632">
        <f t="shared" si="19"/>
        <v>1102.1499999999999</v>
      </c>
    </row>
    <row r="105" spans="1:25" hidden="1" outlineLevel="1">
      <c r="A105" s="97">
        <v>43197</v>
      </c>
      <c r="B105" s="98">
        <f t="shared" si="16"/>
        <v>4</v>
      </c>
      <c r="C105" s="35">
        <v>349</v>
      </c>
      <c r="D105" s="36">
        <v>0.01</v>
      </c>
      <c r="E105" s="51">
        <v>3671724</v>
      </c>
      <c r="F105" s="52">
        <v>1112.31</v>
      </c>
      <c r="G105" s="58">
        <v>351825</v>
      </c>
      <c r="H105" s="17">
        <v>84.76</v>
      </c>
      <c r="I105" s="101"/>
      <c r="J105" s="35">
        <v>5</v>
      </c>
      <c r="K105" s="36">
        <v>0</v>
      </c>
      <c r="L105" s="51">
        <v>3519190</v>
      </c>
      <c r="M105" s="52">
        <v>1082.47</v>
      </c>
      <c r="N105" s="58">
        <v>321627</v>
      </c>
      <c r="O105" s="17">
        <v>81.56</v>
      </c>
      <c r="P105" s="101"/>
      <c r="Q105" s="35">
        <f t="shared" si="18"/>
        <v>344</v>
      </c>
      <c r="R105" s="36">
        <f t="shared" si="18"/>
        <v>0.01</v>
      </c>
      <c r="S105" s="51">
        <f t="shared" si="18"/>
        <v>152534</v>
      </c>
      <c r="T105" s="52">
        <f t="shared" si="18"/>
        <v>29.839999999999918</v>
      </c>
      <c r="U105" s="58">
        <f t="shared" si="18"/>
        <v>30198</v>
      </c>
      <c r="V105" s="17">
        <f t="shared" si="18"/>
        <v>3.2000000000000028</v>
      </c>
      <c r="W105" s="101"/>
      <c r="X105" s="555">
        <f t="shared" si="19"/>
        <v>4023898</v>
      </c>
      <c r="Y105" s="632">
        <f t="shared" si="19"/>
        <v>1197.08</v>
      </c>
    </row>
    <row r="106" spans="1:25" hidden="1" outlineLevel="1">
      <c r="A106" s="97">
        <v>43198</v>
      </c>
      <c r="B106" s="98">
        <f t="shared" si="16"/>
        <v>4</v>
      </c>
      <c r="C106" s="35">
        <v>287</v>
      </c>
      <c r="D106" s="36">
        <v>0.01</v>
      </c>
      <c r="E106" s="51">
        <v>3569748</v>
      </c>
      <c r="F106" s="52">
        <v>1153.6500000000001</v>
      </c>
      <c r="G106" s="58">
        <v>335617</v>
      </c>
      <c r="H106" s="17">
        <v>90.19</v>
      </c>
      <c r="I106" s="101"/>
      <c r="J106" s="35">
        <v>9</v>
      </c>
      <c r="K106" s="36">
        <v>0</v>
      </c>
      <c r="L106" s="51">
        <v>3431228</v>
      </c>
      <c r="M106" s="52">
        <v>1122.18</v>
      </c>
      <c r="N106" s="58">
        <v>310848</v>
      </c>
      <c r="O106" s="17">
        <v>86.67</v>
      </c>
      <c r="P106" s="101"/>
      <c r="Q106" s="35">
        <f t="shared" si="18"/>
        <v>278</v>
      </c>
      <c r="R106" s="36">
        <f t="shared" si="18"/>
        <v>0.01</v>
      </c>
      <c r="S106" s="51">
        <f t="shared" si="18"/>
        <v>138520</v>
      </c>
      <c r="T106" s="52">
        <f t="shared" si="18"/>
        <v>31.470000000000027</v>
      </c>
      <c r="U106" s="58">
        <f t="shared" si="18"/>
        <v>24769</v>
      </c>
      <c r="V106" s="17">
        <f t="shared" si="18"/>
        <v>3.519999999999996</v>
      </c>
      <c r="W106" s="101"/>
      <c r="X106" s="555">
        <f t="shared" si="19"/>
        <v>3905652</v>
      </c>
      <c r="Y106" s="632">
        <f t="shared" si="19"/>
        <v>1243.8500000000001</v>
      </c>
    </row>
    <row r="107" spans="1:25" hidden="1" outlineLevel="1">
      <c r="A107" s="97">
        <v>43199</v>
      </c>
      <c r="B107" s="98">
        <f t="shared" si="16"/>
        <v>4</v>
      </c>
      <c r="C107" s="35">
        <v>299</v>
      </c>
      <c r="D107" s="36">
        <v>0.01</v>
      </c>
      <c r="E107" s="51">
        <v>3665964</v>
      </c>
      <c r="F107" s="52">
        <v>1083.5999999999999</v>
      </c>
      <c r="G107" s="58">
        <v>368834</v>
      </c>
      <c r="H107" s="17">
        <v>91.41</v>
      </c>
      <c r="I107" s="101"/>
      <c r="J107" s="35">
        <v>7</v>
      </c>
      <c r="K107" s="36">
        <v>0</v>
      </c>
      <c r="L107" s="51">
        <v>3527792</v>
      </c>
      <c r="M107" s="52">
        <v>1048.45</v>
      </c>
      <c r="N107" s="58">
        <v>342551</v>
      </c>
      <c r="O107" s="17">
        <v>87.03</v>
      </c>
      <c r="P107" s="101"/>
      <c r="Q107" s="35">
        <f t="shared" si="18"/>
        <v>292</v>
      </c>
      <c r="R107" s="36">
        <f t="shared" si="18"/>
        <v>0.01</v>
      </c>
      <c r="S107" s="51">
        <f t="shared" si="18"/>
        <v>138172</v>
      </c>
      <c r="T107" s="52">
        <f t="shared" si="18"/>
        <v>35.149999999999864</v>
      </c>
      <c r="U107" s="58">
        <f t="shared" si="18"/>
        <v>26283</v>
      </c>
      <c r="V107" s="17">
        <f t="shared" si="18"/>
        <v>4.3799999999999955</v>
      </c>
      <c r="W107" s="101"/>
      <c r="X107" s="555">
        <f t="shared" si="19"/>
        <v>4035097</v>
      </c>
      <c r="Y107" s="632">
        <f t="shared" si="19"/>
        <v>1175.02</v>
      </c>
    </row>
    <row r="108" spans="1:25" hidden="1" outlineLevel="1">
      <c r="A108" s="97">
        <v>43200</v>
      </c>
      <c r="B108" s="98">
        <f t="shared" si="16"/>
        <v>4</v>
      </c>
      <c r="C108" s="35">
        <v>348</v>
      </c>
      <c r="D108" s="36">
        <v>0.01</v>
      </c>
      <c r="E108" s="51">
        <v>3592362</v>
      </c>
      <c r="F108" s="52">
        <v>1030.67</v>
      </c>
      <c r="G108" s="58">
        <v>358867</v>
      </c>
      <c r="H108" s="17">
        <v>90.81</v>
      </c>
      <c r="I108" s="101"/>
      <c r="J108" s="35">
        <v>21</v>
      </c>
      <c r="K108" s="36">
        <v>0</v>
      </c>
      <c r="L108" s="51">
        <v>3464195</v>
      </c>
      <c r="M108" s="52">
        <v>995.39</v>
      </c>
      <c r="N108" s="58">
        <v>330735</v>
      </c>
      <c r="O108" s="17">
        <v>86.67</v>
      </c>
      <c r="P108" s="101"/>
      <c r="Q108" s="35">
        <f t="shared" si="18"/>
        <v>327</v>
      </c>
      <c r="R108" s="36">
        <f t="shared" si="18"/>
        <v>0.01</v>
      </c>
      <c r="S108" s="51">
        <f t="shared" si="18"/>
        <v>128167</v>
      </c>
      <c r="T108" s="52">
        <f t="shared" si="18"/>
        <v>35.280000000000086</v>
      </c>
      <c r="U108" s="58">
        <f t="shared" si="18"/>
        <v>28132</v>
      </c>
      <c r="V108" s="17">
        <f t="shared" si="18"/>
        <v>4.1400000000000006</v>
      </c>
      <c r="W108" s="101"/>
      <c r="X108" s="555">
        <f t="shared" si="19"/>
        <v>3951577</v>
      </c>
      <c r="Y108" s="632">
        <f t="shared" si="19"/>
        <v>1121.49</v>
      </c>
    </row>
    <row r="109" spans="1:25" hidden="1" outlineLevel="1">
      <c r="A109" s="97">
        <v>43201</v>
      </c>
      <c r="B109" s="98">
        <f t="shared" si="16"/>
        <v>4</v>
      </c>
      <c r="C109" s="35">
        <v>298</v>
      </c>
      <c r="D109" s="36">
        <v>0.01</v>
      </c>
      <c r="E109" s="51">
        <v>3488577</v>
      </c>
      <c r="F109" s="52">
        <v>993.87</v>
      </c>
      <c r="G109" s="58">
        <v>337906</v>
      </c>
      <c r="H109" s="17">
        <v>81.260000000000005</v>
      </c>
      <c r="I109" s="101"/>
      <c r="J109" s="35">
        <v>9</v>
      </c>
      <c r="K109" s="36">
        <v>0</v>
      </c>
      <c r="L109" s="51">
        <v>3367805</v>
      </c>
      <c r="M109" s="52">
        <v>965.03</v>
      </c>
      <c r="N109" s="58">
        <v>310532</v>
      </c>
      <c r="O109" s="17">
        <v>77.650000000000006</v>
      </c>
      <c r="P109" s="101"/>
      <c r="Q109" s="35">
        <f t="shared" si="18"/>
        <v>289</v>
      </c>
      <c r="R109" s="36">
        <f t="shared" si="18"/>
        <v>0.01</v>
      </c>
      <c r="S109" s="51">
        <f t="shared" si="18"/>
        <v>120772</v>
      </c>
      <c r="T109" s="52">
        <f t="shared" si="18"/>
        <v>28.840000000000032</v>
      </c>
      <c r="U109" s="58">
        <f t="shared" si="18"/>
        <v>27374</v>
      </c>
      <c r="V109" s="17">
        <f t="shared" si="18"/>
        <v>3.6099999999999994</v>
      </c>
      <c r="W109" s="101"/>
      <c r="X109" s="555">
        <f t="shared" si="19"/>
        <v>3826781</v>
      </c>
      <c r="Y109" s="632">
        <f t="shared" si="19"/>
        <v>1075.1400000000001</v>
      </c>
    </row>
    <row r="110" spans="1:25" hidden="1" outlineLevel="1">
      <c r="A110" s="97">
        <v>43202</v>
      </c>
      <c r="B110" s="98">
        <f t="shared" si="16"/>
        <v>4</v>
      </c>
      <c r="C110" s="35">
        <v>269</v>
      </c>
      <c r="D110" s="36">
        <v>0.01</v>
      </c>
      <c r="E110" s="51">
        <v>3176395</v>
      </c>
      <c r="F110" s="52">
        <v>839.32</v>
      </c>
      <c r="G110" s="58">
        <v>327613</v>
      </c>
      <c r="H110" s="17">
        <v>72.430000000000007</v>
      </c>
      <c r="I110" s="101"/>
      <c r="J110" s="35">
        <v>6</v>
      </c>
      <c r="K110" s="36">
        <v>0</v>
      </c>
      <c r="L110" s="51">
        <v>3048972</v>
      </c>
      <c r="M110" s="52">
        <v>807.9</v>
      </c>
      <c r="N110" s="58">
        <v>298286</v>
      </c>
      <c r="O110" s="17">
        <v>68.2</v>
      </c>
      <c r="P110" s="101"/>
      <c r="Q110" s="35">
        <f t="shared" si="18"/>
        <v>263</v>
      </c>
      <c r="R110" s="36">
        <f t="shared" si="18"/>
        <v>0.01</v>
      </c>
      <c r="S110" s="51">
        <f t="shared" si="18"/>
        <v>127423</v>
      </c>
      <c r="T110" s="52">
        <f t="shared" si="18"/>
        <v>31.420000000000073</v>
      </c>
      <c r="U110" s="58">
        <f t="shared" si="18"/>
        <v>29327</v>
      </c>
      <c r="V110" s="17">
        <f t="shared" si="18"/>
        <v>4.230000000000004</v>
      </c>
      <c r="W110" s="101"/>
      <c r="X110" s="555">
        <f t="shared" si="19"/>
        <v>3504277</v>
      </c>
      <c r="Y110" s="632">
        <f t="shared" si="19"/>
        <v>911.76</v>
      </c>
    </row>
    <row r="111" spans="1:25" hidden="1" outlineLevel="1">
      <c r="A111" s="97">
        <v>43203</v>
      </c>
      <c r="B111" s="98">
        <f t="shared" si="16"/>
        <v>4</v>
      </c>
      <c r="C111" s="35">
        <v>346</v>
      </c>
      <c r="D111" s="36">
        <v>0.01</v>
      </c>
      <c r="E111" s="51">
        <v>3173552</v>
      </c>
      <c r="F111" s="52">
        <v>935.28</v>
      </c>
      <c r="G111" s="58">
        <v>316718</v>
      </c>
      <c r="H111" s="17">
        <v>75.87</v>
      </c>
      <c r="I111" s="101"/>
      <c r="J111" s="35">
        <v>13</v>
      </c>
      <c r="K111" s="36">
        <v>0</v>
      </c>
      <c r="L111" s="51">
        <v>3034808</v>
      </c>
      <c r="M111" s="52">
        <v>902.01</v>
      </c>
      <c r="N111" s="58">
        <v>285919</v>
      </c>
      <c r="O111" s="17">
        <v>71.680000000000007</v>
      </c>
      <c r="P111" s="101"/>
      <c r="Q111" s="35">
        <f t="shared" si="18"/>
        <v>333</v>
      </c>
      <c r="R111" s="36">
        <f t="shared" si="18"/>
        <v>0.01</v>
      </c>
      <c r="S111" s="51">
        <f t="shared" si="18"/>
        <v>138744</v>
      </c>
      <c r="T111" s="52">
        <f t="shared" si="18"/>
        <v>33.269999999999982</v>
      </c>
      <c r="U111" s="58">
        <f t="shared" si="18"/>
        <v>30799</v>
      </c>
      <c r="V111" s="17">
        <f t="shared" si="18"/>
        <v>4.1899999999999977</v>
      </c>
      <c r="W111" s="101"/>
      <c r="X111" s="555">
        <f t="shared" si="19"/>
        <v>3490616</v>
      </c>
      <c r="Y111" s="632">
        <f t="shared" si="19"/>
        <v>1011.16</v>
      </c>
    </row>
    <row r="112" spans="1:25" hidden="1" outlineLevel="1">
      <c r="A112" s="97">
        <v>43204</v>
      </c>
      <c r="B112" s="98">
        <f t="shared" si="16"/>
        <v>4</v>
      </c>
      <c r="C112" s="35">
        <v>344</v>
      </c>
      <c r="D112" s="36">
        <v>0.01</v>
      </c>
      <c r="E112" s="51">
        <v>3238361</v>
      </c>
      <c r="F112" s="52">
        <v>982.45</v>
      </c>
      <c r="G112" s="58">
        <v>302241</v>
      </c>
      <c r="H112" s="17">
        <v>72.62</v>
      </c>
      <c r="I112" s="101"/>
      <c r="J112" s="35">
        <v>7</v>
      </c>
      <c r="K112" s="36">
        <v>0</v>
      </c>
      <c r="L112" s="51">
        <v>3095051</v>
      </c>
      <c r="M112" s="52">
        <v>948.36</v>
      </c>
      <c r="N112" s="58">
        <v>273209</v>
      </c>
      <c r="O112" s="17">
        <v>68.44</v>
      </c>
      <c r="P112" s="101"/>
      <c r="Q112" s="35">
        <f t="shared" si="18"/>
        <v>337</v>
      </c>
      <c r="R112" s="36">
        <f t="shared" si="18"/>
        <v>0.01</v>
      </c>
      <c r="S112" s="51">
        <f t="shared" si="18"/>
        <v>143310</v>
      </c>
      <c r="T112" s="52">
        <f t="shared" si="18"/>
        <v>34.090000000000032</v>
      </c>
      <c r="U112" s="58">
        <f t="shared" si="18"/>
        <v>29032</v>
      </c>
      <c r="V112" s="17">
        <f t="shared" si="18"/>
        <v>4.1800000000000068</v>
      </c>
      <c r="W112" s="101"/>
      <c r="X112" s="555">
        <f t="shared" si="19"/>
        <v>3540946</v>
      </c>
      <c r="Y112" s="632">
        <f t="shared" si="19"/>
        <v>1055.08</v>
      </c>
    </row>
    <row r="113" spans="1:25" hidden="1" outlineLevel="1">
      <c r="A113" s="97">
        <v>43205</v>
      </c>
      <c r="B113" s="98">
        <f t="shared" si="16"/>
        <v>4</v>
      </c>
      <c r="C113" s="35">
        <v>317</v>
      </c>
      <c r="D113" s="36">
        <v>0.01</v>
      </c>
      <c r="E113" s="51">
        <v>3428908</v>
      </c>
      <c r="F113" s="52">
        <v>1028.33</v>
      </c>
      <c r="G113" s="58">
        <v>307467</v>
      </c>
      <c r="H113" s="17">
        <v>75.78</v>
      </c>
      <c r="I113" s="101"/>
      <c r="J113" s="35">
        <v>16</v>
      </c>
      <c r="K113" s="36">
        <v>0</v>
      </c>
      <c r="L113" s="51">
        <v>3294796</v>
      </c>
      <c r="M113" s="52">
        <v>997.07</v>
      </c>
      <c r="N113" s="58">
        <v>278920</v>
      </c>
      <c r="O113" s="17">
        <v>71.14</v>
      </c>
      <c r="P113" s="101"/>
      <c r="Q113" s="35">
        <f t="shared" si="18"/>
        <v>301</v>
      </c>
      <c r="R113" s="36">
        <f t="shared" si="18"/>
        <v>0.01</v>
      </c>
      <c r="S113" s="51">
        <f t="shared" si="18"/>
        <v>134112</v>
      </c>
      <c r="T113" s="52">
        <f t="shared" si="18"/>
        <v>31.259999999999877</v>
      </c>
      <c r="U113" s="58">
        <f t="shared" si="18"/>
        <v>28547</v>
      </c>
      <c r="V113" s="17">
        <f t="shared" si="18"/>
        <v>4.6400000000000006</v>
      </c>
      <c r="W113" s="101"/>
      <c r="X113" s="555">
        <f t="shared" si="19"/>
        <v>3736692</v>
      </c>
      <c r="Y113" s="632">
        <f t="shared" si="19"/>
        <v>1104.1199999999999</v>
      </c>
    </row>
    <row r="114" spans="1:25" hidden="1" outlineLevel="1">
      <c r="A114" s="97">
        <v>43206</v>
      </c>
      <c r="B114" s="98">
        <f t="shared" si="16"/>
        <v>4</v>
      </c>
      <c r="C114" s="35">
        <v>299</v>
      </c>
      <c r="D114" s="36">
        <v>0</v>
      </c>
      <c r="E114" s="51">
        <v>3565125</v>
      </c>
      <c r="F114" s="52">
        <v>1089.67</v>
      </c>
      <c r="G114" s="58">
        <v>348748</v>
      </c>
      <c r="H114" s="17">
        <v>78.12</v>
      </c>
      <c r="I114" s="101"/>
      <c r="J114" s="35">
        <v>4</v>
      </c>
      <c r="K114" s="36">
        <v>0</v>
      </c>
      <c r="L114" s="51">
        <v>3434216</v>
      </c>
      <c r="M114" s="52">
        <v>1059.43</v>
      </c>
      <c r="N114" s="58">
        <v>318611</v>
      </c>
      <c r="O114" s="17">
        <v>73.209999999999994</v>
      </c>
      <c r="P114" s="101"/>
      <c r="Q114" s="35">
        <f t="shared" si="18"/>
        <v>295</v>
      </c>
      <c r="R114" s="36">
        <f t="shared" si="18"/>
        <v>0</v>
      </c>
      <c r="S114" s="51">
        <f t="shared" si="18"/>
        <v>130909</v>
      </c>
      <c r="T114" s="52">
        <f t="shared" si="18"/>
        <v>30.240000000000009</v>
      </c>
      <c r="U114" s="58">
        <f t="shared" si="18"/>
        <v>30137</v>
      </c>
      <c r="V114" s="17">
        <f t="shared" si="18"/>
        <v>4.9100000000000108</v>
      </c>
      <c r="W114" s="101"/>
      <c r="X114" s="555">
        <f t="shared" si="19"/>
        <v>3914172</v>
      </c>
      <c r="Y114" s="632">
        <f t="shared" si="19"/>
        <v>1167.79</v>
      </c>
    </row>
    <row r="115" spans="1:25" hidden="1" outlineLevel="1">
      <c r="A115" s="97">
        <v>43207</v>
      </c>
      <c r="B115" s="98">
        <f t="shared" si="16"/>
        <v>4</v>
      </c>
      <c r="C115" s="35">
        <v>285</v>
      </c>
      <c r="D115" s="36">
        <v>0</v>
      </c>
      <c r="E115" s="51">
        <v>3940349</v>
      </c>
      <c r="F115" s="52">
        <v>1155.6500000000001</v>
      </c>
      <c r="G115" s="58">
        <v>379663</v>
      </c>
      <c r="H115" s="17">
        <v>81.56</v>
      </c>
      <c r="I115" s="101"/>
      <c r="J115" s="35">
        <v>7</v>
      </c>
      <c r="K115" s="36">
        <v>0</v>
      </c>
      <c r="L115" s="51">
        <v>3807439</v>
      </c>
      <c r="M115" s="52">
        <v>1123.46</v>
      </c>
      <c r="N115" s="58">
        <v>344856</v>
      </c>
      <c r="O115" s="17">
        <v>76.540000000000006</v>
      </c>
      <c r="P115" s="101"/>
      <c r="Q115" s="35">
        <f t="shared" si="18"/>
        <v>278</v>
      </c>
      <c r="R115" s="36">
        <f t="shared" si="18"/>
        <v>0</v>
      </c>
      <c r="S115" s="51">
        <f t="shared" si="18"/>
        <v>132910</v>
      </c>
      <c r="T115" s="52">
        <f t="shared" si="18"/>
        <v>32.190000000000055</v>
      </c>
      <c r="U115" s="58">
        <f t="shared" si="18"/>
        <v>34807</v>
      </c>
      <c r="V115" s="17">
        <f t="shared" si="18"/>
        <v>5.019999999999996</v>
      </c>
      <c r="W115" s="101"/>
      <c r="X115" s="555">
        <f t="shared" si="19"/>
        <v>4320297</v>
      </c>
      <c r="Y115" s="632">
        <f t="shared" si="19"/>
        <v>1237.21</v>
      </c>
    </row>
    <row r="116" spans="1:25" hidden="1" outlineLevel="1">
      <c r="A116" s="97">
        <v>43208</v>
      </c>
      <c r="B116" s="98">
        <f t="shared" si="16"/>
        <v>4</v>
      </c>
      <c r="C116" s="35">
        <v>299</v>
      </c>
      <c r="D116" s="36">
        <v>0.01</v>
      </c>
      <c r="E116" s="51">
        <v>4110964</v>
      </c>
      <c r="F116" s="52">
        <v>1299.47</v>
      </c>
      <c r="G116" s="58">
        <v>585057</v>
      </c>
      <c r="H116" s="17">
        <v>130.72</v>
      </c>
      <c r="I116" s="101"/>
      <c r="J116" s="35">
        <v>25</v>
      </c>
      <c r="K116" s="36">
        <v>0</v>
      </c>
      <c r="L116" s="51">
        <v>3983545</v>
      </c>
      <c r="M116" s="52">
        <v>1268.8900000000001</v>
      </c>
      <c r="N116" s="58">
        <v>544108</v>
      </c>
      <c r="O116" s="17">
        <v>124.45</v>
      </c>
      <c r="P116" s="101"/>
      <c r="Q116" s="35">
        <f t="shared" si="18"/>
        <v>274</v>
      </c>
      <c r="R116" s="36">
        <f t="shared" si="18"/>
        <v>0.01</v>
      </c>
      <c r="S116" s="51">
        <f t="shared" si="18"/>
        <v>127419</v>
      </c>
      <c r="T116" s="52">
        <f t="shared" si="18"/>
        <v>30.579999999999927</v>
      </c>
      <c r="U116" s="58">
        <f t="shared" si="18"/>
        <v>40949</v>
      </c>
      <c r="V116" s="17">
        <f t="shared" si="18"/>
        <v>6.269999999999996</v>
      </c>
      <c r="W116" s="101"/>
      <c r="X116" s="555">
        <f t="shared" si="19"/>
        <v>4696320</v>
      </c>
      <c r="Y116" s="632">
        <f t="shared" si="19"/>
        <v>1430.2</v>
      </c>
    </row>
    <row r="117" spans="1:25" hidden="1" outlineLevel="1">
      <c r="A117" s="97">
        <v>43209</v>
      </c>
      <c r="B117" s="98">
        <f t="shared" si="16"/>
        <v>4</v>
      </c>
      <c r="C117" s="35">
        <v>259</v>
      </c>
      <c r="D117" s="36">
        <v>0</v>
      </c>
      <c r="E117" s="51">
        <v>3837547</v>
      </c>
      <c r="F117" s="52">
        <v>1121.25</v>
      </c>
      <c r="G117" s="58">
        <v>512219</v>
      </c>
      <c r="H117" s="17">
        <v>116.51</v>
      </c>
      <c r="I117" s="101"/>
      <c r="J117" s="35">
        <v>9</v>
      </c>
      <c r="K117" s="36">
        <v>0</v>
      </c>
      <c r="L117" s="51">
        <v>3715951</v>
      </c>
      <c r="M117" s="52">
        <v>1091.69</v>
      </c>
      <c r="N117" s="58">
        <v>470089</v>
      </c>
      <c r="O117" s="17">
        <v>108.31</v>
      </c>
      <c r="P117" s="101"/>
      <c r="Q117" s="35">
        <f t="shared" si="18"/>
        <v>250</v>
      </c>
      <c r="R117" s="36">
        <f t="shared" si="18"/>
        <v>0</v>
      </c>
      <c r="S117" s="51">
        <f t="shared" si="18"/>
        <v>121596</v>
      </c>
      <c r="T117" s="52">
        <f t="shared" si="18"/>
        <v>29.559999999999945</v>
      </c>
      <c r="U117" s="58">
        <f t="shared" si="18"/>
        <v>42130</v>
      </c>
      <c r="V117" s="17">
        <f t="shared" si="18"/>
        <v>8.2000000000000028</v>
      </c>
      <c r="W117" s="101"/>
      <c r="X117" s="555">
        <f t="shared" si="19"/>
        <v>4350025</v>
      </c>
      <c r="Y117" s="632">
        <f t="shared" si="19"/>
        <v>1237.76</v>
      </c>
    </row>
    <row r="118" spans="1:25" hidden="1" outlineLevel="1">
      <c r="A118" s="97">
        <v>43210</v>
      </c>
      <c r="B118" s="98">
        <f t="shared" si="16"/>
        <v>4</v>
      </c>
      <c r="C118" s="35">
        <v>281</v>
      </c>
      <c r="D118" s="36">
        <v>0</v>
      </c>
      <c r="E118" s="51">
        <v>4696662</v>
      </c>
      <c r="F118" s="52">
        <v>1466.84</v>
      </c>
      <c r="G118" s="58">
        <v>437477</v>
      </c>
      <c r="H118" s="17">
        <v>100.72</v>
      </c>
      <c r="I118" s="101"/>
      <c r="J118" s="35">
        <v>15</v>
      </c>
      <c r="K118" s="36">
        <v>0</v>
      </c>
      <c r="L118" s="51">
        <v>4539133</v>
      </c>
      <c r="M118" s="52">
        <v>1426.29</v>
      </c>
      <c r="N118" s="58">
        <v>399469</v>
      </c>
      <c r="O118" s="17">
        <v>94.43</v>
      </c>
      <c r="P118" s="101"/>
      <c r="Q118" s="35">
        <f t="shared" si="18"/>
        <v>266</v>
      </c>
      <c r="R118" s="36">
        <f t="shared" si="18"/>
        <v>0</v>
      </c>
      <c r="S118" s="51">
        <f t="shared" si="18"/>
        <v>157529</v>
      </c>
      <c r="T118" s="52">
        <f t="shared" si="18"/>
        <v>40.549999999999955</v>
      </c>
      <c r="U118" s="58">
        <f t="shared" si="18"/>
        <v>38008</v>
      </c>
      <c r="V118" s="17">
        <f t="shared" si="18"/>
        <v>6.289999999999992</v>
      </c>
      <c r="W118" s="101"/>
      <c r="X118" s="555">
        <f t="shared" si="19"/>
        <v>5134420</v>
      </c>
      <c r="Y118" s="632">
        <f t="shared" si="19"/>
        <v>1567.56</v>
      </c>
    </row>
    <row r="119" spans="1:25" hidden="1" outlineLevel="1">
      <c r="A119" s="97">
        <v>43211</v>
      </c>
      <c r="B119" s="98">
        <f t="shared" si="16"/>
        <v>4</v>
      </c>
      <c r="C119" s="35">
        <v>322</v>
      </c>
      <c r="D119" s="36">
        <v>0.01</v>
      </c>
      <c r="E119" s="51">
        <v>4615865</v>
      </c>
      <c r="F119" s="52">
        <v>1351.29</v>
      </c>
      <c r="G119" s="58">
        <v>456096</v>
      </c>
      <c r="H119" s="17">
        <v>94.55</v>
      </c>
      <c r="I119" s="101"/>
      <c r="J119" s="35">
        <v>13</v>
      </c>
      <c r="K119" s="36">
        <v>0</v>
      </c>
      <c r="L119" s="51">
        <v>4407074</v>
      </c>
      <c r="M119" s="52">
        <v>1312.57</v>
      </c>
      <c r="N119" s="58">
        <v>414891</v>
      </c>
      <c r="O119" s="17">
        <v>89.07</v>
      </c>
      <c r="P119" s="101"/>
      <c r="Q119" s="35">
        <f t="shared" si="18"/>
        <v>309</v>
      </c>
      <c r="R119" s="36">
        <f t="shared" si="18"/>
        <v>0.01</v>
      </c>
      <c r="S119" s="51">
        <f t="shared" si="18"/>
        <v>208791</v>
      </c>
      <c r="T119" s="52">
        <f t="shared" si="18"/>
        <v>38.720000000000027</v>
      </c>
      <c r="U119" s="58">
        <f t="shared" si="18"/>
        <v>41205</v>
      </c>
      <c r="V119" s="17">
        <f t="shared" si="18"/>
        <v>5.480000000000004</v>
      </c>
      <c r="W119" s="101"/>
      <c r="X119" s="555">
        <f t="shared" si="19"/>
        <v>5072283</v>
      </c>
      <c r="Y119" s="632">
        <f t="shared" si="19"/>
        <v>1445.85</v>
      </c>
    </row>
    <row r="120" spans="1:25" hidden="1" outlineLevel="1">
      <c r="A120" s="97">
        <v>43212</v>
      </c>
      <c r="B120" s="98">
        <f t="shared" si="16"/>
        <v>4</v>
      </c>
      <c r="C120" s="35">
        <v>310</v>
      </c>
      <c r="D120" s="36">
        <v>0.01</v>
      </c>
      <c r="E120" s="51">
        <v>4361875</v>
      </c>
      <c r="F120" s="52">
        <v>1358.36</v>
      </c>
      <c r="G120" s="58">
        <v>544542</v>
      </c>
      <c r="H120" s="17">
        <v>129.37</v>
      </c>
      <c r="I120" s="101"/>
      <c r="J120" s="35">
        <v>14</v>
      </c>
      <c r="K120" s="36">
        <v>0</v>
      </c>
      <c r="L120" s="51">
        <v>4194786</v>
      </c>
      <c r="M120" s="52">
        <v>1325.56</v>
      </c>
      <c r="N120" s="58">
        <v>504028</v>
      </c>
      <c r="O120" s="17">
        <v>122.29</v>
      </c>
      <c r="P120" s="101"/>
      <c r="Q120" s="35">
        <f t="shared" si="18"/>
        <v>296</v>
      </c>
      <c r="R120" s="36">
        <f t="shared" si="18"/>
        <v>0.01</v>
      </c>
      <c r="S120" s="51">
        <f t="shared" si="18"/>
        <v>167089</v>
      </c>
      <c r="T120" s="52">
        <f t="shared" si="18"/>
        <v>32.799999999999955</v>
      </c>
      <c r="U120" s="58">
        <f t="shared" si="18"/>
        <v>40514</v>
      </c>
      <c r="V120" s="17">
        <f t="shared" si="18"/>
        <v>7.0799999999999983</v>
      </c>
      <c r="W120" s="101"/>
      <c r="X120" s="555">
        <f t="shared" si="19"/>
        <v>4906727</v>
      </c>
      <c r="Y120" s="632">
        <f t="shared" si="19"/>
        <v>1487.7399999999998</v>
      </c>
    </row>
    <row r="121" spans="1:25" hidden="1" outlineLevel="1">
      <c r="A121" s="97">
        <v>43213</v>
      </c>
      <c r="B121" s="98">
        <f t="shared" si="16"/>
        <v>4</v>
      </c>
      <c r="C121" s="35">
        <v>314</v>
      </c>
      <c r="D121" s="36">
        <v>0.01</v>
      </c>
      <c r="E121" s="51">
        <v>4195590</v>
      </c>
      <c r="F121" s="52">
        <v>1346.38</v>
      </c>
      <c r="G121" s="58">
        <v>527905</v>
      </c>
      <c r="H121" s="17">
        <v>118.98</v>
      </c>
      <c r="I121" s="101"/>
      <c r="J121" s="35">
        <v>7</v>
      </c>
      <c r="K121" s="36">
        <v>0</v>
      </c>
      <c r="L121" s="51">
        <v>4060713</v>
      </c>
      <c r="M121" s="52">
        <v>1319.1</v>
      </c>
      <c r="N121" s="58">
        <v>488395</v>
      </c>
      <c r="O121" s="17">
        <v>113.02</v>
      </c>
      <c r="P121" s="101"/>
      <c r="Q121" s="35">
        <f t="shared" si="18"/>
        <v>307</v>
      </c>
      <c r="R121" s="36">
        <f t="shared" si="18"/>
        <v>0.01</v>
      </c>
      <c r="S121" s="51">
        <f t="shared" si="18"/>
        <v>134877</v>
      </c>
      <c r="T121" s="52">
        <f t="shared" si="18"/>
        <v>27.2800000000002</v>
      </c>
      <c r="U121" s="58">
        <f t="shared" si="18"/>
        <v>39510</v>
      </c>
      <c r="V121" s="17">
        <f t="shared" si="18"/>
        <v>5.960000000000008</v>
      </c>
      <c r="W121" s="101"/>
      <c r="X121" s="555">
        <f t="shared" si="19"/>
        <v>4723809</v>
      </c>
      <c r="Y121" s="632">
        <f t="shared" si="19"/>
        <v>1465.3700000000001</v>
      </c>
    </row>
    <row r="122" spans="1:25" hidden="1" outlineLevel="1">
      <c r="A122" s="97">
        <v>43214</v>
      </c>
      <c r="B122" s="98">
        <f t="shared" si="16"/>
        <v>4</v>
      </c>
      <c r="C122" s="35">
        <v>294</v>
      </c>
      <c r="D122" s="36">
        <v>0.01</v>
      </c>
      <c r="E122" s="51">
        <v>4108350</v>
      </c>
      <c r="F122" s="52">
        <v>1280.8599999999999</v>
      </c>
      <c r="G122" s="58">
        <v>493519</v>
      </c>
      <c r="H122" s="17">
        <v>118.2</v>
      </c>
      <c r="I122" s="101"/>
      <c r="J122" s="35">
        <v>13</v>
      </c>
      <c r="K122" s="36">
        <v>0</v>
      </c>
      <c r="L122" s="51">
        <v>3964249</v>
      </c>
      <c r="M122" s="52">
        <v>1250.5</v>
      </c>
      <c r="N122" s="58">
        <v>453905</v>
      </c>
      <c r="O122" s="17">
        <v>111.62</v>
      </c>
      <c r="P122" s="101"/>
      <c r="Q122" s="35">
        <f t="shared" si="18"/>
        <v>281</v>
      </c>
      <c r="R122" s="36">
        <f t="shared" si="18"/>
        <v>0.01</v>
      </c>
      <c r="S122" s="51">
        <f t="shared" si="18"/>
        <v>144101</v>
      </c>
      <c r="T122" s="52">
        <f t="shared" si="18"/>
        <v>30.3599999999999</v>
      </c>
      <c r="U122" s="58">
        <f t="shared" si="18"/>
        <v>39614</v>
      </c>
      <c r="V122" s="17">
        <f t="shared" si="18"/>
        <v>6.5799999999999983</v>
      </c>
      <c r="W122" s="101"/>
      <c r="X122" s="555">
        <f t="shared" si="19"/>
        <v>4602163</v>
      </c>
      <c r="Y122" s="632">
        <f t="shared" si="19"/>
        <v>1399.07</v>
      </c>
    </row>
    <row r="123" spans="1:25" hidden="1" outlineLevel="1">
      <c r="A123" s="97">
        <v>43215</v>
      </c>
      <c r="B123" s="98">
        <f t="shared" si="16"/>
        <v>4</v>
      </c>
      <c r="C123" s="35">
        <v>268</v>
      </c>
      <c r="D123" s="36">
        <v>0.01</v>
      </c>
      <c r="E123" s="51">
        <v>3842636</v>
      </c>
      <c r="F123" s="52">
        <v>1180.1199999999999</v>
      </c>
      <c r="G123" s="58">
        <v>465946</v>
      </c>
      <c r="H123" s="17">
        <v>113.21</v>
      </c>
      <c r="I123" s="101"/>
      <c r="J123" s="35">
        <v>8</v>
      </c>
      <c r="K123" s="36">
        <v>0</v>
      </c>
      <c r="L123" s="51">
        <v>3727269</v>
      </c>
      <c r="M123" s="52">
        <v>1148.74</v>
      </c>
      <c r="N123" s="58">
        <v>430214</v>
      </c>
      <c r="O123" s="17">
        <v>106.77</v>
      </c>
      <c r="P123" s="101"/>
      <c r="Q123" s="35">
        <f t="shared" si="18"/>
        <v>260</v>
      </c>
      <c r="R123" s="36">
        <f t="shared" si="18"/>
        <v>0.01</v>
      </c>
      <c r="S123" s="51">
        <f t="shared" si="18"/>
        <v>115367</v>
      </c>
      <c r="T123" s="52">
        <f t="shared" si="18"/>
        <v>31.379999999999882</v>
      </c>
      <c r="U123" s="58">
        <f t="shared" si="18"/>
        <v>35732</v>
      </c>
      <c r="V123" s="17">
        <f t="shared" si="18"/>
        <v>6.4399999999999977</v>
      </c>
      <c r="W123" s="101"/>
      <c r="X123" s="555">
        <f t="shared" si="19"/>
        <v>4308850</v>
      </c>
      <c r="Y123" s="632">
        <f t="shared" si="19"/>
        <v>1293.3399999999999</v>
      </c>
    </row>
    <row r="124" spans="1:25" hidden="1" outlineLevel="1">
      <c r="A124" s="97">
        <v>43216</v>
      </c>
      <c r="B124" s="98">
        <f t="shared" si="16"/>
        <v>4</v>
      </c>
      <c r="C124" s="35">
        <v>294</v>
      </c>
      <c r="D124" s="36">
        <v>0.01</v>
      </c>
      <c r="E124" s="51">
        <v>3797116</v>
      </c>
      <c r="F124" s="52">
        <v>1171.6099999999999</v>
      </c>
      <c r="G124" s="58">
        <v>478071</v>
      </c>
      <c r="H124" s="17">
        <v>101.4</v>
      </c>
      <c r="I124" s="101"/>
      <c r="J124" s="35">
        <v>11</v>
      </c>
      <c r="K124" s="36">
        <v>0</v>
      </c>
      <c r="L124" s="51">
        <v>3637389</v>
      </c>
      <c r="M124" s="52">
        <v>1139.02</v>
      </c>
      <c r="N124" s="58">
        <v>439160</v>
      </c>
      <c r="O124" s="17">
        <v>95.36</v>
      </c>
      <c r="P124" s="101"/>
      <c r="Q124" s="35">
        <f t="shared" si="18"/>
        <v>283</v>
      </c>
      <c r="R124" s="36">
        <f t="shared" si="18"/>
        <v>0.01</v>
      </c>
      <c r="S124" s="51">
        <f t="shared" si="18"/>
        <v>159727</v>
      </c>
      <c r="T124" s="52">
        <f t="shared" si="18"/>
        <v>32.589999999999918</v>
      </c>
      <c r="U124" s="58">
        <f t="shared" si="18"/>
        <v>38911</v>
      </c>
      <c r="V124" s="17">
        <f t="shared" si="18"/>
        <v>6.0400000000000063</v>
      </c>
      <c r="W124" s="101"/>
      <c r="X124" s="555">
        <f t="shared" si="19"/>
        <v>4275481</v>
      </c>
      <c r="Y124" s="632">
        <f t="shared" si="19"/>
        <v>1273.02</v>
      </c>
    </row>
    <row r="125" spans="1:25" hidden="1" outlineLevel="1">
      <c r="A125" s="97">
        <v>43217</v>
      </c>
      <c r="B125" s="98">
        <f t="shared" si="16"/>
        <v>4</v>
      </c>
      <c r="C125" s="35">
        <v>260</v>
      </c>
      <c r="D125" s="36">
        <v>0.01</v>
      </c>
      <c r="E125" s="51">
        <v>4307178</v>
      </c>
      <c r="F125" s="52">
        <v>1244.18</v>
      </c>
      <c r="G125" s="58">
        <v>474788</v>
      </c>
      <c r="H125" s="17">
        <v>90.26</v>
      </c>
      <c r="I125" s="101"/>
      <c r="J125" s="35">
        <v>10</v>
      </c>
      <c r="K125" s="36">
        <v>0</v>
      </c>
      <c r="L125" s="51">
        <v>4102590</v>
      </c>
      <c r="M125" s="52">
        <v>1200.93</v>
      </c>
      <c r="N125" s="58">
        <v>430881</v>
      </c>
      <c r="O125" s="17">
        <v>85.05</v>
      </c>
      <c r="P125" s="101"/>
      <c r="Q125" s="35">
        <f t="shared" si="18"/>
        <v>250</v>
      </c>
      <c r="R125" s="36">
        <f t="shared" si="18"/>
        <v>0.01</v>
      </c>
      <c r="S125" s="51">
        <f t="shared" si="18"/>
        <v>204588</v>
      </c>
      <c r="T125" s="52">
        <f t="shared" si="18"/>
        <v>43.25</v>
      </c>
      <c r="U125" s="58">
        <f t="shared" si="18"/>
        <v>43907</v>
      </c>
      <c r="V125" s="17">
        <f t="shared" si="18"/>
        <v>5.210000000000008</v>
      </c>
      <c r="W125" s="101"/>
      <c r="X125" s="555">
        <f t="shared" si="19"/>
        <v>4782226</v>
      </c>
      <c r="Y125" s="632">
        <f t="shared" si="19"/>
        <v>1334.45</v>
      </c>
    </row>
    <row r="126" spans="1:25" hidden="1" outlineLevel="1">
      <c r="A126" s="97">
        <v>43218</v>
      </c>
      <c r="B126" s="98">
        <f t="shared" si="16"/>
        <v>4</v>
      </c>
      <c r="C126" s="35">
        <v>356</v>
      </c>
      <c r="D126" s="36">
        <v>0.01</v>
      </c>
      <c r="E126" s="51">
        <v>4197829</v>
      </c>
      <c r="F126" s="52">
        <v>1184.95</v>
      </c>
      <c r="G126" s="58">
        <v>431392</v>
      </c>
      <c r="H126" s="17">
        <v>86.12</v>
      </c>
      <c r="I126" s="101"/>
      <c r="J126" s="35">
        <v>11</v>
      </c>
      <c r="K126" s="36">
        <v>0</v>
      </c>
      <c r="L126" s="51">
        <v>3976552</v>
      </c>
      <c r="M126" s="52">
        <v>1141.1500000000001</v>
      </c>
      <c r="N126" s="58">
        <v>391933</v>
      </c>
      <c r="O126" s="17">
        <v>81.42</v>
      </c>
      <c r="P126" s="101"/>
      <c r="Q126" s="35">
        <f t="shared" si="18"/>
        <v>345</v>
      </c>
      <c r="R126" s="36">
        <f t="shared" si="18"/>
        <v>0.01</v>
      </c>
      <c r="S126" s="51">
        <f t="shared" si="18"/>
        <v>221277</v>
      </c>
      <c r="T126" s="52">
        <f t="shared" si="18"/>
        <v>43.799999999999955</v>
      </c>
      <c r="U126" s="58">
        <f t="shared" si="18"/>
        <v>39459</v>
      </c>
      <c r="V126" s="17">
        <f t="shared" si="18"/>
        <v>4.7000000000000028</v>
      </c>
      <c r="W126" s="101"/>
      <c r="X126" s="555">
        <f t="shared" si="19"/>
        <v>4629577</v>
      </c>
      <c r="Y126" s="632">
        <f t="shared" si="19"/>
        <v>1271.08</v>
      </c>
    </row>
    <row r="127" spans="1:25" hidden="1" outlineLevel="1">
      <c r="A127" s="97">
        <v>43219</v>
      </c>
      <c r="B127" s="98">
        <f t="shared" si="16"/>
        <v>4</v>
      </c>
      <c r="C127" s="35">
        <v>308</v>
      </c>
      <c r="D127" s="36">
        <v>0</v>
      </c>
      <c r="E127" s="51">
        <v>3911232</v>
      </c>
      <c r="F127" s="52">
        <v>1119.18</v>
      </c>
      <c r="G127" s="58">
        <v>755568</v>
      </c>
      <c r="H127" s="17">
        <v>133.78</v>
      </c>
      <c r="I127" s="101"/>
      <c r="J127" s="35">
        <v>8</v>
      </c>
      <c r="K127" s="36">
        <v>0</v>
      </c>
      <c r="L127" s="51">
        <v>3722190</v>
      </c>
      <c r="M127" s="52">
        <v>1079.3800000000001</v>
      </c>
      <c r="N127" s="58">
        <v>711691</v>
      </c>
      <c r="O127" s="17">
        <v>128.43</v>
      </c>
      <c r="P127" s="101"/>
      <c r="Q127" s="35">
        <f t="shared" si="18"/>
        <v>300</v>
      </c>
      <c r="R127" s="36">
        <f t="shared" si="18"/>
        <v>0</v>
      </c>
      <c r="S127" s="51">
        <f t="shared" si="18"/>
        <v>189042</v>
      </c>
      <c r="T127" s="52">
        <f t="shared" si="18"/>
        <v>39.799999999999955</v>
      </c>
      <c r="U127" s="58">
        <f t="shared" si="18"/>
        <v>43877</v>
      </c>
      <c r="V127" s="17">
        <f t="shared" si="18"/>
        <v>5.3499999999999943</v>
      </c>
      <c r="W127" s="101"/>
      <c r="X127" s="555">
        <f t="shared" si="19"/>
        <v>4667108</v>
      </c>
      <c r="Y127" s="632">
        <f t="shared" si="19"/>
        <v>1252.96</v>
      </c>
    </row>
    <row r="128" spans="1:25" hidden="1" outlineLevel="1">
      <c r="A128" s="97">
        <v>43220</v>
      </c>
      <c r="B128" s="98">
        <f t="shared" si="16"/>
        <v>4</v>
      </c>
      <c r="C128" s="35">
        <v>276</v>
      </c>
      <c r="D128" s="36">
        <v>0</v>
      </c>
      <c r="E128" s="51">
        <v>3888486</v>
      </c>
      <c r="F128" s="52">
        <v>1146</v>
      </c>
      <c r="G128" s="58">
        <v>634474</v>
      </c>
      <c r="H128" s="17">
        <v>123.9</v>
      </c>
      <c r="I128" s="101"/>
      <c r="J128" s="35">
        <v>4</v>
      </c>
      <c r="K128" s="36">
        <v>0</v>
      </c>
      <c r="L128" s="51">
        <v>3672881</v>
      </c>
      <c r="M128" s="52">
        <v>1105.55</v>
      </c>
      <c r="N128" s="58">
        <v>587946</v>
      </c>
      <c r="O128" s="17">
        <v>117.58</v>
      </c>
      <c r="P128" s="101"/>
      <c r="Q128" s="35">
        <f t="shared" si="18"/>
        <v>272</v>
      </c>
      <c r="R128" s="36">
        <f t="shared" si="18"/>
        <v>0</v>
      </c>
      <c r="S128" s="51">
        <f t="shared" si="18"/>
        <v>215605</v>
      </c>
      <c r="T128" s="52">
        <f t="shared" si="18"/>
        <v>40.450000000000045</v>
      </c>
      <c r="U128" s="58">
        <f t="shared" si="18"/>
        <v>46528</v>
      </c>
      <c r="V128" s="17">
        <f t="shared" si="18"/>
        <v>6.3200000000000074</v>
      </c>
      <c r="W128" s="101"/>
      <c r="X128" s="555">
        <f t="shared" si="19"/>
        <v>4523236</v>
      </c>
      <c r="Y128" s="632">
        <f t="shared" si="19"/>
        <v>1269.9000000000001</v>
      </c>
    </row>
    <row r="129" spans="1:25" collapsed="1">
      <c r="A129" s="104"/>
      <c r="B129" s="104" t="s">
        <v>18</v>
      </c>
      <c r="C129" s="105">
        <f>SUBTOTAL(9,C130:C160)</f>
        <v>7291</v>
      </c>
      <c r="D129" s="106">
        <f t="shared" ref="D129:V129" si="20">SUBTOTAL(9,D130:D160)</f>
        <v>0.18</v>
      </c>
      <c r="E129" s="109">
        <f t="shared" si="20"/>
        <v>106062922</v>
      </c>
      <c r="F129" s="110">
        <f t="shared" si="20"/>
        <v>31918.839999999997</v>
      </c>
      <c r="G129" s="111">
        <f t="shared" si="20"/>
        <v>15179425</v>
      </c>
      <c r="H129" s="14">
        <f t="shared" si="20"/>
        <v>3022.3300000000004</v>
      </c>
      <c r="I129" s="103"/>
      <c r="J129" s="105">
        <f t="shared" si="20"/>
        <v>308</v>
      </c>
      <c r="K129" s="106">
        <f t="shared" si="20"/>
        <v>0</v>
      </c>
      <c r="L129" s="109">
        <f t="shared" si="20"/>
        <v>100169724</v>
      </c>
      <c r="M129" s="110">
        <f t="shared" si="20"/>
        <v>30542.560000000005</v>
      </c>
      <c r="N129" s="111">
        <f t="shared" si="20"/>
        <v>13828333</v>
      </c>
      <c r="O129" s="14">
        <f t="shared" si="20"/>
        <v>2787.77</v>
      </c>
      <c r="P129" s="103"/>
      <c r="Q129" s="105">
        <f t="shared" si="20"/>
        <v>6983</v>
      </c>
      <c r="R129" s="106">
        <f t="shared" si="20"/>
        <v>0.18</v>
      </c>
      <c r="S129" s="109">
        <f t="shared" si="20"/>
        <v>5893198</v>
      </c>
      <c r="T129" s="110">
        <f t="shared" si="20"/>
        <v>1376.2800000000002</v>
      </c>
      <c r="U129" s="111">
        <f t="shared" si="20"/>
        <v>1351092</v>
      </c>
      <c r="V129" s="14">
        <f t="shared" si="20"/>
        <v>234.56000000000006</v>
      </c>
      <c r="W129" s="103"/>
      <c r="X129" s="116"/>
      <c r="Y129" s="116"/>
    </row>
    <row r="130" spans="1:25" hidden="1" outlineLevel="1">
      <c r="A130" s="114">
        <v>43221</v>
      </c>
      <c r="B130" s="115">
        <f t="shared" si="16"/>
        <v>5</v>
      </c>
      <c r="C130" s="35">
        <v>277</v>
      </c>
      <c r="D130" s="36">
        <v>0</v>
      </c>
      <c r="E130" s="51">
        <v>3860739</v>
      </c>
      <c r="F130" s="52">
        <v>1014.7</v>
      </c>
      <c r="G130" s="58">
        <v>487238</v>
      </c>
      <c r="H130" s="17">
        <v>90.93</v>
      </c>
      <c r="I130" s="101"/>
      <c r="J130" s="35">
        <v>10</v>
      </c>
      <c r="K130" s="36">
        <v>0</v>
      </c>
      <c r="L130" s="51">
        <v>3686002</v>
      </c>
      <c r="M130" s="52">
        <v>980.35</v>
      </c>
      <c r="N130" s="58">
        <v>450449</v>
      </c>
      <c r="O130" s="17">
        <v>86.41</v>
      </c>
      <c r="P130" s="101"/>
      <c r="Q130" s="35">
        <f t="shared" ref="Q130:V160" si="21">C130-J130</f>
        <v>267</v>
      </c>
      <c r="R130" s="36">
        <f t="shared" si="21"/>
        <v>0</v>
      </c>
      <c r="S130" s="51">
        <f t="shared" si="21"/>
        <v>174737</v>
      </c>
      <c r="T130" s="52">
        <f t="shared" si="21"/>
        <v>34.350000000000023</v>
      </c>
      <c r="U130" s="58">
        <f t="shared" si="21"/>
        <v>36789</v>
      </c>
      <c r="V130" s="17">
        <f t="shared" si="21"/>
        <v>4.5200000000000102</v>
      </c>
      <c r="W130" s="101"/>
      <c r="X130" s="555">
        <f t="shared" ref="X130:Y193" si="22">SUM(C130,E130,G130)</f>
        <v>4348254</v>
      </c>
      <c r="Y130" s="632">
        <f t="shared" si="22"/>
        <v>1105.6300000000001</v>
      </c>
    </row>
    <row r="131" spans="1:25" hidden="1" outlineLevel="1">
      <c r="A131" s="114">
        <v>43222</v>
      </c>
      <c r="B131" s="115">
        <f t="shared" si="16"/>
        <v>5</v>
      </c>
      <c r="C131" s="35">
        <v>290</v>
      </c>
      <c r="D131" s="36">
        <v>0</v>
      </c>
      <c r="E131" s="51">
        <v>3875835</v>
      </c>
      <c r="F131" s="52">
        <v>1044.6199999999999</v>
      </c>
      <c r="G131" s="58">
        <v>635343</v>
      </c>
      <c r="H131" s="17">
        <v>111.83</v>
      </c>
      <c r="I131" s="101"/>
      <c r="J131" s="35">
        <v>19</v>
      </c>
      <c r="K131" s="36">
        <v>0</v>
      </c>
      <c r="L131" s="51">
        <v>3713752</v>
      </c>
      <c r="M131" s="52">
        <v>1011.12</v>
      </c>
      <c r="N131" s="58">
        <v>594120</v>
      </c>
      <c r="O131" s="17">
        <v>105.9</v>
      </c>
      <c r="P131" s="101"/>
      <c r="Q131" s="35">
        <f t="shared" si="21"/>
        <v>271</v>
      </c>
      <c r="R131" s="36">
        <f t="shared" si="21"/>
        <v>0</v>
      </c>
      <c r="S131" s="51">
        <f t="shared" si="21"/>
        <v>162083</v>
      </c>
      <c r="T131" s="52">
        <f t="shared" si="21"/>
        <v>33.499999999999886</v>
      </c>
      <c r="U131" s="58">
        <f t="shared" si="21"/>
        <v>41223</v>
      </c>
      <c r="V131" s="17">
        <f t="shared" si="21"/>
        <v>5.9299999999999926</v>
      </c>
      <c r="W131" s="101"/>
      <c r="X131" s="555">
        <f t="shared" si="22"/>
        <v>4511468</v>
      </c>
      <c r="Y131" s="632">
        <f t="shared" si="22"/>
        <v>1156.4499999999998</v>
      </c>
    </row>
    <row r="132" spans="1:25" hidden="1" outlineLevel="1">
      <c r="A132" s="114">
        <v>43223</v>
      </c>
      <c r="B132" s="115">
        <f t="shared" si="16"/>
        <v>5</v>
      </c>
      <c r="C132" s="35">
        <v>273</v>
      </c>
      <c r="D132" s="36">
        <v>0.01</v>
      </c>
      <c r="E132" s="51">
        <v>3946656</v>
      </c>
      <c r="F132" s="52">
        <v>1163.27</v>
      </c>
      <c r="G132" s="58">
        <v>596825</v>
      </c>
      <c r="H132" s="17">
        <v>112.05</v>
      </c>
      <c r="I132" s="101"/>
      <c r="J132" s="35">
        <v>7</v>
      </c>
      <c r="K132" s="36">
        <v>0</v>
      </c>
      <c r="L132" s="51">
        <v>3781729</v>
      </c>
      <c r="M132" s="52">
        <v>1129.47</v>
      </c>
      <c r="N132" s="58">
        <v>557632</v>
      </c>
      <c r="O132" s="17">
        <v>104.92</v>
      </c>
      <c r="P132" s="101"/>
      <c r="Q132" s="35">
        <f t="shared" si="21"/>
        <v>266</v>
      </c>
      <c r="R132" s="36">
        <f t="shared" si="21"/>
        <v>0.01</v>
      </c>
      <c r="S132" s="51">
        <f t="shared" si="21"/>
        <v>164927</v>
      </c>
      <c r="T132" s="52">
        <f t="shared" si="21"/>
        <v>33.799999999999955</v>
      </c>
      <c r="U132" s="58">
        <f t="shared" si="21"/>
        <v>39193</v>
      </c>
      <c r="V132" s="17">
        <f t="shared" si="21"/>
        <v>7.1299999999999955</v>
      </c>
      <c r="W132" s="101"/>
      <c r="X132" s="555">
        <f t="shared" si="22"/>
        <v>4543754</v>
      </c>
      <c r="Y132" s="632">
        <f t="shared" si="22"/>
        <v>1275.33</v>
      </c>
    </row>
    <row r="133" spans="1:25" hidden="1" outlineLevel="1">
      <c r="A133" s="114">
        <v>43224</v>
      </c>
      <c r="B133" s="115">
        <f t="shared" si="16"/>
        <v>5</v>
      </c>
      <c r="C133" s="35">
        <v>309</v>
      </c>
      <c r="D133" s="36">
        <v>0.01</v>
      </c>
      <c r="E133" s="51">
        <v>4202064</v>
      </c>
      <c r="F133" s="52">
        <v>1221.28</v>
      </c>
      <c r="G133" s="58">
        <v>458117</v>
      </c>
      <c r="H133" s="17">
        <v>88.89</v>
      </c>
      <c r="I133" s="101"/>
      <c r="J133" s="35">
        <v>12</v>
      </c>
      <c r="K133" s="36">
        <v>0</v>
      </c>
      <c r="L133" s="51">
        <v>3996016</v>
      </c>
      <c r="M133" s="52">
        <v>1170.3599999999999</v>
      </c>
      <c r="N133" s="58">
        <v>419895</v>
      </c>
      <c r="O133" s="17">
        <v>83.4</v>
      </c>
      <c r="P133" s="101"/>
      <c r="Q133" s="35">
        <f t="shared" si="21"/>
        <v>297</v>
      </c>
      <c r="R133" s="36">
        <f t="shared" si="21"/>
        <v>0.01</v>
      </c>
      <c r="S133" s="51">
        <f t="shared" si="21"/>
        <v>206048</v>
      </c>
      <c r="T133" s="52">
        <f t="shared" si="21"/>
        <v>50.920000000000073</v>
      </c>
      <c r="U133" s="58">
        <f t="shared" si="21"/>
        <v>38222</v>
      </c>
      <c r="V133" s="17">
        <f t="shared" si="21"/>
        <v>5.4899999999999949</v>
      </c>
      <c r="W133" s="101"/>
      <c r="X133" s="555">
        <f t="shared" si="22"/>
        <v>4660490</v>
      </c>
      <c r="Y133" s="632">
        <f t="shared" si="22"/>
        <v>1310.18</v>
      </c>
    </row>
    <row r="134" spans="1:25" hidden="1" outlineLevel="1">
      <c r="A134" s="114">
        <v>43225</v>
      </c>
      <c r="B134" s="115">
        <f t="shared" si="16"/>
        <v>5</v>
      </c>
      <c r="C134" s="35">
        <v>286</v>
      </c>
      <c r="D134" s="36">
        <v>0</v>
      </c>
      <c r="E134" s="51">
        <v>3780977</v>
      </c>
      <c r="F134" s="52">
        <v>1048.53</v>
      </c>
      <c r="G134" s="58">
        <v>423634</v>
      </c>
      <c r="H134" s="17">
        <v>84.54</v>
      </c>
      <c r="I134" s="101"/>
      <c r="J134" s="35">
        <v>15</v>
      </c>
      <c r="K134" s="36">
        <v>0</v>
      </c>
      <c r="L134" s="51">
        <v>3574539</v>
      </c>
      <c r="M134" s="52">
        <v>1008.58</v>
      </c>
      <c r="N134" s="58">
        <v>387559</v>
      </c>
      <c r="O134" s="17">
        <v>78.81</v>
      </c>
      <c r="P134" s="101"/>
      <c r="Q134" s="35">
        <f t="shared" si="21"/>
        <v>271</v>
      </c>
      <c r="R134" s="36">
        <f t="shared" si="21"/>
        <v>0</v>
      </c>
      <c r="S134" s="51">
        <f t="shared" si="21"/>
        <v>206438</v>
      </c>
      <c r="T134" s="52">
        <f t="shared" si="21"/>
        <v>39.949999999999932</v>
      </c>
      <c r="U134" s="58">
        <f t="shared" si="21"/>
        <v>36075</v>
      </c>
      <c r="V134" s="17">
        <f t="shared" si="21"/>
        <v>5.730000000000004</v>
      </c>
      <c r="W134" s="101"/>
      <c r="X134" s="555">
        <f t="shared" si="22"/>
        <v>4204897</v>
      </c>
      <c r="Y134" s="632">
        <f t="shared" si="22"/>
        <v>1133.07</v>
      </c>
    </row>
    <row r="135" spans="1:25" hidden="1" outlineLevel="1">
      <c r="A135" s="114">
        <v>43226</v>
      </c>
      <c r="B135" s="115">
        <f t="shared" si="16"/>
        <v>5</v>
      </c>
      <c r="C135" s="35">
        <v>235</v>
      </c>
      <c r="D135" s="36">
        <v>0.01</v>
      </c>
      <c r="E135" s="51">
        <v>3763676</v>
      </c>
      <c r="F135" s="52">
        <v>1062.8</v>
      </c>
      <c r="G135" s="58">
        <v>404386</v>
      </c>
      <c r="H135" s="17">
        <v>88.84</v>
      </c>
      <c r="I135" s="101"/>
      <c r="J135" s="35">
        <v>16</v>
      </c>
      <c r="K135" s="36">
        <v>0</v>
      </c>
      <c r="L135" s="51">
        <v>3588120</v>
      </c>
      <c r="M135" s="52">
        <v>1025.54</v>
      </c>
      <c r="N135" s="58">
        <v>373326</v>
      </c>
      <c r="O135" s="17">
        <v>84.02</v>
      </c>
      <c r="P135" s="101"/>
      <c r="Q135" s="35">
        <f t="shared" si="21"/>
        <v>219</v>
      </c>
      <c r="R135" s="36">
        <f t="shared" si="21"/>
        <v>0.01</v>
      </c>
      <c r="S135" s="51">
        <f t="shared" si="21"/>
        <v>175556</v>
      </c>
      <c r="T135" s="52">
        <f t="shared" si="21"/>
        <v>37.259999999999991</v>
      </c>
      <c r="U135" s="58">
        <f t="shared" si="21"/>
        <v>31060</v>
      </c>
      <c r="V135" s="17">
        <f t="shared" si="21"/>
        <v>4.8200000000000074</v>
      </c>
      <c r="W135" s="101"/>
      <c r="X135" s="555">
        <f t="shared" si="22"/>
        <v>4168297</v>
      </c>
      <c r="Y135" s="632">
        <f t="shared" si="22"/>
        <v>1151.6499999999999</v>
      </c>
    </row>
    <row r="136" spans="1:25" hidden="1" outlineLevel="1">
      <c r="A136" s="114">
        <v>43227</v>
      </c>
      <c r="B136" s="115">
        <f t="shared" si="16"/>
        <v>5</v>
      </c>
      <c r="C136" s="35">
        <v>226</v>
      </c>
      <c r="D136" s="36">
        <v>0.01</v>
      </c>
      <c r="E136" s="51">
        <v>3412201</v>
      </c>
      <c r="F136" s="52">
        <v>1007.78</v>
      </c>
      <c r="G136" s="58">
        <v>410322</v>
      </c>
      <c r="H136" s="17">
        <v>95.46</v>
      </c>
      <c r="I136" s="101"/>
      <c r="J136" s="35">
        <v>10</v>
      </c>
      <c r="K136" s="36">
        <v>0</v>
      </c>
      <c r="L136" s="51">
        <v>3256397</v>
      </c>
      <c r="M136" s="52">
        <v>972.26</v>
      </c>
      <c r="N136" s="58">
        <v>378330</v>
      </c>
      <c r="O136" s="17">
        <v>88.82</v>
      </c>
      <c r="P136" s="101"/>
      <c r="Q136" s="35">
        <f t="shared" si="21"/>
        <v>216</v>
      </c>
      <c r="R136" s="36">
        <f t="shared" si="21"/>
        <v>0.01</v>
      </c>
      <c r="S136" s="51">
        <f t="shared" si="21"/>
        <v>155804</v>
      </c>
      <c r="T136" s="52">
        <f t="shared" si="21"/>
        <v>35.519999999999982</v>
      </c>
      <c r="U136" s="58">
        <f t="shared" si="21"/>
        <v>31992</v>
      </c>
      <c r="V136" s="17">
        <f t="shared" si="21"/>
        <v>6.6400000000000006</v>
      </c>
      <c r="W136" s="101"/>
      <c r="X136" s="555">
        <f t="shared" si="22"/>
        <v>3822749</v>
      </c>
      <c r="Y136" s="632">
        <f t="shared" si="22"/>
        <v>1103.25</v>
      </c>
    </row>
    <row r="137" spans="1:25" hidden="1" outlineLevel="1">
      <c r="A137" s="114">
        <v>43228</v>
      </c>
      <c r="B137" s="115">
        <f t="shared" si="16"/>
        <v>5</v>
      </c>
      <c r="C137" s="35">
        <v>191</v>
      </c>
      <c r="D137" s="36">
        <v>0</v>
      </c>
      <c r="E137" s="51">
        <v>3680006</v>
      </c>
      <c r="F137" s="52">
        <v>1100.3499999999999</v>
      </c>
      <c r="G137" s="58">
        <v>413571</v>
      </c>
      <c r="H137" s="17">
        <v>95.37</v>
      </c>
      <c r="I137" s="101"/>
      <c r="J137" s="35">
        <v>8</v>
      </c>
      <c r="K137" s="36">
        <v>0</v>
      </c>
      <c r="L137" s="51">
        <v>3499362</v>
      </c>
      <c r="M137" s="52">
        <v>1058.33</v>
      </c>
      <c r="N137" s="58">
        <v>379907</v>
      </c>
      <c r="O137" s="17">
        <v>88.23</v>
      </c>
      <c r="P137" s="101"/>
      <c r="Q137" s="35">
        <f t="shared" si="21"/>
        <v>183</v>
      </c>
      <c r="R137" s="36">
        <f t="shared" si="21"/>
        <v>0</v>
      </c>
      <c r="S137" s="51">
        <f t="shared" si="21"/>
        <v>180644</v>
      </c>
      <c r="T137" s="52">
        <f t="shared" si="21"/>
        <v>42.019999999999982</v>
      </c>
      <c r="U137" s="58">
        <f t="shared" si="21"/>
        <v>33664</v>
      </c>
      <c r="V137" s="17">
        <f t="shared" si="21"/>
        <v>7.1400000000000006</v>
      </c>
      <c r="W137" s="101"/>
      <c r="X137" s="555">
        <f t="shared" si="22"/>
        <v>4093768</v>
      </c>
      <c r="Y137" s="632">
        <f t="shared" si="22"/>
        <v>1195.7199999999998</v>
      </c>
    </row>
    <row r="138" spans="1:25" hidden="1" outlineLevel="1">
      <c r="A138" s="114">
        <v>43229</v>
      </c>
      <c r="B138" s="115">
        <f t="shared" si="16"/>
        <v>5</v>
      </c>
      <c r="C138" s="35">
        <v>222</v>
      </c>
      <c r="D138" s="36">
        <v>0</v>
      </c>
      <c r="E138" s="51">
        <v>3613032</v>
      </c>
      <c r="F138" s="52">
        <v>1056.78</v>
      </c>
      <c r="G138" s="58">
        <v>376903</v>
      </c>
      <c r="H138" s="17">
        <v>77.8</v>
      </c>
      <c r="I138" s="101"/>
      <c r="J138" s="35">
        <v>12</v>
      </c>
      <c r="K138" s="36">
        <v>0</v>
      </c>
      <c r="L138" s="51">
        <v>3419320</v>
      </c>
      <c r="M138" s="52">
        <v>1013.29</v>
      </c>
      <c r="N138" s="58">
        <v>344094</v>
      </c>
      <c r="O138" s="17">
        <v>71.86</v>
      </c>
      <c r="P138" s="101"/>
      <c r="Q138" s="35">
        <f t="shared" si="21"/>
        <v>210</v>
      </c>
      <c r="R138" s="36">
        <f t="shared" si="21"/>
        <v>0</v>
      </c>
      <c r="S138" s="51">
        <f t="shared" si="21"/>
        <v>193712</v>
      </c>
      <c r="T138" s="52">
        <f t="shared" si="21"/>
        <v>43.490000000000009</v>
      </c>
      <c r="U138" s="58">
        <f t="shared" si="21"/>
        <v>32809</v>
      </c>
      <c r="V138" s="17">
        <f t="shared" si="21"/>
        <v>5.9399999999999977</v>
      </c>
      <c r="W138" s="101"/>
      <c r="X138" s="555">
        <f t="shared" si="22"/>
        <v>3990157</v>
      </c>
      <c r="Y138" s="632">
        <f t="shared" si="22"/>
        <v>1134.58</v>
      </c>
    </row>
    <row r="139" spans="1:25" hidden="1" outlineLevel="1">
      <c r="A139" s="114">
        <v>43230</v>
      </c>
      <c r="B139" s="115">
        <f t="shared" si="16"/>
        <v>5</v>
      </c>
      <c r="C139" s="35">
        <v>218</v>
      </c>
      <c r="D139" s="36">
        <v>0.01</v>
      </c>
      <c r="E139" s="51">
        <v>3688324</v>
      </c>
      <c r="F139" s="52">
        <v>1005.2</v>
      </c>
      <c r="G139" s="58">
        <v>372534</v>
      </c>
      <c r="H139" s="17">
        <v>71.37</v>
      </c>
      <c r="I139" s="101"/>
      <c r="J139" s="35">
        <v>7</v>
      </c>
      <c r="K139" s="36">
        <v>0</v>
      </c>
      <c r="L139" s="51">
        <v>3477655</v>
      </c>
      <c r="M139" s="52">
        <v>960.46</v>
      </c>
      <c r="N139" s="58">
        <v>337806</v>
      </c>
      <c r="O139" s="17">
        <v>65.64</v>
      </c>
      <c r="P139" s="101"/>
      <c r="Q139" s="35">
        <f t="shared" si="21"/>
        <v>211</v>
      </c>
      <c r="R139" s="36">
        <f t="shared" si="21"/>
        <v>0.01</v>
      </c>
      <c r="S139" s="51">
        <f t="shared" si="21"/>
        <v>210669</v>
      </c>
      <c r="T139" s="52">
        <f t="shared" si="21"/>
        <v>44.740000000000009</v>
      </c>
      <c r="U139" s="58">
        <f t="shared" si="21"/>
        <v>34728</v>
      </c>
      <c r="V139" s="17">
        <f t="shared" si="21"/>
        <v>5.730000000000004</v>
      </c>
      <c r="W139" s="101"/>
      <c r="X139" s="555">
        <f t="shared" si="22"/>
        <v>4061076</v>
      </c>
      <c r="Y139" s="632">
        <f t="shared" si="22"/>
        <v>1076.58</v>
      </c>
    </row>
    <row r="140" spans="1:25" hidden="1" outlineLevel="1">
      <c r="A140" s="114">
        <v>43231</v>
      </c>
      <c r="B140" s="115">
        <f t="shared" si="16"/>
        <v>5</v>
      </c>
      <c r="C140" s="35">
        <v>205</v>
      </c>
      <c r="D140" s="36">
        <v>0.01</v>
      </c>
      <c r="E140" s="51">
        <v>4240530</v>
      </c>
      <c r="F140" s="52">
        <v>1155.1099999999999</v>
      </c>
      <c r="G140" s="58">
        <v>388220</v>
      </c>
      <c r="H140" s="17">
        <v>72.55</v>
      </c>
      <c r="I140" s="101"/>
      <c r="J140" s="35">
        <v>7</v>
      </c>
      <c r="K140" s="36">
        <v>0</v>
      </c>
      <c r="L140" s="51">
        <v>3994660</v>
      </c>
      <c r="M140" s="52">
        <v>1109.52</v>
      </c>
      <c r="N140" s="58">
        <v>349344</v>
      </c>
      <c r="O140" s="17">
        <v>66.510000000000005</v>
      </c>
      <c r="P140" s="101"/>
      <c r="Q140" s="35">
        <f t="shared" si="21"/>
        <v>198</v>
      </c>
      <c r="R140" s="36">
        <f t="shared" si="21"/>
        <v>0.01</v>
      </c>
      <c r="S140" s="51">
        <f t="shared" si="21"/>
        <v>245870</v>
      </c>
      <c r="T140" s="52">
        <f t="shared" si="21"/>
        <v>45.589999999999918</v>
      </c>
      <c r="U140" s="58">
        <f t="shared" si="21"/>
        <v>38876</v>
      </c>
      <c r="V140" s="17">
        <f t="shared" si="21"/>
        <v>6.039999999999992</v>
      </c>
      <c r="W140" s="101"/>
      <c r="X140" s="555">
        <f t="shared" si="22"/>
        <v>4628955</v>
      </c>
      <c r="Y140" s="632">
        <f t="shared" si="22"/>
        <v>1227.6699999999998</v>
      </c>
    </row>
    <row r="141" spans="1:25" hidden="1" outlineLevel="1">
      <c r="A141" s="114">
        <v>43232</v>
      </c>
      <c r="B141" s="115">
        <f t="shared" si="16"/>
        <v>5</v>
      </c>
      <c r="C141" s="35">
        <v>229</v>
      </c>
      <c r="D141" s="36">
        <v>0.01</v>
      </c>
      <c r="E141" s="51">
        <v>4164389</v>
      </c>
      <c r="F141" s="52">
        <v>1089.93</v>
      </c>
      <c r="G141" s="58">
        <v>718320</v>
      </c>
      <c r="H141" s="17">
        <v>127.64</v>
      </c>
      <c r="I141" s="101"/>
      <c r="J141" s="35">
        <v>5</v>
      </c>
      <c r="K141" s="36">
        <v>0</v>
      </c>
      <c r="L141" s="51">
        <v>3907056</v>
      </c>
      <c r="M141" s="52">
        <v>1045.83</v>
      </c>
      <c r="N141" s="58">
        <v>663640</v>
      </c>
      <c r="O141" s="17">
        <v>119.1</v>
      </c>
      <c r="P141" s="101"/>
      <c r="Q141" s="35">
        <f t="shared" si="21"/>
        <v>224</v>
      </c>
      <c r="R141" s="36">
        <f t="shared" si="21"/>
        <v>0.01</v>
      </c>
      <c r="S141" s="51">
        <f t="shared" si="21"/>
        <v>257333</v>
      </c>
      <c r="T141" s="52">
        <f t="shared" si="21"/>
        <v>44.100000000000136</v>
      </c>
      <c r="U141" s="58">
        <f t="shared" si="21"/>
        <v>54680</v>
      </c>
      <c r="V141" s="17">
        <f t="shared" si="21"/>
        <v>8.5400000000000063</v>
      </c>
      <c r="W141" s="101"/>
      <c r="X141" s="555">
        <f t="shared" si="22"/>
        <v>4882938</v>
      </c>
      <c r="Y141" s="632">
        <f t="shared" si="22"/>
        <v>1217.5800000000002</v>
      </c>
    </row>
    <row r="142" spans="1:25" hidden="1" outlineLevel="1">
      <c r="A142" s="114">
        <v>43233</v>
      </c>
      <c r="B142" s="115">
        <f t="shared" si="16"/>
        <v>5</v>
      </c>
      <c r="C142" s="35">
        <v>303</v>
      </c>
      <c r="D142" s="36">
        <v>0</v>
      </c>
      <c r="E142" s="51">
        <v>3690424</v>
      </c>
      <c r="F142" s="52">
        <v>945.45</v>
      </c>
      <c r="G142" s="58">
        <v>542564</v>
      </c>
      <c r="H142" s="17">
        <v>98.73</v>
      </c>
      <c r="I142" s="101"/>
      <c r="J142" s="35">
        <v>9</v>
      </c>
      <c r="K142" s="36">
        <v>0</v>
      </c>
      <c r="L142" s="51">
        <v>3506878</v>
      </c>
      <c r="M142" s="52">
        <v>910.84</v>
      </c>
      <c r="N142" s="58">
        <v>501766</v>
      </c>
      <c r="O142" s="17">
        <v>91.54</v>
      </c>
      <c r="P142" s="101"/>
      <c r="Q142" s="35">
        <f t="shared" si="21"/>
        <v>294</v>
      </c>
      <c r="R142" s="36">
        <f t="shared" si="21"/>
        <v>0</v>
      </c>
      <c r="S142" s="51">
        <f t="shared" si="21"/>
        <v>183546</v>
      </c>
      <c r="T142" s="52">
        <f t="shared" si="21"/>
        <v>34.610000000000014</v>
      </c>
      <c r="U142" s="58">
        <f t="shared" si="21"/>
        <v>40798</v>
      </c>
      <c r="V142" s="17">
        <f t="shared" si="21"/>
        <v>7.1899999999999977</v>
      </c>
      <c r="W142" s="101"/>
      <c r="X142" s="555">
        <f t="shared" si="22"/>
        <v>4233291</v>
      </c>
      <c r="Y142" s="632">
        <f t="shared" si="22"/>
        <v>1044.18</v>
      </c>
    </row>
    <row r="143" spans="1:25" hidden="1" outlineLevel="1">
      <c r="A143" s="114">
        <v>43234</v>
      </c>
      <c r="B143" s="115">
        <f t="shared" si="16"/>
        <v>5</v>
      </c>
      <c r="C143" s="35">
        <v>182</v>
      </c>
      <c r="D143" s="36">
        <v>0.01</v>
      </c>
      <c r="E143" s="51">
        <v>3466386</v>
      </c>
      <c r="F143" s="52">
        <v>996.39</v>
      </c>
      <c r="G143" s="58">
        <v>472762</v>
      </c>
      <c r="H143" s="17">
        <v>94.98</v>
      </c>
      <c r="I143" s="101"/>
      <c r="J143" s="35">
        <v>5</v>
      </c>
      <c r="K143" s="36">
        <v>0</v>
      </c>
      <c r="L143" s="51">
        <v>3289863</v>
      </c>
      <c r="M143" s="52">
        <v>955.77</v>
      </c>
      <c r="N143" s="58">
        <v>428882</v>
      </c>
      <c r="O143" s="17">
        <v>86.46</v>
      </c>
      <c r="P143" s="101"/>
      <c r="Q143" s="35">
        <f t="shared" si="21"/>
        <v>177</v>
      </c>
      <c r="R143" s="36">
        <f t="shared" si="21"/>
        <v>0.01</v>
      </c>
      <c r="S143" s="51">
        <f t="shared" si="21"/>
        <v>176523</v>
      </c>
      <c r="T143" s="52">
        <f t="shared" si="21"/>
        <v>40.620000000000005</v>
      </c>
      <c r="U143" s="58">
        <f t="shared" si="21"/>
        <v>43880</v>
      </c>
      <c r="V143" s="17">
        <f t="shared" si="21"/>
        <v>8.5200000000000102</v>
      </c>
      <c r="W143" s="101"/>
      <c r="X143" s="555">
        <f t="shared" si="22"/>
        <v>3939330</v>
      </c>
      <c r="Y143" s="632">
        <f t="shared" si="22"/>
        <v>1091.3799999999999</v>
      </c>
    </row>
    <row r="144" spans="1:25" hidden="1" outlineLevel="1">
      <c r="A144" s="114">
        <v>43235</v>
      </c>
      <c r="B144" s="115">
        <f t="shared" si="16"/>
        <v>5</v>
      </c>
      <c r="C144" s="35">
        <v>209</v>
      </c>
      <c r="D144" s="36">
        <v>0</v>
      </c>
      <c r="E144" s="51">
        <v>2723963</v>
      </c>
      <c r="F144" s="52">
        <v>896.95</v>
      </c>
      <c r="G144" s="58">
        <v>487322</v>
      </c>
      <c r="H144" s="17">
        <v>103.51</v>
      </c>
      <c r="I144" s="101"/>
      <c r="J144" s="35">
        <v>7</v>
      </c>
      <c r="K144" s="36">
        <v>0</v>
      </c>
      <c r="L144" s="51">
        <v>2540819</v>
      </c>
      <c r="M144" s="52">
        <v>858.58</v>
      </c>
      <c r="N144" s="58">
        <v>440173</v>
      </c>
      <c r="O144" s="17">
        <v>95.73</v>
      </c>
      <c r="P144" s="101"/>
      <c r="Q144" s="35">
        <f t="shared" si="21"/>
        <v>202</v>
      </c>
      <c r="R144" s="36">
        <f t="shared" si="21"/>
        <v>0</v>
      </c>
      <c r="S144" s="51">
        <f t="shared" si="21"/>
        <v>183144</v>
      </c>
      <c r="T144" s="52">
        <f t="shared" si="21"/>
        <v>38.370000000000005</v>
      </c>
      <c r="U144" s="58">
        <f t="shared" si="21"/>
        <v>47149</v>
      </c>
      <c r="V144" s="17">
        <f t="shared" si="21"/>
        <v>7.7800000000000011</v>
      </c>
      <c r="W144" s="101"/>
      <c r="X144" s="555">
        <f t="shared" si="22"/>
        <v>3211494</v>
      </c>
      <c r="Y144" s="632">
        <f t="shared" si="22"/>
        <v>1000.46</v>
      </c>
    </row>
    <row r="145" spans="1:25" hidden="1" outlineLevel="1">
      <c r="A145" s="114">
        <v>43236</v>
      </c>
      <c r="B145" s="115">
        <f t="shared" si="16"/>
        <v>5</v>
      </c>
      <c r="C145" s="35">
        <v>253</v>
      </c>
      <c r="D145" s="36">
        <v>0.01</v>
      </c>
      <c r="E145" s="51">
        <v>3012310</v>
      </c>
      <c r="F145" s="52">
        <v>982.2</v>
      </c>
      <c r="G145" s="58">
        <v>425618</v>
      </c>
      <c r="H145" s="17">
        <v>90.67</v>
      </c>
      <c r="I145" s="101"/>
      <c r="J145" s="35">
        <v>10</v>
      </c>
      <c r="K145" s="36">
        <v>0</v>
      </c>
      <c r="L145" s="51">
        <v>2819332</v>
      </c>
      <c r="M145" s="52">
        <v>940.11</v>
      </c>
      <c r="N145" s="58">
        <v>383486</v>
      </c>
      <c r="O145" s="17">
        <v>82.71</v>
      </c>
      <c r="P145" s="101"/>
      <c r="Q145" s="35">
        <f t="shared" si="21"/>
        <v>243</v>
      </c>
      <c r="R145" s="36">
        <f t="shared" si="21"/>
        <v>0.01</v>
      </c>
      <c r="S145" s="51">
        <f t="shared" si="21"/>
        <v>192978</v>
      </c>
      <c r="T145" s="52">
        <f t="shared" si="21"/>
        <v>42.090000000000032</v>
      </c>
      <c r="U145" s="58">
        <f t="shared" si="21"/>
        <v>42132</v>
      </c>
      <c r="V145" s="17">
        <f t="shared" si="21"/>
        <v>7.960000000000008</v>
      </c>
      <c r="W145" s="101"/>
      <c r="X145" s="555">
        <f t="shared" si="22"/>
        <v>3438181</v>
      </c>
      <c r="Y145" s="632">
        <f t="shared" si="22"/>
        <v>1072.8800000000001</v>
      </c>
    </row>
    <row r="146" spans="1:25" hidden="1" outlineLevel="1">
      <c r="A146" s="114">
        <v>43237</v>
      </c>
      <c r="B146" s="115">
        <f t="shared" si="16"/>
        <v>5</v>
      </c>
      <c r="C146" s="35">
        <v>231</v>
      </c>
      <c r="D146" s="36">
        <v>0</v>
      </c>
      <c r="E146" s="51">
        <v>2957328</v>
      </c>
      <c r="F146" s="52">
        <v>981.54</v>
      </c>
      <c r="G146" s="58">
        <v>367143</v>
      </c>
      <c r="H146" s="17">
        <v>75.98</v>
      </c>
      <c r="I146" s="101"/>
      <c r="J146" s="35">
        <v>13</v>
      </c>
      <c r="K146" s="36">
        <v>0</v>
      </c>
      <c r="L146" s="51">
        <v>2755147</v>
      </c>
      <c r="M146" s="52">
        <v>938.75</v>
      </c>
      <c r="N146" s="58">
        <v>326309</v>
      </c>
      <c r="O146" s="17">
        <v>68.31</v>
      </c>
      <c r="P146" s="101"/>
      <c r="Q146" s="35">
        <f t="shared" si="21"/>
        <v>218</v>
      </c>
      <c r="R146" s="36">
        <f t="shared" si="21"/>
        <v>0</v>
      </c>
      <c r="S146" s="51">
        <f t="shared" si="21"/>
        <v>202181</v>
      </c>
      <c r="T146" s="52">
        <f t="shared" si="21"/>
        <v>42.789999999999964</v>
      </c>
      <c r="U146" s="58">
        <f t="shared" si="21"/>
        <v>40834</v>
      </c>
      <c r="V146" s="17">
        <f t="shared" si="21"/>
        <v>7.6700000000000017</v>
      </c>
      <c r="W146" s="101"/>
      <c r="X146" s="555">
        <f t="shared" si="22"/>
        <v>3324702</v>
      </c>
      <c r="Y146" s="632">
        <f t="shared" si="22"/>
        <v>1057.52</v>
      </c>
    </row>
    <row r="147" spans="1:25" hidden="1" outlineLevel="1">
      <c r="A147" s="114">
        <v>43238</v>
      </c>
      <c r="B147" s="115">
        <f t="shared" si="16"/>
        <v>5</v>
      </c>
      <c r="C147" s="35">
        <v>287</v>
      </c>
      <c r="D147" s="36">
        <v>0.01</v>
      </c>
      <c r="E147" s="51">
        <v>4804467</v>
      </c>
      <c r="F147" s="52">
        <v>1407.25</v>
      </c>
      <c r="G147" s="58">
        <v>482742</v>
      </c>
      <c r="H147" s="17">
        <v>85.3</v>
      </c>
      <c r="I147" s="101"/>
      <c r="J147" s="35">
        <v>4</v>
      </c>
      <c r="K147" s="36">
        <v>0</v>
      </c>
      <c r="L147" s="51">
        <v>4552584</v>
      </c>
      <c r="M147" s="52">
        <v>1353.52</v>
      </c>
      <c r="N147" s="58">
        <v>437909</v>
      </c>
      <c r="O147" s="17">
        <v>77.86</v>
      </c>
      <c r="P147" s="101"/>
      <c r="Q147" s="35">
        <f t="shared" si="21"/>
        <v>283</v>
      </c>
      <c r="R147" s="36">
        <f t="shared" si="21"/>
        <v>0.01</v>
      </c>
      <c r="S147" s="51">
        <f t="shared" si="21"/>
        <v>251883</v>
      </c>
      <c r="T147" s="52">
        <f t="shared" si="21"/>
        <v>53.730000000000018</v>
      </c>
      <c r="U147" s="58">
        <f t="shared" si="21"/>
        <v>44833</v>
      </c>
      <c r="V147" s="17">
        <f t="shared" si="21"/>
        <v>7.4399999999999977</v>
      </c>
      <c r="W147" s="101"/>
      <c r="X147" s="555">
        <f t="shared" si="22"/>
        <v>5287496</v>
      </c>
      <c r="Y147" s="632">
        <f t="shared" si="22"/>
        <v>1492.56</v>
      </c>
    </row>
    <row r="148" spans="1:25" hidden="1" outlineLevel="1">
      <c r="A148" s="114">
        <v>43239</v>
      </c>
      <c r="B148" s="115">
        <f t="shared" si="16"/>
        <v>5</v>
      </c>
      <c r="C148" s="35">
        <v>226</v>
      </c>
      <c r="D148" s="36">
        <v>0</v>
      </c>
      <c r="E148" s="51">
        <v>4391575</v>
      </c>
      <c r="F148" s="52">
        <v>1270.4100000000001</v>
      </c>
      <c r="G148" s="58">
        <v>552248</v>
      </c>
      <c r="H148" s="17">
        <v>94.52</v>
      </c>
      <c r="I148" s="101"/>
      <c r="J148" s="35">
        <v>7</v>
      </c>
      <c r="K148" s="36">
        <v>0</v>
      </c>
      <c r="L148" s="51">
        <v>4189842</v>
      </c>
      <c r="M148" s="52">
        <v>1217.3499999999999</v>
      </c>
      <c r="N148" s="58">
        <v>504503</v>
      </c>
      <c r="O148" s="17">
        <v>85</v>
      </c>
      <c r="P148" s="101"/>
      <c r="Q148" s="35">
        <f t="shared" si="21"/>
        <v>219</v>
      </c>
      <c r="R148" s="36">
        <f t="shared" si="21"/>
        <v>0</v>
      </c>
      <c r="S148" s="51">
        <f t="shared" si="21"/>
        <v>201733</v>
      </c>
      <c r="T148" s="52">
        <f t="shared" si="21"/>
        <v>53.060000000000173</v>
      </c>
      <c r="U148" s="58">
        <f t="shared" si="21"/>
        <v>47745</v>
      </c>
      <c r="V148" s="17">
        <f t="shared" si="21"/>
        <v>9.519999999999996</v>
      </c>
      <c r="W148" s="101"/>
      <c r="X148" s="555">
        <f t="shared" si="22"/>
        <v>4944049</v>
      </c>
      <c r="Y148" s="632">
        <f t="shared" si="22"/>
        <v>1364.93</v>
      </c>
    </row>
    <row r="149" spans="1:25" hidden="1" outlineLevel="1">
      <c r="A149" s="114">
        <v>43240</v>
      </c>
      <c r="B149" s="115">
        <f t="shared" si="16"/>
        <v>5</v>
      </c>
      <c r="C149" s="35">
        <v>222</v>
      </c>
      <c r="D149" s="36">
        <v>0.01</v>
      </c>
      <c r="E149" s="51">
        <v>2676302</v>
      </c>
      <c r="F149" s="52">
        <v>790.19</v>
      </c>
      <c r="G149" s="58">
        <v>621006</v>
      </c>
      <c r="H149" s="17">
        <v>114.04</v>
      </c>
      <c r="I149" s="101"/>
      <c r="J149" s="35">
        <v>14</v>
      </c>
      <c r="K149" s="36">
        <v>0</v>
      </c>
      <c r="L149" s="51">
        <v>2527328</v>
      </c>
      <c r="M149" s="52">
        <v>746.52</v>
      </c>
      <c r="N149" s="58">
        <v>570252</v>
      </c>
      <c r="O149" s="17">
        <v>104.89</v>
      </c>
      <c r="P149" s="101"/>
      <c r="Q149" s="35">
        <f t="shared" si="21"/>
        <v>208</v>
      </c>
      <c r="R149" s="36">
        <f t="shared" si="21"/>
        <v>0.01</v>
      </c>
      <c r="S149" s="51">
        <f t="shared" si="21"/>
        <v>148974</v>
      </c>
      <c r="T149" s="52">
        <f t="shared" si="21"/>
        <v>43.670000000000073</v>
      </c>
      <c r="U149" s="58">
        <f t="shared" si="21"/>
        <v>50754</v>
      </c>
      <c r="V149" s="17">
        <f t="shared" si="21"/>
        <v>9.1500000000000057</v>
      </c>
      <c r="W149" s="101"/>
      <c r="X149" s="555">
        <f t="shared" si="22"/>
        <v>3297530</v>
      </c>
      <c r="Y149" s="632">
        <f t="shared" si="22"/>
        <v>904.24</v>
      </c>
    </row>
    <row r="150" spans="1:25" hidden="1" outlineLevel="1">
      <c r="A150" s="114">
        <v>43241</v>
      </c>
      <c r="B150" s="115">
        <f t="shared" si="16"/>
        <v>5</v>
      </c>
      <c r="C150" s="35">
        <v>211</v>
      </c>
      <c r="D150" s="36">
        <v>0</v>
      </c>
      <c r="E150" s="51">
        <v>2419919</v>
      </c>
      <c r="F150" s="52">
        <v>823.1</v>
      </c>
      <c r="G150" s="58">
        <v>426980</v>
      </c>
      <c r="H150" s="17">
        <v>87.92</v>
      </c>
      <c r="I150" s="101"/>
      <c r="J150" s="35">
        <v>8</v>
      </c>
      <c r="K150" s="36">
        <v>0</v>
      </c>
      <c r="L150" s="51">
        <v>2288484</v>
      </c>
      <c r="M150" s="52">
        <v>786.5</v>
      </c>
      <c r="N150" s="58">
        <v>382996</v>
      </c>
      <c r="O150" s="17">
        <v>79.569999999999993</v>
      </c>
      <c r="P150" s="101"/>
      <c r="Q150" s="35">
        <f t="shared" si="21"/>
        <v>203</v>
      </c>
      <c r="R150" s="36">
        <f t="shared" si="21"/>
        <v>0</v>
      </c>
      <c r="S150" s="51">
        <f t="shared" si="21"/>
        <v>131435</v>
      </c>
      <c r="T150" s="52">
        <f t="shared" si="21"/>
        <v>36.600000000000023</v>
      </c>
      <c r="U150" s="58">
        <f t="shared" si="21"/>
        <v>43984</v>
      </c>
      <c r="V150" s="17">
        <f t="shared" si="21"/>
        <v>8.3500000000000085</v>
      </c>
      <c r="W150" s="101"/>
      <c r="X150" s="555">
        <f t="shared" si="22"/>
        <v>2847110</v>
      </c>
      <c r="Y150" s="632">
        <f t="shared" si="22"/>
        <v>911.02</v>
      </c>
    </row>
    <row r="151" spans="1:25" hidden="1" outlineLevel="1">
      <c r="A151" s="114">
        <v>43242</v>
      </c>
      <c r="B151" s="115">
        <f t="shared" si="16"/>
        <v>5</v>
      </c>
      <c r="C151" s="35">
        <v>208</v>
      </c>
      <c r="D151" s="36">
        <v>0</v>
      </c>
      <c r="E151" s="51">
        <v>2537529</v>
      </c>
      <c r="F151" s="52">
        <v>859.44</v>
      </c>
      <c r="G151" s="58">
        <v>408824</v>
      </c>
      <c r="H151" s="17">
        <v>85.76</v>
      </c>
      <c r="I151" s="101"/>
      <c r="J151" s="35">
        <v>14</v>
      </c>
      <c r="K151" s="36">
        <v>0</v>
      </c>
      <c r="L151" s="51">
        <v>2396626</v>
      </c>
      <c r="M151" s="52">
        <v>818.37</v>
      </c>
      <c r="N151" s="58">
        <v>365104</v>
      </c>
      <c r="O151" s="17">
        <v>76.540000000000006</v>
      </c>
      <c r="P151" s="101"/>
      <c r="Q151" s="35">
        <f t="shared" si="21"/>
        <v>194</v>
      </c>
      <c r="R151" s="36">
        <f t="shared" si="21"/>
        <v>0</v>
      </c>
      <c r="S151" s="51">
        <f t="shared" si="21"/>
        <v>140903</v>
      </c>
      <c r="T151" s="52">
        <f t="shared" si="21"/>
        <v>41.07000000000005</v>
      </c>
      <c r="U151" s="58">
        <f t="shared" si="21"/>
        <v>43720</v>
      </c>
      <c r="V151" s="17">
        <f t="shared" si="21"/>
        <v>9.2199999999999989</v>
      </c>
      <c r="W151" s="101"/>
      <c r="X151" s="555">
        <f t="shared" si="22"/>
        <v>2946561</v>
      </c>
      <c r="Y151" s="632">
        <f t="shared" si="22"/>
        <v>945.2</v>
      </c>
    </row>
    <row r="152" spans="1:25" hidden="1" outlineLevel="1">
      <c r="A152" s="114">
        <v>43243</v>
      </c>
      <c r="B152" s="115">
        <f t="shared" si="16"/>
        <v>5</v>
      </c>
      <c r="C152" s="35">
        <v>197</v>
      </c>
      <c r="D152" s="36">
        <v>0</v>
      </c>
      <c r="E152" s="51">
        <v>2530479</v>
      </c>
      <c r="F152" s="52">
        <v>829.35</v>
      </c>
      <c r="G152" s="58">
        <v>490558</v>
      </c>
      <c r="H152" s="17">
        <v>93.05</v>
      </c>
      <c r="I152" s="101"/>
      <c r="J152" s="35">
        <v>12</v>
      </c>
      <c r="K152" s="36">
        <v>0</v>
      </c>
      <c r="L152" s="51">
        <v>2346476</v>
      </c>
      <c r="M152" s="52">
        <v>783.45</v>
      </c>
      <c r="N152" s="58">
        <v>442680</v>
      </c>
      <c r="O152" s="17">
        <v>83.45</v>
      </c>
      <c r="P152" s="101"/>
      <c r="Q152" s="35">
        <f t="shared" si="21"/>
        <v>185</v>
      </c>
      <c r="R152" s="36">
        <f t="shared" si="21"/>
        <v>0</v>
      </c>
      <c r="S152" s="51">
        <f t="shared" si="21"/>
        <v>184003</v>
      </c>
      <c r="T152" s="52">
        <f t="shared" si="21"/>
        <v>45.899999999999977</v>
      </c>
      <c r="U152" s="58">
        <f t="shared" si="21"/>
        <v>47878</v>
      </c>
      <c r="V152" s="17">
        <f t="shared" si="21"/>
        <v>9.5999999999999943</v>
      </c>
      <c r="W152" s="101"/>
      <c r="X152" s="555">
        <f t="shared" si="22"/>
        <v>3021234</v>
      </c>
      <c r="Y152" s="632">
        <f t="shared" si="22"/>
        <v>922.4</v>
      </c>
    </row>
    <row r="153" spans="1:25" hidden="1" outlineLevel="1">
      <c r="A153" s="114">
        <v>43244</v>
      </c>
      <c r="B153" s="115">
        <f t="shared" si="16"/>
        <v>5</v>
      </c>
      <c r="C153" s="35">
        <v>206</v>
      </c>
      <c r="D153" s="36">
        <v>0.01</v>
      </c>
      <c r="E153" s="51">
        <v>2785408</v>
      </c>
      <c r="F153" s="52">
        <v>916.98</v>
      </c>
      <c r="G153" s="58">
        <v>453169</v>
      </c>
      <c r="H153" s="17">
        <v>88.26</v>
      </c>
      <c r="I153" s="101"/>
      <c r="J153" s="35">
        <v>5</v>
      </c>
      <c r="K153" s="36">
        <v>0</v>
      </c>
      <c r="L153" s="51">
        <v>2586496</v>
      </c>
      <c r="M153" s="52">
        <v>870.71</v>
      </c>
      <c r="N153" s="58">
        <v>406732</v>
      </c>
      <c r="O153" s="17">
        <v>80.09</v>
      </c>
      <c r="P153" s="101"/>
      <c r="Q153" s="35">
        <f t="shared" si="21"/>
        <v>201</v>
      </c>
      <c r="R153" s="36">
        <f t="shared" si="21"/>
        <v>0.01</v>
      </c>
      <c r="S153" s="51">
        <f t="shared" si="21"/>
        <v>198912</v>
      </c>
      <c r="T153" s="52">
        <f t="shared" si="21"/>
        <v>46.269999999999982</v>
      </c>
      <c r="U153" s="58">
        <f t="shared" si="21"/>
        <v>46437</v>
      </c>
      <c r="V153" s="17">
        <f t="shared" si="21"/>
        <v>8.1700000000000017</v>
      </c>
      <c r="W153" s="101"/>
      <c r="X153" s="555">
        <f t="shared" si="22"/>
        <v>3238783</v>
      </c>
      <c r="Y153" s="632">
        <f t="shared" si="22"/>
        <v>1005.25</v>
      </c>
    </row>
    <row r="154" spans="1:25" hidden="1" outlineLevel="1">
      <c r="A154" s="114">
        <v>43245</v>
      </c>
      <c r="B154" s="115">
        <f t="shared" si="16"/>
        <v>5</v>
      </c>
      <c r="C154" s="35">
        <v>247</v>
      </c>
      <c r="D154" s="36">
        <v>0</v>
      </c>
      <c r="E154" s="51">
        <v>3836853</v>
      </c>
      <c r="F154" s="52">
        <v>1218.6400000000001</v>
      </c>
      <c r="G154" s="58">
        <v>569646</v>
      </c>
      <c r="H154" s="17">
        <v>108.64</v>
      </c>
      <c r="I154" s="101"/>
      <c r="J154" s="35">
        <v>9</v>
      </c>
      <c r="K154" s="36">
        <v>0</v>
      </c>
      <c r="L154" s="51">
        <v>3622104</v>
      </c>
      <c r="M154" s="52">
        <v>1163.9000000000001</v>
      </c>
      <c r="N154" s="58">
        <v>520249</v>
      </c>
      <c r="O154" s="17">
        <v>101.77</v>
      </c>
      <c r="P154" s="101"/>
      <c r="Q154" s="35">
        <f t="shared" si="21"/>
        <v>238</v>
      </c>
      <c r="R154" s="36">
        <f t="shared" si="21"/>
        <v>0</v>
      </c>
      <c r="S154" s="51">
        <f t="shared" si="21"/>
        <v>214749</v>
      </c>
      <c r="T154" s="52">
        <f t="shared" si="21"/>
        <v>54.740000000000009</v>
      </c>
      <c r="U154" s="58">
        <f t="shared" si="21"/>
        <v>49397</v>
      </c>
      <c r="V154" s="17">
        <f t="shared" si="21"/>
        <v>6.8700000000000045</v>
      </c>
      <c r="W154" s="101"/>
      <c r="X154" s="555">
        <f t="shared" si="22"/>
        <v>4406746</v>
      </c>
      <c r="Y154" s="632">
        <f t="shared" si="22"/>
        <v>1327.2800000000002</v>
      </c>
    </row>
    <row r="155" spans="1:25" hidden="1" outlineLevel="1">
      <c r="A155" s="114">
        <v>43246</v>
      </c>
      <c r="B155" s="115">
        <f t="shared" si="16"/>
        <v>5</v>
      </c>
      <c r="C155" s="35">
        <v>265</v>
      </c>
      <c r="D155" s="36">
        <v>0.01</v>
      </c>
      <c r="E155" s="51">
        <v>4080584</v>
      </c>
      <c r="F155" s="52">
        <v>1289.23</v>
      </c>
      <c r="G155" s="58">
        <v>631966</v>
      </c>
      <c r="H155" s="17">
        <v>124.99</v>
      </c>
      <c r="I155" s="101"/>
      <c r="J155" s="35">
        <v>13</v>
      </c>
      <c r="K155" s="36">
        <v>0</v>
      </c>
      <c r="L155" s="51">
        <v>3850401</v>
      </c>
      <c r="M155" s="52">
        <v>1236.32</v>
      </c>
      <c r="N155" s="58">
        <v>578317</v>
      </c>
      <c r="O155" s="17">
        <v>115.2</v>
      </c>
      <c r="P155" s="101"/>
      <c r="Q155" s="35">
        <f t="shared" si="21"/>
        <v>252</v>
      </c>
      <c r="R155" s="36">
        <f t="shared" si="21"/>
        <v>0.01</v>
      </c>
      <c r="S155" s="51">
        <f t="shared" si="21"/>
        <v>230183</v>
      </c>
      <c r="T155" s="52">
        <f t="shared" si="21"/>
        <v>52.910000000000082</v>
      </c>
      <c r="U155" s="58">
        <f t="shared" si="21"/>
        <v>53649</v>
      </c>
      <c r="V155" s="17">
        <f t="shared" si="21"/>
        <v>9.789999999999992</v>
      </c>
      <c r="W155" s="101"/>
      <c r="X155" s="555">
        <f t="shared" si="22"/>
        <v>4712815</v>
      </c>
      <c r="Y155" s="632">
        <f t="shared" si="22"/>
        <v>1414.23</v>
      </c>
    </row>
    <row r="156" spans="1:25" hidden="1" outlineLevel="1">
      <c r="A156" s="114">
        <v>43247</v>
      </c>
      <c r="B156" s="115">
        <f t="shared" si="16"/>
        <v>5</v>
      </c>
      <c r="C156" s="35">
        <v>237</v>
      </c>
      <c r="D156" s="36">
        <v>0.01</v>
      </c>
      <c r="E156" s="51">
        <v>2761296</v>
      </c>
      <c r="F156" s="52">
        <v>997.61</v>
      </c>
      <c r="G156" s="58">
        <v>672765</v>
      </c>
      <c r="H156" s="17">
        <v>152.38</v>
      </c>
      <c r="I156" s="101"/>
      <c r="J156" s="35">
        <v>14</v>
      </c>
      <c r="K156" s="36">
        <v>0</v>
      </c>
      <c r="L156" s="51">
        <v>2563766</v>
      </c>
      <c r="M156" s="52">
        <v>943.13</v>
      </c>
      <c r="N156" s="58">
        <v>613469</v>
      </c>
      <c r="O156" s="17">
        <v>142.51</v>
      </c>
      <c r="P156" s="101"/>
      <c r="Q156" s="35">
        <f t="shared" si="21"/>
        <v>223</v>
      </c>
      <c r="R156" s="36">
        <f t="shared" si="21"/>
        <v>0.01</v>
      </c>
      <c r="S156" s="51">
        <f t="shared" si="21"/>
        <v>197530</v>
      </c>
      <c r="T156" s="52">
        <f t="shared" si="21"/>
        <v>54.480000000000018</v>
      </c>
      <c r="U156" s="58">
        <f t="shared" si="21"/>
        <v>59296</v>
      </c>
      <c r="V156" s="17">
        <f t="shared" si="21"/>
        <v>9.8700000000000045</v>
      </c>
      <c r="W156" s="101"/>
      <c r="X156" s="555">
        <f t="shared" si="22"/>
        <v>3434298</v>
      </c>
      <c r="Y156" s="632">
        <f t="shared" si="22"/>
        <v>1150</v>
      </c>
    </row>
    <row r="157" spans="1:25" hidden="1" outlineLevel="1">
      <c r="A157" s="114">
        <v>43248</v>
      </c>
      <c r="B157" s="115">
        <f t="shared" si="16"/>
        <v>5</v>
      </c>
      <c r="C157" s="35">
        <v>220</v>
      </c>
      <c r="D157" s="36">
        <v>0.02</v>
      </c>
      <c r="E157" s="51">
        <v>3817556</v>
      </c>
      <c r="F157" s="52">
        <v>1306.8</v>
      </c>
      <c r="G157" s="58">
        <v>599314</v>
      </c>
      <c r="H157" s="17">
        <v>132.47</v>
      </c>
      <c r="I157" s="101"/>
      <c r="J157" s="35">
        <v>11</v>
      </c>
      <c r="K157" s="36">
        <v>0</v>
      </c>
      <c r="L157" s="51">
        <v>3663814</v>
      </c>
      <c r="M157" s="52">
        <v>1253.08</v>
      </c>
      <c r="N157" s="58">
        <v>549376</v>
      </c>
      <c r="O157" s="17">
        <v>123.84</v>
      </c>
      <c r="P157" s="101"/>
      <c r="Q157" s="35">
        <f t="shared" si="21"/>
        <v>209</v>
      </c>
      <c r="R157" s="36">
        <f t="shared" si="21"/>
        <v>0.02</v>
      </c>
      <c r="S157" s="51">
        <f t="shared" si="21"/>
        <v>153742</v>
      </c>
      <c r="T157" s="52">
        <f t="shared" si="21"/>
        <v>53.720000000000027</v>
      </c>
      <c r="U157" s="58">
        <f t="shared" si="21"/>
        <v>49938</v>
      </c>
      <c r="V157" s="17">
        <f t="shared" si="21"/>
        <v>8.6299999999999955</v>
      </c>
      <c r="W157" s="101"/>
      <c r="X157" s="555">
        <f t="shared" si="22"/>
        <v>4417090</v>
      </c>
      <c r="Y157" s="632">
        <f t="shared" si="22"/>
        <v>1439.29</v>
      </c>
    </row>
    <row r="158" spans="1:25" hidden="1" outlineLevel="1">
      <c r="A158" s="114">
        <v>43249</v>
      </c>
      <c r="B158" s="115">
        <f t="shared" si="16"/>
        <v>5</v>
      </c>
      <c r="C158" s="35">
        <v>213</v>
      </c>
      <c r="D158" s="36">
        <v>0.01</v>
      </c>
      <c r="E158" s="51">
        <v>2570683</v>
      </c>
      <c r="F158" s="52">
        <v>866.77</v>
      </c>
      <c r="G158" s="58">
        <v>379644</v>
      </c>
      <c r="H158" s="17">
        <v>79.849999999999994</v>
      </c>
      <c r="I158" s="101"/>
      <c r="J158" s="35">
        <v>9</v>
      </c>
      <c r="K158" s="36">
        <v>0</v>
      </c>
      <c r="L158" s="51">
        <v>2393686</v>
      </c>
      <c r="M158" s="52">
        <v>814.61</v>
      </c>
      <c r="N158" s="58">
        <v>335902</v>
      </c>
      <c r="O158" s="17">
        <v>71.33</v>
      </c>
      <c r="P158" s="101"/>
      <c r="Q158" s="35">
        <f t="shared" si="21"/>
        <v>204</v>
      </c>
      <c r="R158" s="36">
        <f t="shared" si="21"/>
        <v>0.01</v>
      </c>
      <c r="S158" s="51">
        <f t="shared" si="21"/>
        <v>176997</v>
      </c>
      <c r="T158" s="52">
        <f t="shared" si="21"/>
        <v>52.159999999999968</v>
      </c>
      <c r="U158" s="58">
        <f t="shared" si="21"/>
        <v>43742</v>
      </c>
      <c r="V158" s="17">
        <f t="shared" si="21"/>
        <v>8.519999999999996</v>
      </c>
      <c r="W158" s="101"/>
      <c r="X158" s="555">
        <f t="shared" si="22"/>
        <v>2950540</v>
      </c>
      <c r="Y158" s="632">
        <f t="shared" si="22"/>
        <v>946.63</v>
      </c>
    </row>
    <row r="159" spans="1:25" hidden="1" outlineLevel="1">
      <c r="A159" s="114">
        <v>43250</v>
      </c>
      <c r="B159" s="115">
        <f t="shared" ref="B159:B225" si="23">MONTH(A159)</f>
        <v>5</v>
      </c>
      <c r="C159" s="35">
        <v>219</v>
      </c>
      <c r="D159" s="36">
        <v>0.01</v>
      </c>
      <c r="E159" s="51">
        <v>2399278</v>
      </c>
      <c r="F159" s="52">
        <v>811.62</v>
      </c>
      <c r="G159" s="58">
        <v>414183</v>
      </c>
      <c r="H159" s="17">
        <v>92.86</v>
      </c>
      <c r="I159" s="101"/>
      <c r="J159" s="35">
        <v>8</v>
      </c>
      <c r="K159" s="36">
        <v>0</v>
      </c>
      <c r="L159" s="51">
        <v>2208036</v>
      </c>
      <c r="M159" s="52">
        <v>755.36</v>
      </c>
      <c r="N159" s="58">
        <v>363843</v>
      </c>
      <c r="O159" s="17">
        <v>83.77</v>
      </c>
      <c r="P159" s="101"/>
      <c r="Q159" s="35">
        <f t="shared" si="21"/>
        <v>211</v>
      </c>
      <c r="R159" s="36">
        <f t="shared" si="21"/>
        <v>0.01</v>
      </c>
      <c r="S159" s="51">
        <f t="shared" si="21"/>
        <v>191242</v>
      </c>
      <c r="T159" s="52">
        <f t="shared" si="21"/>
        <v>56.259999999999991</v>
      </c>
      <c r="U159" s="58">
        <f t="shared" si="21"/>
        <v>50340</v>
      </c>
      <c r="V159" s="17">
        <f t="shared" si="21"/>
        <v>9.0900000000000034</v>
      </c>
      <c r="W159" s="101"/>
      <c r="X159" s="555">
        <f t="shared" si="22"/>
        <v>2813680</v>
      </c>
      <c r="Y159" s="632">
        <f t="shared" si="22"/>
        <v>904.49</v>
      </c>
    </row>
    <row r="160" spans="1:25" hidden="1" outlineLevel="1">
      <c r="A160" s="114">
        <v>43251</v>
      </c>
      <c r="B160" s="115">
        <f t="shared" si="23"/>
        <v>5</v>
      </c>
      <c r="C160" s="35">
        <v>194</v>
      </c>
      <c r="D160" s="36">
        <v>0</v>
      </c>
      <c r="E160" s="51">
        <v>2372153</v>
      </c>
      <c r="F160" s="52">
        <v>758.57</v>
      </c>
      <c r="G160" s="58">
        <v>495558</v>
      </c>
      <c r="H160" s="17">
        <v>101.15</v>
      </c>
      <c r="I160" s="101"/>
      <c r="J160" s="35">
        <v>8</v>
      </c>
      <c r="K160" s="36">
        <v>0</v>
      </c>
      <c r="L160" s="51">
        <v>2173434</v>
      </c>
      <c r="M160" s="52">
        <v>710.58</v>
      </c>
      <c r="N160" s="58">
        <v>440283</v>
      </c>
      <c r="O160" s="17">
        <v>93.58</v>
      </c>
      <c r="P160" s="101"/>
      <c r="Q160" s="35">
        <f t="shared" si="21"/>
        <v>186</v>
      </c>
      <c r="R160" s="36">
        <f t="shared" si="21"/>
        <v>0</v>
      </c>
      <c r="S160" s="51">
        <f t="shared" si="21"/>
        <v>198719</v>
      </c>
      <c r="T160" s="52">
        <f t="shared" si="21"/>
        <v>47.990000000000009</v>
      </c>
      <c r="U160" s="58">
        <f t="shared" si="21"/>
        <v>55275</v>
      </c>
      <c r="V160" s="17">
        <f t="shared" si="21"/>
        <v>7.5700000000000074</v>
      </c>
      <c r="W160" s="101"/>
      <c r="X160" s="555">
        <f t="shared" si="22"/>
        <v>2867905</v>
      </c>
      <c r="Y160" s="632">
        <f t="shared" si="22"/>
        <v>859.72</v>
      </c>
    </row>
    <row r="161" spans="1:25" collapsed="1">
      <c r="A161" s="104"/>
      <c r="B161" s="104" t="s">
        <v>19</v>
      </c>
      <c r="C161" s="105">
        <f>SUBTOTAL(9,C162:C191)</f>
        <v>6523</v>
      </c>
      <c r="D161" s="106">
        <f t="shared" ref="D161:V161" si="24">SUBTOTAL(9,D162:D191)</f>
        <v>0.14000000000000001</v>
      </c>
      <c r="E161" s="109">
        <f t="shared" si="24"/>
        <v>96421756</v>
      </c>
      <c r="F161" s="110">
        <f t="shared" si="24"/>
        <v>30405.260000000002</v>
      </c>
      <c r="G161" s="111">
        <f t="shared" si="24"/>
        <v>16329420</v>
      </c>
      <c r="H161" s="14">
        <f t="shared" si="24"/>
        <v>3610.8499999999995</v>
      </c>
      <c r="I161" s="103"/>
      <c r="J161" s="105">
        <f t="shared" si="24"/>
        <v>886</v>
      </c>
      <c r="K161" s="106">
        <f t="shared" si="24"/>
        <v>0</v>
      </c>
      <c r="L161" s="109">
        <f t="shared" si="24"/>
        <v>89075535</v>
      </c>
      <c r="M161" s="110">
        <f t="shared" si="24"/>
        <v>28011.569999999996</v>
      </c>
      <c r="N161" s="111">
        <f t="shared" si="24"/>
        <v>14428229</v>
      </c>
      <c r="O161" s="14">
        <f t="shared" si="24"/>
        <v>3215.7100000000009</v>
      </c>
      <c r="P161" s="103"/>
      <c r="Q161" s="105">
        <f t="shared" si="24"/>
        <v>5637</v>
      </c>
      <c r="R161" s="106">
        <f t="shared" si="24"/>
        <v>0.14000000000000001</v>
      </c>
      <c r="S161" s="109">
        <f t="shared" si="24"/>
        <v>7346221</v>
      </c>
      <c r="T161" s="110">
        <f t="shared" si="24"/>
        <v>2393.6899999999996</v>
      </c>
      <c r="U161" s="111">
        <f t="shared" si="24"/>
        <v>1901191</v>
      </c>
      <c r="V161" s="14">
        <f t="shared" si="24"/>
        <v>395.14000000000004</v>
      </c>
      <c r="W161" s="103"/>
      <c r="X161" s="555"/>
      <c r="Y161" s="632"/>
    </row>
    <row r="162" spans="1:25" hidden="1" outlineLevel="1">
      <c r="A162" s="97">
        <v>43252</v>
      </c>
      <c r="B162" s="98">
        <f t="shared" si="23"/>
        <v>6</v>
      </c>
      <c r="C162" s="35">
        <v>198</v>
      </c>
      <c r="D162" s="36">
        <v>0</v>
      </c>
      <c r="E162" s="51">
        <v>3667798</v>
      </c>
      <c r="F162" s="52">
        <v>960.8</v>
      </c>
      <c r="G162" s="58">
        <v>751273</v>
      </c>
      <c r="H162" s="17">
        <v>130.9</v>
      </c>
      <c r="I162" s="101"/>
      <c r="J162" s="35">
        <v>1</v>
      </c>
      <c r="K162" s="36">
        <v>0</v>
      </c>
      <c r="L162" s="51">
        <v>3449331</v>
      </c>
      <c r="M162" s="52">
        <v>909.13</v>
      </c>
      <c r="N162" s="58">
        <v>690906</v>
      </c>
      <c r="O162" s="17">
        <v>122.52</v>
      </c>
      <c r="P162" s="101"/>
      <c r="Q162" s="35">
        <f t="shared" ref="Q162:V191" si="25">C162-J162</f>
        <v>197</v>
      </c>
      <c r="R162" s="36">
        <f t="shared" si="25"/>
        <v>0</v>
      </c>
      <c r="S162" s="51">
        <f t="shared" si="25"/>
        <v>218467</v>
      </c>
      <c r="T162" s="52">
        <f t="shared" si="25"/>
        <v>51.669999999999959</v>
      </c>
      <c r="U162" s="58">
        <f t="shared" si="25"/>
        <v>60367</v>
      </c>
      <c r="V162" s="17">
        <f t="shared" si="25"/>
        <v>8.3800000000000097</v>
      </c>
      <c r="W162" s="101"/>
      <c r="X162" s="555">
        <f t="shared" si="22"/>
        <v>4419269</v>
      </c>
      <c r="Y162" s="632">
        <f t="shared" si="22"/>
        <v>1091.7</v>
      </c>
    </row>
    <row r="163" spans="1:25" hidden="1" outlineLevel="1">
      <c r="A163" s="97">
        <v>43253</v>
      </c>
      <c r="B163" s="98">
        <f t="shared" si="23"/>
        <v>6</v>
      </c>
      <c r="C163" s="35">
        <v>205</v>
      </c>
      <c r="D163" s="36">
        <v>0.01</v>
      </c>
      <c r="E163" s="51">
        <v>4046045</v>
      </c>
      <c r="F163" s="52">
        <v>1045.74</v>
      </c>
      <c r="G163" s="58">
        <v>788875</v>
      </c>
      <c r="H163" s="17">
        <v>134.59</v>
      </c>
      <c r="I163" s="101"/>
      <c r="J163" s="35">
        <v>8</v>
      </c>
      <c r="K163" s="36">
        <v>0</v>
      </c>
      <c r="L163" s="51">
        <v>3804919</v>
      </c>
      <c r="M163" s="52">
        <v>989.33</v>
      </c>
      <c r="N163" s="58">
        <v>722033</v>
      </c>
      <c r="O163" s="17">
        <v>125.42</v>
      </c>
      <c r="P163" s="101"/>
      <c r="Q163" s="35">
        <f t="shared" si="25"/>
        <v>197</v>
      </c>
      <c r="R163" s="36">
        <f t="shared" si="25"/>
        <v>0.01</v>
      </c>
      <c r="S163" s="51">
        <f t="shared" si="25"/>
        <v>241126</v>
      </c>
      <c r="T163" s="52">
        <f t="shared" si="25"/>
        <v>56.409999999999968</v>
      </c>
      <c r="U163" s="58">
        <f t="shared" si="25"/>
        <v>66842</v>
      </c>
      <c r="V163" s="17">
        <f t="shared" si="25"/>
        <v>9.1700000000000017</v>
      </c>
      <c r="W163" s="101"/>
      <c r="X163" s="555">
        <f t="shared" si="22"/>
        <v>4835125</v>
      </c>
      <c r="Y163" s="632">
        <f t="shared" si="22"/>
        <v>1180.3399999999999</v>
      </c>
    </row>
    <row r="164" spans="1:25" hidden="1" outlineLevel="1">
      <c r="A164" s="97">
        <v>43254</v>
      </c>
      <c r="B164" s="98">
        <f t="shared" si="23"/>
        <v>6</v>
      </c>
      <c r="C164" s="35">
        <v>245</v>
      </c>
      <c r="D164" s="36">
        <v>0</v>
      </c>
      <c r="E164" s="51">
        <v>2769581</v>
      </c>
      <c r="F164" s="52">
        <v>722.83</v>
      </c>
      <c r="G164" s="58">
        <v>715346</v>
      </c>
      <c r="H164" s="17">
        <v>117.91</v>
      </c>
      <c r="I164" s="101"/>
      <c r="J164" s="35">
        <v>23</v>
      </c>
      <c r="K164" s="36">
        <v>0</v>
      </c>
      <c r="L164" s="51">
        <v>2562889</v>
      </c>
      <c r="M164" s="52">
        <v>671.12</v>
      </c>
      <c r="N164" s="58">
        <v>644467</v>
      </c>
      <c r="O164" s="17">
        <v>108.28</v>
      </c>
      <c r="P164" s="101"/>
      <c r="Q164" s="35">
        <f t="shared" si="25"/>
        <v>222</v>
      </c>
      <c r="R164" s="36">
        <f t="shared" si="25"/>
        <v>0</v>
      </c>
      <c r="S164" s="51">
        <f t="shared" si="25"/>
        <v>206692</v>
      </c>
      <c r="T164" s="52">
        <f t="shared" si="25"/>
        <v>51.710000000000036</v>
      </c>
      <c r="U164" s="58">
        <f t="shared" si="25"/>
        <v>70879</v>
      </c>
      <c r="V164" s="17">
        <f t="shared" si="25"/>
        <v>9.6299999999999955</v>
      </c>
      <c r="W164" s="101"/>
      <c r="X164" s="555">
        <f t="shared" si="22"/>
        <v>3485172</v>
      </c>
      <c r="Y164" s="632">
        <f t="shared" si="22"/>
        <v>840.74</v>
      </c>
    </row>
    <row r="165" spans="1:25" hidden="1" outlineLevel="1">
      <c r="A165" s="97">
        <v>43255</v>
      </c>
      <c r="B165" s="98">
        <f t="shared" si="23"/>
        <v>6</v>
      </c>
      <c r="C165" s="35">
        <v>778</v>
      </c>
      <c r="D165" s="36">
        <v>0.01</v>
      </c>
      <c r="E165" s="51">
        <v>2332060</v>
      </c>
      <c r="F165" s="52">
        <v>663.12</v>
      </c>
      <c r="G165" s="58">
        <v>533447</v>
      </c>
      <c r="H165" s="17">
        <v>101</v>
      </c>
      <c r="I165" s="101"/>
      <c r="J165" s="35">
        <v>298</v>
      </c>
      <c r="K165" s="36">
        <v>0</v>
      </c>
      <c r="L165" s="51">
        <v>2145903</v>
      </c>
      <c r="M165" s="52">
        <v>613.45000000000005</v>
      </c>
      <c r="N165" s="58">
        <v>475602</v>
      </c>
      <c r="O165" s="17">
        <v>91.11</v>
      </c>
      <c r="P165" s="101"/>
      <c r="Q165" s="35">
        <f t="shared" si="25"/>
        <v>480</v>
      </c>
      <c r="R165" s="36">
        <f t="shared" si="25"/>
        <v>0.01</v>
      </c>
      <c r="S165" s="51">
        <f t="shared" si="25"/>
        <v>186157</v>
      </c>
      <c r="T165" s="52">
        <f t="shared" si="25"/>
        <v>49.669999999999959</v>
      </c>
      <c r="U165" s="58">
        <f t="shared" si="25"/>
        <v>57845</v>
      </c>
      <c r="V165" s="17">
        <f t="shared" si="25"/>
        <v>9.89</v>
      </c>
      <c r="W165" s="101"/>
      <c r="X165" s="555">
        <f t="shared" si="22"/>
        <v>2866285</v>
      </c>
      <c r="Y165" s="632">
        <f t="shared" si="22"/>
        <v>764.13</v>
      </c>
    </row>
    <row r="166" spans="1:25" hidden="1" outlineLevel="1">
      <c r="A166" s="97">
        <v>43256</v>
      </c>
      <c r="B166" s="98">
        <f t="shared" si="23"/>
        <v>6</v>
      </c>
      <c r="C166" s="35">
        <v>360</v>
      </c>
      <c r="D166" s="36">
        <v>0.01</v>
      </c>
      <c r="E166" s="51">
        <v>2338327</v>
      </c>
      <c r="F166" s="52">
        <v>669.1</v>
      </c>
      <c r="G166" s="58">
        <v>481430</v>
      </c>
      <c r="H166" s="17">
        <v>89.13</v>
      </c>
      <c r="I166" s="101"/>
      <c r="J166" s="35">
        <v>98</v>
      </c>
      <c r="K166" s="36">
        <v>0</v>
      </c>
      <c r="L166" s="51">
        <v>2151032</v>
      </c>
      <c r="M166" s="52">
        <v>615.41999999999996</v>
      </c>
      <c r="N166" s="58">
        <v>426823</v>
      </c>
      <c r="O166" s="17">
        <v>78.84</v>
      </c>
      <c r="P166" s="101"/>
      <c r="Q166" s="35">
        <f t="shared" si="25"/>
        <v>262</v>
      </c>
      <c r="R166" s="36">
        <f t="shared" si="25"/>
        <v>0.01</v>
      </c>
      <c r="S166" s="51">
        <f t="shared" si="25"/>
        <v>187295</v>
      </c>
      <c r="T166" s="52">
        <f t="shared" si="25"/>
        <v>53.680000000000064</v>
      </c>
      <c r="U166" s="58">
        <f t="shared" si="25"/>
        <v>54607</v>
      </c>
      <c r="V166" s="17">
        <f t="shared" si="25"/>
        <v>10.289999999999992</v>
      </c>
      <c r="W166" s="101"/>
      <c r="X166" s="555">
        <f t="shared" si="22"/>
        <v>2820117</v>
      </c>
      <c r="Y166" s="632">
        <f t="shared" si="22"/>
        <v>758.24</v>
      </c>
    </row>
    <row r="167" spans="1:25" hidden="1" outlineLevel="1">
      <c r="A167" s="97">
        <v>43257</v>
      </c>
      <c r="B167" s="98">
        <f t="shared" si="23"/>
        <v>6</v>
      </c>
      <c r="C167" s="35">
        <v>273</v>
      </c>
      <c r="D167" s="36">
        <v>0</v>
      </c>
      <c r="E167" s="51">
        <v>2468006</v>
      </c>
      <c r="F167" s="52">
        <v>733.77</v>
      </c>
      <c r="G167" s="58">
        <v>544240</v>
      </c>
      <c r="H167" s="17">
        <v>109.14</v>
      </c>
      <c r="I167" s="101"/>
      <c r="J167" s="35">
        <v>49</v>
      </c>
      <c r="K167" s="36">
        <v>0</v>
      </c>
      <c r="L167" s="51">
        <v>2281960</v>
      </c>
      <c r="M167" s="52">
        <v>675.78</v>
      </c>
      <c r="N167" s="58">
        <v>482653</v>
      </c>
      <c r="O167" s="17">
        <v>97.68</v>
      </c>
      <c r="P167" s="101"/>
      <c r="Q167" s="35">
        <f t="shared" si="25"/>
        <v>224</v>
      </c>
      <c r="R167" s="36">
        <f t="shared" si="25"/>
        <v>0</v>
      </c>
      <c r="S167" s="51">
        <f t="shared" si="25"/>
        <v>186046</v>
      </c>
      <c r="T167" s="52">
        <f t="shared" si="25"/>
        <v>57.990000000000009</v>
      </c>
      <c r="U167" s="58">
        <f t="shared" si="25"/>
        <v>61587</v>
      </c>
      <c r="V167" s="17">
        <f t="shared" si="25"/>
        <v>11.459999999999994</v>
      </c>
      <c r="W167" s="101"/>
      <c r="X167" s="555">
        <f t="shared" si="22"/>
        <v>3012519</v>
      </c>
      <c r="Y167" s="632">
        <f t="shared" si="22"/>
        <v>842.91</v>
      </c>
    </row>
    <row r="168" spans="1:25" hidden="1" outlineLevel="1">
      <c r="A168" s="97">
        <v>43258</v>
      </c>
      <c r="B168" s="98">
        <f t="shared" si="23"/>
        <v>6</v>
      </c>
      <c r="C168" s="35">
        <v>229</v>
      </c>
      <c r="D168" s="36">
        <v>0.01</v>
      </c>
      <c r="E168" s="51">
        <v>2456702</v>
      </c>
      <c r="F168" s="52">
        <v>839.26</v>
      </c>
      <c r="G168" s="58">
        <v>622369</v>
      </c>
      <c r="H168" s="17">
        <v>145.56</v>
      </c>
      <c r="I168" s="101"/>
      <c r="J168" s="35">
        <v>52</v>
      </c>
      <c r="K168" s="36">
        <v>0</v>
      </c>
      <c r="L168" s="51">
        <v>2264147</v>
      </c>
      <c r="M168" s="52">
        <v>783.32</v>
      </c>
      <c r="N168" s="58">
        <v>555849</v>
      </c>
      <c r="O168" s="17">
        <v>131.52000000000001</v>
      </c>
      <c r="P168" s="101"/>
      <c r="Q168" s="35">
        <f t="shared" si="25"/>
        <v>177</v>
      </c>
      <c r="R168" s="36">
        <f t="shared" si="25"/>
        <v>0.01</v>
      </c>
      <c r="S168" s="51">
        <f t="shared" si="25"/>
        <v>192555</v>
      </c>
      <c r="T168" s="52">
        <f t="shared" si="25"/>
        <v>55.939999999999941</v>
      </c>
      <c r="U168" s="58">
        <f t="shared" si="25"/>
        <v>66520</v>
      </c>
      <c r="V168" s="17">
        <f t="shared" si="25"/>
        <v>14.039999999999992</v>
      </c>
      <c r="W168" s="101"/>
      <c r="X168" s="555">
        <f t="shared" si="22"/>
        <v>3079300</v>
      </c>
      <c r="Y168" s="632">
        <f t="shared" si="22"/>
        <v>984.82999999999993</v>
      </c>
    </row>
    <row r="169" spans="1:25" hidden="1" outlineLevel="1">
      <c r="A169" s="97">
        <v>43259</v>
      </c>
      <c r="B169" s="98">
        <f t="shared" si="23"/>
        <v>6</v>
      </c>
      <c r="C169" s="35">
        <v>206</v>
      </c>
      <c r="D169" s="36">
        <v>0</v>
      </c>
      <c r="E169" s="51">
        <v>3607303</v>
      </c>
      <c r="F169" s="52">
        <v>1061.51</v>
      </c>
      <c r="G169" s="58">
        <v>773264</v>
      </c>
      <c r="H169" s="17">
        <v>157.72</v>
      </c>
      <c r="I169" s="101"/>
      <c r="J169" s="35">
        <v>28</v>
      </c>
      <c r="K169" s="36">
        <v>0</v>
      </c>
      <c r="L169" s="51">
        <v>3387486</v>
      </c>
      <c r="M169" s="52">
        <v>1003.83</v>
      </c>
      <c r="N169" s="58">
        <v>699954</v>
      </c>
      <c r="O169" s="17">
        <v>143.19</v>
      </c>
      <c r="P169" s="101"/>
      <c r="Q169" s="35">
        <f t="shared" si="25"/>
        <v>178</v>
      </c>
      <c r="R169" s="36">
        <f t="shared" si="25"/>
        <v>0</v>
      </c>
      <c r="S169" s="51">
        <f t="shared" si="25"/>
        <v>219817</v>
      </c>
      <c r="T169" s="52">
        <f t="shared" si="25"/>
        <v>57.67999999999995</v>
      </c>
      <c r="U169" s="58">
        <f t="shared" si="25"/>
        <v>73310</v>
      </c>
      <c r="V169" s="17">
        <f t="shared" si="25"/>
        <v>14.530000000000001</v>
      </c>
      <c r="W169" s="101"/>
      <c r="X169" s="555">
        <f t="shared" si="22"/>
        <v>4380773</v>
      </c>
      <c r="Y169" s="632">
        <f t="shared" si="22"/>
        <v>1219.23</v>
      </c>
    </row>
    <row r="170" spans="1:25" hidden="1" outlineLevel="1">
      <c r="A170" s="97">
        <v>43260</v>
      </c>
      <c r="B170" s="98">
        <f t="shared" si="23"/>
        <v>6</v>
      </c>
      <c r="C170" s="35">
        <v>230</v>
      </c>
      <c r="D170" s="36">
        <v>0</v>
      </c>
      <c r="E170" s="51">
        <v>3898506</v>
      </c>
      <c r="F170" s="52">
        <v>1028.58</v>
      </c>
      <c r="G170" s="58">
        <v>794166</v>
      </c>
      <c r="H170" s="17">
        <v>147.32</v>
      </c>
      <c r="I170" s="101"/>
      <c r="J170" s="35">
        <v>23</v>
      </c>
      <c r="K170" s="36">
        <v>0</v>
      </c>
      <c r="L170" s="51">
        <v>3657016</v>
      </c>
      <c r="M170" s="52">
        <v>968.79</v>
      </c>
      <c r="N170" s="58">
        <v>720457</v>
      </c>
      <c r="O170" s="17">
        <v>133.29</v>
      </c>
      <c r="P170" s="101"/>
      <c r="Q170" s="35">
        <f t="shared" si="25"/>
        <v>207</v>
      </c>
      <c r="R170" s="36">
        <f t="shared" si="25"/>
        <v>0</v>
      </c>
      <c r="S170" s="51">
        <f t="shared" si="25"/>
        <v>241490</v>
      </c>
      <c r="T170" s="52">
        <f t="shared" si="25"/>
        <v>59.789999999999964</v>
      </c>
      <c r="U170" s="58">
        <f t="shared" si="25"/>
        <v>73709</v>
      </c>
      <c r="V170" s="17">
        <f t="shared" si="25"/>
        <v>14.030000000000001</v>
      </c>
      <c r="W170" s="101"/>
      <c r="X170" s="555">
        <f t="shared" si="22"/>
        <v>4692902</v>
      </c>
      <c r="Y170" s="632">
        <f t="shared" si="22"/>
        <v>1175.8999999999999</v>
      </c>
    </row>
    <row r="171" spans="1:25" hidden="1" outlineLevel="1">
      <c r="A171" s="97">
        <v>43261</v>
      </c>
      <c r="B171" s="98">
        <f t="shared" si="23"/>
        <v>6</v>
      </c>
      <c r="C171" s="35">
        <v>222</v>
      </c>
      <c r="D171" s="36">
        <v>0.01</v>
      </c>
      <c r="E171" s="51">
        <v>2788832</v>
      </c>
      <c r="F171" s="52">
        <v>794.91</v>
      </c>
      <c r="G171" s="58">
        <v>587715</v>
      </c>
      <c r="H171" s="17">
        <v>126.96</v>
      </c>
      <c r="I171" s="101"/>
      <c r="J171" s="35">
        <v>18</v>
      </c>
      <c r="K171" s="36">
        <v>0</v>
      </c>
      <c r="L171" s="51">
        <v>2549986</v>
      </c>
      <c r="M171" s="52">
        <v>729.88</v>
      </c>
      <c r="N171" s="58">
        <v>519310</v>
      </c>
      <c r="O171" s="17">
        <v>113.37</v>
      </c>
      <c r="P171" s="101"/>
      <c r="Q171" s="35">
        <f t="shared" si="25"/>
        <v>204</v>
      </c>
      <c r="R171" s="36">
        <f t="shared" si="25"/>
        <v>0.01</v>
      </c>
      <c r="S171" s="51">
        <f t="shared" si="25"/>
        <v>238846</v>
      </c>
      <c r="T171" s="52">
        <f t="shared" si="25"/>
        <v>65.029999999999973</v>
      </c>
      <c r="U171" s="58">
        <f t="shared" si="25"/>
        <v>68405</v>
      </c>
      <c r="V171" s="17">
        <f t="shared" si="25"/>
        <v>13.589999999999989</v>
      </c>
      <c r="W171" s="101"/>
      <c r="X171" s="555">
        <f t="shared" si="22"/>
        <v>3376769</v>
      </c>
      <c r="Y171" s="632">
        <f t="shared" si="22"/>
        <v>921.88</v>
      </c>
    </row>
    <row r="172" spans="1:25" hidden="1" outlineLevel="1">
      <c r="A172" s="97">
        <v>43262</v>
      </c>
      <c r="B172" s="98">
        <f t="shared" si="23"/>
        <v>6</v>
      </c>
      <c r="C172" s="35">
        <v>214</v>
      </c>
      <c r="D172" s="36">
        <v>0</v>
      </c>
      <c r="E172" s="51">
        <v>2401171</v>
      </c>
      <c r="F172" s="52">
        <v>774.54</v>
      </c>
      <c r="G172" s="58">
        <v>533668</v>
      </c>
      <c r="H172" s="17">
        <v>133.08000000000001</v>
      </c>
      <c r="I172" s="101"/>
      <c r="J172" s="35">
        <v>33</v>
      </c>
      <c r="K172" s="36">
        <v>0</v>
      </c>
      <c r="L172" s="51">
        <v>2195782</v>
      </c>
      <c r="M172" s="52">
        <v>716.99</v>
      </c>
      <c r="N172" s="58">
        <v>466151</v>
      </c>
      <c r="O172" s="17">
        <v>118.24</v>
      </c>
      <c r="P172" s="101"/>
      <c r="Q172" s="35">
        <f t="shared" si="25"/>
        <v>181</v>
      </c>
      <c r="R172" s="36">
        <f t="shared" si="25"/>
        <v>0</v>
      </c>
      <c r="S172" s="51">
        <f t="shared" si="25"/>
        <v>205389</v>
      </c>
      <c r="T172" s="52">
        <f t="shared" si="25"/>
        <v>57.549999999999955</v>
      </c>
      <c r="U172" s="58">
        <f t="shared" si="25"/>
        <v>67517</v>
      </c>
      <c r="V172" s="17">
        <f t="shared" si="25"/>
        <v>14.840000000000018</v>
      </c>
      <c r="W172" s="101"/>
      <c r="X172" s="555">
        <f t="shared" si="22"/>
        <v>2935053</v>
      </c>
      <c r="Y172" s="632">
        <f t="shared" si="22"/>
        <v>907.62</v>
      </c>
    </row>
    <row r="173" spans="1:25" hidden="1" outlineLevel="1">
      <c r="A173" s="97">
        <v>43263</v>
      </c>
      <c r="B173" s="98">
        <f t="shared" si="23"/>
        <v>6</v>
      </c>
      <c r="C173" s="35">
        <v>186</v>
      </c>
      <c r="D173" s="36">
        <v>0</v>
      </c>
      <c r="E173" s="51">
        <v>2385023</v>
      </c>
      <c r="F173" s="52">
        <v>809.6</v>
      </c>
      <c r="G173" s="58">
        <v>507182</v>
      </c>
      <c r="H173" s="17">
        <v>110.68</v>
      </c>
      <c r="I173" s="101"/>
      <c r="J173" s="35">
        <v>12</v>
      </c>
      <c r="K173" s="36">
        <v>0</v>
      </c>
      <c r="L173" s="51">
        <v>2186382</v>
      </c>
      <c r="M173" s="52">
        <v>747.21</v>
      </c>
      <c r="N173" s="58">
        <v>443232</v>
      </c>
      <c r="O173" s="17">
        <v>98.45</v>
      </c>
      <c r="P173" s="101"/>
      <c r="Q173" s="35">
        <f t="shared" si="25"/>
        <v>174</v>
      </c>
      <c r="R173" s="36">
        <f t="shared" si="25"/>
        <v>0</v>
      </c>
      <c r="S173" s="51">
        <f t="shared" si="25"/>
        <v>198641</v>
      </c>
      <c r="T173" s="52">
        <f t="shared" si="25"/>
        <v>62.389999999999986</v>
      </c>
      <c r="U173" s="58">
        <f t="shared" si="25"/>
        <v>63950</v>
      </c>
      <c r="V173" s="17">
        <f t="shared" si="25"/>
        <v>12.230000000000004</v>
      </c>
      <c r="W173" s="101"/>
      <c r="X173" s="555">
        <f t="shared" si="22"/>
        <v>2892391</v>
      </c>
      <c r="Y173" s="632">
        <f t="shared" si="22"/>
        <v>920.28</v>
      </c>
    </row>
    <row r="174" spans="1:25" hidden="1" outlineLevel="1">
      <c r="A174" s="97">
        <v>43264</v>
      </c>
      <c r="B174" s="98">
        <f t="shared" si="23"/>
        <v>6</v>
      </c>
      <c r="C174" s="35">
        <v>162</v>
      </c>
      <c r="D174" s="36">
        <v>0.01</v>
      </c>
      <c r="E174" s="51">
        <v>2502725</v>
      </c>
      <c r="F174" s="52">
        <v>859.49</v>
      </c>
      <c r="G174" s="58">
        <v>490865</v>
      </c>
      <c r="H174" s="17">
        <v>115.42</v>
      </c>
      <c r="I174" s="101"/>
      <c r="J174" s="35">
        <v>12</v>
      </c>
      <c r="K174" s="36">
        <v>0</v>
      </c>
      <c r="L174" s="51">
        <v>2296381</v>
      </c>
      <c r="M174" s="52">
        <v>793.88</v>
      </c>
      <c r="N174" s="58">
        <v>429122</v>
      </c>
      <c r="O174" s="17">
        <v>100.31</v>
      </c>
      <c r="P174" s="101"/>
      <c r="Q174" s="35">
        <f t="shared" si="25"/>
        <v>150</v>
      </c>
      <c r="R174" s="36">
        <f t="shared" si="25"/>
        <v>0.01</v>
      </c>
      <c r="S174" s="51">
        <f t="shared" si="25"/>
        <v>206344</v>
      </c>
      <c r="T174" s="52">
        <f t="shared" si="25"/>
        <v>65.610000000000014</v>
      </c>
      <c r="U174" s="58">
        <f t="shared" si="25"/>
        <v>61743</v>
      </c>
      <c r="V174" s="17">
        <f t="shared" si="25"/>
        <v>15.11</v>
      </c>
      <c r="W174" s="101"/>
      <c r="X174" s="555">
        <f t="shared" si="22"/>
        <v>2993752</v>
      </c>
      <c r="Y174" s="632">
        <f t="shared" si="22"/>
        <v>974.92</v>
      </c>
    </row>
    <row r="175" spans="1:25" hidden="1" outlineLevel="1">
      <c r="A175" s="97">
        <v>43265</v>
      </c>
      <c r="B175" s="98">
        <f t="shared" si="23"/>
        <v>6</v>
      </c>
      <c r="C175" s="35">
        <v>180</v>
      </c>
      <c r="D175" s="36">
        <v>0</v>
      </c>
      <c r="E175" s="51">
        <v>3005574</v>
      </c>
      <c r="F175" s="52">
        <v>1081.1400000000001</v>
      </c>
      <c r="G175" s="58">
        <v>478455</v>
      </c>
      <c r="H175" s="17">
        <v>124.54</v>
      </c>
      <c r="I175" s="101"/>
      <c r="J175" s="35">
        <v>19</v>
      </c>
      <c r="K175" s="36">
        <v>0</v>
      </c>
      <c r="L175" s="51">
        <v>2807328</v>
      </c>
      <c r="M175" s="52">
        <v>1021.09</v>
      </c>
      <c r="N175" s="58">
        <v>420586</v>
      </c>
      <c r="O175" s="17">
        <v>111.53</v>
      </c>
      <c r="P175" s="101"/>
      <c r="Q175" s="35">
        <f t="shared" si="25"/>
        <v>161</v>
      </c>
      <c r="R175" s="36">
        <f t="shared" si="25"/>
        <v>0</v>
      </c>
      <c r="S175" s="51">
        <f t="shared" si="25"/>
        <v>198246</v>
      </c>
      <c r="T175" s="52">
        <f t="shared" si="25"/>
        <v>60.050000000000068</v>
      </c>
      <c r="U175" s="58">
        <f t="shared" si="25"/>
        <v>57869</v>
      </c>
      <c r="V175" s="17">
        <f t="shared" si="25"/>
        <v>13.010000000000005</v>
      </c>
      <c r="W175" s="101"/>
      <c r="X175" s="555">
        <f t="shared" si="22"/>
        <v>3484209</v>
      </c>
      <c r="Y175" s="632">
        <f t="shared" si="22"/>
        <v>1205.68</v>
      </c>
    </row>
    <row r="176" spans="1:25" hidden="1" outlineLevel="1">
      <c r="A176" s="97">
        <v>43266</v>
      </c>
      <c r="B176" s="98">
        <f t="shared" si="23"/>
        <v>6</v>
      </c>
      <c r="C176" s="35">
        <v>155</v>
      </c>
      <c r="D176" s="36">
        <v>0</v>
      </c>
      <c r="E176" s="51">
        <v>4404373</v>
      </c>
      <c r="F176" s="52">
        <v>1355.71</v>
      </c>
      <c r="G176" s="58">
        <v>705467</v>
      </c>
      <c r="H176" s="17">
        <v>147.59</v>
      </c>
      <c r="I176" s="101"/>
      <c r="J176" s="35">
        <v>13</v>
      </c>
      <c r="K176" s="36">
        <v>0</v>
      </c>
      <c r="L176" s="51">
        <v>4202053</v>
      </c>
      <c r="M176" s="52">
        <v>1302.03</v>
      </c>
      <c r="N176" s="58">
        <v>642839</v>
      </c>
      <c r="O176" s="17">
        <v>134.24</v>
      </c>
      <c r="P176" s="101"/>
      <c r="Q176" s="35">
        <f t="shared" si="25"/>
        <v>142</v>
      </c>
      <c r="R176" s="36">
        <f t="shared" si="25"/>
        <v>0</v>
      </c>
      <c r="S176" s="51">
        <f t="shared" si="25"/>
        <v>202320</v>
      </c>
      <c r="T176" s="52">
        <f t="shared" si="25"/>
        <v>53.680000000000064</v>
      </c>
      <c r="U176" s="58">
        <f t="shared" si="25"/>
        <v>62628</v>
      </c>
      <c r="V176" s="17">
        <f t="shared" si="25"/>
        <v>13.349999999999994</v>
      </c>
      <c r="W176" s="101"/>
      <c r="X176" s="555">
        <f t="shared" si="22"/>
        <v>5109995</v>
      </c>
      <c r="Y176" s="632">
        <f t="shared" si="22"/>
        <v>1503.3</v>
      </c>
    </row>
    <row r="177" spans="1:25" hidden="1" outlineLevel="1">
      <c r="A177" s="97">
        <v>43267</v>
      </c>
      <c r="B177" s="98">
        <f t="shared" si="23"/>
        <v>6</v>
      </c>
      <c r="C177" s="35">
        <v>185</v>
      </c>
      <c r="D177" s="36">
        <v>0.01</v>
      </c>
      <c r="E177" s="51">
        <v>5074904</v>
      </c>
      <c r="F177" s="52">
        <v>1560.88</v>
      </c>
      <c r="G177" s="58">
        <v>697312</v>
      </c>
      <c r="H177" s="17">
        <v>147.63999999999999</v>
      </c>
      <c r="I177" s="101"/>
      <c r="J177" s="35">
        <v>15</v>
      </c>
      <c r="K177" s="36">
        <v>0</v>
      </c>
      <c r="L177" s="51">
        <v>4863361</v>
      </c>
      <c r="M177" s="52">
        <v>1504.1</v>
      </c>
      <c r="N177" s="58">
        <v>634134</v>
      </c>
      <c r="O177" s="17">
        <v>135.16</v>
      </c>
      <c r="P177" s="101"/>
      <c r="Q177" s="35">
        <f t="shared" si="25"/>
        <v>170</v>
      </c>
      <c r="R177" s="36">
        <f t="shared" si="25"/>
        <v>0.01</v>
      </c>
      <c r="S177" s="51">
        <f t="shared" si="25"/>
        <v>211543</v>
      </c>
      <c r="T177" s="52">
        <f t="shared" si="25"/>
        <v>56.7800000000002</v>
      </c>
      <c r="U177" s="58">
        <f t="shared" si="25"/>
        <v>63178</v>
      </c>
      <c r="V177" s="17">
        <f t="shared" si="25"/>
        <v>12.47999999999999</v>
      </c>
      <c r="W177" s="101"/>
      <c r="X177" s="555">
        <f t="shared" si="22"/>
        <v>5772401</v>
      </c>
      <c r="Y177" s="632">
        <f t="shared" si="22"/>
        <v>1708.5300000000002</v>
      </c>
    </row>
    <row r="178" spans="1:25" hidden="1" outlineLevel="1">
      <c r="A178" s="97">
        <v>43268</v>
      </c>
      <c r="B178" s="98">
        <f t="shared" si="23"/>
        <v>6</v>
      </c>
      <c r="C178" s="35">
        <v>188</v>
      </c>
      <c r="D178" s="36">
        <v>0</v>
      </c>
      <c r="E178" s="51">
        <v>3070775</v>
      </c>
      <c r="F178" s="52">
        <v>973.53</v>
      </c>
      <c r="G178" s="58">
        <v>504194</v>
      </c>
      <c r="H178" s="17">
        <v>115.7</v>
      </c>
      <c r="I178" s="101"/>
      <c r="J178" s="35">
        <v>13</v>
      </c>
      <c r="K178" s="36">
        <v>0</v>
      </c>
      <c r="L178" s="51">
        <v>2891707</v>
      </c>
      <c r="M178" s="52">
        <v>924.08</v>
      </c>
      <c r="N178" s="58">
        <v>446909</v>
      </c>
      <c r="O178" s="17">
        <v>103.62</v>
      </c>
      <c r="P178" s="101"/>
      <c r="Q178" s="35">
        <f t="shared" si="25"/>
        <v>175</v>
      </c>
      <c r="R178" s="36">
        <f t="shared" si="25"/>
        <v>0</v>
      </c>
      <c r="S178" s="51">
        <f t="shared" si="25"/>
        <v>179068</v>
      </c>
      <c r="T178" s="52">
        <f t="shared" si="25"/>
        <v>49.449999999999932</v>
      </c>
      <c r="U178" s="58">
        <f t="shared" si="25"/>
        <v>57285</v>
      </c>
      <c r="V178" s="17">
        <f t="shared" si="25"/>
        <v>12.079999999999998</v>
      </c>
      <c r="W178" s="101"/>
      <c r="X178" s="555">
        <f t="shared" si="22"/>
        <v>3575157</v>
      </c>
      <c r="Y178" s="632">
        <f t="shared" si="22"/>
        <v>1089.23</v>
      </c>
    </row>
    <row r="179" spans="1:25" hidden="1" outlineLevel="1">
      <c r="A179" s="97">
        <v>43269</v>
      </c>
      <c r="B179" s="98">
        <f t="shared" si="23"/>
        <v>6</v>
      </c>
      <c r="C179" s="35">
        <v>168</v>
      </c>
      <c r="D179" s="36">
        <v>0</v>
      </c>
      <c r="E179" s="51">
        <v>2442150</v>
      </c>
      <c r="F179" s="52">
        <v>911.06</v>
      </c>
      <c r="G179" s="58">
        <v>456748</v>
      </c>
      <c r="H179" s="17">
        <v>106.03</v>
      </c>
      <c r="I179" s="101"/>
      <c r="J179" s="35">
        <v>10</v>
      </c>
      <c r="K179" s="36">
        <v>0</v>
      </c>
      <c r="L179" s="51">
        <v>2281396</v>
      </c>
      <c r="M179" s="52">
        <v>845.52</v>
      </c>
      <c r="N179" s="58">
        <v>399046</v>
      </c>
      <c r="O179" s="17">
        <v>92.61</v>
      </c>
      <c r="P179" s="101"/>
      <c r="Q179" s="35">
        <f t="shared" si="25"/>
        <v>158</v>
      </c>
      <c r="R179" s="36">
        <f t="shared" si="25"/>
        <v>0</v>
      </c>
      <c r="S179" s="51">
        <f t="shared" si="25"/>
        <v>160754</v>
      </c>
      <c r="T179" s="52">
        <f t="shared" si="25"/>
        <v>65.539999999999964</v>
      </c>
      <c r="U179" s="58">
        <f t="shared" si="25"/>
        <v>57702</v>
      </c>
      <c r="V179" s="17">
        <f t="shared" si="25"/>
        <v>13.420000000000002</v>
      </c>
      <c r="W179" s="101"/>
      <c r="X179" s="555">
        <f t="shared" si="22"/>
        <v>2899066</v>
      </c>
      <c r="Y179" s="632">
        <f t="shared" si="22"/>
        <v>1017.0899999999999</v>
      </c>
    </row>
    <row r="180" spans="1:25" hidden="1" outlineLevel="1">
      <c r="A180" s="97">
        <v>43270</v>
      </c>
      <c r="B180" s="98">
        <f t="shared" si="23"/>
        <v>6</v>
      </c>
      <c r="C180" s="35">
        <v>175</v>
      </c>
      <c r="D180" s="36">
        <v>0</v>
      </c>
      <c r="E180" s="51">
        <v>2387457</v>
      </c>
      <c r="F180" s="52">
        <v>857.59</v>
      </c>
      <c r="G180" s="58">
        <v>609235</v>
      </c>
      <c r="H180" s="17">
        <v>137.66</v>
      </c>
      <c r="I180" s="101"/>
      <c r="J180" s="35">
        <v>5</v>
      </c>
      <c r="K180" s="36">
        <v>0</v>
      </c>
      <c r="L180" s="51">
        <v>2208332</v>
      </c>
      <c r="M180" s="52">
        <v>799.01</v>
      </c>
      <c r="N180" s="58">
        <v>539264</v>
      </c>
      <c r="O180" s="17">
        <v>121.12</v>
      </c>
      <c r="P180" s="101"/>
      <c r="Q180" s="35">
        <f t="shared" si="25"/>
        <v>170</v>
      </c>
      <c r="R180" s="36">
        <f t="shared" si="25"/>
        <v>0</v>
      </c>
      <c r="S180" s="51">
        <f t="shared" si="25"/>
        <v>179125</v>
      </c>
      <c r="T180" s="52">
        <f t="shared" si="25"/>
        <v>58.580000000000041</v>
      </c>
      <c r="U180" s="58">
        <f t="shared" si="25"/>
        <v>69971</v>
      </c>
      <c r="V180" s="17">
        <f t="shared" si="25"/>
        <v>16.539999999999992</v>
      </c>
      <c r="W180" s="101"/>
      <c r="X180" s="555">
        <f t="shared" si="22"/>
        <v>2996867</v>
      </c>
      <c r="Y180" s="632">
        <f t="shared" si="22"/>
        <v>995.25</v>
      </c>
    </row>
    <row r="181" spans="1:25" hidden="1" outlineLevel="1">
      <c r="A181" s="97">
        <v>43271</v>
      </c>
      <c r="B181" s="98">
        <f t="shared" si="23"/>
        <v>6</v>
      </c>
      <c r="C181" s="35">
        <v>188</v>
      </c>
      <c r="D181" s="36">
        <v>0.01</v>
      </c>
      <c r="E181" s="51">
        <v>2749723</v>
      </c>
      <c r="F181" s="52">
        <v>864.38</v>
      </c>
      <c r="G181" s="58">
        <v>740908</v>
      </c>
      <c r="H181" s="17">
        <v>180.76</v>
      </c>
      <c r="I181" s="101"/>
      <c r="J181" s="35">
        <v>23</v>
      </c>
      <c r="K181" s="36">
        <v>0</v>
      </c>
      <c r="L181" s="51">
        <v>2554194</v>
      </c>
      <c r="M181" s="52">
        <v>804.32</v>
      </c>
      <c r="N181" s="58">
        <v>659145</v>
      </c>
      <c r="O181" s="17">
        <v>163.32</v>
      </c>
      <c r="P181" s="101"/>
      <c r="Q181" s="35">
        <f t="shared" si="25"/>
        <v>165</v>
      </c>
      <c r="R181" s="36">
        <f t="shared" si="25"/>
        <v>0.01</v>
      </c>
      <c r="S181" s="51">
        <f t="shared" si="25"/>
        <v>195529</v>
      </c>
      <c r="T181" s="52">
        <f t="shared" si="25"/>
        <v>60.059999999999945</v>
      </c>
      <c r="U181" s="58">
        <f t="shared" si="25"/>
        <v>81763</v>
      </c>
      <c r="V181" s="17">
        <f t="shared" si="25"/>
        <v>17.439999999999998</v>
      </c>
      <c r="W181" s="101"/>
      <c r="X181" s="555">
        <f t="shared" si="22"/>
        <v>3490819</v>
      </c>
      <c r="Y181" s="632">
        <f t="shared" si="22"/>
        <v>1045.1500000000001</v>
      </c>
    </row>
    <row r="182" spans="1:25" hidden="1" outlineLevel="1">
      <c r="A182" s="97">
        <v>43272</v>
      </c>
      <c r="B182" s="98">
        <f t="shared" si="23"/>
        <v>6</v>
      </c>
      <c r="C182" s="35">
        <v>165</v>
      </c>
      <c r="D182" s="36">
        <v>0.02</v>
      </c>
      <c r="E182" s="51">
        <v>2784879</v>
      </c>
      <c r="F182" s="52">
        <v>898.44</v>
      </c>
      <c r="G182" s="58">
        <v>534823</v>
      </c>
      <c r="H182" s="17">
        <v>148.18</v>
      </c>
      <c r="I182" s="101"/>
      <c r="J182" s="35">
        <v>16</v>
      </c>
      <c r="K182" s="36">
        <v>0</v>
      </c>
      <c r="L182" s="51">
        <v>2581991</v>
      </c>
      <c r="M182" s="52">
        <v>839.03</v>
      </c>
      <c r="N182" s="58">
        <v>464848</v>
      </c>
      <c r="O182" s="17">
        <v>129.77000000000001</v>
      </c>
      <c r="P182" s="101"/>
      <c r="Q182" s="35">
        <f t="shared" si="25"/>
        <v>149</v>
      </c>
      <c r="R182" s="36">
        <f t="shared" si="25"/>
        <v>0.02</v>
      </c>
      <c r="S182" s="51">
        <f t="shared" si="25"/>
        <v>202888</v>
      </c>
      <c r="T182" s="52">
        <f t="shared" si="25"/>
        <v>59.410000000000082</v>
      </c>
      <c r="U182" s="58">
        <f t="shared" si="25"/>
        <v>69975</v>
      </c>
      <c r="V182" s="17">
        <f t="shared" si="25"/>
        <v>18.409999999999997</v>
      </c>
      <c r="W182" s="101"/>
      <c r="X182" s="555">
        <f t="shared" si="22"/>
        <v>3319867</v>
      </c>
      <c r="Y182" s="632">
        <f t="shared" si="22"/>
        <v>1046.6400000000001</v>
      </c>
    </row>
    <row r="183" spans="1:25" hidden="1" outlineLevel="1">
      <c r="A183" s="97">
        <v>43273</v>
      </c>
      <c r="B183" s="98">
        <f t="shared" si="23"/>
        <v>6</v>
      </c>
      <c r="C183" s="35">
        <v>144</v>
      </c>
      <c r="D183" s="36">
        <v>0</v>
      </c>
      <c r="E183" s="51">
        <v>4464758</v>
      </c>
      <c r="F183" s="52">
        <v>1412.12</v>
      </c>
      <c r="G183" s="58">
        <v>458801</v>
      </c>
      <c r="H183" s="17">
        <v>105.66</v>
      </c>
      <c r="I183" s="101"/>
      <c r="J183" s="35">
        <v>5</v>
      </c>
      <c r="K183" s="36">
        <v>0</v>
      </c>
      <c r="L183" s="51">
        <v>4201637</v>
      </c>
      <c r="M183" s="52">
        <v>1333.94</v>
      </c>
      <c r="N183" s="58">
        <v>400096</v>
      </c>
      <c r="O183" s="17">
        <v>92.06</v>
      </c>
      <c r="P183" s="101"/>
      <c r="Q183" s="35">
        <f t="shared" si="25"/>
        <v>139</v>
      </c>
      <c r="R183" s="36">
        <f t="shared" si="25"/>
        <v>0</v>
      </c>
      <c r="S183" s="51">
        <f t="shared" si="25"/>
        <v>263121</v>
      </c>
      <c r="T183" s="52">
        <f t="shared" si="25"/>
        <v>78.179999999999836</v>
      </c>
      <c r="U183" s="58">
        <f t="shared" si="25"/>
        <v>58705</v>
      </c>
      <c r="V183" s="17">
        <f t="shared" si="25"/>
        <v>13.599999999999994</v>
      </c>
      <c r="W183" s="101"/>
      <c r="X183" s="555">
        <f t="shared" si="22"/>
        <v>4923703</v>
      </c>
      <c r="Y183" s="632">
        <f t="shared" si="22"/>
        <v>1517.78</v>
      </c>
    </row>
    <row r="184" spans="1:25" hidden="1" outlineLevel="1">
      <c r="A184" s="97">
        <v>43274</v>
      </c>
      <c r="B184" s="98">
        <f t="shared" si="23"/>
        <v>6</v>
      </c>
      <c r="C184" s="35">
        <v>214</v>
      </c>
      <c r="D184" s="36">
        <v>0</v>
      </c>
      <c r="E184" s="51">
        <v>4304755</v>
      </c>
      <c r="F184" s="52">
        <v>1269.96</v>
      </c>
      <c r="G184" s="58">
        <v>441484</v>
      </c>
      <c r="H184" s="17">
        <v>105.98</v>
      </c>
      <c r="I184" s="101"/>
      <c r="J184" s="35">
        <v>11</v>
      </c>
      <c r="K184" s="36">
        <v>0</v>
      </c>
      <c r="L184" s="51">
        <v>4032330</v>
      </c>
      <c r="M184" s="52">
        <v>1193.8399999999999</v>
      </c>
      <c r="N184" s="58">
        <v>384159</v>
      </c>
      <c r="O184" s="17">
        <v>93.8</v>
      </c>
      <c r="P184" s="101"/>
      <c r="Q184" s="35">
        <f t="shared" si="25"/>
        <v>203</v>
      </c>
      <c r="R184" s="36">
        <f t="shared" si="25"/>
        <v>0</v>
      </c>
      <c r="S184" s="51">
        <f t="shared" si="25"/>
        <v>272425</v>
      </c>
      <c r="T184" s="52">
        <f t="shared" si="25"/>
        <v>76.120000000000118</v>
      </c>
      <c r="U184" s="58">
        <f t="shared" si="25"/>
        <v>57325</v>
      </c>
      <c r="V184" s="17">
        <f t="shared" si="25"/>
        <v>12.180000000000007</v>
      </c>
      <c r="W184" s="101"/>
      <c r="X184" s="555">
        <f t="shared" si="22"/>
        <v>4746453</v>
      </c>
      <c r="Y184" s="632">
        <f t="shared" si="22"/>
        <v>1375.94</v>
      </c>
    </row>
    <row r="185" spans="1:25" hidden="1" outlineLevel="1">
      <c r="A185" s="97">
        <v>43275</v>
      </c>
      <c r="B185" s="98">
        <f t="shared" si="23"/>
        <v>6</v>
      </c>
      <c r="C185" s="35">
        <v>201</v>
      </c>
      <c r="D185" s="36">
        <v>0.01</v>
      </c>
      <c r="E185" s="51">
        <v>3178449</v>
      </c>
      <c r="F185" s="52">
        <v>1010.24</v>
      </c>
      <c r="G185" s="58">
        <v>344034</v>
      </c>
      <c r="H185" s="17">
        <v>89.36</v>
      </c>
      <c r="I185" s="101"/>
      <c r="J185" s="35">
        <v>14</v>
      </c>
      <c r="K185" s="36">
        <v>0</v>
      </c>
      <c r="L185" s="51">
        <v>2888493</v>
      </c>
      <c r="M185" s="52">
        <v>932.71</v>
      </c>
      <c r="N185" s="58">
        <v>293052</v>
      </c>
      <c r="O185" s="17">
        <v>76.900000000000006</v>
      </c>
      <c r="P185" s="101"/>
      <c r="Q185" s="35">
        <f t="shared" si="25"/>
        <v>187</v>
      </c>
      <c r="R185" s="36">
        <f t="shared" si="25"/>
        <v>0.01</v>
      </c>
      <c r="S185" s="51">
        <f t="shared" si="25"/>
        <v>289956</v>
      </c>
      <c r="T185" s="52">
        <f t="shared" si="25"/>
        <v>77.529999999999973</v>
      </c>
      <c r="U185" s="58">
        <f t="shared" si="25"/>
        <v>50982</v>
      </c>
      <c r="V185" s="17">
        <f t="shared" si="25"/>
        <v>12.459999999999994</v>
      </c>
      <c r="W185" s="101"/>
      <c r="X185" s="555">
        <f t="shared" si="22"/>
        <v>3522684</v>
      </c>
      <c r="Y185" s="632">
        <f t="shared" si="22"/>
        <v>1099.6099999999999</v>
      </c>
    </row>
    <row r="186" spans="1:25" hidden="1" outlineLevel="1">
      <c r="A186" s="97">
        <v>43276</v>
      </c>
      <c r="B186" s="98">
        <f t="shared" si="23"/>
        <v>6</v>
      </c>
      <c r="C186" s="35">
        <v>198</v>
      </c>
      <c r="D186" s="36">
        <v>0</v>
      </c>
      <c r="E186" s="51">
        <v>3084358</v>
      </c>
      <c r="F186" s="52">
        <v>1071.51</v>
      </c>
      <c r="G186" s="58">
        <v>309754</v>
      </c>
      <c r="H186" s="17">
        <v>89.75</v>
      </c>
      <c r="I186" s="101"/>
      <c r="J186" s="35">
        <v>19</v>
      </c>
      <c r="K186" s="36">
        <v>0</v>
      </c>
      <c r="L186" s="51">
        <v>2677105</v>
      </c>
      <c r="M186" s="52">
        <v>976.75</v>
      </c>
      <c r="N186" s="58">
        <v>260443</v>
      </c>
      <c r="O186" s="17">
        <v>78.319999999999993</v>
      </c>
      <c r="P186" s="101"/>
      <c r="Q186" s="35">
        <f t="shared" si="25"/>
        <v>179</v>
      </c>
      <c r="R186" s="36">
        <f t="shared" si="25"/>
        <v>0</v>
      </c>
      <c r="S186" s="51">
        <f t="shared" si="25"/>
        <v>407253</v>
      </c>
      <c r="T186" s="52">
        <f t="shared" si="25"/>
        <v>94.759999999999991</v>
      </c>
      <c r="U186" s="58">
        <f t="shared" si="25"/>
        <v>49311</v>
      </c>
      <c r="V186" s="17">
        <f t="shared" si="25"/>
        <v>11.430000000000007</v>
      </c>
      <c r="W186" s="101"/>
      <c r="X186" s="555">
        <f t="shared" si="22"/>
        <v>3394310</v>
      </c>
      <c r="Y186" s="632">
        <f t="shared" si="22"/>
        <v>1161.26</v>
      </c>
    </row>
    <row r="187" spans="1:25" hidden="1" outlineLevel="1">
      <c r="A187" s="97">
        <v>43277</v>
      </c>
      <c r="B187" s="98">
        <f t="shared" si="23"/>
        <v>6</v>
      </c>
      <c r="C187" s="35">
        <v>194</v>
      </c>
      <c r="D187" s="36">
        <v>0</v>
      </c>
      <c r="E187" s="51">
        <v>3464544</v>
      </c>
      <c r="F187" s="52">
        <v>1311.47</v>
      </c>
      <c r="G187" s="58">
        <v>337899</v>
      </c>
      <c r="H187" s="17">
        <v>94.43</v>
      </c>
      <c r="I187" s="101"/>
      <c r="J187" s="35">
        <v>21</v>
      </c>
      <c r="K187" s="36">
        <v>0</v>
      </c>
      <c r="L187" s="51">
        <v>2913069</v>
      </c>
      <c r="M187" s="52">
        <v>1083.45</v>
      </c>
      <c r="N187" s="58">
        <v>283999</v>
      </c>
      <c r="O187" s="17">
        <v>82.05</v>
      </c>
      <c r="P187" s="101"/>
      <c r="Q187" s="35">
        <f t="shared" si="25"/>
        <v>173</v>
      </c>
      <c r="R187" s="36">
        <f t="shared" si="25"/>
        <v>0</v>
      </c>
      <c r="S187" s="51">
        <f t="shared" si="25"/>
        <v>551475</v>
      </c>
      <c r="T187" s="52">
        <f t="shared" si="25"/>
        <v>228.01999999999998</v>
      </c>
      <c r="U187" s="58">
        <f t="shared" si="25"/>
        <v>53900</v>
      </c>
      <c r="V187" s="17">
        <f t="shared" si="25"/>
        <v>12.38000000000001</v>
      </c>
      <c r="W187" s="101"/>
      <c r="X187" s="555">
        <f t="shared" si="22"/>
        <v>3802637</v>
      </c>
      <c r="Y187" s="632">
        <f t="shared" si="22"/>
        <v>1405.9</v>
      </c>
    </row>
    <row r="188" spans="1:25" hidden="1" outlineLevel="1">
      <c r="A188" s="97">
        <v>43278</v>
      </c>
      <c r="B188" s="98">
        <f t="shared" si="23"/>
        <v>6</v>
      </c>
      <c r="C188" s="35">
        <v>148</v>
      </c>
      <c r="D188" s="36">
        <v>0.01</v>
      </c>
      <c r="E188" s="51">
        <v>3324174</v>
      </c>
      <c r="F188" s="52">
        <v>1239.1099999999999</v>
      </c>
      <c r="G188" s="58">
        <v>353300</v>
      </c>
      <c r="H188" s="17">
        <v>96.63</v>
      </c>
      <c r="I188" s="101"/>
      <c r="J188" s="35">
        <v>15</v>
      </c>
      <c r="K188" s="36">
        <v>0</v>
      </c>
      <c r="L188" s="51">
        <v>2781459</v>
      </c>
      <c r="M188" s="52">
        <v>1026.72</v>
      </c>
      <c r="N188" s="58">
        <v>292823</v>
      </c>
      <c r="O188" s="17">
        <v>82.21</v>
      </c>
      <c r="P188" s="101"/>
      <c r="Q188" s="35">
        <f t="shared" si="25"/>
        <v>133</v>
      </c>
      <c r="R188" s="36">
        <f t="shared" si="25"/>
        <v>0.01</v>
      </c>
      <c r="S188" s="51">
        <f t="shared" si="25"/>
        <v>542715</v>
      </c>
      <c r="T188" s="52">
        <f t="shared" si="25"/>
        <v>212.38999999999987</v>
      </c>
      <c r="U188" s="58">
        <f t="shared" si="25"/>
        <v>60477</v>
      </c>
      <c r="V188" s="17">
        <f t="shared" si="25"/>
        <v>14.420000000000002</v>
      </c>
      <c r="W188" s="101"/>
      <c r="X188" s="555">
        <f t="shared" si="22"/>
        <v>3677622</v>
      </c>
      <c r="Y188" s="632">
        <f t="shared" si="22"/>
        <v>1335.75</v>
      </c>
    </row>
    <row r="189" spans="1:25" hidden="1" outlineLevel="1">
      <c r="A189" s="97">
        <v>43279</v>
      </c>
      <c r="B189" s="98">
        <f t="shared" si="23"/>
        <v>6</v>
      </c>
      <c r="C189" s="35">
        <v>162</v>
      </c>
      <c r="D189" s="36">
        <v>0.01</v>
      </c>
      <c r="E189" s="51">
        <v>3193514</v>
      </c>
      <c r="F189" s="52">
        <v>1262.43</v>
      </c>
      <c r="G189" s="58">
        <v>356302</v>
      </c>
      <c r="H189" s="17">
        <v>95.74</v>
      </c>
      <c r="I189" s="101"/>
      <c r="J189" s="35">
        <v>10</v>
      </c>
      <c r="K189" s="36">
        <v>0</v>
      </c>
      <c r="L189" s="51">
        <v>2877743</v>
      </c>
      <c r="M189" s="52">
        <v>1090.55</v>
      </c>
      <c r="N189" s="58">
        <v>292491</v>
      </c>
      <c r="O189" s="17">
        <v>80.37</v>
      </c>
      <c r="P189" s="101"/>
      <c r="Q189" s="35">
        <f t="shared" si="25"/>
        <v>152</v>
      </c>
      <c r="R189" s="36">
        <f t="shared" si="25"/>
        <v>0.01</v>
      </c>
      <c r="S189" s="51">
        <f t="shared" si="25"/>
        <v>315771</v>
      </c>
      <c r="T189" s="52">
        <f t="shared" si="25"/>
        <v>171.88000000000011</v>
      </c>
      <c r="U189" s="58">
        <f t="shared" si="25"/>
        <v>63811</v>
      </c>
      <c r="V189" s="17">
        <f t="shared" si="25"/>
        <v>15.36999999999999</v>
      </c>
      <c r="W189" s="101"/>
      <c r="X189" s="555">
        <f t="shared" si="22"/>
        <v>3549978</v>
      </c>
      <c r="Y189" s="632">
        <f t="shared" si="22"/>
        <v>1358.18</v>
      </c>
    </row>
    <row r="190" spans="1:25" hidden="1" outlineLevel="1">
      <c r="A190" s="97">
        <v>43280</v>
      </c>
      <c r="B190" s="98">
        <f t="shared" si="23"/>
        <v>6</v>
      </c>
      <c r="C190" s="35">
        <v>184</v>
      </c>
      <c r="D190" s="36">
        <v>0.01</v>
      </c>
      <c r="E190" s="51">
        <v>3864525</v>
      </c>
      <c r="F190" s="52">
        <v>1326.74</v>
      </c>
      <c r="G190" s="58">
        <v>440313</v>
      </c>
      <c r="H190" s="17">
        <v>110.29</v>
      </c>
      <c r="I190" s="101"/>
      <c r="J190" s="35">
        <v>13</v>
      </c>
      <c r="K190" s="36">
        <v>0</v>
      </c>
      <c r="L190" s="51">
        <v>3641410</v>
      </c>
      <c r="M190" s="52">
        <v>1192.77</v>
      </c>
      <c r="N190" s="58">
        <v>373340</v>
      </c>
      <c r="O190" s="17">
        <v>95.45</v>
      </c>
      <c r="P190" s="101"/>
      <c r="Q190" s="35">
        <f t="shared" si="25"/>
        <v>171</v>
      </c>
      <c r="R190" s="36">
        <f t="shared" si="25"/>
        <v>0.01</v>
      </c>
      <c r="S190" s="51">
        <f t="shared" si="25"/>
        <v>223115</v>
      </c>
      <c r="T190" s="52">
        <f t="shared" si="25"/>
        <v>133.97000000000003</v>
      </c>
      <c r="U190" s="58">
        <f t="shared" si="25"/>
        <v>66973</v>
      </c>
      <c r="V190" s="17">
        <f t="shared" si="25"/>
        <v>14.840000000000003</v>
      </c>
      <c r="W190" s="101"/>
      <c r="X190" s="555">
        <f t="shared" si="22"/>
        <v>4305022</v>
      </c>
      <c r="Y190" s="632">
        <f t="shared" si="22"/>
        <v>1437.04</v>
      </c>
    </row>
    <row r="191" spans="1:25" hidden="1" outlineLevel="1">
      <c r="A191" s="97">
        <v>43281</v>
      </c>
      <c r="B191" s="98">
        <f t="shared" si="23"/>
        <v>6</v>
      </c>
      <c r="C191" s="35">
        <v>166</v>
      </c>
      <c r="D191" s="36">
        <v>0</v>
      </c>
      <c r="E191" s="51">
        <v>3960765</v>
      </c>
      <c r="F191" s="52">
        <v>1035.7</v>
      </c>
      <c r="G191" s="58">
        <v>436551</v>
      </c>
      <c r="H191" s="17">
        <v>95.5</v>
      </c>
      <c r="I191" s="101"/>
      <c r="J191" s="35">
        <v>9</v>
      </c>
      <c r="K191" s="36">
        <v>0</v>
      </c>
      <c r="L191" s="51">
        <v>3738713</v>
      </c>
      <c r="M191" s="52">
        <v>923.53</v>
      </c>
      <c r="N191" s="58">
        <v>364496</v>
      </c>
      <c r="O191" s="17">
        <v>80.959999999999994</v>
      </c>
      <c r="P191" s="101"/>
      <c r="Q191" s="35">
        <f t="shared" si="25"/>
        <v>157</v>
      </c>
      <c r="R191" s="36">
        <f t="shared" si="25"/>
        <v>0</v>
      </c>
      <c r="S191" s="51">
        <f t="shared" si="25"/>
        <v>222052</v>
      </c>
      <c r="T191" s="52">
        <f t="shared" si="25"/>
        <v>112.17000000000007</v>
      </c>
      <c r="U191" s="58">
        <f t="shared" si="25"/>
        <v>72055</v>
      </c>
      <c r="V191" s="17">
        <f t="shared" si="25"/>
        <v>14.540000000000006</v>
      </c>
      <c r="W191" s="101"/>
      <c r="X191" s="555">
        <f t="shared" si="22"/>
        <v>4397482</v>
      </c>
      <c r="Y191" s="632">
        <f t="shared" si="22"/>
        <v>1131.2</v>
      </c>
    </row>
    <row r="192" spans="1:25" collapsed="1">
      <c r="A192" s="104"/>
      <c r="B192" s="104" t="s">
        <v>20</v>
      </c>
      <c r="C192" s="105">
        <f>SUBTOTAL(9,C193:C223)</f>
        <v>5231</v>
      </c>
      <c r="D192" s="106">
        <f t="shared" ref="D192:V192" si="26">SUBTOTAL(9,D193:D223)</f>
        <v>0.19000000000000006</v>
      </c>
      <c r="E192" s="109">
        <f t="shared" si="26"/>
        <v>142012046</v>
      </c>
      <c r="F192" s="110">
        <f t="shared" si="26"/>
        <v>45395.429999999993</v>
      </c>
      <c r="G192" s="111">
        <f t="shared" si="26"/>
        <v>26832577</v>
      </c>
      <c r="H192" s="14">
        <f t="shared" si="26"/>
        <v>9670.14</v>
      </c>
      <c r="I192" s="103"/>
      <c r="J192" s="105">
        <f t="shared" si="26"/>
        <v>333</v>
      </c>
      <c r="K192" s="106">
        <f t="shared" si="26"/>
        <v>0</v>
      </c>
      <c r="L192" s="109">
        <f t="shared" si="26"/>
        <v>132837262</v>
      </c>
      <c r="M192" s="110">
        <f t="shared" si="26"/>
        <v>41863.799999999996</v>
      </c>
      <c r="N192" s="111">
        <f t="shared" si="26"/>
        <v>24704007</v>
      </c>
      <c r="O192" s="14">
        <f t="shared" si="26"/>
        <v>8924.61</v>
      </c>
      <c r="P192" s="103"/>
      <c r="Q192" s="105">
        <f t="shared" si="26"/>
        <v>4898</v>
      </c>
      <c r="R192" s="106">
        <f t="shared" si="26"/>
        <v>0.19000000000000006</v>
      </c>
      <c r="S192" s="109">
        <f t="shared" si="26"/>
        <v>9174784</v>
      </c>
      <c r="T192" s="110">
        <f t="shared" si="26"/>
        <v>3531.6299999999997</v>
      </c>
      <c r="U192" s="111">
        <f t="shared" si="26"/>
        <v>2128570</v>
      </c>
      <c r="V192" s="14">
        <f t="shared" si="26"/>
        <v>745.53</v>
      </c>
      <c r="W192" s="103"/>
      <c r="X192" s="555"/>
      <c r="Y192" s="632"/>
    </row>
    <row r="193" spans="1:25" hidden="1" outlineLevel="1">
      <c r="A193" s="114">
        <v>43282</v>
      </c>
      <c r="B193" s="115">
        <f t="shared" si="23"/>
        <v>7</v>
      </c>
      <c r="C193" s="35">
        <v>175</v>
      </c>
      <c r="D193" s="36">
        <v>0.01</v>
      </c>
      <c r="E193" s="51">
        <v>2646910</v>
      </c>
      <c r="F193" s="52">
        <v>663.62</v>
      </c>
      <c r="G193" s="58">
        <v>393143</v>
      </c>
      <c r="H193" s="17">
        <v>72.84</v>
      </c>
      <c r="I193" s="101"/>
      <c r="J193" s="35">
        <v>17</v>
      </c>
      <c r="K193" s="36">
        <v>0</v>
      </c>
      <c r="L193" s="51">
        <v>2429441</v>
      </c>
      <c r="M193" s="52">
        <v>559.20000000000005</v>
      </c>
      <c r="N193" s="58">
        <v>314844</v>
      </c>
      <c r="O193" s="17">
        <v>59.79</v>
      </c>
      <c r="P193" s="101"/>
      <c r="Q193" s="35">
        <f t="shared" ref="Q193:V223" si="27">C193-J193</f>
        <v>158</v>
      </c>
      <c r="R193" s="36">
        <f t="shared" si="27"/>
        <v>0.01</v>
      </c>
      <c r="S193" s="51">
        <f t="shared" si="27"/>
        <v>217469</v>
      </c>
      <c r="T193" s="52">
        <f t="shared" si="27"/>
        <v>104.41999999999996</v>
      </c>
      <c r="U193" s="58">
        <f t="shared" si="27"/>
        <v>78299</v>
      </c>
      <c r="V193" s="17">
        <f t="shared" si="27"/>
        <v>13.050000000000004</v>
      </c>
      <c r="W193" s="101"/>
      <c r="X193" s="555">
        <f t="shared" si="22"/>
        <v>3040228</v>
      </c>
      <c r="Y193" s="632">
        <f t="shared" si="22"/>
        <v>736.47</v>
      </c>
    </row>
    <row r="194" spans="1:25" hidden="1" outlineLevel="1">
      <c r="A194" s="114">
        <v>43283</v>
      </c>
      <c r="B194" s="115">
        <f t="shared" si="23"/>
        <v>7</v>
      </c>
      <c r="C194" s="35">
        <v>172</v>
      </c>
      <c r="D194" s="36">
        <v>0</v>
      </c>
      <c r="E194" s="51">
        <v>2673149</v>
      </c>
      <c r="F194" s="52">
        <v>780.86</v>
      </c>
      <c r="G194" s="58">
        <v>377739</v>
      </c>
      <c r="H194" s="17">
        <v>79.819999999999993</v>
      </c>
      <c r="I194" s="101"/>
      <c r="J194" s="35">
        <v>15</v>
      </c>
      <c r="K194" s="36">
        <v>0</v>
      </c>
      <c r="L194" s="51">
        <v>2457472</v>
      </c>
      <c r="M194" s="52">
        <v>667</v>
      </c>
      <c r="N194" s="58">
        <v>305372</v>
      </c>
      <c r="O194" s="17">
        <v>67.16</v>
      </c>
      <c r="P194" s="101"/>
      <c r="Q194" s="35">
        <f t="shared" si="27"/>
        <v>157</v>
      </c>
      <c r="R194" s="36">
        <f t="shared" si="27"/>
        <v>0</v>
      </c>
      <c r="S194" s="51">
        <f t="shared" si="27"/>
        <v>215677</v>
      </c>
      <c r="T194" s="52">
        <f t="shared" si="27"/>
        <v>113.86000000000001</v>
      </c>
      <c r="U194" s="58">
        <f t="shared" si="27"/>
        <v>72367</v>
      </c>
      <c r="V194" s="17">
        <f t="shared" si="27"/>
        <v>12.659999999999997</v>
      </c>
      <c r="W194" s="101"/>
      <c r="X194" s="555">
        <f t="shared" ref="X194:Y257" si="28">SUM(C194,E194,G194)</f>
        <v>3051060</v>
      </c>
      <c r="Y194" s="632">
        <f t="shared" si="28"/>
        <v>860.68000000000006</v>
      </c>
    </row>
    <row r="195" spans="1:25" hidden="1" outlineLevel="1">
      <c r="A195" s="114">
        <v>43284</v>
      </c>
      <c r="B195" s="115">
        <f t="shared" si="23"/>
        <v>7</v>
      </c>
      <c r="C195" s="35">
        <v>211</v>
      </c>
      <c r="D195" s="36">
        <v>0</v>
      </c>
      <c r="E195" s="51">
        <v>2659316</v>
      </c>
      <c r="F195" s="52">
        <v>813.27</v>
      </c>
      <c r="G195" s="58">
        <v>286002</v>
      </c>
      <c r="H195" s="17">
        <v>61.81</v>
      </c>
      <c r="I195" s="101"/>
      <c r="J195" s="35">
        <v>10</v>
      </c>
      <c r="K195" s="36">
        <v>0</v>
      </c>
      <c r="L195" s="51">
        <v>2474396</v>
      </c>
      <c r="M195" s="52">
        <v>690.04</v>
      </c>
      <c r="N195" s="58">
        <v>242725</v>
      </c>
      <c r="O195" s="17">
        <v>52.91</v>
      </c>
      <c r="P195" s="101"/>
      <c r="Q195" s="35">
        <f t="shared" si="27"/>
        <v>201</v>
      </c>
      <c r="R195" s="36">
        <f t="shared" si="27"/>
        <v>0</v>
      </c>
      <c r="S195" s="51">
        <f t="shared" si="27"/>
        <v>184920</v>
      </c>
      <c r="T195" s="52">
        <f t="shared" si="27"/>
        <v>123.23000000000002</v>
      </c>
      <c r="U195" s="58">
        <f t="shared" si="27"/>
        <v>43277</v>
      </c>
      <c r="V195" s="17">
        <f t="shared" si="27"/>
        <v>8.9000000000000057</v>
      </c>
      <c r="W195" s="101"/>
      <c r="X195" s="555">
        <f t="shared" si="28"/>
        <v>2945529</v>
      </c>
      <c r="Y195" s="632">
        <f t="shared" si="28"/>
        <v>875.07999999999993</v>
      </c>
    </row>
    <row r="196" spans="1:25" hidden="1" outlineLevel="1">
      <c r="A196" s="114">
        <v>43285</v>
      </c>
      <c r="B196" s="115">
        <f t="shared" si="23"/>
        <v>7</v>
      </c>
      <c r="C196" s="35">
        <v>191</v>
      </c>
      <c r="D196" s="36">
        <v>0.02</v>
      </c>
      <c r="E196" s="51">
        <v>2617052</v>
      </c>
      <c r="F196" s="52">
        <v>810.12</v>
      </c>
      <c r="G196" s="58">
        <v>276299</v>
      </c>
      <c r="H196" s="17">
        <v>59.46</v>
      </c>
      <c r="I196" s="101"/>
      <c r="J196" s="35">
        <v>13</v>
      </c>
      <c r="K196" s="36">
        <v>0</v>
      </c>
      <c r="L196" s="51">
        <v>2431650</v>
      </c>
      <c r="M196" s="52">
        <v>684.92</v>
      </c>
      <c r="N196" s="58">
        <v>238464</v>
      </c>
      <c r="O196" s="17">
        <v>51.58</v>
      </c>
      <c r="P196" s="101"/>
      <c r="Q196" s="35">
        <f t="shared" si="27"/>
        <v>178</v>
      </c>
      <c r="R196" s="36">
        <f t="shared" si="27"/>
        <v>0.02</v>
      </c>
      <c r="S196" s="51">
        <f t="shared" si="27"/>
        <v>185402</v>
      </c>
      <c r="T196" s="52">
        <f t="shared" si="27"/>
        <v>125.20000000000005</v>
      </c>
      <c r="U196" s="58">
        <f t="shared" si="27"/>
        <v>37835</v>
      </c>
      <c r="V196" s="17">
        <f t="shared" si="27"/>
        <v>7.8800000000000026</v>
      </c>
      <c r="W196" s="101"/>
      <c r="X196" s="555">
        <f t="shared" si="28"/>
        <v>2893542</v>
      </c>
      <c r="Y196" s="632">
        <f t="shared" si="28"/>
        <v>869.6</v>
      </c>
    </row>
    <row r="197" spans="1:25" hidden="1" outlineLevel="1">
      <c r="A197" s="114">
        <v>43286</v>
      </c>
      <c r="B197" s="115">
        <f t="shared" si="23"/>
        <v>7</v>
      </c>
      <c r="C197" s="35">
        <v>175</v>
      </c>
      <c r="D197" s="36">
        <v>0</v>
      </c>
      <c r="E197" s="51">
        <v>3145455</v>
      </c>
      <c r="F197" s="52">
        <v>907.12</v>
      </c>
      <c r="G197" s="58">
        <v>303590</v>
      </c>
      <c r="H197" s="17">
        <v>65.34</v>
      </c>
      <c r="I197" s="101"/>
      <c r="J197" s="35">
        <v>15</v>
      </c>
      <c r="K197" s="36">
        <v>0</v>
      </c>
      <c r="L197" s="51">
        <v>2858387</v>
      </c>
      <c r="M197" s="52">
        <v>734.67</v>
      </c>
      <c r="N197" s="58">
        <v>265163</v>
      </c>
      <c r="O197" s="17">
        <v>58.46</v>
      </c>
      <c r="P197" s="101"/>
      <c r="Q197" s="35">
        <f t="shared" si="27"/>
        <v>160</v>
      </c>
      <c r="R197" s="36">
        <f t="shared" si="27"/>
        <v>0</v>
      </c>
      <c r="S197" s="51">
        <f t="shared" si="27"/>
        <v>287068</v>
      </c>
      <c r="T197" s="52">
        <f t="shared" si="27"/>
        <v>172.45000000000005</v>
      </c>
      <c r="U197" s="58">
        <f t="shared" si="27"/>
        <v>38427</v>
      </c>
      <c r="V197" s="17">
        <f t="shared" si="27"/>
        <v>6.8800000000000026</v>
      </c>
      <c r="W197" s="101"/>
      <c r="X197" s="555">
        <f t="shared" si="28"/>
        <v>3449220</v>
      </c>
      <c r="Y197" s="632">
        <f t="shared" si="28"/>
        <v>972.46</v>
      </c>
    </row>
    <row r="198" spans="1:25" hidden="1" outlineLevel="1">
      <c r="A198" s="114">
        <v>43287</v>
      </c>
      <c r="B198" s="115">
        <f t="shared" si="23"/>
        <v>7</v>
      </c>
      <c r="C198" s="35">
        <v>218</v>
      </c>
      <c r="D198" s="36">
        <v>0.01</v>
      </c>
      <c r="E198" s="51">
        <v>4635287</v>
      </c>
      <c r="F198" s="52">
        <v>1401.73</v>
      </c>
      <c r="G198" s="58">
        <v>374073</v>
      </c>
      <c r="H198" s="17">
        <v>79.83</v>
      </c>
      <c r="I198" s="101"/>
      <c r="J198" s="35">
        <v>13</v>
      </c>
      <c r="K198" s="36">
        <v>0</v>
      </c>
      <c r="L198" s="51">
        <v>4313929</v>
      </c>
      <c r="M198" s="52">
        <v>1189.1099999999999</v>
      </c>
      <c r="N198" s="58">
        <v>332637</v>
      </c>
      <c r="O198" s="17">
        <v>69.63</v>
      </c>
      <c r="P198" s="101"/>
      <c r="Q198" s="35">
        <f t="shared" si="27"/>
        <v>205</v>
      </c>
      <c r="R198" s="36">
        <f t="shared" si="27"/>
        <v>0.01</v>
      </c>
      <c r="S198" s="51">
        <f t="shared" si="27"/>
        <v>321358</v>
      </c>
      <c r="T198" s="52">
        <f t="shared" si="27"/>
        <v>212.62000000000012</v>
      </c>
      <c r="U198" s="58">
        <f t="shared" si="27"/>
        <v>41436</v>
      </c>
      <c r="V198" s="17">
        <f t="shared" si="27"/>
        <v>10.200000000000003</v>
      </c>
      <c r="W198" s="101"/>
      <c r="X198" s="555">
        <f t="shared" si="28"/>
        <v>5009578</v>
      </c>
      <c r="Y198" s="632">
        <f t="shared" si="28"/>
        <v>1481.57</v>
      </c>
    </row>
    <row r="199" spans="1:25" hidden="1" outlineLevel="1">
      <c r="A199" s="114">
        <v>43288</v>
      </c>
      <c r="B199" s="115">
        <f t="shared" si="23"/>
        <v>7</v>
      </c>
      <c r="C199" s="35">
        <v>184</v>
      </c>
      <c r="D199" s="36">
        <v>0.01</v>
      </c>
      <c r="E199" s="51">
        <v>5443483</v>
      </c>
      <c r="F199" s="52">
        <v>1688.91</v>
      </c>
      <c r="G199" s="58">
        <v>439537</v>
      </c>
      <c r="H199" s="17">
        <v>92.67</v>
      </c>
      <c r="I199" s="101"/>
      <c r="J199" s="35">
        <v>4</v>
      </c>
      <c r="K199" s="36">
        <v>0</v>
      </c>
      <c r="L199" s="51">
        <v>5103222</v>
      </c>
      <c r="M199" s="52">
        <v>1488.42</v>
      </c>
      <c r="N199" s="58">
        <v>395911</v>
      </c>
      <c r="O199" s="17">
        <v>84.52</v>
      </c>
      <c r="P199" s="101"/>
      <c r="Q199" s="35">
        <f t="shared" si="27"/>
        <v>180</v>
      </c>
      <c r="R199" s="36">
        <f t="shared" si="27"/>
        <v>0.01</v>
      </c>
      <c r="S199" s="51">
        <f t="shared" si="27"/>
        <v>340261</v>
      </c>
      <c r="T199" s="52">
        <f t="shared" si="27"/>
        <v>200.49</v>
      </c>
      <c r="U199" s="58">
        <f t="shared" si="27"/>
        <v>43626</v>
      </c>
      <c r="V199" s="17">
        <f t="shared" si="27"/>
        <v>8.1500000000000057</v>
      </c>
      <c r="W199" s="101"/>
      <c r="X199" s="555">
        <f t="shared" si="28"/>
        <v>5883204</v>
      </c>
      <c r="Y199" s="632">
        <f t="shared" si="28"/>
        <v>1781.5900000000001</v>
      </c>
    </row>
    <row r="200" spans="1:25" hidden="1" outlineLevel="1">
      <c r="A200" s="114">
        <v>43289</v>
      </c>
      <c r="B200" s="115">
        <f t="shared" si="23"/>
        <v>7</v>
      </c>
      <c r="C200" s="35">
        <v>167</v>
      </c>
      <c r="D200" s="36">
        <v>0</v>
      </c>
      <c r="E200" s="51">
        <v>3842161</v>
      </c>
      <c r="F200" s="52">
        <v>1225.97</v>
      </c>
      <c r="G200" s="58">
        <v>345148</v>
      </c>
      <c r="H200" s="17">
        <v>82.19</v>
      </c>
      <c r="I200" s="101"/>
      <c r="J200" s="35">
        <v>10</v>
      </c>
      <c r="K200" s="36">
        <v>0</v>
      </c>
      <c r="L200" s="51">
        <v>3514596</v>
      </c>
      <c r="M200" s="52">
        <v>1025.78</v>
      </c>
      <c r="N200" s="58">
        <v>306092</v>
      </c>
      <c r="O200" s="17">
        <v>74.17</v>
      </c>
      <c r="P200" s="101"/>
      <c r="Q200" s="35">
        <f t="shared" si="27"/>
        <v>157</v>
      </c>
      <c r="R200" s="36">
        <f t="shared" si="27"/>
        <v>0</v>
      </c>
      <c r="S200" s="51">
        <f t="shared" si="27"/>
        <v>327565</v>
      </c>
      <c r="T200" s="52">
        <f t="shared" si="27"/>
        <v>200.19000000000005</v>
      </c>
      <c r="U200" s="58">
        <f t="shared" si="27"/>
        <v>39056</v>
      </c>
      <c r="V200" s="17">
        <f t="shared" si="27"/>
        <v>8.019999999999996</v>
      </c>
      <c r="W200" s="101"/>
      <c r="X200" s="555">
        <f t="shared" si="28"/>
        <v>4187476</v>
      </c>
      <c r="Y200" s="632">
        <f t="shared" si="28"/>
        <v>1308.1600000000001</v>
      </c>
    </row>
    <row r="201" spans="1:25" hidden="1" outlineLevel="1">
      <c r="A201" s="114">
        <v>43290</v>
      </c>
      <c r="B201" s="115">
        <f t="shared" si="23"/>
        <v>7</v>
      </c>
      <c r="C201" s="35">
        <v>160</v>
      </c>
      <c r="D201" s="36">
        <v>0</v>
      </c>
      <c r="E201" s="51">
        <v>3676037</v>
      </c>
      <c r="F201" s="52">
        <v>1433.71</v>
      </c>
      <c r="G201" s="58">
        <v>322436</v>
      </c>
      <c r="H201" s="17">
        <v>80.47</v>
      </c>
      <c r="I201" s="101"/>
      <c r="J201" s="35">
        <v>10</v>
      </c>
      <c r="K201" s="36">
        <v>0</v>
      </c>
      <c r="L201" s="51">
        <v>3353204</v>
      </c>
      <c r="M201" s="52">
        <v>1252.3699999999999</v>
      </c>
      <c r="N201" s="58">
        <v>285186</v>
      </c>
      <c r="O201" s="17">
        <v>73.69</v>
      </c>
      <c r="P201" s="101"/>
      <c r="Q201" s="35">
        <f t="shared" si="27"/>
        <v>150</v>
      </c>
      <c r="R201" s="36">
        <f t="shared" si="27"/>
        <v>0</v>
      </c>
      <c r="S201" s="51">
        <f t="shared" si="27"/>
        <v>322833</v>
      </c>
      <c r="T201" s="52">
        <f t="shared" si="27"/>
        <v>181.34000000000015</v>
      </c>
      <c r="U201" s="58">
        <f t="shared" si="27"/>
        <v>37250</v>
      </c>
      <c r="V201" s="17">
        <f t="shared" si="27"/>
        <v>6.7800000000000011</v>
      </c>
      <c r="W201" s="101"/>
      <c r="X201" s="555">
        <f t="shared" si="28"/>
        <v>3998633</v>
      </c>
      <c r="Y201" s="632">
        <f t="shared" si="28"/>
        <v>1514.18</v>
      </c>
    </row>
    <row r="202" spans="1:25" hidden="1" outlineLevel="1">
      <c r="A202" s="114">
        <v>43291</v>
      </c>
      <c r="B202" s="115">
        <f t="shared" si="23"/>
        <v>7</v>
      </c>
      <c r="C202" s="35">
        <v>167</v>
      </c>
      <c r="D202" s="36">
        <v>0</v>
      </c>
      <c r="E202" s="51">
        <v>3554088</v>
      </c>
      <c r="F202" s="52">
        <v>1317.5</v>
      </c>
      <c r="G202" s="58">
        <v>337065</v>
      </c>
      <c r="H202" s="17">
        <v>87.01</v>
      </c>
      <c r="I202" s="101"/>
      <c r="J202" s="35">
        <v>12</v>
      </c>
      <c r="K202" s="36">
        <v>0</v>
      </c>
      <c r="L202" s="51">
        <v>3288250</v>
      </c>
      <c r="M202" s="52">
        <v>1231.08</v>
      </c>
      <c r="N202" s="58">
        <v>298285</v>
      </c>
      <c r="O202" s="17">
        <v>79.17</v>
      </c>
      <c r="P202" s="101"/>
      <c r="Q202" s="35">
        <f t="shared" si="27"/>
        <v>155</v>
      </c>
      <c r="R202" s="36">
        <f t="shared" si="27"/>
        <v>0</v>
      </c>
      <c r="S202" s="51">
        <f t="shared" si="27"/>
        <v>265838</v>
      </c>
      <c r="T202" s="52">
        <f t="shared" si="27"/>
        <v>86.420000000000073</v>
      </c>
      <c r="U202" s="58">
        <f t="shared" si="27"/>
        <v>38780</v>
      </c>
      <c r="V202" s="17">
        <f t="shared" si="27"/>
        <v>7.8400000000000034</v>
      </c>
      <c r="W202" s="101"/>
      <c r="X202" s="555">
        <f t="shared" si="28"/>
        <v>3891320</v>
      </c>
      <c r="Y202" s="632">
        <f t="shared" si="28"/>
        <v>1404.51</v>
      </c>
    </row>
    <row r="203" spans="1:25" hidden="1" outlineLevel="1">
      <c r="A203" s="114">
        <v>43292</v>
      </c>
      <c r="B203" s="115">
        <f t="shared" si="23"/>
        <v>7</v>
      </c>
      <c r="C203" s="35">
        <v>168</v>
      </c>
      <c r="D203" s="36">
        <v>0.01</v>
      </c>
      <c r="E203" s="51">
        <v>3592086</v>
      </c>
      <c r="F203" s="52">
        <v>1369.84</v>
      </c>
      <c r="G203" s="58">
        <v>305154</v>
      </c>
      <c r="H203" s="17">
        <v>81.569999999999993</v>
      </c>
      <c r="I203" s="101"/>
      <c r="J203" s="35">
        <v>17</v>
      </c>
      <c r="K203" s="36">
        <v>0</v>
      </c>
      <c r="L203" s="51">
        <v>3311028</v>
      </c>
      <c r="M203" s="52">
        <v>1271.99</v>
      </c>
      <c r="N203" s="58">
        <v>269917</v>
      </c>
      <c r="O203" s="17">
        <v>74.84</v>
      </c>
      <c r="P203" s="101"/>
      <c r="Q203" s="35">
        <f t="shared" si="27"/>
        <v>151</v>
      </c>
      <c r="R203" s="36">
        <f t="shared" si="27"/>
        <v>0.01</v>
      </c>
      <c r="S203" s="51">
        <f t="shared" si="27"/>
        <v>281058</v>
      </c>
      <c r="T203" s="52">
        <f t="shared" si="27"/>
        <v>97.849999999999909</v>
      </c>
      <c r="U203" s="58">
        <f t="shared" si="27"/>
        <v>35237</v>
      </c>
      <c r="V203" s="17">
        <f t="shared" si="27"/>
        <v>6.7299999999999898</v>
      </c>
      <c r="W203" s="101"/>
      <c r="X203" s="555">
        <f t="shared" si="28"/>
        <v>3897408</v>
      </c>
      <c r="Y203" s="632">
        <f t="shared" si="28"/>
        <v>1451.4199999999998</v>
      </c>
    </row>
    <row r="204" spans="1:25" hidden="1" outlineLevel="1">
      <c r="A204" s="114">
        <v>43293</v>
      </c>
      <c r="B204" s="115">
        <f t="shared" si="23"/>
        <v>7</v>
      </c>
      <c r="C204" s="35">
        <v>185</v>
      </c>
      <c r="D204" s="36">
        <v>0</v>
      </c>
      <c r="E204" s="51">
        <v>3980407</v>
      </c>
      <c r="F204" s="52">
        <v>1498.03</v>
      </c>
      <c r="G204" s="58">
        <v>310383</v>
      </c>
      <c r="H204" s="17">
        <v>82.07</v>
      </c>
      <c r="I204" s="101"/>
      <c r="J204" s="35">
        <v>24</v>
      </c>
      <c r="K204" s="36">
        <v>0</v>
      </c>
      <c r="L204" s="51">
        <v>3686304</v>
      </c>
      <c r="M204" s="52">
        <v>1402.43</v>
      </c>
      <c r="N204" s="58">
        <v>273331</v>
      </c>
      <c r="O204" s="17">
        <v>74.37</v>
      </c>
      <c r="P204" s="101"/>
      <c r="Q204" s="35">
        <f t="shared" si="27"/>
        <v>161</v>
      </c>
      <c r="R204" s="36">
        <f t="shared" si="27"/>
        <v>0</v>
      </c>
      <c r="S204" s="51">
        <f t="shared" si="27"/>
        <v>294103</v>
      </c>
      <c r="T204" s="52">
        <f t="shared" si="27"/>
        <v>95.599999999999909</v>
      </c>
      <c r="U204" s="58">
        <f t="shared" si="27"/>
        <v>37052</v>
      </c>
      <c r="V204" s="17">
        <f t="shared" si="27"/>
        <v>7.6999999999999886</v>
      </c>
      <c r="W204" s="101"/>
      <c r="X204" s="555">
        <f t="shared" si="28"/>
        <v>4290975</v>
      </c>
      <c r="Y204" s="632">
        <f t="shared" si="28"/>
        <v>1580.1</v>
      </c>
    </row>
    <row r="205" spans="1:25" hidden="1" outlineLevel="1">
      <c r="A205" s="114">
        <v>43294</v>
      </c>
      <c r="B205" s="115">
        <f t="shared" si="23"/>
        <v>7</v>
      </c>
      <c r="C205" s="35">
        <v>177</v>
      </c>
      <c r="D205" s="36">
        <v>0</v>
      </c>
      <c r="E205" s="51">
        <v>6192893</v>
      </c>
      <c r="F205" s="52">
        <v>2059.31</v>
      </c>
      <c r="G205" s="58">
        <v>379360</v>
      </c>
      <c r="H205" s="17">
        <v>89.74</v>
      </c>
      <c r="I205" s="101"/>
      <c r="J205" s="35">
        <v>12</v>
      </c>
      <c r="K205" s="36">
        <v>0</v>
      </c>
      <c r="L205" s="51">
        <v>5843282</v>
      </c>
      <c r="M205" s="52">
        <v>1941.61</v>
      </c>
      <c r="N205" s="58">
        <v>338269</v>
      </c>
      <c r="O205" s="17">
        <v>81.819999999999993</v>
      </c>
      <c r="P205" s="101"/>
      <c r="Q205" s="35">
        <f t="shared" si="27"/>
        <v>165</v>
      </c>
      <c r="R205" s="36">
        <f t="shared" si="27"/>
        <v>0</v>
      </c>
      <c r="S205" s="51">
        <f t="shared" si="27"/>
        <v>349611</v>
      </c>
      <c r="T205" s="52">
        <f t="shared" si="27"/>
        <v>117.70000000000005</v>
      </c>
      <c r="U205" s="58">
        <f t="shared" si="27"/>
        <v>41091</v>
      </c>
      <c r="V205" s="17">
        <f t="shared" si="27"/>
        <v>7.9200000000000017</v>
      </c>
      <c r="W205" s="101"/>
      <c r="X205" s="555">
        <f t="shared" si="28"/>
        <v>6572430</v>
      </c>
      <c r="Y205" s="632">
        <f t="shared" si="28"/>
        <v>2149.0499999999997</v>
      </c>
    </row>
    <row r="206" spans="1:25" hidden="1" outlineLevel="1">
      <c r="A206" s="114">
        <v>43295</v>
      </c>
      <c r="B206" s="115">
        <f t="shared" si="23"/>
        <v>7</v>
      </c>
      <c r="C206" s="35">
        <v>174</v>
      </c>
      <c r="D206" s="36">
        <v>0.01</v>
      </c>
      <c r="E206" s="51">
        <v>6856312</v>
      </c>
      <c r="F206" s="52">
        <v>2239.15</v>
      </c>
      <c r="G206" s="58">
        <v>1310734</v>
      </c>
      <c r="H206" s="17">
        <v>898.52</v>
      </c>
      <c r="I206" s="101"/>
      <c r="J206" s="35">
        <v>18</v>
      </c>
      <c r="K206" s="36">
        <v>0</v>
      </c>
      <c r="L206" s="51">
        <v>6488744</v>
      </c>
      <c r="M206" s="52">
        <v>2120.7600000000002</v>
      </c>
      <c r="N206" s="58">
        <v>1235937</v>
      </c>
      <c r="O206" s="17">
        <v>839.05</v>
      </c>
      <c r="P206" s="101"/>
      <c r="Q206" s="35">
        <f t="shared" si="27"/>
        <v>156</v>
      </c>
      <c r="R206" s="36">
        <f t="shared" si="27"/>
        <v>0.01</v>
      </c>
      <c r="S206" s="51">
        <f t="shared" si="27"/>
        <v>367568</v>
      </c>
      <c r="T206" s="52">
        <f t="shared" si="27"/>
        <v>118.38999999999987</v>
      </c>
      <c r="U206" s="58">
        <f t="shared" si="27"/>
        <v>74797</v>
      </c>
      <c r="V206" s="17">
        <f t="shared" si="27"/>
        <v>59.470000000000027</v>
      </c>
      <c r="W206" s="101"/>
      <c r="X206" s="555">
        <f t="shared" si="28"/>
        <v>8167220</v>
      </c>
      <c r="Y206" s="632">
        <f t="shared" si="28"/>
        <v>3137.6800000000003</v>
      </c>
    </row>
    <row r="207" spans="1:25" hidden="1" outlineLevel="1">
      <c r="A207" s="114">
        <v>43296</v>
      </c>
      <c r="B207" s="115">
        <f t="shared" si="23"/>
        <v>7</v>
      </c>
      <c r="C207" s="35">
        <v>173</v>
      </c>
      <c r="D207" s="36">
        <v>0.02</v>
      </c>
      <c r="E207" s="51">
        <v>4818265</v>
      </c>
      <c r="F207" s="52">
        <v>1529.26</v>
      </c>
      <c r="G207" s="58">
        <v>1377858</v>
      </c>
      <c r="H207" s="17">
        <v>663.63</v>
      </c>
      <c r="I207" s="101"/>
      <c r="J207" s="35">
        <v>8</v>
      </c>
      <c r="K207" s="36">
        <v>0</v>
      </c>
      <c r="L207" s="51">
        <v>4499733</v>
      </c>
      <c r="M207" s="52">
        <v>1421.92</v>
      </c>
      <c r="N207" s="58">
        <v>1301414</v>
      </c>
      <c r="O207" s="17">
        <v>619.51</v>
      </c>
      <c r="P207" s="101"/>
      <c r="Q207" s="35">
        <f t="shared" si="27"/>
        <v>165</v>
      </c>
      <c r="R207" s="36">
        <f t="shared" si="27"/>
        <v>0.02</v>
      </c>
      <c r="S207" s="51">
        <f t="shared" si="27"/>
        <v>318532</v>
      </c>
      <c r="T207" s="52">
        <f t="shared" si="27"/>
        <v>107.33999999999992</v>
      </c>
      <c r="U207" s="58">
        <f t="shared" si="27"/>
        <v>76444</v>
      </c>
      <c r="V207" s="17">
        <f t="shared" si="27"/>
        <v>44.120000000000005</v>
      </c>
      <c r="W207" s="101"/>
      <c r="X207" s="555">
        <f t="shared" si="28"/>
        <v>6196296</v>
      </c>
      <c r="Y207" s="632">
        <f t="shared" si="28"/>
        <v>2192.91</v>
      </c>
    </row>
    <row r="208" spans="1:25" hidden="1" outlineLevel="1">
      <c r="A208" s="114">
        <v>43297</v>
      </c>
      <c r="B208" s="115">
        <f t="shared" si="23"/>
        <v>7</v>
      </c>
      <c r="C208" s="35">
        <v>152</v>
      </c>
      <c r="D208" s="36">
        <v>0.01</v>
      </c>
      <c r="E208" s="51">
        <v>4543958</v>
      </c>
      <c r="F208" s="52">
        <v>1550.67</v>
      </c>
      <c r="G208" s="58">
        <v>1024131</v>
      </c>
      <c r="H208" s="17">
        <v>470.04</v>
      </c>
      <c r="I208" s="101"/>
      <c r="J208" s="35">
        <v>18</v>
      </c>
      <c r="K208" s="36">
        <v>0</v>
      </c>
      <c r="L208" s="51">
        <v>4247986</v>
      </c>
      <c r="M208" s="52">
        <v>1457.55</v>
      </c>
      <c r="N208" s="58">
        <v>955498</v>
      </c>
      <c r="O208" s="17">
        <v>439.26</v>
      </c>
      <c r="P208" s="101"/>
      <c r="Q208" s="35">
        <f t="shared" si="27"/>
        <v>134</v>
      </c>
      <c r="R208" s="36">
        <f t="shared" si="27"/>
        <v>0.01</v>
      </c>
      <c r="S208" s="51">
        <f t="shared" si="27"/>
        <v>295972</v>
      </c>
      <c r="T208" s="52">
        <f t="shared" si="27"/>
        <v>93.120000000000118</v>
      </c>
      <c r="U208" s="58">
        <f t="shared" si="27"/>
        <v>68633</v>
      </c>
      <c r="V208" s="17">
        <f t="shared" si="27"/>
        <v>30.78000000000003</v>
      </c>
      <c r="W208" s="101"/>
      <c r="X208" s="555">
        <f t="shared" si="28"/>
        <v>5568241</v>
      </c>
      <c r="Y208" s="632">
        <f t="shared" si="28"/>
        <v>2020.72</v>
      </c>
    </row>
    <row r="209" spans="1:25" hidden="1" outlineLevel="1">
      <c r="A209" s="114">
        <v>43298</v>
      </c>
      <c r="B209" s="115">
        <f t="shared" si="23"/>
        <v>7</v>
      </c>
      <c r="C209" s="35">
        <v>155</v>
      </c>
      <c r="D209" s="36">
        <v>0</v>
      </c>
      <c r="E209" s="51">
        <v>4530584</v>
      </c>
      <c r="F209" s="52">
        <v>1444.6</v>
      </c>
      <c r="G209" s="58">
        <v>962245</v>
      </c>
      <c r="H209" s="17">
        <v>415.57</v>
      </c>
      <c r="I209" s="101"/>
      <c r="J209" s="35">
        <v>12</v>
      </c>
      <c r="K209" s="36">
        <v>0</v>
      </c>
      <c r="L209" s="51">
        <v>4195054</v>
      </c>
      <c r="M209" s="52">
        <v>1349</v>
      </c>
      <c r="N209" s="58">
        <v>894756</v>
      </c>
      <c r="O209" s="17">
        <v>385.25</v>
      </c>
      <c r="P209" s="101"/>
      <c r="Q209" s="35">
        <f t="shared" si="27"/>
        <v>143</v>
      </c>
      <c r="R209" s="36">
        <f t="shared" si="27"/>
        <v>0</v>
      </c>
      <c r="S209" s="51">
        <f t="shared" si="27"/>
        <v>335530</v>
      </c>
      <c r="T209" s="52">
        <f t="shared" si="27"/>
        <v>95.599999999999909</v>
      </c>
      <c r="U209" s="58">
        <f t="shared" si="27"/>
        <v>67489</v>
      </c>
      <c r="V209" s="17">
        <f t="shared" si="27"/>
        <v>30.319999999999993</v>
      </c>
      <c r="W209" s="101"/>
      <c r="X209" s="555">
        <f t="shared" si="28"/>
        <v>5492984</v>
      </c>
      <c r="Y209" s="632">
        <f t="shared" si="28"/>
        <v>1860.1699999999998</v>
      </c>
    </row>
    <row r="210" spans="1:25" hidden="1" outlineLevel="1">
      <c r="A210" s="114">
        <v>43299</v>
      </c>
      <c r="B210" s="115">
        <f t="shared" si="23"/>
        <v>7</v>
      </c>
      <c r="C210" s="35">
        <v>173</v>
      </c>
      <c r="D210" s="36">
        <v>0</v>
      </c>
      <c r="E210" s="51">
        <v>4323693</v>
      </c>
      <c r="F210" s="52">
        <v>1373.19</v>
      </c>
      <c r="G210" s="58">
        <v>1380443</v>
      </c>
      <c r="H210" s="17">
        <v>477.02</v>
      </c>
      <c r="I210" s="101"/>
      <c r="J210" s="35">
        <v>8</v>
      </c>
      <c r="K210" s="36">
        <v>0</v>
      </c>
      <c r="L210" s="51">
        <v>4008222</v>
      </c>
      <c r="M210" s="52">
        <v>1280.79</v>
      </c>
      <c r="N210" s="58">
        <v>1293518</v>
      </c>
      <c r="O210" s="17">
        <v>441.31</v>
      </c>
      <c r="P210" s="101"/>
      <c r="Q210" s="35">
        <f t="shared" si="27"/>
        <v>165</v>
      </c>
      <c r="R210" s="36">
        <f t="shared" si="27"/>
        <v>0</v>
      </c>
      <c r="S210" s="51">
        <f t="shared" si="27"/>
        <v>315471</v>
      </c>
      <c r="T210" s="52">
        <f t="shared" si="27"/>
        <v>92.400000000000091</v>
      </c>
      <c r="U210" s="58">
        <f t="shared" si="27"/>
        <v>86925</v>
      </c>
      <c r="V210" s="17">
        <f t="shared" si="27"/>
        <v>35.70999999999998</v>
      </c>
      <c r="W210" s="101"/>
      <c r="X210" s="555">
        <f t="shared" si="28"/>
        <v>5704309</v>
      </c>
      <c r="Y210" s="632">
        <f t="shared" si="28"/>
        <v>1850.21</v>
      </c>
    </row>
    <row r="211" spans="1:25" hidden="1" outlineLevel="1">
      <c r="A211" s="114">
        <v>43300</v>
      </c>
      <c r="B211" s="115">
        <f t="shared" si="23"/>
        <v>7</v>
      </c>
      <c r="C211" s="35">
        <v>150</v>
      </c>
      <c r="D211" s="36">
        <v>0.02</v>
      </c>
      <c r="E211" s="51">
        <v>4262799</v>
      </c>
      <c r="F211" s="52">
        <v>1425.72</v>
      </c>
      <c r="G211" s="58">
        <v>1086239</v>
      </c>
      <c r="H211" s="17">
        <v>428.33</v>
      </c>
      <c r="I211" s="101"/>
      <c r="J211" s="35">
        <v>8</v>
      </c>
      <c r="K211" s="36">
        <v>0</v>
      </c>
      <c r="L211" s="51">
        <v>3945307</v>
      </c>
      <c r="M211" s="52">
        <v>1332.9</v>
      </c>
      <c r="N211" s="58">
        <v>993203</v>
      </c>
      <c r="O211" s="17">
        <v>393.91</v>
      </c>
      <c r="P211" s="101"/>
      <c r="Q211" s="35">
        <f t="shared" si="27"/>
        <v>142</v>
      </c>
      <c r="R211" s="36">
        <f t="shared" si="27"/>
        <v>0.02</v>
      </c>
      <c r="S211" s="51">
        <f t="shared" si="27"/>
        <v>317492</v>
      </c>
      <c r="T211" s="52">
        <f t="shared" si="27"/>
        <v>92.819999999999936</v>
      </c>
      <c r="U211" s="58">
        <f t="shared" si="27"/>
        <v>93036</v>
      </c>
      <c r="V211" s="17">
        <f t="shared" si="27"/>
        <v>34.419999999999959</v>
      </c>
      <c r="W211" s="101"/>
      <c r="X211" s="555">
        <f t="shared" si="28"/>
        <v>5349188</v>
      </c>
      <c r="Y211" s="632">
        <f t="shared" si="28"/>
        <v>1854.07</v>
      </c>
    </row>
    <row r="212" spans="1:25" hidden="1" outlineLevel="1">
      <c r="A212" s="114">
        <v>43301</v>
      </c>
      <c r="B212" s="115">
        <f t="shared" si="23"/>
        <v>7</v>
      </c>
      <c r="C212" s="35">
        <v>164</v>
      </c>
      <c r="D212" s="36">
        <v>0.01</v>
      </c>
      <c r="E212" s="51">
        <v>5920898</v>
      </c>
      <c r="F212" s="52">
        <v>1778.38</v>
      </c>
      <c r="G212" s="58">
        <v>1396358</v>
      </c>
      <c r="H212" s="17">
        <v>522.32000000000005</v>
      </c>
      <c r="I212" s="101"/>
      <c r="J212" s="35">
        <v>4</v>
      </c>
      <c r="K212" s="36">
        <v>0</v>
      </c>
      <c r="L212" s="51">
        <v>5604410</v>
      </c>
      <c r="M212" s="52">
        <v>1687.48</v>
      </c>
      <c r="N212" s="58">
        <v>1298108</v>
      </c>
      <c r="O212" s="17">
        <v>486.13</v>
      </c>
      <c r="P212" s="101"/>
      <c r="Q212" s="35">
        <f t="shared" si="27"/>
        <v>160</v>
      </c>
      <c r="R212" s="36">
        <f t="shared" si="27"/>
        <v>0.01</v>
      </c>
      <c r="S212" s="51">
        <f t="shared" si="27"/>
        <v>316488</v>
      </c>
      <c r="T212" s="52">
        <f t="shared" si="27"/>
        <v>90.900000000000091</v>
      </c>
      <c r="U212" s="58">
        <f t="shared" si="27"/>
        <v>98250</v>
      </c>
      <c r="V212" s="17">
        <f t="shared" si="27"/>
        <v>36.190000000000055</v>
      </c>
      <c r="W212" s="101"/>
      <c r="X212" s="555">
        <f t="shared" si="28"/>
        <v>7317420</v>
      </c>
      <c r="Y212" s="632">
        <f t="shared" si="28"/>
        <v>2300.71</v>
      </c>
    </row>
    <row r="213" spans="1:25" hidden="1" outlineLevel="1">
      <c r="A213" s="114">
        <v>43302</v>
      </c>
      <c r="B213" s="115">
        <f t="shared" si="23"/>
        <v>7</v>
      </c>
      <c r="C213" s="35">
        <v>169</v>
      </c>
      <c r="D213" s="36">
        <v>0.01</v>
      </c>
      <c r="E213" s="51">
        <v>5889263</v>
      </c>
      <c r="F213" s="52">
        <v>1794.19</v>
      </c>
      <c r="G213" s="58">
        <v>1186933</v>
      </c>
      <c r="H213" s="17">
        <v>466.57</v>
      </c>
      <c r="I213" s="101"/>
      <c r="J213" s="35">
        <v>7</v>
      </c>
      <c r="K213" s="36">
        <v>0</v>
      </c>
      <c r="L213" s="51">
        <v>5582326</v>
      </c>
      <c r="M213" s="52">
        <v>1706.87</v>
      </c>
      <c r="N213" s="58">
        <v>1096817</v>
      </c>
      <c r="O213" s="17">
        <v>433.83</v>
      </c>
      <c r="P213" s="101"/>
      <c r="Q213" s="35">
        <f t="shared" si="27"/>
        <v>162</v>
      </c>
      <c r="R213" s="36">
        <f t="shared" si="27"/>
        <v>0.01</v>
      </c>
      <c r="S213" s="51">
        <f t="shared" si="27"/>
        <v>306937</v>
      </c>
      <c r="T213" s="52">
        <f t="shared" si="27"/>
        <v>87.320000000000164</v>
      </c>
      <c r="U213" s="58">
        <f t="shared" si="27"/>
        <v>90116</v>
      </c>
      <c r="V213" s="17">
        <f t="shared" si="27"/>
        <v>32.740000000000009</v>
      </c>
      <c r="W213" s="101"/>
      <c r="X213" s="555">
        <f t="shared" si="28"/>
        <v>7076365</v>
      </c>
      <c r="Y213" s="632">
        <f t="shared" si="28"/>
        <v>2260.77</v>
      </c>
    </row>
    <row r="214" spans="1:25" hidden="1" outlineLevel="1">
      <c r="A214" s="114">
        <v>43303</v>
      </c>
      <c r="B214" s="115">
        <f t="shared" si="23"/>
        <v>7</v>
      </c>
      <c r="C214" s="35">
        <v>157</v>
      </c>
      <c r="D214" s="36">
        <v>0.01</v>
      </c>
      <c r="E214" s="51">
        <v>4099472</v>
      </c>
      <c r="F214" s="52">
        <v>1264.31</v>
      </c>
      <c r="G214" s="58">
        <v>1106192</v>
      </c>
      <c r="H214" s="17">
        <v>398.08</v>
      </c>
      <c r="I214" s="101"/>
      <c r="J214" s="35">
        <v>5</v>
      </c>
      <c r="K214" s="36">
        <v>0</v>
      </c>
      <c r="L214" s="51">
        <v>3828962</v>
      </c>
      <c r="M214" s="52">
        <v>1186.2</v>
      </c>
      <c r="N214" s="58">
        <v>1022106</v>
      </c>
      <c r="O214" s="17">
        <v>367.87</v>
      </c>
      <c r="P214" s="101"/>
      <c r="Q214" s="35">
        <f t="shared" si="27"/>
        <v>152</v>
      </c>
      <c r="R214" s="36">
        <f t="shared" si="27"/>
        <v>0.01</v>
      </c>
      <c r="S214" s="51">
        <f t="shared" si="27"/>
        <v>270510</v>
      </c>
      <c r="T214" s="52">
        <f t="shared" si="27"/>
        <v>78.1099999999999</v>
      </c>
      <c r="U214" s="58">
        <f t="shared" si="27"/>
        <v>84086</v>
      </c>
      <c r="V214" s="17">
        <f t="shared" si="27"/>
        <v>30.20999999999998</v>
      </c>
      <c r="W214" s="101"/>
      <c r="X214" s="555">
        <f t="shared" si="28"/>
        <v>5205821</v>
      </c>
      <c r="Y214" s="632">
        <f t="shared" si="28"/>
        <v>1662.3999999999999</v>
      </c>
    </row>
    <row r="215" spans="1:25" hidden="1" outlineLevel="1">
      <c r="A215" s="114">
        <v>43304</v>
      </c>
      <c r="B215" s="115">
        <f t="shared" si="23"/>
        <v>7</v>
      </c>
      <c r="C215" s="35">
        <v>154</v>
      </c>
      <c r="D215" s="36">
        <v>0</v>
      </c>
      <c r="E215" s="51">
        <v>3679057</v>
      </c>
      <c r="F215" s="52">
        <v>1199.5999999999999</v>
      </c>
      <c r="G215" s="58">
        <v>1139811</v>
      </c>
      <c r="H215" s="17">
        <v>402.5</v>
      </c>
      <c r="I215" s="101"/>
      <c r="J215" s="35">
        <v>7</v>
      </c>
      <c r="K215" s="36">
        <v>0</v>
      </c>
      <c r="L215" s="51">
        <v>3406774</v>
      </c>
      <c r="M215" s="52">
        <v>1116.8499999999999</v>
      </c>
      <c r="N215" s="58">
        <v>1059676</v>
      </c>
      <c r="O215" s="17">
        <v>371.04</v>
      </c>
      <c r="P215" s="101"/>
      <c r="Q215" s="35">
        <f t="shared" si="27"/>
        <v>147</v>
      </c>
      <c r="R215" s="36">
        <f t="shared" si="27"/>
        <v>0</v>
      </c>
      <c r="S215" s="51">
        <f t="shared" si="27"/>
        <v>272283</v>
      </c>
      <c r="T215" s="52">
        <f t="shared" si="27"/>
        <v>82.75</v>
      </c>
      <c r="U215" s="58">
        <f t="shared" si="27"/>
        <v>80135</v>
      </c>
      <c r="V215" s="17">
        <f t="shared" si="27"/>
        <v>31.45999999999998</v>
      </c>
      <c r="W215" s="101"/>
      <c r="X215" s="555">
        <f t="shared" si="28"/>
        <v>4819022</v>
      </c>
      <c r="Y215" s="632">
        <f t="shared" si="28"/>
        <v>1602.1</v>
      </c>
    </row>
    <row r="216" spans="1:25" hidden="1" outlineLevel="1">
      <c r="A216" s="114">
        <v>43305</v>
      </c>
      <c r="B216" s="115">
        <f t="shared" si="23"/>
        <v>7</v>
      </c>
      <c r="C216" s="35">
        <v>152</v>
      </c>
      <c r="D216" s="36">
        <v>0.01</v>
      </c>
      <c r="E216" s="51">
        <v>3927937</v>
      </c>
      <c r="F216" s="52">
        <v>1248.1300000000001</v>
      </c>
      <c r="G216" s="58">
        <v>931419</v>
      </c>
      <c r="H216" s="17">
        <v>338.77</v>
      </c>
      <c r="I216" s="101"/>
      <c r="J216" s="35">
        <v>5</v>
      </c>
      <c r="K216" s="36">
        <v>0</v>
      </c>
      <c r="L216" s="51">
        <v>3653680</v>
      </c>
      <c r="M216" s="52">
        <v>1160.1199999999999</v>
      </c>
      <c r="N216" s="58">
        <v>853967</v>
      </c>
      <c r="O216" s="17">
        <v>311.76</v>
      </c>
      <c r="P216" s="101"/>
      <c r="Q216" s="35">
        <f t="shared" si="27"/>
        <v>147</v>
      </c>
      <c r="R216" s="36">
        <f t="shared" si="27"/>
        <v>0.01</v>
      </c>
      <c r="S216" s="51">
        <f t="shared" si="27"/>
        <v>274257</v>
      </c>
      <c r="T216" s="52">
        <f t="shared" si="27"/>
        <v>88.010000000000218</v>
      </c>
      <c r="U216" s="58">
        <f t="shared" si="27"/>
        <v>77452</v>
      </c>
      <c r="V216" s="17">
        <f t="shared" si="27"/>
        <v>27.009999999999991</v>
      </c>
      <c r="W216" s="101"/>
      <c r="X216" s="555">
        <f t="shared" si="28"/>
        <v>4859508</v>
      </c>
      <c r="Y216" s="632">
        <f t="shared" si="28"/>
        <v>1586.91</v>
      </c>
    </row>
    <row r="217" spans="1:25" hidden="1" outlineLevel="1">
      <c r="A217" s="114">
        <v>43306</v>
      </c>
      <c r="B217" s="115">
        <f t="shared" si="23"/>
        <v>7</v>
      </c>
      <c r="C217" s="35">
        <v>153</v>
      </c>
      <c r="D217" s="36">
        <v>0</v>
      </c>
      <c r="E217" s="51">
        <v>4248962</v>
      </c>
      <c r="F217" s="52">
        <v>1351.54</v>
      </c>
      <c r="G217" s="58">
        <v>903500</v>
      </c>
      <c r="H217" s="17">
        <v>322.67</v>
      </c>
      <c r="I217" s="101"/>
      <c r="J217" s="35">
        <v>12</v>
      </c>
      <c r="K217" s="36">
        <v>0</v>
      </c>
      <c r="L217" s="51">
        <v>3943070</v>
      </c>
      <c r="M217" s="52">
        <v>1264.27</v>
      </c>
      <c r="N217" s="58">
        <v>830737</v>
      </c>
      <c r="O217" s="17">
        <v>297.72000000000003</v>
      </c>
      <c r="P217" s="101"/>
      <c r="Q217" s="35">
        <f t="shared" si="27"/>
        <v>141</v>
      </c>
      <c r="R217" s="36">
        <f t="shared" si="27"/>
        <v>0</v>
      </c>
      <c r="S217" s="51">
        <f t="shared" si="27"/>
        <v>305892</v>
      </c>
      <c r="T217" s="52">
        <f t="shared" si="27"/>
        <v>87.269999999999982</v>
      </c>
      <c r="U217" s="58">
        <f t="shared" si="27"/>
        <v>72763</v>
      </c>
      <c r="V217" s="17">
        <f t="shared" si="27"/>
        <v>24.949999999999989</v>
      </c>
      <c r="W217" s="101"/>
      <c r="X217" s="555">
        <f t="shared" si="28"/>
        <v>5152615</v>
      </c>
      <c r="Y217" s="632">
        <f t="shared" si="28"/>
        <v>1674.21</v>
      </c>
    </row>
    <row r="218" spans="1:25" hidden="1" outlineLevel="1">
      <c r="A218" s="114">
        <v>43307</v>
      </c>
      <c r="B218" s="115">
        <f t="shared" si="23"/>
        <v>7</v>
      </c>
      <c r="C218" s="35">
        <v>175</v>
      </c>
      <c r="D218" s="36">
        <v>0.01</v>
      </c>
      <c r="E218" s="51">
        <v>6168379</v>
      </c>
      <c r="F218" s="52">
        <v>1995.84</v>
      </c>
      <c r="G218" s="58">
        <v>1329701</v>
      </c>
      <c r="H218" s="17">
        <v>433.69</v>
      </c>
      <c r="I218" s="101"/>
      <c r="J218" s="35">
        <v>10</v>
      </c>
      <c r="K218" s="36">
        <v>0</v>
      </c>
      <c r="L218" s="51">
        <v>5876229</v>
      </c>
      <c r="M218" s="52">
        <v>1908.47</v>
      </c>
      <c r="N218" s="58">
        <v>1242244</v>
      </c>
      <c r="O218" s="17">
        <v>404.31</v>
      </c>
      <c r="P218" s="101"/>
      <c r="Q218" s="35">
        <f t="shared" si="27"/>
        <v>165</v>
      </c>
      <c r="R218" s="36">
        <f t="shared" si="27"/>
        <v>0.01</v>
      </c>
      <c r="S218" s="51">
        <f t="shared" si="27"/>
        <v>292150</v>
      </c>
      <c r="T218" s="52">
        <f t="shared" si="27"/>
        <v>87.369999999999891</v>
      </c>
      <c r="U218" s="58">
        <f t="shared" si="27"/>
        <v>87457</v>
      </c>
      <c r="V218" s="17">
        <f t="shared" si="27"/>
        <v>29.379999999999995</v>
      </c>
      <c r="W218" s="101"/>
      <c r="X218" s="555">
        <f t="shared" si="28"/>
        <v>7498255</v>
      </c>
      <c r="Y218" s="632">
        <f t="shared" si="28"/>
        <v>2429.54</v>
      </c>
    </row>
    <row r="219" spans="1:25" hidden="1" outlineLevel="1">
      <c r="A219" s="114">
        <v>43308</v>
      </c>
      <c r="B219" s="115">
        <f t="shared" si="23"/>
        <v>7</v>
      </c>
      <c r="C219" s="35">
        <v>201</v>
      </c>
      <c r="D219" s="36">
        <v>0.01</v>
      </c>
      <c r="E219" s="51">
        <v>6401716</v>
      </c>
      <c r="F219" s="52">
        <v>2025.17</v>
      </c>
      <c r="G219" s="58">
        <v>1273327</v>
      </c>
      <c r="H219" s="17">
        <v>404.33</v>
      </c>
      <c r="I219" s="101"/>
      <c r="J219" s="35">
        <v>10</v>
      </c>
      <c r="K219" s="36">
        <v>0</v>
      </c>
      <c r="L219" s="51">
        <v>6102410</v>
      </c>
      <c r="M219" s="52">
        <v>1939.42</v>
      </c>
      <c r="N219" s="58">
        <v>1180528</v>
      </c>
      <c r="O219" s="17">
        <v>374.92</v>
      </c>
      <c r="P219" s="101"/>
      <c r="Q219" s="35">
        <f t="shared" si="27"/>
        <v>191</v>
      </c>
      <c r="R219" s="36">
        <f t="shared" si="27"/>
        <v>0.01</v>
      </c>
      <c r="S219" s="51">
        <f t="shared" si="27"/>
        <v>299306</v>
      </c>
      <c r="T219" s="52">
        <f t="shared" si="27"/>
        <v>85.75</v>
      </c>
      <c r="U219" s="58">
        <f t="shared" si="27"/>
        <v>92799</v>
      </c>
      <c r="V219" s="17">
        <f t="shared" si="27"/>
        <v>29.409999999999968</v>
      </c>
      <c r="W219" s="101"/>
      <c r="X219" s="555">
        <f t="shared" si="28"/>
        <v>7675244</v>
      </c>
      <c r="Y219" s="632">
        <f t="shared" si="28"/>
        <v>2429.5100000000002</v>
      </c>
    </row>
    <row r="220" spans="1:25" hidden="1" outlineLevel="1">
      <c r="A220" s="114">
        <v>43309</v>
      </c>
      <c r="B220" s="115">
        <f t="shared" si="23"/>
        <v>7</v>
      </c>
      <c r="C220" s="35">
        <v>178</v>
      </c>
      <c r="D220" s="36">
        <v>0</v>
      </c>
      <c r="E220" s="51">
        <v>6632048</v>
      </c>
      <c r="F220" s="52">
        <v>2092.6</v>
      </c>
      <c r="G220" s="58">
        <v>1768208</v>
      </c>
      <c r="H220" s="17">
        <v>579.37</v>
      </c>
      <c r="I220" s="101"/>
      <c r="J220" s="35">
        <v>7</v>
      </c>
      <c r="K220" s="36">
        <v>0</v>
      </c>
      <c r="L220" s="51">
        <v>6317252</v>
      </c>
      <c r="M220" s="52">
        <v>1995.88</v>
      </c>
      <c r="N220" s="58">
        <v>1656779</v>
      </c>
      <c r="O220" s="17">
        <v>536.65</v>
      </c>
      <c r="P220" s="101"/>
      <c r="Q220" s="35">
        <f t="shared" si="27"/>
        <v>171</v>
      </c>
      <c r="R220" s="36">
        <f t="shared" si="27"/>
        <v>0</v>
      </c>
      <c r="S220" s="51">
        <f t="shared" si="27"/>
        <v>314796</v>
      </c>
      <c r="T220" s="52">
        <f t="shared" si="27"/>
        <v>96.7199999999998</v>
      </c>
      <c r="U220" s="58">
        <f t="shared" si="27"/>
        <v>111429</v>
      </c>
      <c r="V220" s="17">
        <f t="shared" si="27"/>
        <v>42.720000000000027</v>
      </c>
      <c r="W220" s="101"/>
      <c r="X220" s="555">
        <f t="shared" si="28"/>
        <v>8400434</v>
      </c>
      <c r="Y220" s="632">
        <f t="shared" si="28"/>
        <v>2671.97</v>
      </c>
    </row>
    <row r="221" spans="1:25" hidden="1" outlineLevel="1">
      <c r="A221" s="114">
        <v>43310</v>
      </c>
      <c r="B221" s="115">
        <f t="shared" si="23"/>
        <v>7</v>
      </c>
      <c r="C221" s="35">
        <v>118</v>
      </c>
      <c r="D221" s="36">
        <v>0.01</v>
      </c>
      <c r="E221" s="51">
        <v>7279753</v>
      </c>
      <c r="F221" s="52">
        <v>2195.98</v>
      </c>
      <c r="G221" s="58">
        <v>1534759</v>
      </c>
      <c r="H221" s="17">
        <v>550.97</v>
      </c>
      <c r="I221" s="101"/>
      <c r="J221" s="35">
        <v>10</v>
      </c>
      <c r="K221" s="36">
        <v>0</v>
      </c>
      <c r="L221" s="51">
        <v>6955195</v>
      </c>
      <c r="M221" s="52">
        <v>2086.5500000000002</v>
      </c>
      <c r="N221" s="58">
        <v>1435281</v>
      </c>
      <c r="O221" s="17">
        <v>511.64</v>
      </c>
      <c r="P221" s="101"/>
      <c r="Q221" s="35">
        <f t="shared" si="27"/>
        <v>108</v>
      </c>
      <c r="R221" s="36">
        <f t="shared" si="27"/>
        <v>0.01</v>
      </c>
      <c r="S221" s="51">
        <f t="shared" si="27"/>
        <v>324558</v>
      </c>
      <c r="T221" s="52">
        <f t="shared" si="27"/>
        <v>109.42999999999984</v>
      </c>
      <c r="U221" s="58">
        <f t="shared" si="27"/>
        <v>99478</v>
      </c>
      <c r="V221" s="17">
        <f t="shared" si="27"/>
        <v>39.330000000000041</v>
      </c>
      <c r="W221" s="101"/>
      <c r="X221" s="555">
        <f t="shared" si="28"/>
        <v>8814630</v>
      </c>
      <c r="Y221" s="632">
        <f t="shared" si="28"/>
        <v>2746.96</v>
      </c>
    </row>
    <row r="222" spans="1:25" hidden="1" outlineLevel="1">
      <c r="A222" s="114">
        <v>43311</v>
      </c>
      <c r="B222" s="115">
        <f t="shared" si="23"/>
        <v>7</v>
      </c>
      <c r="C222" s="35">
        <v>144</v>
      </c>
      <c r="D222" s="36">
        <v>0</v>
      </c>
      <c r="E222" s="51">
        <v>5254053</v>
      </c>
      <c r="F222" s="52">
        <v>1587.91</v>
      </c>
      <c r="G222" s="58">
        <v>1483877</v>
      </c>
      <c r="H222" s="17">
        <v>539</v>
      </c>
      <c r="I222" s="101"/>
      <c r="J222" s="35">
        <v>5</v>
      </c>
      <c r="K222" s="36">
        <v>0</v>
      </c>
      <c r="L222" s="51">
        <v>4930628</v>
      </c>
      <c r="M222" s="52">
        <v>1486.85</v>
      </c>
      <c r="N222" s="58">
        <v>1386716</v>
      </c>
      <c r="O222" s="17">
        <v>496.99</v>
      </c>
      <c r="P222" s="101"/>
      <c r="Q222" s="35">
        <f t="shared" si="27"/>
        <v>139</v>
      </c>
      <c r="R222" s="36">
        <f t="shared" si="27"/>
        <v>0</v>
      </c>
      <c r="S222" s="51">
        <f t="shared" si="27"/>
        <v>323425</v>
      </c>
      <c r="T222" s="52">
        <f t="shared" si="27"/>
        <v>101.06000000000017</v>
      </c>
      <c r="U222" s="58">
        <f t="shared" si="27"/>
        <v>97161</v>
      </c>
      <c r="V222" s="17">
        <f t="shared" si="27"/>
        <v>42.009999999999991</v>
      </c>
      <c r="W222" s="101"/>
      <c r="X222" s="555">
        <f t="shared" si="28"/>
        <v>6738074</v>
      </c>
      <c r="Y222" s="632">
        <f t="shared" si="28"/>
        <v>2126.91</v>
      </c>
    </row>
    <row r="223" spans="1:25" hidden="1" outlineLevel="1">
      <c r="A223" s="114">
        <v>43312</v>
      </c>
      <c r="B223" s="115">
        <f t="shared" si="23"/>
        <v>7</v>
      </c>
      <c r="C223" s="35">
        <v>139</v>
      </c>
      <c r="D223" s="36">
        <v>0</v>
      </c>
      <c r="E223" s="51">
        <v>4516573</v>
      </c>
      <c r="F223" s="52">
        <v>1329.2</v>
      </c>
      <c r="G223" s="58">
        <v>1186913</v>
      </c>
      <c r="H223" s="17">
        <v>343.94</v>
      </c>
      <c r="I223" s="101"/>
      <c r="J223" s="35">
        <v>7</v>
      </c>
      <c r="K223" s="36">
        <v>0</v>
      </c>
      <c r="L223" s="51">
        <v>4186119</v>
      </c>
      <c r="M223" s="52">
        <v>1223.3</v>
      </c>
      <c r="N223" s="58">
        <v>1100526</v>
      </c>
      <c r="O223" s="17">
        <v>311.35000000000002</v>
      </c>
      <c r="P223" s="101"/>
      <c r="Q223" s="35">
        <f t="shared" si="27"/>
        <v>132</v>
      </c>
      <c r="R223" s="36">
        <f t="shared" si="27"/>
        <v>0</v>
      </c>
      <c r="S223" s="51">
        <f t="shared" si="27"/>
        <v>330454</v>
      </c>
      <c r="T223" s="52">
        <f t="shared" si="27"/>
        <v>105.90000000000009</v>
      </c>
      <c r="U223" s="58">
        <f t="shared" si="27"/>
        <v>86387</v>
      </c>
      <c r="V223" s="17">
        <f t="shared" si="27"/>
        <v>32.589999999999975</v>
      </c>
      <c r="W223" s="101"/>
      <c r="X223" s="555">
        <f t="shared" si="28"/>
        <v>5703625</v>
      </c>
      <c r="Y223" s="632">
        <f t="shared" si="28"/>
        <v>1673.14</v>
      </c>
    </row>
    <row r="224" spans="1:25" collapsed="1">
      <c r="A224" s="104"/>
      <c r="B224" s="104" t="s">
        <v>21</v>
      </c>
      <c r="C224" s="105">
        <f>SUBTOTAL(9,C225:C255)</f>
        <v>557895</v>
      </c>
      <c r="D224" s="106">
        <f t="shared" ref="D224:H224" si="29">SUBTOTAL(9,D225:D255)</f>
        <v>288.86400000000003</v>
      </c>
      <c r="E224" s="109">
        <f t="shared" si="29"/>
        <v>168781036</v>
      </c>
      <c r="F224" s="110">
        <f t="shared" si="29"/>
        <v>54772.393999999687</v>
      </c>
      <c r="G224" s="111">
        <f t="shared" si="29"/>
        <v>66967835</v>
      </c>
      <c r="H224" s="14">
        <f t="shared" si="29"/>
        <v>23652.75799999966</v>
      </c>
      <c r="I224" s="103"/>
      <c r="J224" s="105">
        <f t="shared" ref="J224:O224" si="30">SUBTOTAL(9,J225:J255)</f>
        <v>537474</v>
      </c>
      <c r="K224" s="106">
        <f t="shared" si="30"/>
        <v>280.82299999999998</v>
      </c>
      <c r="L224" s="109">
        <f t="shared" si="30"/>
        <v>152169499</v>
      </c>
      <c r="M224" s="110">
        <f t="shared" si="30"/>
        <v>48666.327000000063</v>
      </c>
      <c r="N224" s="111">
        <f t="shared" si="30"/>
        <v>63006163</v>
      </c>
      <c r="O224" s="14">
        <f t="shared" si="30"/>
        <v>21761.083999999759</v>
      </c>
      <c r="P224" s="103"/>
      <c r="Q224" s="105">
        <f t="shared" ref="Q224:V224" si="31">SUBTOTAL(9,Q225:Q255)</f>
        <v>20421</v>
      </c>
      <c r="R224" s="106">
        <f t="shared" si="31"/>
        <v>8.0409999999999933</v>
      </c>
      <c r="S224" s="109">
        <f t="shared" si="31"/>
        <v>16611537</v>
      </c>
      <c r="T224" s="110">
        <f t="shared" si="31"/>
        <v>6106.0669999996353</v>
      </c>
      <c r="U224" s="111">
        <f t="shared" si="31"/>
        <v>3961672</v>
      </c>
      <c r="V224" s="14">
        <f t="shared" si="31"/>
        <v>1891.6739999999013</v>
      </c>
      <c r="W224" s="103"/>
      <c r="X224" s="555"/>
      <c r="Y224" s="632"/>
    </row>
    <row r="225" spans="1:25" hidden="1" outlineLevel="1">
      <c r="A225" s="97">
        <v>43313</v>
      </c>
      <c r="B225" s="98">
        <f t="shared" si="23"/>
        <v>8</v>
      </c>
      <c r="C225" s="35">
        <v>146</v>
      </c>
      <c r="D225" s="36">
        <v>0.01</v>
      </c>
      <c r="E225" s="51">
        <v>4336732</v>
      </c>
      <c r="F225" s="52">
        <v>1226.0899999999999</v>
      </c>
      <c r="G225" s="58">
        <v>1389078</v>
      </c>
      <c r="H225" s="17">
        <v>722.18</v>
      </c>
      <c r="I225" s="101"/>
      <c r="J225" s="35">
        <v>8</v>
      </c>
      <c r="K225" s="36">
        <v>0</v>
      </c>
      <c r="L225" s="51">
        <v>4000592</v>
      </c>
      <c r="M225" s="52">
        <v>1109.25</v>
      </c>
      <c r="N225" s="58">
        <v>1295346</v>
      </c>
      <c r="O225" s="17">
        <v>639.72</v>
      </c>
      <c r="P225" s="101"/>
      <c r="Q225" s="35">
        <f t="shared" ref="Q225:V255" si="32">C225-J225</f>
        <v>138</v>
      </c>
      <c r="R225" s="36">
        <f t="shared" si="32"/>
        <v>0.01</v>
      </c>
      <c r="S225" s="51">
        <f t="shared" si="32"/>
        <v>336140</v>
      </c>
      <c r="T225" s="52">
        <f t="shared" si="32"/>
        <v>116.83999999999992</v>
      </c>
      <c r="U225" s="58">
        <f t="shared" si="32"/>
        <v>93732</v>
      </c>
      <c r="V225" s="17">
        <f t="shared" si="32"/>
        <v>82.459999999999923</v>
      </c>
      <c r="W225" s="101"/>
      <c r="X225" s="555">
        <f t="shared" si="28"/>
        <v>5725956</v>
      </c>
      <c r="Y225" s="632">
        <f t="shared" si="28"/>
        <v>1948.2799999999997</v>
      </c>
    </row>
    <row r="226" spans="1:25" hidden="1" outlineLevel="1">
      <c r="A226" s="97">
        <v>43314</v>
      </c>
      <c r="B226" s="98">
        <f t="shared" ref="B226:B291" si="33">MONTH(A226)</f>
        <v>8</v>
      </c>
      <c r="C226" s="35">
        <v>135</v>
      </c>
      <c r="D226" s="36">
        <v>0.01</v>
      </c>
      <c r="E226" s="51">
        <v>4414394</v>
      </c>
      <c r="F226" s="52">
        <v>1235.5999999999999</v>
      </c>
      <c r="G226" s="58">
        <v>1285773</v>
      </c>
      <c r="H226" s="17">
        <v>650.16</v>
      </c>
      <c r="I226" s="101"/>
      <c r="J226" s="35">
        <v>4</v>
      </c>
      <c r="K226" s="36">
        <v>0</v>
      </c>
      <c r="L226" s="51">
        <v>4066046</v>
      </c>
      <c r="M226" s="52">
        <v>1111.32</v>
      </c>
      <c r="N226" s="58">
        <v>1199420</v>
      </c>
      <c r="O226" s="17">
        <v>589.15</v>
      </c>
      <c r="P226" s="101"/>
      <c r="Q226" s="35">
        <f t="shared" si="32"/>
        <v>131</v>
      </c>
      <c r="R226" s="36">
        <f t="shared" si="32"/>
        <v>0.01</v>
      </c>
      <c r="S226" s="51">
        <f t="shared" si="32"/>
        <v>348348</v>
      </c>
      <c r="T226" s="52">
        <f t="shared" si="32"/>
        <v>124.27999999999997</v>
      </c>
      <c r="U226" s="58">
        <f t="shared" si="32"/>
        <v>86353</v>
      </c>
      <c r="V226" s="17">
        <f t="shared" si="32"/>
        <v>61.009999999999991</v>
      </c>
      <c r="W226" s="101"/>
      <c r="X226" s="555">
        <f t="shared" si="28"/>
        <v>5700302</v>
      </c>
      <c r="Y226" s="632">
        <f t="shared" si="28"/>
        <v>1885.77</v>
      </c>
    </row>
    <row r="227" spans="1:25" hidden="1" outlineLevel="1">
      <c r="A227" s="97">
        <v>43315</v>
      </c>
      <c r="B227" s="98">
        <f t="shared" si="33"/>
        <v>8</v>
      </c>
      <c r="C227" s="35">
        <v>133</v>
      </c>
      <c r="D227" s="36">
        <v>0</v>
      </c>
      <c r="E227" s="51">
        <v>6620751</v>
      </c>
      <c r="F227" s="52">
        <v>1715.01</v>
      </c>
      <c r="G227" s="58">
        <v>2142699</v>
      </c>
      <c r="H227" s="17">
        <v>606.44000000000005</v>
      </c>
      <c r="I227" s="101"/>
      <c r="J227" s="35">
        <v>11</v>
      </c>
      <c r="K227" s="36">
        <v>0</v>
      </c>
      <c r="L227" s="51">
        <v>6162395</v>
      </c>
      <c r="M227" s="52">
        <v>1556.21</v>
      </c>
      <c r="N227" s="58">
        <v>2025897</v>
      </c>
      <c r="O227" s="17">
        <v>556.26</v>
      </c>
      <c r="P227" s="101"/>
      <c r="Q227" s="35">
        <f t="shared" si="32"/>
        <v>122</v>
      </c>
      <c r="R227" s="36">
        <f t="shared" si="32"/>
        <v>0</v>
      </c>
      <c r="S227" s="51">
        <f t="shared" si="32"/>
        <v>458356</v>
      </c>
      <c r="T227" s="52">
        <f t="shared" si="32"/>
        <v>158.79999999999995</v>
      </c>
      <c r="U227" s="58">
        <f t="shared" si="32"/>
        <v>116802</v>
      </c>
      <c r="V227" s="17">
        <f t="shared" si="32"/>
        <v>50.180000000000064</v>
      </c>
      <c r="W227" s="101"/>
      <c r="X227" s="555">
        <f t="shared" si="28"/>
        <v>8763583</v>
      </c>
      <c r="Y227" s="632">
        <f t="shared" si="28"/>
        <v>2321.4499999999998</v>
      </c>
    </row>
    <row r="228" spans="1:25" hidden="1" outlineLevel="1">
      <c r="A228" s="97">
        <v>43316</v>
      </c>
      <c r="B228" s="98">
        <f t="shared" si="33"/>
        <v>8</v>
      </c>
      <c r="C228" s="35">
        <v>158</v>
      </c>
      <c r="D228" s="36">
        <v>0</v>
      </c>
      <c r="E228" s="51">
        <v>6911042</v>
      </c>
      <c r="F228" s="52">
        <v>1711.68</v>
      </c>
      <c r="G228" s="58">
        <v>2034599</v>
      </c>
      <c r="H228" s="17">
        <v>517.92999999999995</v>
      </c>
      <c r="I228" s="101"/>
      <c r="J228" s="35">
        <v>19</v>
      </c>
      <c r="K228" s="36">
        <v>0</v>
      </c>
      <c r="L228" s="51">
        <v>6329388</v>
      </c>
      <c r="M228" s="52">
        <v>1542.73</v>
      </c>
      <c r="N228" s="58">
        <v>1913619</v>
      </c>
      <c r="O228" s="17">
        <v>474.75</v>
      </c>
      <c r="P228" s="101"/>
      <c r="Q228" s="35">
        <f t="shared" si="32"/>
        <v>139</v>
      </c>
      <c r="R228" s="36">
        <f t="shared" si="32"/>
        <v>0</v>
      </c>
      <c r="S228" s="51">
        <f t="shared" si="32"/>
        <v>581654</v>
      </c>
      <c r="T228" s="52">
        <f t="shared" si="32"/>
        <v>168.95000000000005</v>
      </c>
      <c r="U228" s="58">
        <f t="shared" si="32"/>
        <v>120980</v>
      </c>
      <c r="V228" s="17">
        <f t="shared" si="32"/>
        <v>43.17999999999995</v>
      </c>
      <c r="W228" s="101"/>
      <c r="X228" s="555">
        <f t="shared" si="28"/>
        <v>8945799</v>
      </c>
      <c r="Y228" s="632">
        <f t="shared" si="28"/>
        <v>2229.61</v>
      </c>
    </row>
    <row r="229" spans="1:25" hidden="1" outlineLevel="1">
      <c r="A229" s="97">
        <v>43317</v>
      </c>
      <c r="B229" s="98">
        <f t="shared" si="33"/>
        <v>8</v>
      </c>
      <c r="C229" s="35">
        <v>175</v>
      </c>
      <c r="D229" s="36">
        <v>0</v>
      </c>
      <c r="E229" s="51">
        <v>4976551</v>
      </c>
      <c r="F229" s="52">
        <v>1270.49</v>
      </c>
      <c r="G229" s="58">
        <v>1938824</v>
      </c>
      <c r="H229" s="17">
        <v>504.46</v>
      </c>
      <c r="I229" s="101"/>
      <c r="J229" s="35">
        <v>21</v>
      </c>
      <c r="K229" s="36">
        <v>0</v>
      </c>
      <c r="L229" s="51">
        <v>4416890</v>
      </c>
      <c r="M229" s="52">
        <v>1120.67</v>
      </c>
      <c r="N229" s="58">
        <v>1817922</v>
      </c>
      <c r="O229" s="17">
        <v>459.21</v>
      </c>
      <c r="P229" s="101"/>
      <c r="Q229" s="35">
        <f t="shared" si="32"/>
        <v>154</v>
      </c>
      <c r="R229" s="36">
        <f t="shared" si="32"/>
        <v>0</v>
      </c>
      <c r="S229" s="51">
        <f t="shared" si="32"/>
        <v>559661</v>
      </c>
      <c r="T229" s="52">
        <f t="shared" si="32"/>
        <v>149.81999999999994</v>
      </c>
      <c r="U229" s="58">
        <f t="shared" si="32"/>
        <v>120902</v>
      </c>
      <c r="V229" s="17">
        <f t="shared" si="32"/>
        <v>45.25</v>
      </c>
      <c r="W229" s="101"/>
      <c r="X229" s="555">
        <f t="shared" si="28"/>
        <v>6915550</v>
      </c>
      <c r="Y229" s="632">
        <f t="shared" si="28"/>
        <v>1774.95</v>
      </c>
    </row>
    <row r="230" spans="1:25" hidden="1" outlineLevel="1">
      <c r="A230" s="97">
        <v>43318</v>
      </c>
      <c r="B230" s="98">
        <f t="shared" si="33"/>
        <v>8</v>
      </c>
      <c r="C230" s="35">
        <v>183</v>
      </c>
      <c r="D230" s="36">
        <v>0</v>
      </c>
      <c r="E230" s="51">
        <v>4552502</v>
      </c>
      <c r="F230" s="52">
        <v>1300.02</v>
      </c>
      <c r="G230" s="58">
        <v>1837240</v>
      </c>
      <c r="H230" s="17">
        <v>503.34</v>
      </c>
      <c r="I230" s="101"/>
      <c r="J230" s="35">
        <v>14</v>
      </c>
      <c r="K230" s="36">
        <v>0</v>
      </c>
      <c r="L230" s="51">
        <v>4095523</v>
      </c>
      <c r="M230" s="52">
        <v>1145.29</v>
      </c>
      <c r="N230" s="58">
        <v>1727769</v>
      </c>
      <c r="O230" s="17">
        <v>463.47</v>
      </c>
      <c r="P230" s="101"/>
      <c r="Q230" s="35">
        <f t="shared" si="32"/>
        <v>169</v>
      </c>
      <c r="R230" s="36">
        <f t="shared" si="32"/>
        <v>0</v>
      </c>
      <c r="S230" s="51">
        <f t="shared" si="32"/>
        <v>456979</v>
      </c>
      <c r="T230" s="52">
        <f t="shared" si="32"/>
        <v>154.73000000000002</v>
      </c>
      <c r="U230" s="58">
        <f t="shared" si="32"/>
        <v>109471</v>
      </c>
      <c r="V230" s="17">
        <f t="shared" si="32"/>
        <v>39.869999999999948</v>
      </c>
      <c r="W230" s="101"/>
      <c r="X230" s="555">
        <f t="shared" si="28"/>
        <v>6389925</v>
      </c>
      <c r="Y230" s="632">
        <f t="shared" si="28"/>
        <v>1803.36</v>
      </c>
    </row>
    <row r="231" spans="1:25" hidden="1" outlineLevel="1">
      <c r="A231" s="97">
        <v>43319</v>
      </c>
      <c r="B231" s="98">
        <f t="shared" si="33"/>
        <v>8</v>
      </c>
      <c r="C231" s="35">
        <v>155</v>
      </c>
      <c r="D231" s="36">
        <v>0</v>
      </c>
      <c r="E231" s="51">
        <v>4412558</v>
      </c>
      <c r="F231" s="52">
        <v>1354.08</v>
      </c>
      <c r="G231" s="58">
        <v>1642761</v>
      </c>
      <c r="H231" s="17">
        <v>451.48</v>
      </c>
      <c r="I231" s="101"/>
      <c r="J231" s="35">
        <v>12</v>
      </c>
      <c r="K231" s="36">
        <v>0</v>
      </c>
      <c r="L231" s="51">
        <v>3932641</v>
      </c>
      <c r="M231" s="52">
        <v>1132.0999999999999</v>
      </c>
      <c r="N231" s="58">
        <v>1542845</v>
      </c>
      <c r="O231" s="17">
        <v>411.17</v>
      </c>
      <c r="P231" s="101"/>
      <c r="Q231" s="35">
        <f t="shared" si="32"/>
        <v>143</v>
      </c>
      <c r="R231" s="36">
        <f t="shared" si="32"/>
        <v>0</v>
      </c>
      <c r="S231" s="51">
        <f t="shared" si="32"/>
        <v>479917</v>
      </c>
      <c r="T231" s="52">
        <f t="shared" si="32"/>
        <v>221.98000000000002</v>
      </c>
      <c r="U231" s="58">
        <f t="shared" si="32"/>
        <v>99916</v>
      </c>
      <c r="V231" s="17">
        <f t="shared" si="32"/>
        <v>40.31</v>
      </c>
      <c r="W231" s="101"/>
      <c r="X231" s="555">
        <f t="shared" si="28"/>
        <v>6055474</v>
      </c>
      <c r="Y231" s="632">
        <f t="shared" si="28"/>
        <v>1805.56</v>
      </c>
    </row>
    <row r="232" spans="1:25" hidden="1" outlineLevel="1">
      <c r="A232" s="97">
        <v>43320</v>
      </c>
      <c r="B232" s="98">
        <f t="shared" si="33"/>
        <v>8</v>
      </c>
      <c r="C232" s="35">
        <v>153</v>
      </c>
      <c r="D232" s="36">
        <v>0</v>
      </c>
      <c r="E232" s="51">
        <v>4296506</v>
      </c>
      <c r="F232" s="52">
        <v>1341.4</v>
      </c>
      <c r="G232" s="58">
        <v>1913859</v>
      </c>
      <c r="H232" s="17">
        <v>696.75</v>
      </c>
      <c r="I232" s="101"/>
      <c r="J232" s="35">
        <v>5</v>
      </c>
      <c r="K232" s="36">
        <v>0</v>
      </c>
      <c r="L232" s="51">
        <v>3797933</v>
      </c>
      <c r="M232" s="52">
        <v>1112.18</v>
      </c>
      <c r="N232" s="58">
        <v>1803214</v>
      </c>
      <c r="O232" s="17">
        <v>630.98</v>
      </c>
      <c r="P232" s="101"/>
      <c r="Q232" s="35">
        <f t="shared" si="32"/>
        <v>148</v>
      </c>
      <c r="R232" s="36">
        <f t="shared" si="32"/>
        <v>0</v>
      </c>
      <c r="S232" s="51">
        <f t="shared" si="32"/>
        <v>498573</v>
      </c>
      <c r="T232" s="52">
        <f t="shared" si="32"/>
        <v>229.22000000000003</v>
      </c>
      <c r="U232" s="58">
        <f t="shared" si="32"/>
        <v>110645</v>
      </c>
      <c r="V232" s="17">
        <f t="shared" si="32"/>
        <v>65.769999999999982</v>
      </c>
      <c r="W232" s="101"/>
      <c r="X232" s="555">
        <f t="shared" si="28"/>
        <v>6210518</v>
      </c>
      <c r="Y232" s="632">
        <f t="shared" si="28"/>
        <v>2038.15</v>
      </c>
    </row>
    <row r="233" spans="1:25" hidden="1" outlineLevel="1">
      <c r="A233" s="97">
        <v>43321</v>
      </c>
      <c r="B233" s="98">
        <f t="shared" si="33"/>
        <v>8</v>
      </c>
      <c r="C233" s="35">
        <v>192</v>
      </c>
      <c r="D233" s="36">
        <v>0</v>
      </c>
      <c r="E233" s="51">
        <v>4603525</v>
      </c>
      <c r="F233" s="52">
        <v>1294.5999999999999</v>
      </c>
      <c r="G233" s="58">
        <v>1948981</v>
      </c>
      <c r="H233" s="17">
        <v>685.47</v>
      </c>
      <c r="I233" s="101"/>
      <c r="J233" s="35">
        <v>14</v>
      </c>
      <c r="K233" s="36">
        <v>0</v>
      </c>
      <c r="L233" s="51">
        <v>4074742</v>
      </c>
      <c r="M233" s="52">
        <v>1084.49</v>
      </c>
      <c r="N233" s="58">
        <v>1840523</v>
      </c>
      <c r="O233" s="17">
        <v>630.80999999999995</v>
      </c>
      <c r="P233" s="101"/>
      <c r="Q233" s="35">
        <f t="shared" si="32"/>
        <v>178</v>
      </c>
      <c r="R233" s="36">
        <f t="shared" si="32"/>
        <v>0</v>
      </c>
      <c r="S233" s="51">
        <f t="shared" si="32"/>
        <v>528783</v>
      </c>
      <c r="T233" s="52">
        <f t="shared" si="32"/>
        <v>210.1099999999999</v>
      </c>
      <c r="U233" s="58">
        <f t="shared" si="32"/>
        <v>108458</v>
      </c>
      <c r="V233" s="17">
        <f t="shared" si="32"/>
        <v>54.660000000000082</v>
      </c>
      <c r="W233" s="101"/>
      <c r="X233" s="555">
        <f t="shared" si="28"/>
        <v>6552698</v>
      </c>
      <c r="Y233" s="632">
        <f t="shared" si="28"/>
        <v>1980.07</v>
      </c>
    </row>
    <row r="234" spans="1:25" hidden="1" outlineLevel="1">
      <c r="A234" s="97">
        <v>43322</v>
      </c>
      <c r="B234" s="98">
        <f t="shared" si="33"/>
        <v>8</v>
      </c>
      <c r="C234" s="35">
        <v>175</v>
      </c>
      <c r="D234" s="36">
        <v>0.01</v>
      </c>
      <c r="E234" s="51">
        <v>6422322</v>
      </c>
      <c r="F234" s="52">
        <v>1721.98</v>
      </c>
      <c r="G234" s="58">
        <v>2609461</v>
      </c>
      <c r="H234" s="17">
        <v>1009.56</v>
      </c>
      <c r="I234" s="101"/>
      <c r="J234" s="35">
        <v>21</v>
      </c>
      <c r="K234" s="36">
        <v>0</v>
      </c>
      <c r="L234" s="51">
        <v>5840735</v>
      </c>
      <c r="M234" s="52">
        <v>1455.97</v>
      </c>
      <c r="N234" s="58">
        <v>2471890</v>
      </c>
      <c r="O234" s="17">
        <v>928.34</v>
      </c>
      <c r="P234" s="101"/>
      <c r="Q234" s="35">
        <f t="shared" si="32"/>
        <v>154</v>
      </c>
      <c r="R234" s="36">
        <f t="shared" si="32"/>
        <v>0.01</v>
      </c>
      <c r="S234" s="51">
        <f t="shared" si="32"/>
        <v>581587</v>
      </c>
      <c r="T234" s="52">
        <f t="shared" si="32"/>
        <v>266.01</v>
      </c>
      <c r="U234" s="58">
        <f t="shared" si="32"/>
        <v>137571</v>
      </c>
      <c r="V234" s="17">
        <f t="shared" si="32"/>
        <v>81.219999999999914</v>
      </c>
      <c r="W234" s="101"/>
      <c r="X234" s="555">
        <f t="shared" si="28"/>
        <v>9031958</v>
      </c>
      <c r="Y234" s="632">
        <f t="shared" si="28"/>
        <v>2731.55</v>
      </c>
    </row>
    <row r="235" spans="1:25" hidden="1" outlineLevel="1">
      <c r="A235" s="97">
        <v>43323</v>
      </c>
      <c r="B235" s="98">
        <f t="shared" si="33"/>
        <v>8</v>
      </c>
      <c r="C235" s="35">
        <v>177</v>
      </c>
      <c r="D235" s="36">
        <v>9.0000000000000011E-3</v>
      </c>
      <c r="E235" s="51">
        <v>6861148</v>
      </c>
      <c r="F235" s="52">
        <v>2032.4549999998717</v>
      </c>
      <c r="G235" s="58">
        <v>2667293</v>
      </c>
      <c r="H235" s="17">
        <v>997.61599999996315</v>
      </c>
      <c r="I235" s="101"/>
      <c r="J235" s="35">
        <v>7</v>
      </c>
      <c r="K235" s="36">
        <v>0</v>
      </c>
      <c r="L235" s="51">
        <v>6225045</v>
      </c>
      <c r="M235" s="52">
        <v>1751.52</v>
      </c>
      <c r="N235" s="58">
        <v>2525922</v>
      </c>
      <c r="O235" s="17">
        <v>926.04</v>
      </c>
      <c r="P235" s="101"/>
      <c r="Q235" s="35">
        <f t="shared" si="32"/>
        <v>170</v>
      </c>
      <c r="R235" s="36">
        <f t="shared" si="32"/>
        <v>9.0000000000000011E-3</v>
      </c>
      <c r="S235" s="51">
        <f t="shared" si="32"/>
        <v>636103</v>
      </c>
      <c r="T235" s="52">
        <f t="shared" si="32"/>
        <v>280.93499999987171</v>
      </c>
      <c r="U235" s="58">
        <f t="shared" si="32"/>
        <v>141371</v>
      </c>
      <c r="V235" s="17">
        <f t="shared" si="32"/>
        <v>71.575999999963187</v>
      </c>
      <c r="W235" s="101"/>
      <c r="X235" s="555">
        <f t="shared" si="28"/>
        <v>9528618</v>
      </c>
      <c r="Y235" s="632">
        <f t="shared" si="28"/>
        <v>3030.0799999998349</v>
      </c>
    </row>
    <row r="236" spans="1:25" hidden="1" outlineLevel="1">
      <c r="A236" s="97">
        <v>43324</v>
      </c>
      <c r="B236" s="98">
        <f t="shared" si="33"/>
        <v>8</v>
      </c>
      <c r="C236" s="35">
        <v>190</v>
      </c>
      <c r="D236" s="36">
        <v>3.0000000000000001E-3</v>
      </c>
      <c r="E236" s="51">
        <v>7348863</v>
      </c>
      <c r="F236" s="52">
        <v>2037.6829999998777</v>
      </c>
      <c r="G236" s="58">
        <v>3297715</v>
      </c>
      <c r="H236" s="17">
        <v>930.505999999962</v>
      </c>
      <c r="I236" s="101"/>
      <c r="J236" s="35">
        <v>14</v>
      </c>
      <c r="K236" s="36">
        <v>0</v>
      </c>
      <c r="L236" s="51">
        <v>6772382</v>
      </c>
      <c r="M236" s="52">
        <v>1788.09</v>
      </c>
      <c r="N236" s="58">
        <v>3145539</v>
      </c>
      <c r="O236" s="17">
        <v>863.5</v>
      </c>
      <c r="P236" s="101"/>
      <c r="Q236" s="35">
        <f t="shared" si="32"/>
        <v>176</v>
      </c>
      <c r="R236" s="36">
        <f t="shared" si="32"/>
        <v>3.0000000000000001E-3</v>
      </c>
      <c r="S236" s="51">
        <f t="shared" si="32"/>
        <v>576481</v>
      </c>
      <c r="T236" s="52">
        <f t="shared" si="32"/>
        <v>249.59299999987775</v>
      </c>
      <c r="U236" s="58">
        <f t="shared" si="32"/>
        <v>152176</v>
      </c>
      <c r="V236" s="17">
        <f t="shared" si="32"/>
        <v>67.005999999962</v>
      </c>
      <c r="W236" s="101"/>
      <c r="X236" s="555">
        <f t="shared" si="28"/>
        <v>10646768</v>
      </c>
      <c r="Y236" s="632">
        <f t="shared" si="28"/>
        <v>2968.1919999998395</v>
      </c>
    </row>
    <row r="237" spans="1:25" hidden="1" outlineLevel="1">
      <c r="A237" s="97">
        <v>43325</v>
      </c>
      <c r="B237" s="98">
        <f t="shared" si="33"/>
        <v>8</v>
      </c>
      <c r="C237" s="35">
        <v>169</v>
      </c>
      <c r="D237" s="36">
        <v>6.0000000000000001E-3</v>
      </c>
      <c r="E237" s="51">
        <v>5568631</v>
      </c>
      <c r="F237" s="52">
        <v>1621.6259999998747</v>
      </c>
      <c r="G237" s="58">
        <v>2479034</v>
      </c>
      <c r="H237" s="17">
        <v>733.24899999996467</v>
      </c>
      <c r="I237" s="101"/>
      <c r="J237" s="35">
        <v>5</v>
      </c>
      <c r="K237" s="36">
        <v>0</v>
      </c>
      <c r="L237" s="51">
        <v>5059264</v>
      </c>
      <c r="M237" s="52">
        <v>1413.75</v>
      </c>
      <c r="N237" s="58">
        <v>2351474</v>
      </c>
      <c r="O237" s="17">
        <v>674.38</v>
      </c>
      <c r="P237" s="101"/>
      <c r="Q237" s="35">
        <f t="shared" si="32"/>
        <v>164</v>
      </c>
      <c r="R237" s="36">
        <f t="shared" si="32"/>
        <v>6.0000000000000001E-3</v>
      </c>
      <c r="S237" s="51">
        <f t="shared" si="32"/>
        <v>509367</v>
      </c>
      <c r="T237" s="52">
        <f t="shared" si="32"/>
        <v>207.87599999987469</v>
      </c>
      <c r="U237" s="58">
        <f t="shared" si="32"/>
        <v>127560</v>
      </c>
      <c r="V237" s="17">
        <f t="shared" si="32"/>
        <v>58.868999999964672</v>
      </c>
      <c r="W237" s="101"/>
      <c r="X237" s="555">
        <f t="shared" si="28"/>
        <v>8047834</v>
      </c>
      <c r="Y237" s="632">
        <f t="shared" si="28"/>
        <v>2354.8809999998393</v>
      </c>
    </row>
    <row r="238" spans="1:25" hidden="1" outlineLevel="1">
      <c r="A238" s="97">
        <v>43326</v>
      </c>
      <c r="B238" s="98">
        <f t="shared" si="33"/>
        <v>8</v>
      </c>
      <c r="C238" s="35">
        <v>113</v>
      </c>
      <c r="D238" s="36">
        <v>3.0000000000000001E-3</v>
      </c>
      <c r="E238" s="51">
        <v>4884670</v>
      </c>
      <c r="F238" s="52">
        <v>1597.0149999999658</v>
      </c>
      <c r="G238" s="58">
        <v>1832404</v>
      </c>
      <c r="H238" s="17">
        <v>585.87799999999004</v>
      </c>
      <c r="I238" s="101"/>
      <c r="J238" s="35">
        <v>4</v>
      </c>
      <c r="K238" s="36">
        <v>0</v>
      </c>
      <c r="L238" s="51">
        <v>4409988</v>
      </c>
      <c r="M238" s="52">
        <v>1433.7669999999648</v>
      </c>
      <c r="N238" s="58">
        <v>1721576</v>
      </c>
      <c r="O238" s="17">
        <v>540.1609999999896</v>
      </c>
      <c r="P238" s="101"/>
      <c r="Q238" s="35">
        <f t="shared" si="32"/>
        <v>109</v>
      </c>
      <c r="R238" s="36">
        <f t="shared" si="32"/>
        <v>3.0000000000000001E-3</v>
      </c>
      <c r="S238" s="51">
        <f t="shared" si="32"/>
        <v>474682</v>
      </c>
      <c r="T238" s="52">
        <f t="shared" si="32"/>
        <v>163.24800000000096</v>
      </c>
      <c r="U238" s="58">
        <f t="shared" si="32"/>
        <v>110828</v>
      </c>
      <c r="V238" s="17">
        <f t="shared" si="32"/>
        <v>45.717000000000439</v>
      </c>
      <c r="W238" s="101"/>
      <c r="X238" s="555">
        <f t="shared" si="28"/>
        <v>6717187</v>
      </c>
      <c r="Y238" s="632">
        <f t="shared" si="28"/>
        <v>2182.8959999999556</v>
      </c>
    </row>
    <row r="239" spans="1:25" hidden="1" outlineLevel="1">
      <c r="A239" s="97">
        <v>43327</v>
      </c>
      <c r="B239" s="98">
        <f t="shared" si="33"/>
        <v>8</v>
      </c>
      <c r="C239" s="35">
        <v>128</v>
      </c>
      <c r="D239" s="36">
        <v>2E-3</v>
      </c>
      <c r="E239" s="51">
        <v>4614222</v>
      </c>
      <c r="F239" s="52">
        <v>1983.271999999967</v>
      </c>
      <c r="G239" s="58">
        <v>1801079</v>
      </c>
      <c r="H239" s="17">
        <v>610.93599999998958</v>
      </c>
      <c r="I239" s="101"/>
      <c r="J239" s="35">
        <v>11</v>
      </c>
      <c r="K239" s="36">
        <v>0</v>
      </c>
      <c r="L239" s="51">
        <v>4163895</v>
      </c>
      <c r="M239" s="52">
        <v>1824.1259999999625</v>
      </c>
      <c r="N239" s="58">
        <v>1688160</v>
      </c>
      <c r="O239" s="17">
        <v>571.18799999998907</v>
      </c>
      <c r="P239" s="101"/>
      <c r="Q239" s="35">
        <f t="shared" si="32"/>
        <v>117</v>
      </c>
      <c r="R239" s="36">
        <f t="shared" si="32"/>
        <v>2E-3</v>
      </c>
      <c r="S239" s="51">
        <f t="shared" si="32"/>
        <v>450327</v>
      </c>
      <c r="T239" s="52">
        <f t="shared" si="32"/>
        <v>159.14600000000451</v>
      </c>
      <c r="U239" s="58">
        <f t="shared" si="32"/>
        <v>112919</v>
      </c>
      <c r="V239" s="17">
        <f t="shared" si="32"/>
        <v>39.748000000000502</v>
      </c>
      <c r="W239" s="101"/>
      <c r="X239" s="555">
        <f t="shared" si="28"/>
        <v>6415429</v>
      </c>
      <c r="Y239" s="632">
        <f t="shared" si="28"/>
        <v>2594.2099999999564</v>
      </c>
    </row>
    <row r="240" spans="1:25" hidden="1" outlineLevel="1">
      <c r="A240" s="97">
        <v>43328</v>
      </c>
      <c r="B240" s="98">
        <f t="shared" si="33"/>
        <v>8</v>
      </c>
      <c r="C240" s="35">
        <v>151</v>
      </c>
      <c r="D240" s="36">
        <v>5.0000000000000001E-3</v>
      </c>
      <c r="E240" s="51">
        <v>4439824</v>
      </c>
      <c r="F240" s="52">
        <v>1831.5669999999643</v>
      </c>
      <c r="G240" s="58">
        <v>1976592</v>
      </c>
      <c r="H240" s="17">
        <v>699.41499999998894</v>
      </c>
      <c r="I240" s="101"/>
      <c r="J240" s="35">
        <v>13</v>
      </c>
      <c r="K240" s="36">
        <v>0</v>
      </c>
      <c r="L240" s="51">
        <v>3980235</v>
      </c>
      <c r="M240" s="52">
        <v>1672.7829999999597</v>
      </c>
      <c r="N240" s="58">
        <v>1837142</v>
      </c>
      <c r="O240" s="17">
        <v>652.49199999998848</v>
      </c>
      <c r="P240" s="101"/>
      <c r="Q240" s="35">
        <f t="shared" si="32"/>
        <v>138</v>
      </c>
      <c r="R240" s="36">
        <f t="shared" si="32"/>
        <v>5.0000000000000001E-3</v>
      </c>
      <c r="S240" s="51">
        <f t="shared" si="32"/>
        <v>459589</v>
      </c>
      <c r="T240" s="52">
        <f t="shared" si="32"/>
        <v>158.78400000000465</v>
      </c>
      <c r="U240" s="58">
        <f t="shared" si="32"/>
        <v>139450</v>
      </c>
      <c r="V240" s="17">
        <f t="shared" si="32"/>
        <v>46.923000000000457</v>
      </c>
      <c r="W240" s="101"/>
      <c r="X240" s="555">
        <f t="shared" si="28"/>
        <v>6416567</v>
      </c>
      <c r="Y240" s="632">
        <f t="shared" si="28"/>
        <v>2530.9869999999532</v>
      </c>
    </row>
    <row r="241" spans="1:25" hidden="1" outlineLevel="1">
      <c r="A241" s="97">
        <v>43329</v>
      </c>
      <c r="B241" s="98">
        <f t="shared" si="33"/>
        <v>8</v>
      </c>
      <c r="C241" s="35">
        <v>136</v>
      </c>
      <c r="D241" s="36">
        <v>5.0000000000000001E-3</v>
      </c>
      <c r="E241" s="51">
        <v>6924365</v>
      </c>
      <c r="F241" s="52">
        <v>2490.1710000001453</v>
      </c>
      <c r="G241" s="58">
        <v>1998500</v>
      </c>
      <c r="H241" s="17">
        <v>644.11299999999073</v>
      </c>
      <c r="I241" s="101"/>
      <c r="J241" s="35">
        <v>1</v>
      </c>
      <c r="K241" s="36">
        <v>0</v>
      </c>
      <c r="L241" s="51">
        <v>6356238</v>
      </c>
      <c r="M241" s="52">
        <v>2303.7640000001443</v>
      </c>
      <c r="N241" s="58">
        <v>1857989</v>
      </c>
      <c r="O241" s="17">
        <v>606.44299999999021</v>
      </c>
      <c r="P241" s="101"/>
      <c r="Q241" s="35">
        <f t="shared" si="32"/>
        <v>135</v>
      </c>
      <c r="R241" s="36">
        <f t="shared" si="32"/>
        <v>5.0000000000000001E-3</v>
      </c>
      <c r="S241" s="51">
        <f t="shared" si="32"/>
        <v>568127</v>
      </c>
      <c r="T241" s="52">
        <f t="shared" si="32"/>
        <v>186.40700000000106</v>
      </c>
      <c r="U241" s="58">
        <f t="shared" si="32"/>
        <v>140511</v>
      </c>
      <c r="V241" s="17">
        <f t="shared" si="32"/>
        <v>37.670000000000528</v>
      </c>
      <c r="W241" s="101"/>
      <c r="X241" s="555">
        <f t="shared" si="28"/>
        <v>8923001</v>
      </c>
      <c r="Y241" s="632">
        <f t="shared" si="28"/>
        <v>3134.2890000001362</v>
      </c>
    </row>
    <row r="242" spans="1:25" hidden="1" outlineLevel="1">
      <c r="A242" s="97">
        <v>43330</v>
      </c>
      <c r="B242" s="98">
        <f t="shared" si="33"/>
        <v>8</v>
      </c>
      <c r="C242" s="35">
        <v>165</v>
      </c>
      <c r="D242" s="36">
        <v>3.0000000000000001E-3</v>
      </c>
      <c r="E242" s="51">
        <v>7830460</v>
      </c>
      <c r="F242" s="52">
        <v>2400.3260000001537</v>
      </c>
      <c r="G242" s="58">
        <v>2570097</v>
      </c>
      <c r="H242" s="17">
        <v>931.49399999999071</v>
      </c>
      <c r="I242" s="101"/>
      <c r="J242" s="35">
        <v>6</v>
      </c>
      <c r="K242" s="36">
        <v>0</v>
      </c>
      <c r="L242" s="51">
        <v>7198766</v>
      </c>
      <c r="M242" s="52">
        <v>2207.8020000001507</v>
      </c>
      <c r="N242" s="58">
        <v>2410193</v>
      </c>
      <c r="O242" s="17">
        <v>863.47299999999063</v>
      </c>
      <c r="P242" s="101"/>
      <c r="Q242" s="35">
        <f t="shared" si="32"/>
        <v>159</v>
      </c>
      <c r="R242" s="36">
        <f t="shared" si="32"/>
        <v>3.0000000000000001E-3</v>
      </c>
      <c r="S242" s="51">
        <f t="shared" si="32"/>
        <v>631694</v>
      </c>
      <c r="T242" s="52">
        <f t="shared" si="32"/>
        <v>192.52400000000307</v>
      </c>
      <c r="U242" s="58">
        <f t="shared" si="32"/>
        <v>159904</v>
      </c>
      <c r="V242" s="17">
        <f t="shared" si="32"/>
        <v>68.021000000000072</v>
      </c>
      <c r="W242" s="101"/>
      <c r="X242" s="555">
        <f t="shared" si="28"/>
        <v>10400722</v>
      </c>
      <c r="Y242" s="632">
        <f t="shared" si="28"/>
        <v>3331.8230000001445</v>
      </c>
    </row>
    <row r="243" spans="1:25" hidden="1" outlineLevel="1">
      <c r="A243" s="97">
        <v>43331</v>
      </c>
      <c r="B243" s="98">
        <f t="shared" si="33"/>
        <v>8</v>
      </c>
      <c r="C243" s="35">
        <v>190</v>
      </c>
      <c r="D243" s="36">
        <v>5.0000000000000001E-3</v>
      </c>
      <c r="E243" s="51">
        <v>5168288</v>
      </c>
      <c r="F243" s="52">
        <v>1646.5399999999536</v>
      </c>
      <c r="G243" s="58">
        <v>1825666</v>
      </c>
      <c r="H243" s="17">
        <v>602.9159999999905</v>
      </c>
      <c r="I243" s="101"/>
      <c r="J243" s="35">
        <v>5</v>
      </c>
      <c r="K243" s="36">
        <v>0</v>
      </c>
      <c r="L243" s="51">
        <v>4622786</v>
      </c>
      <c r="M243" s="52">
        <v>1468.7109999999516</v>
      </c>
      <c r="N243" s="58">
        <v>1685817</v>
      </c>
      <c r="O243" s="17">
        <v>554.01099999999008</v>
      </c>
      <c r="P243" s="101"/>
      <c r="Q243" s="35">
        <f t="shared" si="32"/>
        <v>185</v>
      </c>
      <c r="R243" s="36">
        <f t="shared" si="32"/>
        <v>5.0000000000000001E-3</v>
      </c>
      <c r="S243" s="51">
        <f t="shared" si="32"/>
        <v>545502</v>
      </c>
      <c r="T243" s="52">
        <f t="shared" si="32"/>
        <v>177.829000000002</v>
      </c>
      <c r="U243" s="58">
        <f t="shared" si="32"/>
        <v>139849</v>
      </c>
      <c r="V243" s="17">
        <f t="shared" si="32"/>
        <v>48.905000000000427</v>
      </c>
      <c r="W243" s="101"/>
      <c r="X243" s="555">
        <f t="shared" si="28"/>
        <v>6994144</v>
      </c>
      <c r="Y243" s="632">
        <f t="shared" si="28"/>
        <v>2249.4609999999443</v>
      </c>
    </row>
    <row r="244" spans="1:25" hidden="1" outlineLevel="1">
      <c r="A244" s="97">
        <v>43332</v>
      </c>
      <c r="B244" s="98">
        <f t="shared" si="33"/>
        <v>8</v>
      </c>
      <c r="C244" s="35">
        <v>168</v>
      </c>
      <c r="D244" s="36">
        <v>6.0000000000000001E-3</v>
      </c>
      <c r="E244" s="51">
        <v>4709630</v>
      </c>
      <c r="F244" s="52">
        <v>1629.5719999999624</v>
      </c>
      <c r="G244" s="58">
        <v>1931381</v>
      </c>
      <c r="H244" s="17">
        <v>593.61699999998871</v>
      </c>
      <c r="I244" s="101"/>
      <c r="J244" s="35">
        <v>20</v>
      </c>
      <c r="K244" s="36">
        <v>0</v>
      </c>
      <c r="L244" s="51">
        <v>4186213</v>
      </c>
      <c r="M244" s="52">
        <v>1451.7039999999618</v>
      </c>
      <c r="N244" s="58">
        <v>1795495</v>
      </c>
      <c r="O244" s="17">
        <v>549.4939999999882</v>
      </c>
      <c r="P244" s="101"/>
      <c r="Q244" s="35">
        <f t="shared" si="32"/>
        <v>148</v>
      </c>
      <c r="R244" s="36">
        <f t="shared" si="32"/>
        <v>6.0000000000000001E-3</v>
      </c>
      <c r="S244" s="51">
        <f t="shared" si="32"/>
        <v>523417</v>
      </c>
      <c r="T244" s="52">
        <f t="shared" si="32"/>
        <v>177.86800000000062</v>
      </c>
      <c r="U244" s="58">
        <f t="shared" si="32"/>
        <v>135886</v>
      </c>
      <c r="V244" s="17">
        <f t="shared" si="32"/>
        <v>44.123000000000502</v>
      </c>
      <c r="W244" s="101"/>
      <c r="X244" s="555">
        <f t="shared" si="28"/>
        <v>6641179</v>
      </c>
      <c r="Y244" s="632">
        <f t="shared" si="28"/>
        <v>2223.1949999999511</v>
      </c>
    </row>
    <row r="245" spans="1:25" hidden="1" outlineLevel="1">
      <c r="A245" s="97">
        <v>43333</v>
      </c>
      <c r="B245" s="98">
        <f t="shared" si="33"/>
        <v>8</v>
      </c>
      <c r="C245" s="35">
        <v>157</v>
      </c>
      <c r="D245" s="36">
        <v>3.0000000000000001E-3</v>
      </c>
      <c r="E245" s="51">
        <v>4919361</v>
      </c>
      <c r="F245" s="52">
        <v>1764.8289999999563</v>
      </c>
      <c r="G245" s="58">
        <v>1721720</v>
      </c>
      <c r="H245" s="17">
        <v>542.09099999999307</v>
      </c>
      <c r="I245" s="101"/>
      <c r="J245" s="35">
        <v>9</v>
      </c>
      <c r="K245" s="36">
        <v>0</v>
      </c>
      <c r="L245" s="51">
        <v>4372131</v>
      </c>
      <c r="M245" s="52">
        <v>1589.9809999999554</v>
      </c>
      <c r="N245" s="58">
        <v>1589050</v>
      </c>
      <c r="O245" s="17">
        <v>501.77499999999259</v>
      </c>
      <c r="P245" s="101"/>
      <c r="Q245" s="35">
        <f t="shared" si="32"/>
        <v>148</v>
      </c>
      <c r="R245" s="36">
        <f t="shared" si="32"/>
        <v>3.0000000000000001E-3</v>
      </c>
      <c r="S245" s="51">
        <f t="shared" si="32"/>
        <v>547230</v>
      </c>
      <c r="T245" s="52">
        <f t="shared" si="32"/>
        <v>174.84800000000087</v>
      </c>
      <c r="U245" s="58">
        <f t="shared" si="32"/>
        <v>132670</v>
      </c>
      <c r="V245" s="17">
        <f t="shared" si="32"/>
        <v>40.316000000000486</v>
      </c>
      <c r="W245" s="101"/>
      <c r="X245" s="555">
        <f t="shared" si="28"/>
        <v>6641238</v>
      </c>
      <c r="Y245" s="632">
        <f t="shared" si="28"/>
        <v>2306.9229999999493</v>
      </c>
    </row>
    <row r="246" spans="1:25" hidden="1" outlineLevel="1">
      <c r="A246" s="97">
        <v>43334</v>
      </c>
      <c r="B246" s="98">
        <f t="shared" si="33"/>
        <v>8</v>
      </c>
      <c r="C246" s="35">
        <v>175</v>
      </c>
      <c r="D246" s="36">
        <v>3.0000000000000001E-3</v>
      </c>
      <c r="E246" s="51">
        <v>4843126</v>
      </c>
      <c r="F246" s="52">
        <v>1725.1009999999612</v>
      </c>
      <c r="G246" s="58">
        <v>1994725</v>
      </c>
      <c r="H246" s="17">
        <v>617.84099999998614</v>
      </c>
      <c r="I246" s="101"/>
      <c r="J246" s="35">
        <v>10</v>
      </c>
      <c r="K246" s="36">
        <v>0</v>
      </c>
      <c r="L246" s="51">
        <v>4311495</v>
      </c>
      <c r="M246" s="52">
        <v>1542.6059999999618</v>
      </c>
      <c r="N246" s="58">
        <v>1854674</v>
      </c>
      <c r="O246" s="17">
        <v>569.97699999998576</v>
      </c>
      <c r="P246" s="101"/>
      <c r="Q246" s="35">
        <f t="shared" si="32"/>
        <v>165</v>
      </c>
      <c r="R246" s="36">
        <f t="shared" si="32"/>
        <v>3.0000000000000001E-3</v>
      </c>
      <c r="S246" s="51">
        <f t="shared" si="32"/>
        <v>531631</v>
      </c>
      <c r="T246" s="52">
        <f t="shared" si="32"/>
        <v>182.49499999999944</v>
      </c>
      <c r="U246" s="58">
        <f t="shared" si="32"/>
        <v>140051</v>
      </c>
      <c r="V246" s="17">
        <f t="shared" si="32"/>
        <v>47.864000000000374</v>
      </c>
      <c r="W246" s="101"/>
      <c r="X246" s="555">
        <f t="shared" si="28"/>
        <v>6838026</v>
      </c>
      <c r="Y246" s="632">
        <f t="shared" si="28"/>
        <v>2342.9449999999474</v>
      </c>
    </row>
    <row r="247" spans="1:25" hidden="1" outlineLevel="1">
      <c r="A247" s="97">
        <v>43335</v>
      </c>
      <c r="B247" s="98">
        <f t="shared" si="33"/>
        <v>8</v>
      </c>
      <c r="C247" s="35">
        <v>158</v>
      </c>
      <c r="D247" s="36">
        <v>7.0000000000000001E-3</v>
      </c>
      <c r="E247" s="51">
        <v>4704718</v>
      </c>
      <c r="F247" s="52">
        <v>1787.7689999999563</v>
      </c>
      <c r="G247" s="58">
        <v>2071742</v>
      </c>
      <c r="H247" s="17">
        <v>669.76899999998557</v>
      </c>
      <c r="I247" s="101"/>
      <c r="J247" s="35">
        <v>8</v>
      </c>
      <c r="K247" s="36">
        <v>0</v>
      </c>
      <c r="L247" s="51">
        <v>4168754</v>
      </c>
      <c r="M247" s="52">
        <v>1594.2079999999555</v>
      </c>
      <c r="N247" s="58">
        <v>1944600</v>
      </c>
      <c r="O247" s="17">
        <v>621.70399999998483</v>
      </c>
      <c r="P247" s="101"/>
      <c r="Q247" s="35">
        <f t="shared" si="32"/>
        <v>150</v>
      </c>
      <c r="R247" s="36">
        <f t="shared" si="32"/>
        <v>7.0000000000000001E-3</v>
      </c>
      <c r="S247" s="51">
        <f t="shared" si="32"/>
        <v>535964</v>
      </c>
      <c r="T247" s="52">
        <f t="shared" si="32"/>
        <v>193.56100000000083</v>
      </c>
      <c r="U247" s="58">
        <f t="shared" si="32"/>
        <v>127142</v>
      </c>
      <c r="V247" s="17">
        <f t="shared" si="32"/>
        <v>48.065000000000737</v>
      </c>
      <c r="W247" s="101"/>
      <c r="X247" s="555">
        <f t="shared" si="28"/>
        <v>6776618</v>
      </c>
      <c r="Y247" s="632">
        <f t="shared" si="28"/>
        <v>2457.5449999999419</v>
      </c>
    </row>
    <row r="248" spans="1:25" hidden="1" outlineLevel="1">
      <c r="A248" s="97">
        <v>43336</v>
      </c>
      <c r="B248" s="98">
        <f t="shared" si="33"/>
        <v>8</v>
      </c>
      <c r="C248" s="35">
        <v>162</v>
      </c>
      <c r="D248" s="36">
        <v>4.0000000000000001E-3</v>
      </c>
      <c r="E248" s="51">
        <v>6516146</v>
      </c>
      <c r="F248" s="52">
        <v>2315.7780000001617</v>
      </c>
      <c r="G248" s="58">
        <v>2479159</v>
      </c>
      <c r="H248" s="17">
        <v>865.14099999998848</v>
      </c>
      <c r="I248" s="101"/>
      <c r="J248" s="35">
        <v>9</v>
      </c>
      <c r="K248" s="36">
        <v>0</v>
      </c>
      <c r="L248" s="51">
        <v>5979998</v>
      </c>
      <c r="M248" s="52">
        <v>2105.3310000001611</v>
      </c>
      <c r="N248" s="58">
        <v>2350861</v>
      </c>
      <c r="O248" s="17">
        <v>797.58799999998826</v>
      </c>
      <c r="P248" s="101"/>
      <c r="Q248" s="35">
        <f t="shared" si="32"/>
        <v>153</v>
      </c>
      <c r="R248" s="36">
        <f t="shared" si="32"/>
        <v>4.0000000000000001E-3</v>
      </c>
      <c r="S248" s="51">
        <f t="shared" si="32"/>
        <v>536148</v>
      </c>
      <c r="T248" s="52">
        <f t="shared" si="32"/>
        <v>210.44700000000057</v>
      </c>
      <c r="U248" s="58">
        <f t="shared" si="32"/>
        <v>128298</v>
      </c>
      <c r="V248" s="17">
        <f t="shared" si="32"/>
        <v>67.553000000000225</v>
      </c>
      <c r="W248" s="101"/>
      <c r="X248" s="555">
        <f t="shared" si="28"/>
        <v>8995467</v>
      </c>
      <c r="Y248" s="632">
        <f t="shared" si="28"/>
        <v>3180.9230000001498</v>
      </c>
    </row>
    <row r="249" spans="1:25" hidden="1" outlineLevel="1">
      <c r="A249" s="97">
        <v>43337</v>
      </c>
      <c r="B249" s="98">
        <f t="shared" si="33"/>
        <v>8</v>
      </c>
      <c r="C249" s="35">
        <v>201</v>
      </c>
      <c r="D249" s="36">
        <v>7.0000000000000001E-3</v>
      </c>
      <c r="E249" s="51">
        <v>6946417</v>
      </c>
      <c r="F249" s="52">
        <v>2424.1020000001708</v>
      </c>
      <c r="G249" s="58">
        <v>2718720</v>
      </c>
      <c r="H249" s="17">
        <v>878.09799999998495</v>
      </c>
      <c r="I249" s="101"/>
      <c r="J249" s="35">
        <v>14</v>
      </c>
      <c r="K249" s="36">
        <v>0</v>
      </c>
      <c r="L249" s="51">
        <v>6381572</v>
      </c>
      <c r="M249" s="52">
        <v>2202.7420000001698</v>
      </c>
      <c r="N249" s="58">
        <v>2585241</v>
      </c>
      <c r="O249" s="17">
        <v>820.09699999998463</v>
      </c>
      <c r="P249" s="101"/>
      <c r="Q249" s="35">
        <f t="shared" si="32"/>
        <v>187</v>
      </c>
      <c r="R249" s="36">
        <f t="shared" si="32"/>
        <v>7.0000000000000001E-3</v>
      </c>
      <c r="S249" s="51">
        <f t="shared" si="32"/>
        <v>564845</v>
      </c>
      <c r="T249" s="52">
        <f t="shared" si="32"/>
        <v>221.36000000000104</v>
      </c>
      <c r="U249" s="58">
        <f t="shared" si="32"/>
        <v>133479</v>
      </c>
      <c r="V249" s="17">
        <f t="shared" si="32"/>
        <v>58.001000000000317</v>
      </c>
      <c r="W249" s="101"/>
      <c r="X249" s="555">
        <f t="shared" si="28"/>
        <v>9665338</v>
      </c>
      <c r="Y249" s="632">
        <f t="shared" si="28"/>
        <v>3302.2070000001559</v>
      </c>
    </row>
    <row r="250" spans="1:25" hidden="1" outlineLevel="1">
      <c r="A250" s="97">
        <v>43338</v>
      </c>
      <c r="B250" s="98">
        <f t="shared" si="33"/>
        <v>8</v>
      </c>
      <c r="C250" s="35">
        <v>157</v>
      </c>
      <c r="D250" s="36">
        <v>1E-3</v>
      </c>
      <c r="E250" s="51">
        <v>4733431</v>
      </c>
      <c r="F250" s="52">
        <v>1662.3799999999574</v>
      </c>
      <c r="G250" s="58">
        <v>2312594</v>
      </c>
      <c r="H250" s="17">
        <v>706.73199999998531</v>
      </c>
      <c r="I250" s="101"/>
      <c r="J250" s="35">
        <v>17</v>
      </c>
      <c r="K250" s="36">
        <v>0</v>
      </c>
      <c r="L250" s="51">
        <v>4212842</v>
      </c>
      <c r="M250" s="52">
        <v>1471.8969999999574</v>
      </c>
      <c r="N250" s="58">
        <v>2187432</v>
      </c>
      <c r="O250" s="17">
        <v>658.60899999998458</v>
      </c>
      <c r="P250" s="101"/>
      <c r="Q250" s="35">
        <f t="shared" si="32"/>
        <v>140</v>
      </c>
      <c r="R250" s="36">
        <f t="shared" si="32"/>
        <v>1E-3</v>
      </c>
      <c r="S250" s="51">
        <f t="shared" si="32"/>
        <v>520589</v>
      </c>
      <c r="T250" s="52">
        <f t="shared" si="32"/>
        <v>190.48299999999995</v>
      </c>
      <c r="U250" s="58">
        <f t="shared" si="32"/>
        <v>125162</v>
      </c>
      <c r="V250" s="17">
        <f t="shared" si="32"/>
        <v>48.123000000000729</v>
      </c>
      <c r="W250" s="101"/>
      <c r="X250" s="555">
        <f t="shared" si="28"/>
        <v>7046182</v>
      </c>
      <c r="Y250" s="632">
        <f t="shared" si="28"/>
        <v>2369.1129999999425</v>
      </c>
    </row>
    <row r="251" spans="1:25" hidden="1" outlineLevel="1">
      <c r="A251" s="97">
        <v>43339</v>
      </c>
      <c r="B251" s="98">
        <f t="shared" si="33"/>
        <v>8</v>
      </c>
      <c r="C251" s="35">
        <v>127</v>
      </c>
      <c r="D251" s="36">
        <v>3.0000000000000001E-3</v>
      </c>
      <c r="E251" s="51">
        <v>4343610</v>
      </c>
      <c r="F251" s="52">
        <v>1734.1889999999576</v>
      </c>
      <c r="G251" s="58">
        <v>1944083</v>
      </c>
      <c r="H251" s="17">
        <v>696.80299999998317</v>
      </c>
      <c r="I251" s="101"/>
      <c r="J251" s="35">
        <v>6</v>
      </c>
      <c r="K251" s="36">
        <v>0</v>
      </c>
      <c r="L251" s="51">
        <v>3839771</v>
      </c>
      <c r="M251" s="52">
        <v>1556.0149999999574</v>
      </c>
      <c r="N251" s="58">
        <v>1828842</v>
      </c>
      <c r="O251" s="17">
        <v>647.18999999998255</v>
      </c>
      <c r="P251" s="101"/>
      <c r="Q251" s="35">
        <f t="shared" si="32"/>
        <v>121</v>
      </c>
      <c r="R251" s="36">
        <f t="shared" si="32"/>
        <v>3.0000000000000001E-3</v>
      </c>
      <c r="S251" s="51">
        <f t="shared" si="32"/>
        <v>503839</v>
      </c>
      <c r="T251" s="52">
        <f t="shared" si="32"/>
        <v>178.17400000000021</v>
      </c>
      <c r="U251" s="58">
        <f t="shared" si="32"/>
        <v>115241</v>
      </c>
      <c r="V251" s="17">
        <f t="shared" si="32"/>
        <v>49.613000000000625</v>
      </c>
      <c r="W251" s="101"/>
      <c r="X251" s="555">
        <f t="shared" si="28"/>
        <v>6287820</v>
      </c>
      <c r="Y251" s="632">
        <f t="shared" si="28"/>
        <v>2430.9949999999408</v>
      </c>
    </row>
    <row r="252" spans="1:25" hidden="1" outlineLevel="1">
      <c r="A252" s="97">
        <v>43340</v>
      </c>
      <c r="B252" s="98">
        <f t="shared" si="33"/>
        <v>8</v>
      </c>
      <c r="C252" s="35">
        <v>164</v>
      </c>
      <c r="D252" s="36">
        <v>3.0000000000000001E-3</v>
      </c>
      <c r="E252" s="51">
        <v>4881290</v>
      </c>
      <c r="F252" s="52">
        <v>1852.762999999961</v>
      </c>
      <c r="G252" s="58">
        <v>2721991</v>
      </c>
      <c r="H252" s="17">
        <v>1447.9069999999799</v>
      </c>
      <c r="I252" s="101"/>
      <c r="J252" s="35">
        <v>17</v>
      </c>
      <c r="K252" s="36">
        <v>0</v>
      </c>
      <c r="L252" s="51">
        <v>4295052</v>
      </c>
      <c r="M252" s="52">
        <v>1642.9189999999614</v>
      </c>
      <c r="N252" s="58">
        <v>2577238</v>
      </c>
      <c r="O252" s="17">
        <v>1325.6499999999778</v>
      </c>
      <c r="P252" s="101"/>
      <c r="Q252" s="35">
        <f t="shared" si="32"/>
        <v>147</v>
      </c>
      <c r="R252" s="36">
        <f t="shared" si="32"/>
        <v>3.0000000000000001E-3</v>
      </c>
      <c r="S252" s="51">
        <f t="shared" si="32"/>
        <v>586238</v>
      </c>
      <c r="T252" s="52">
        <f t="shared" si="32"/>
        <v>209.8439999999996</v>
      </c>
      <c r="U252" s="58">
        <f t="shared" si="32"/>
        <v>144753</v>
      </c>
      <c r="V252" s="17">
        <f t="shared" si="32"/>
        <v>122.25700000000211</v>
      </c>
      <c r="W252" s="101"/>
      <c r="X252" s="555">
        <f t="shared" si="28"/>
        <v>7603445</v>
      </c>
      <c r="Y252" s="632">
        <f t="shared" si="28"/>
        <v>3300.6729999999407</v>
      </c>
    </row>
    <row r="253" spans="1:25" hidden="1" outlineLevel="1">
      <c r="A253" s="97">
        <v>43341</v>
      </c>
      <c r="B253" s="98">
        <f t="shared" si="33"/>
        <v>8</v>
      </c>
      <c r="C253" s="35">
        <v>184752</v>
      </c>
      <c r="D253" s="36">
        <v>89.138999999999996</v>
      </c>
      <c r="E253" s="51">
        <v>4830619</v>
      </c>
      <c r="F253" s="52">
        <v>1836.0989999999558</v>
      </c>
      <c r="G253" s="58">
        <v>2407211</v>
      </c>
      <c r="H253" s="17">
        <v>1126.6249999999852</v>
      </c>
      <c r="I253" s="101"/>
      <c r="J253" s="35">
        <v>179243</v>
      </c>
      <c r="K253" s="36">
        <v>86.734999999999999</v>
      </c>
      <c r="L253" s="51">
        <v>4194114</v>
      </c>
      <c r="M253" s="52">
        <v>1597.0269999999559</v>
      </c>
      <c r="N253" s="58">
        <v>2263013</v>
      </c>
      <c r="O253" s="17">
        <v>1020.2239999999846</v>
      </c>
      <c r="P253" s="101"/>
      <c r="Q253" s="35">
        <f t="shared" si="32"/>
        <v>5509</v>
      </c>
      <c r="R253" s="36">
        <f t="shared" si="32"/>
        <v>2.4039999999999964</v>
      </c>
      <c r="S253" s="51">
        <f t="shared" si="32"/>
        <v>636505</v>
      </c>
      <c r="T253" s="52">
        <f t="shared" si="32"/>
        <v>239.07199999999989</v>
      </c>
      <c r="U253" s="58">
        <f t="shared" si="32"/>
        <v>144198</v>
      </c>
      <c r="V253" s="17">
        <f t="shared" si="32"/>
        <v>106.40100000000064</v>
      </c>
      <c r="W253" s="101"/>
      <c r="X253" s="555">
        <f t="shared" si="28"/>
        <v>7422582</v>
      </c>
      <c r="Y253" s="632">
        <f t="shared" si="28"/>
        <v>3051.8629999999412</v>
      </c>
    </row>
    <row r="254" spans="1:25" hidden="1" outlineLevel="1">
      <c r="A254" s="97">
        <v>43342</v>
      </c>
      <c r="B254" s="98">
        <f t="shared" si="33"/>
        <v>8</v>
      </c>
      <c r="C254" s="35">
        <v>178539</v>
      </c>
      <c r="D254" s="36">
        <v>108.004</v>
      </c>
      <c r="E254" s="51">
        <v>4978690</v>
      </c>
      <c r="F254" s="52">
        <v>1934.9229999999661</v>
      </c>
      <c r="G254" s="58">
        <v>2750329</v>
      </c>
      <c r="H254" s="17">
        <v>1406.1369999999856</v>
      </c>
      <c r="I254" s="101"/>
      <c r="J254" s="35">
        <v>173314</v>
      </c>
      <c r="K254" s="36">
        <v>104.962</v>
      </c>
      <c r="L254" s="51">
        <v>4301297</v>
      </c>
      <c r="M254" s="52">
        <v>1674.4969999999655</v>
      </c>
      <c r="N254" s="58">
        <v>2599873</v>
      </c>
      <c r="O254" s="17">
        <v>1285.9709999999832</v>
      </c>
      <c r="P254" s="101"/>
      <c r="Q254" s="35">
        <f t="shared" si="32"/>
        <v>5225</v>
      </c>
      <c r="R254" s="36">
        <f t="shared" si="32"/>
        <v>3.0420000000000016</v>
      </c>
      <c r="S254" s="51">
        <f t="shared" si="32"/>
        <v>677393</v>
      </c>
      <c r="T254" s="52">
        <f t="shared" si="32"/>
        <v>260.42600000000061</v>
      </c>
      <c r="U254" s="58">
        <f t="shared" si="32"/>
        <v>150456</v>
      </c>
      <c r="V254" s="17">
        <f t="shared" si="32"/>
        <v>120.16600000000244</v>
      </c>
      <c r="W254" s="101"/>
      <c r="X254" s="555">
        <f t="shared" si="28"/>
        <v>7907558</v>
      </c>
      <c r="Y254" s="632">
        <f t="shared" si="28"/>
        <v>3449.0639999999516</v>
      </c>
    </row>
    <row r="255" spans="1:25" hidden="1" outlineLevel="1">
      <c r="A255" s="97">
        <v>43343</v>
      </c>
      <c r="B255" s="98">
        <f t="shared" si="33"/>
        <v>8</v>
      </c>
      <c r="C255" s="35">
        <v>190111</v>
      </c>
      <c r="D255" s="36">
        <v>91.613</v>
      </c>
      <c r="E255" s="51">
        <v>7186644</v>
      </c>
      <c r="F255" s="52">
        <v>2293.2839999999519</v>
      </c>
      <c r="G255" s="58">
        <v>2722525</v>
      </c>
      <c r="H255" s="17">
        <v>1018.1039999999833</v>
      </c>
      <c r="I255" s="101"/>
      <c r="J255" s="35">
        <v>184612</v>
      </c>
      <c r="K255" s="36">
        <v>89.126000000000005</v>
      </c>
      <c r="L255" s="51">
        <v>6420776</v>
      </c>
      <c r="M255" s="52">
        <v>2002.8769999999606</v>
      </c>
      <c r="N255" s="58">
        <v>2567587</v>
      </c>
      <c r="O255" s="17">
        <v>927.25699999998267</v>
      </c>
      <c r="P255" s="101"/>
      <c r="Q255" s="35">
        <f t="shared" si="32"/>
        <v>5499</v>
      </c>
      <c r="R255" s="36">
        <f t="shared" si="32"/>
        <v>2.4869999999999948</v>
      </c>
      <c r="S255" s="51">
        <f t="shared" si="32"/>
        <v>765868</v>
      </c>
      <c r="T255" s="52">
        <f t="shared" si="32"/>
        <v>290.40699999999129</v>
      </c>
      <c r="U255" s="58">
        <f t="shared" si="32"/>
        <v>154938</v>
      </c>
      <c r="V255" s="17">
        <f t="shared" si="32"/>
        <v>90.847000000000662</v>
      </c>
      <c r="W255" s="101"/>
      <c r="X255" s="555">
        <f t="shared" si="28"/>
        <v>10099280</v>
      </c>
      <c r="Y255" s="632">
        <f t="shared" si="28"/>
        <v>3403.0009999999352</v>
      </c>
    </row>
    <row r="256" spans="1:25" collapsed="1">
      <c r="A256" s="104"/>
      <c r="B256" s="104" t="s">
        <v>22</v>
      </c>
      <c r="C256" s="105">
        <f>SUBTOTAL(9,C257:C286)</f>
        <v>5951333</v>
      </c>
      <c r="D256" s="106">
        <f t="shared" ref="D256:V256" si="34">SUBTOTAL(9,D257:D286)</f>
        <v>3042.4639999999999</v>
      </c>
      <c r="E256" s="109">
        <f t="shared" si="34"/>
        <v>154215658</v>
      </c>
      <c r="F256" s="110">
        <f t="shared" si="34"/>
        <v>61792.702999999892</v>
      </c>
      <c r="G256" s="111">
        <f t="shared" si="34"/>
        <v>89849762</v>
      </c>
      <c r="H256" s="14">
        <f t="shared" si="34"/>
        <v>46022.833999999631</v>
      </c>
      <c r="I256" s="103"/>
      <c r="J256" s="105">
        <f t="shared" si="34"/>
        <v>5735135</v>
      </c>
      <c r="K256" s="106">
        <f t="shared" si="34"/>
        <v>2890.7240000000006</v>
      </c>
      <c r="L256" s="109">
        <f t="shared" si="34"/>
        <v>135715551</v>
      </c>
      <c r="M256" s="110">
        <f t="shared" si="34"/>
        <v>53181.013000000385</v>
      </c>
      <c r="N256" s="111">
        <f t="shared" si="34"/>
        <v>84278922</v>
      </c>
      <c r="O256" s="14">
        <f t="shared" si="34"/>
        <v>41305.100999999682</v>
      </c>
      <c r="P256" s="103"/>
      <c r="Q256" s="105">
        <f t="shared" si="34"/>
        <v>216198</v>
      </c>
      <c r="R256" s="106">
        <f t="shared" si="34"/>
        <v>151.73999999999987</v>
      </c>
      <c r="S256" s="109">
        <f t="shared" si="34"/>
        <v>18500107</v>
      </c>
      <c r="T256" s="110">
        <f t="shared" si="34"/>
        <v>8611.6899999995239</v>
      </c>
      <c r="U256" s="111">
        <f t="shared" si="34"/>
        <v>5570840</v>
      </c>
      <c r="V256" s="14">
        <f t="shared" si="34"/>
        <v>4717.7329999999683</v>
      </c>
      <c r="W256" s="103"/>
      <c r="X256" s="555"/>
      <c r="Y256" s="632"/>
    </row>
    <row r="257" spans="1:25" outlineLevel="1">
      <c r="A257" s="114">
        <v>43344</v>
      </c>
      <c r="B257" s="115">
        <f t="shared" si="33"/>
        <v>9</v>
      </c>
      <c r="C257" s="35">
        <v>185663</v>
      </c>
      <c r="D257" s="36">
        <v>78.419000000000011</v>
      </c>
      <c r="E257" s="51">
        <v>7421797</v>
      </c>
      <c r="F257" s="52">
        <v>2290.7869999999189</v>
      </c>
      <c r="G257" s="58">
        <v>4338216</v>
      </c>
      <c r="H257" s="17">
        <v>1980.4239999999709</v>
      </c>
      <c r="I257" s="101"/>
      <c r="J257" s="35">
        <v>180525</v>
      </c>
      <c r="K257" s="36">
        <v>76.047000000000011</v>
      </c>
      <c r="L257" s="51">
        <v>6577469</v>
      </c>
      <c r="M257" s="52">
        <v>1989.4449999999572</v>
      </c>
      <c r="N257" s="58">
        <v>4121763</v>
      </c>
      <c r="O257" s="17">
        <v>1808.801999999974</v>
      </c>
      <c r="P257" s="101"/>
      <c r="Q257" s="35">
        <f t="shared" ref="Q257:V286" si="35">C257-J257</f>
        <v>5138</v>
      </c>
      <c r="R257" s="36">
        <f t="shared" si="35"/>
        <v>2.3719999999999999</v>
      </c>
      <c r="S257" s="51">
        <f t="shared" si="35"/>
        <v>844328</v>
      </c>
      <c r="T257" s="52">
        <f t="shared" si="35"/>
        <v>301.34199999996167</v>
      </c>
      <c r="U257" s="58">
        <f t="shared" si="35"/>
        <v>216453</v>
      </c>
      <c r="V257" s="17">
        <f t="shared" si="35"/>
        <v>171.62199999999689</v>
      </c>
      <c r="W257" s="101"/>
      <c r="X257" s="555">
        <f t="shared" si="28"/>
        <v>11945676</v>
      </c>
      <c r="Y257" s="632">
        <f t="shared" si="28"/>
        <v>4349.6299999998901</v>
      </c>
    </row>
    <row r="258" spans="1:25" outlineLevel="1">
      <c r="A258" s="114">
        <v>43345</v>
      </c>
      <c r="B258" s="115">
        <f t="shared" si="33"/>
        <v>9</v>
      </c>
      <c r="C258" s="35">
        <v>162044</v>
      </c>
      <c r="D258" s="36">
        <v>76.915000000000006</v>
      </c>
      <c r="E258" s="51">
        <v>5027885</v>
      </c>
      <c r="F258" s="52">
        <v>1648.1589999999358</v>
      </c>
      <c r="G258" s="58">
        <v>3490833</v>
      </c>
      <c r="H258" s="17">
        <v>1311.1129999999798</v>
      </c>
      <c r="I258" s="101"/>
      <c r="J258" s="35">
        <v>157536</v>
      </c>
      <c r="K258" s="36">
        <v>75.178000000000011</v>
      </c>
      <c r="L258" s="51">
        <v>4276445</v>
      </c>
      <c r="M258" s="52">
        <v>1357.4729999999561</v>
      </c>
      <c r="N258" s="58">
        <v>3292184</v>
      </c>
      <c r="O258" s="17">
        <v>1180.8219999999781</v>
      </c>
      <c r="P258" s="101"/>
      <c r="Q258" s="35">
        <f t="shared" si="35"/>
        <v>4508</v>
      </c>
      <c r="R258" s="36">
        <f t="shared" si="35"/>
        <v>1.7369999999999948</v>
      </c>
      <c r="S258" s="51">
        <f t="shared" si="35"/>
        <v>751440</v>
      </c>
      <c r="T258" s="52">
        <f t="shared" si="35"/>
        <v>290.68599999997969</v>
      </c>
      <c r="U258" s="58">
        <f t="shared" si="35"/>
        <v>198649</v>
      </c>
      <c r="V258" s="17">
        <f t="shared" si="35"/>
        <v>130.29100000000176</v>
      </c>
      <c r="W258" s="101"/>
      <c r="X258" s="555">
        <f t="shared" ref="X258:Y321" si="36">SUM(C258,E258,G258)</f>
        <v>8680762</v>
      </c>
      <c r="Y258" s="632">
        <f t="shared" si="36"/>
        <v>3036.1869999999153</v>
      </c>
    </row>
    <row r="259" spans="1:25" outlineLevel="1">
      <c r="A259" s="114">
        <v>43346</v>
      </c>
      <c r="B259" s="115">
        <f t="shared" si="33"/>
        <v>9</v>
      </c>
      <c r="C259" s="35">
        <v>155236</v>
      </c>
      <c r="D259" s="36">
        <v>82.186999999999983</v>
      </c>
      <c r="E259" s="51">
        <v>4491796</v>
      </c>
      <c r="F259" s="52">
        <v>1575.0249999999553</v>
      </c>
      <c r="G259" s="58">
        <v>2063645</v>
      </c>
      <c r="H259" s="17">
        <v>759.9329999999843</v>
      </c>
      <c r="I259" s="101"/>
      <c r="J259" s="35">
        <v>150685</v>
      </c>
      <c r="K259" s="36">
        <v>79.548999999999992</v>
      </c>
      <c r="L259" s="51">
        <v>3880831</v>
      </c>
      <c r="M259" s="52">
        <v>1329.1209999999548</v>
      </c>
      <c r="N259" s="58">
        <v>1922629</v>
      </c>
      <c r="O259" s="17">
        <v>667.83799999998348</v>
      </c>
      <c r="P259" s="101"/>
      <c r="Q259" s="35">
        <f t="shared" si="35"/>
        <v>4551</v>
      </c>
      <c r="R259" s="36">
        <f t="shared" si="35"/>
        <v>2.637999999999991</v>
      </c>
      <c r="S259" s="51">
        <f t="shared" si="35"/>
        <v>610965</v>
      </c>
      <c r="T259" s="52">
        <f t="shared" si="35"/>
        <v>245.90400000000045</v>
      </c>
      <c r="U259" s="58">
        <f t="shared" si="35"/>
        <v>141016</v>
      </c>
      <c r="V259" s="17">
        <f t="shared" si="35"/>
        <v>92.095000000000823</v>
      </c>
      <c r="W259" s="101"/>
      <c r="X259" s="555">
        <f t="shared" si="36"/>
        <v>6710677</v>
      </c>
      <c r="Y259" s="632">
        <f t="shared" si="36"/>
        <v>2417.1449999999395</v>
      </c>
    </row>
    <row r="260" spans="1:25" outlineLevel="1">
      <c r="A260" s="114">
        <v>43347</v>
      </c>
      <c r="B260" s="115">
        <f t="shared" si="33"/>
        <v>9</v>
      </c>
      <c r="C260" s="35">
        <v>155931</v>
      </c>
      <c r="D260" s="36">
        <v>80.826999999999998</v>
      </c>
      <c r="E260" s="51">
        <v>4562390</v>
      </c>
      <c r="F260" s="52">
        <v>1673.6699999999596</v>
      </c>
      <c r="G260" s="58">
        <v>2491434</v>
      </c>
      <c r="H260" s="17">
        <v>1394.2239999999817</v>
      </c>
      <c r="I260" s="101"/>
      <c r="J260" s="35">
        <v>151424</v>
      </c>
      <c r="K260" s="36">
        <v>78.311999999999998</v>
      </c>
      <c r="L260" s="51">
        <v>4039346</v>
      </c>
      <c r="M260" s="52">
        <v>1462.320999999961</v>
      </c>
      <c r="N260" s="58">
        <v>2349446</v>
      </c>
      <c r="O260" s="17">
        <v>1262.7039999999799</v>
      </c>
      <c r="P260" s="101"/>
      <c r="Q260" s="35">
        <f t="shared" si="35"/>
        <v>4507</v>
      </c>
      <c r="R260" s="36">
        <f t="shared" si="35"/>
        <v>2.5150000000000006</v>
      </c>
      <c r="S260" s="51">
        <f t="shared" si="35"/>
        <v>523044</v>
      </c>
      <c r="T260" s="52">
        <f t="shared" si="35"/>
        <v>211.34899999999857</v>
      </c>
      <c r="U260" s="58">
        <f t="shared" si="35"/>
        <v>141988</v>
      </c>
      <c r="V260" s="17">
        <f t="shared" si="35"/>
        <v>131.5200000000018</v>
      </c>
      <c r="W260" s="101"/>
      <c r="X260" s="555">
        <f t="shared" si="36"/>
        <v>7209755</v>
      </c>
      <c r="Y260" s="632">
        <f t="shared" si="36"/>
        <v>3148.7209999999413</v>
      </c>
    </row>
    <row r="261" spans="1:25" outlineLevel="1">
      <c r="A261" s="114">
        <v>43348</v>
      </c>
      <c r="B261" s="115">
        <f t="shared" si="33"/>
        <v>9</v>
      </c>
      <c r="C261" s="35">
        <v>158970</v>
      </c>
      <c r="D261" s="36">
        <v>87.977000000000018</v>
      </c>
      <c r="E261" s="51">
        <v>4738897</v>
      </c>
      <c r="F261" s="52">
        <v>1758.6359999999536</v>
      </c>
      <c r="G261" s="58">
        <v>2411335</v>
      </c>
      <c r="H261" s="17">
        <v>1068.8999999999862</v>
      </c>
      <c r="I261" s="101"/>
      <c r="J261" s="35">
        <v>154424</v>
      </c>
      <c r="K261" s="36">
        <v>85.043000000000021</v>
      </c>
      <c r="L261" s="51">
        <v>4166907</v>
      </c>
      <c r="M261" s="52">
        <v>1530.1319999999548</v>
      </c>
      <c r="N261" s="58">
        <v>2280805</v>
      </c>
      <c r="O261" s="17">
        <v>971.73599999998532</v>
      </c>
      <c r="P261" s="101"/>
      <c r="Q261" s="35">
        <f t="shared" si="35"/>
        <v>4546</v>
      </c>
      <c r="R261" s="36">
        <f t="shared" si="35"/>
        <v>2.9339999999999975</v>
      </c>
      <c r="S261" s="51">
        <f t="shared" si="35"/>
        <v>571990</v>
      </c>
      <c r="T261" s="52">
        <f t="shared" si="35"/>
        <v>228.50399999999877</v>
      </c>
      <c r="U261" s="58">
        <f t="shared" si="35"/>
        <v>130530</v>
      </c>
      <c r="V261" s="17">
        <f t="shared" si="35"/>
        <v>97.164000000000897</v>
      </c>
      <c r="W261" s="101"/>
      <c r="X261" s="555">
        <f t="shared" si="36"/>
        <v>7309202</v>
      </c>
      <c r="Y261" s="632">
        <f t="shared" si="36"/>
        <v>2915.5129999999399</v>
      </c>
    </row>
    <row r="262" spans="1:25" outlineLevel="1">
      <c r="A262" s="114">
        <v>43349</v>
      </c>
      <c r="B262" s="115">
        <f t="shared" si="33"/>
        <v>9</v>
      </c>
      <c r="C262" s="35">
        <v>166456</v>
      </c>
      <c r="D262" s="36">
        <v>88.135999999999996</v>
      </c>
      <c r="E262" s="51">
        <v>4873170</v>
      </c>
      <c r="F262" s="52">
        <v>1716.0569999999559</v>
      </c>
      <c r="G262" s="58">
        <v>2593315</v>
      </c>
      <c r="H262" s="17">
        <v>1147.5019999999877</v>
      </c>
      <c r="I262" s="101"/>
      <c r="J262" s="35">
        <v>161714</v>
      </c>
      <c r="K262" s="36">
        <v>85.738</v>
      </c>
      <c r="L262" s="51">
        <v>4292022</v>
      </c>
      <c r="M262" s="52">
        <v>1493.6779999999569</v>
      </c>
      <c r="N262" s="58">
        <v>2449636</v>
      </c>
      <c r="O262" s="17">
        <v>1028.8579999999856</v>
      </c>
      <c r="P262" s="101"/>
      <c r="Q262" s="35">
        <f t="shared" si="35"/>
        <v>4742</v>
      </c>
      <c r="R262" s="36">
        <f t="shared" si="35"/>
        <v>2.3979999999999961</v>
      </c>
      <c r="S262" s="51">
        <f t="shared" si="35"/>
        <v>581148</v>
      </c>
      <c r="T262" s="52">
        <f t="shared" si="35"/>
        <v>222.378999999999</v>
      </c>
      <c r="U262" s="58">
        <f t="shared" si="35"/>
        <v>143679</v>
      </c>
      <c r="V262" s="17">
        <f t="shared" si="35"/>
        <v>118.64400000000205</v>
      </c>
      <c r="W262" s="101"/>
      <c r="X262" s="555">
        <f t="shared" si="36"/>
        <v>7632941</v>
      </c>
      <c r="Y262" s="632">
        <f t="shared" si="36"/>
        <v>2951.6949999999433</v>
      </c>
    </row>
    <row r="263" spans="1:25" outlineLevel="1">
      <c r="A263" s="114">
        <v>43350</v>
      </c>
      <c r="B263" s="115">
        <f t="shared" si="33"/>
        <v>9</v>
      </c>
      <c r="C263" s="35">
        <v>172932</v>
      </c>
      <c r="D263" s="36">
        <v>100.947</v>
      </c>
      <c r="E263" s="51">
        <v>7364388</v>
      </c>
      <c r="F263" s="52">
        <v>2855.8940000001526</v>
      </c>
      <c r="G263" s="58">
        <v>3378389</v>
      </c>
      <c r="H263" s="17">
        <v>1583.6239999999734</v>
      </c>
      <c r="I263" s="101"/>
      <c r="J263" s="35">
        <v>167939</v>
      </c>
      <c r="K263" s="36">
        <v>98.188000000000002</v>
      </c>
      <c r="L263" s="51">
        <v>6627130</v>
      </c>
      <c r="M263" s="52">
        <v>2581.6550000001562</v>
      </c>
      <c r="N263" s="58">
        <v>3198495</v>
      </c>
      <c r="O263" s="17">
        <v>1471.8669999999711</v>
      </c>
      <c r="P263" s="101"/>
      <c r="Q263" s="35">
        <f t="shared" si="35"/>
        <v>4993</v>
      </c>
      <c r="R263" s="36">
        <f t="shared" si="35"/>
        <v>2.7590000000000003</v>
      </c>
      <c r="S263" s="51">
        <f t="shared" si="35"/>
        <v>737258</v>
      </c>
      <c r="T263" s="52">
        <f t="shared" si="35"/>
        <v>274.23899999999639</v>
      </c>
      <c r="U263" s="58">
        <f t="shared" si="35"/>
        <v>179894</v>
      </c>
      <c r="V263" s="17">
        <f t="shared" si="35"/>
        <v>111.75700000000234</v>
      </c>
      <c r="W263" s="101"/>
      <c r="X263" s="555">
        <f t="shared" si="36"/>
        <v>10915709</v>
      </c>
      <c r="Y263" s="632">
        <f t="shared" si="36"/>
        <v>4540.4650000001257</v>
      </c>
    </row>
    <row r="264" spans="1:25" outlineLevel="1">
      <c r="A264" s="114">
        <v>43351</v>
      </c>
      <c r="B264" s="115">
        <f t="shared" si="33"/>
        <v>9</v>
      </c>
      <c r="C264" s="35">
        <v>163905</v>
      </c>
      <c r="D264" s="36">
        <v>97.847000000000008</v>
      </c>
      <c r="E264" s="51">
        <v>7584266</v>
      </c>
      <c r="F264" s="52">
        <v>2754.0100000001107</v>
      </c>
      <c r="G264" s="58">
        <v>4569936</v>
      </c>
      <c r="H264" s="17">
        <v>2211.8390000000941</v>
      </c>
      <c r="I264" s="101"/>
      <c r="J264" s="35">
        <v>159277</v>
      </c>
      <c r="K264" s="36">
        <v>95.38900000000001</v>
      </c>
      <c r="L264" s="51">
        <v>6655153</v>
      </c>
      <c r="M264" s="52">
        <v>2428.880000000147</v>
      </c>
      <c r="N264" s="58">
        <v>4347929</v>
      </c>
      <c r="O264" s="17">
        <v>2059.3970000000936</v>
      </c>
      <c r="P264" s="101"/>
      <c r="Q264" s="35">
        <f t="shared" si="35"/>
        <v>4628</v>
      </c>
      <c r="R264" s="36">
        <f t="shared" si="35"/>
        <v>2.4579999999999984</v>
      </c>
      <c r="S264" s="51">
        <f t="shared" si="35"/>
        <v>929113</v>
      </c>
      <c r="T264" s="52">
        <f t="shared" si="35"/>
        <v>325.12999999996373</v>
      </c>
      <c r="U264" s="58">
        <f t="shared" si="35"/>
        <v>222007</v>
      </c>
      <c r="V264" s="17">
        <f t="shared" si="35"/>
        <v>152.44200000000046</v>
      </c>
      <c r="W264" s="101"/>
      <c r="X264" s="555">
        <f t="shared" si="36"/>
        <v>12318107</v>
      </c>
      <c r="Y264" s="632">
        <f t="shared" si="36"/>
        <v>5063.6960000002055</v>
      </c>
    </row>
    <row r="265" spans="1:25" outlineLevel="1">
      <c r="A265" s="114">
        <v>43352</v>
      </c>
      <c r="B265" s="115">
        <f t="shared" si="33"/>
        <v>9</v>
      </c>
      <c r="C265" s="35">
        <v>148714</v>
      </c>
      <c r="D265" s="36">
        <v>95.601000000000013</v>
      </c>
      <c r="E265" s="51">
        <v>5099420</v>
      </c>
      <c r="F265" s="52">
        <v>1952.934999999949</v>
      </c>
      <c r="G265" s="58">
        <v>3240669</v>
      </c>
      <c r="H265" s="17">
        <v>1807.9609999999793</v>
      </c>
      <c r="I265" s="101"/>
      <c r="J265" s="35">
        <v>144370</v>
      </c>
      <c r="K265" s="36">
        <v>93.358000000000018</v>
      </c>
      <c r="L265" s="51">
        <v>4331244</v>
      </c>
      <c r="M265" s="52">
        <v>1655.6709999999646</v>
      </c>
      <c r="N265" s="58">
        <v>3066060</v>
      </c>
      <c r="O265" s="17">
        <v>1676.999999999977</v>
      </c>
      <c r="P265" s="101"/>
      <c r="Q265" s="35">
        <f t="shared" si="35"/>
        <v>4344</v>
      </c>
      <c r="R265" s="36">
        <f t="shared" si="35"/>
        <v>2.242999999999995</v>
      </c>
      <c r="S265" s="51">
        <f t="shared" si="35"/>
        <v>768176</v>
      </c>
      <c r="T265" s="52">
        <f t="shared" si="35"/>
        <v>297.26399999998443</v>
      </c>
      <c r="U265" s="58">
        <f t="shared" si="35"/>
        <v>174609</v>
      </c>
      <c r="V265" s="17">
        <f t="shared" si="35"/>
        <v>130.96100000000229</v>
      </c>
      <c r="W265" s="101"/>
      <c r="X265" s="555">
        <f t="shared" si="36"/>
        <v>8488803</v>
      </c>
      <c r="Y265" s="632">
        <f t="shared" si="36"/>
        <v>3856.4969999999284</v>
      </c>
    </row>
    <row r="266" spans="1:25" outlineLevel="1">
      <c r="A266" s="114">
        <v>43353</v>
      </c>
      <c r="B266" s="115">
        <f t="shared" si="33"/>
        <v>9</v>
      </c>
      <c r="C266" s="35">
        <v>149982</v>
      </c>
      <c r="D266" s="36">
        <v>105.405</v>
      </c>
      <c r="E266" s="51">
        <v>4733054</v>
      </c>
      <c r="F266" s="52">
        <v>1891.651999999948</v>
      </c>
      <c r="G266" s="58">
        <v>2215932</v>
      </c>
      <c r="H266" s="17">
        <v>1004.517999999976</v>
      </c>
      <c r="I266" s="101"/>
      <c r="J266" s="35">
        <v>145632</v>
      </c>
      <c r="K266" s="36">
        <v>102.79600000000001</v>
      </c>
      <c r="L266" s="51">
        <v>3988175</v>
      </c>
      <c r="M266" s="52">
        <v>1603.2479999999559</v>
      </c>
      <c r="N266" s="58">
        <v>2060277</v>
      </c>
      <c r="O266" s="17">
        <v>897.18999999997641</v>
      </c>
      <c r="P266" s="101"/>
      <c r="Q266" s="35">
        <f t="shared" si="35"/>
        <v>4350</v>
      </c>
      <c r="R266" s="36">
        <f t="shared" si="35"/>
        <v>2.6089999999999947</v>
      </c>
      <c r="S266" s="51">
        <f t="shared" si="35"/>
        <v>744879</v>
      </c>
      <c r="T266" s="52">
        <f t="shared" si="35"/>
        <v>288.40399999999204</v>
      </c>
      <c r="U266" s="58">
        <f t="shared" si="35"/>
        <v>155655</v>
      </c>
      <c r="V266" s="17">
        <f t="shared" si="35"/>
        <v>107.32799999999963</v>
      </c>
      <c r="W266" s="101"/>
      <c r="X266" s="555">
        <f t="shared" si="36"/>
        <v>7098968</v>
      </c>
      <c r="Y266" s="632">
        <f t="shared" si="36"/>
        <v>3001.5749999999239</v>
      </c>
    </row>
    <row r="267" spans="1:25" outlineLevel="1">
      <c r="A267" s="114">
        <v>43354</v>
      </c>
      <c r="B267" s="115">
        <f t="shared" si="33"/>
        <v>9</v>
      </c>
      <c r="C267" s="35">
        <v>152356</v>
      </c>
      <c r="D267" s="36">
        <v>100.27900000000001</v>
      </c>
      <c r="E267" s="51">
        <v>4756613</v>
      </c>
      <c r="F267" s="52">
        <v>1848.3879999999565</v>
      </c>
      <c r="G267" s="58">
        <v>2215246</v>
      </c>
      <c r="H267" s="17">
        <v>889.09399999998573</v>
      </c>
      <c r="I267" s="101"/>
      <c r="J267" s="35">
        <v>148012</v>
      </c>
      <c r="K267" s="36">
        <v>97.681000000000012</v>
      </c>
      <c r="L267" s="51">
        <v>4147937</v>
      </c>
      <c r="M267" s="52">
        <v>1595.4379999999576</v>
      </c>
      <c r="N267" s="58">
        <v>2069498</v>
      </c>
      <c r="O267" s="17">
        <v>790.88199999998517</v>
      </c>
      <c r="P267" s="101"/>
      <c r="Q267" s="35">
        <f t="shared" si="35"/>
        <v>4344</v>
      </c>
      <c r="R267" s="36">
        <f t="shared" si="35"/>
        <v>2.597999999999999</v>
      </c>
      <c r="S267" s="51">
        <f t="shared" si="35"/>
        <v>608676</v>
      </c>
      <c r="T267" s="52">
        <f t="shared" si="35"/>
        <v>252.94999999999891</v>
      </c>
      <c r="U267" s="58">
        <f t="shared" si="35"/>
        <v>145748</v>
      </c>
      <c r="V267" s="17">
        <f t="shared" si="35"/>
        <v>98.212000000000558</v>
      </c>
      <c r="W267" s="101"/>
      <c r="X267" s="555">
        <f t="shared" si="36"/>
        <v>7124215</v>
      </c>
      <c r="Y267" s="632">
        <f t="shared" si="36"/>
        <v>2837.7609999999422</v>
      </c>
    </row>
    <row r="268" spans="1:25" outlineLevel="1">
      <c r="A268" s="114">
        <v>43355</v>
      </c>
      <c r="B268" s="115">
        <f t="shared" si="33"/>
        <v>9</v>
      </c>
      <c r="C268" s="35">
        <v>152658</v>
      </c>
      <c r="D268" s="36">
        <v>102.87200000000001</v>
      </c>
      <c r="E268" s="51">
        <v>4427794</v>
      </c>
      <c r="F268" s="52">
        <v>1720.1799999999653</v>
      </c>
      <c r="G268" s="58">
        <v>2831379</v>
      </c>
      <c r="H268" s="17">
        <v>1817.890999999973</v>
      </c>
      <c r="I268" s="101"/>
      <c r="J268" s="35">
        <v>148330</v>
      </c>
      <c r="K268" s="36">
        <v>99.851000000000013</v>
      </c>
      <c r="L268" s="51">
        <v>3882349</v>
      </c>
      <c r="M268" s="52">
        <v>1485.3219999999667</v>
      </c>
      <c r="N268" s="58">
        <v>2666709</v>
      </c>
      <c r="O268" s="17">
        <v>1659.5949999999737</v>
      </c>
      <c r="P268" s="101"/>
      <c r="Q268" s="35">
        <f t="shared" si="35"/>
        <v>4328</v>
      </c>
      <c r="R268" s="36">
        <f t="shared" si="35"/>
        <v>3.0210000000000008</v>
      </c>
      <c r="S268" s="51">
        <f t="shared" si="35"/>
        <v>545445</v>
      </c>
      <c r="T268" s="52">
        <f t="shared" si="35"/>
        <v>234.85799999999858</v>
      </c>
      <c r="U268" s="58">
        <f t="shared" si="35"/>
        <v>164670</v>
      </c>
      <c r="V268" s="17">
        <f t="shared" si="35"/>
        <v>158.29599999999937</v>
      </c>
      <c r="W268" s="101"/>
      <c r="X268" s="555">
        <f t="shared" si="36"/>
        <v>7411831</v>
      </c>
      <c r="Y268" s="632">
        <f t="shared" si="36"/>
        <v>3640.9429999999384</v>
      </c>
    </row>
    <row r="269" spans="1:25" outlineLevel="1">
      <c r="A269" s="114">
        <v>43356</v>
      </c>
      <c r="B269" s="115">
        <f t="shared" si="33"/>
        <v>9</v>
      </c>
      <c r="C269" s="35">
        <v>150264</v>
      </c>
      <c r="D269" s="36">
        <v>104.146</v>
      </c>
      <c r="E269" s="51">
        <v>4445747</v>
      </c>
      <c r="F269" s="52">
        <v>1756.2959999999466</v>
      </c>
      <c r="G269" s="58">
        <v>2152357</v>
      </c>
      <c r="H269" s="17">
        <v>1132.3219999999835</v>
      </c>
      <c r="I269" s="101"/>
      <c r="J269" s="35">
        <v>145848</v>
      </c>
      <c r="K269" s="36">
        <v>101.164</v>
      </c>
      <c r="L269" s="51">
        <v>3858651</v>
      </c>
      <c r="M269" s="52">
        <v>1467.3989999999581</v>
      </c>
      <c r="N269" s="58">
        <v>1989896</v>
      </c>
      <c r="O269" s="17">
        <v>999.2259999999817</v>
      </c>
      <c r="P269" s="101"/>
      <c r="Q269" s="35">
        <f t="shared" si="35"/>
        <v>4416</v>
      </c>
      <c r="R269" s="36">
        <f t="shared" si="35"/>
        <v>2.9819999999999993</v>
      </c>
      <c r="S269" s="51">
        <f t="shared" si="35"/>
        <v>587096</v>
      </c>
      <c r="T269" s="52">
        <f t="shared" si="35"/>
        <v>288.89699999998857</v>
      </c>
      <c r="U269" s="58">
        <f t="shared" si="35"/>
        <v>162461</v>
      </c>
      <c r="V269" s="17">
        <f t="shared" si="35"/>
        <v>133.09600000000182</v>
      </c>
      <c r="W269" s="101"/>
      <c r="X269" s="555">
        <f t="shared" si="36"/>
        <v>6748368</v>
      </c>
      <c r="Y269" s="632">
        <f t="shared" si="36"/>
        <v>2992.7639999999301</v>
      </c>
    </row>
    <row r="270" spans="1:25" outlineLevel="1">
      <c r="A270" s="114">
        <v>43357</v>
      </c>
      <c r="B270" s="115">
        <f t="shared" si="33"/>
        <v>9</v>
      </c>
      <c r="C270" s="35">
        <v>152864</v>
      </c>
      <c r="D270" s="36">
        <v>96.903999999999996</v>
      </c>
      <c r="E270" s="51">
        <v>6637990</v>
      </c>
      <c r="F270" s="52">
        <v>2408.3689999999274</v>
      </c>
      <c r="G270" s="58">
        <v>3442899</v>
      </c>
      <c r="H270" s="17">
        <v>2075.9249999999706</v>
      </c>
      <c r="I270" s="101"/>
      <c r="J270" s="35">
        <v>148466</v>
      </c>
      <c r="K270" s="36">
        <v>93.591999999999999</v>
      </c>
      <c r="L270" s="51">
        <v>5905447</v>
      </c>
      <c r="M270" s="52">
        <v>2043.1309999999589</v>
      </c>
      <c r="N270" s="58">
        <v>3208493</v>
      </c>
      <c r="O270" s="17">
        <v>1850.3029999999749</v>
      </c>
      <c r="P270" s="101"/>
      <c r="Q270" s="35">
        <f t="shared" si="35"/>
        <v>4398</v>
      </c>
      <c r="R270" s="36">
        <f t="shared" si="35"/>
        <v>3.3119999999999976</v>
      </c>
      <c r="S270" s="51">
        <f t="shared" si="35"/>
        <v>732543</v>
      </c>
      <c r="T270" s="52">
        <f t="shared" si="35"/>
        <v>365.23799999996845</v>
      </c>
      <c r="U270" s="58">
        <f t="shared" si="35"/>
        <v>234406</v>
      </c>
      <c r="V270" s="17">
        <f t="shared" si="35"/>
        <v>225.62199999999575</v>
      </c>
      <c r="W270" s="101"/>
      <c r="X270" s="555">
        <f t="shared" si="36"/>
        <v>10233753</v>
      </c>
      <c r="Y270" s="632">
        <f t="shared" si="36"/>
        <v>4581.1979999998985</v>
      </c>
    </row>
    <row r="271" spans="1:25" outlineLevel="1">
      <c r="A271" s="114">
        <v>43358</v>
      </c>
      <c r="B271" s="115">
        <f t="shared" si="33"/>
        <v>9</v>
      </c>
      <c r="C271" s="35">
        <v>140709</v>
      </c>
      <c r="D271" s="36">
        <v>73.24799999999999</v>
      </c>
      <c r="E271" s="51">
        <v>7085112</v>
      </c>
      <c r="F271" s="52">
        <v>2304.4989999999275</v>
      </c>
      <c r="G271" s="58">
        <v>3183716</v>
      </c>
      <c r="H271" s="17">
        <v>1286.4889999999671</v>
      </c>
      <c r="I271" s="101"/>
      <c r="J271" s="35">
        <v>136654</v>
      </c>
      <c r="K271" s="36">
        <v>70.254999999999995</v>
      </c>
      <c r="L271" s="51">
        <v>6125998</v>
      </c>
      <c r="M271" s="52">
        <v>1869.0249999999658</v>
      </c>
      <c r="N271" s="58">
        <v>2926508</v>
      </c>
      <c r="O271" s="17">
        <v>1087.2759999999703</v>
      </c>
      <c r="P271" s="101"/>
      <c r="Q271" s="35">
        <f t="shared" si="35"/>
        <v>4055</v>
      </c>
      <c r="R271" s="36">
        <f t="shared" si="35"/>
        <v>2.992999999999995</v>
      </c>
      <c r="S271" s="51">
        <f t="shared" si="35"/>
        <v>959114</v>
      </c>
      <c r="T271" s="52">
        <f t="shared" si="35"/>
        <v>435.47399999996173</v>
      </c>
      <c r="U271" s="58">
        <f t="shared" si="35"/>
        <v>257208</v>
      </c>
      <c r="V271" s="17">
        <f t="shared" si="35"/>
        <v>199.21299999999678</v>
      </c>
      <c r="W271" s="101"/>
      <c r="X271" s="555">
        <f t="shared" si="36"/>
        <v>10409537</v>
      </c>
      <c r="Y271" s="632">
        <f t="shared" si="36"/>
        <v>3664.2359999998944</v>
      </c>
    </row>
    <row r="272" spans="1:25" outlineLevel="1">
      <c r="A272" s="114">
        <v>43359</v>
      </c>
      <c r="B272" s="115">
        <f t="shared" si="33"/>
        <v>9</v>
      </c>
      <c r="C272" s="35">
        <v>134431</v>
      </c>
      <c r="D272" s="36">
        <v>78.747</v>
      </c>
      <c r="E272" s="51">
        <v>4992141</v>
      </c>
      <c r="F272" s="52">
        <v>1834.4759999999314</v>
      </c>
      <c r="G272" s="58">
        <v>2364492</v>
      </c>
      <c r="H272" s="17">
        <v>1054.8549999999755</v>
      </c>
      <c r="I272" s="101"/>
      <c r="J272" s="35">
        <v>130710</v>
      </c>
      <c r="K272" s="36">
        <v>75.972000000000008</v>
      </c>
      <c r="L272" s="51">
        <v>4213411</v>
      </c>
      <c r="M272" s="52">
        <v>1447.4779999999639</v>
      </c>
      <c r="N272" s="58">
        <v>2140987</v>
      </c>
      <c r="O272" s="17">
        <v>893.27999999997621</v>
      </c>
      <c r="P272" s="101"/>
      <c r="Q272" s="35">
        <f t="shared" si="35"/>
        <v>3721</v>
      </c>
      <c r="R272" s="36">
        <f t="shared" si="35"/>
        <v>2.7749999999999915</v>
      </c>
      <c r="S272" s="51">
        <f t="shared" si="35"/>
        <v>778730</v>
      </c>
      <c r="T272" s="52">
        <f t="shared" si="35"/>
        <v>386.99799999996753</v>
      </c>
      <c r="U272" s="58">
        <f t="shared" si="35"/>
        <v>223505</v>
      </c>
      <c r="V272" s="17">
        <f t="shared" si="35"/>
        <v>161.57499999999925</v>
      </c>
      <c r="W272" s="101"/>
      <c r="X272" s="555">
        <f t="shared" si="36"/>
        <v>7491064</v>
      </c>
      <c r="Y272" s="632">
        <f t="shared" si="36"/>
        <v>2968.0779999999068</v>
      </c>
    </row>
    <row r="273" spans="1:25" outlineLevel="1">
      <c r="A273" s="114">
        <v>43360</v>
      </c>
      <c r="B273" s="115">
        <f t="shared" si="33"/>
        <v>9</v>
      </c>
      <c r="C273" s="35">
        <v>137296</v>
      </c>
      <c r="D273" s="36">
        <v>79.071999999999974</v>
      </c>
      <c r="E273" s="51">
        <v>4506990</v>
      </c>
      <c r="F273" s="52">
        <v>1887.5309999999226</v>
      </c>
      <c r="G273" s="58">
        <v>2488842</v>
      </c>
      <c r="H273" s="17">
        <v>1483.5769999999634</v>
      </c>
      <c r="I273" s="101"/>
      <c r="J273" s="35">
        <v>133395</v>
      </c>
      <c r="K273" s="36">
        <v>76.133999999999972</v>
      </c>
      <c r="L273" s="51">
        <v>3876730</v>
      </c>
      <c r="M273" s="52">
        <v>1576.6589999999537</v>
      </c>
      <c r="N273" s="58">
        <v>2283561</v>
      </c>
      <c r="O273" s="17">
        <v>1280.3079999999666</v>
      </c>
      <c r="P273" s="101"/>
      <c r="Q273" s="35">
        <f t="shared" si="35"/>
        <v>3901</v>
      </c>
      <c r="R273" s="36">
        <f t="shared" si="35"/>
        <v>2.9380000000000024</v>
      </c>
      <c r="S273" s="51">
        <f t="shared" si="35"/>
        <v>630260</v>
      </c>
      <c r="T273" s="52">
        <f t="shared" si="35"/>
        <v>310.87199999996892</v>
      </c>
      <c r="U273" s="58">
        <f t="shared" si="35"/>
        <v>205281</v>
      </c>
      <c r="V273" s="17">
        <f t="shared" si="35"/>
        <v>203.26899999999682</v>
      </c>
      <c r="W273" s="101"/>
      <c r="X273" s="555">
        <f t="shared" si="36"/>
        <v>7133128</v>
      </c>
      <c r="Y273" s="632">
        <f t="shared" si="36"/>
        <v>3450.1799999998857</v>
      </c>
    </row>
    <row r="274" spans="1:25" outlineLevel="1">
      <c r="A274" s="114">
        <v>43361</v>
      </c>
      <c r="B274" s="115">
        <f t="shared" si="33"/>
        <v>9</v>
      </c>
      <c r="C274" s="35">
        <v>140938</v>
      </c>
      <c r="D274" s="36">
        <v>75.671999999999997</v>
      </c>
      <c r="E274" s="51">
        <v>4868984</v>
      </c>
      <c r="F274" s="52">
        <v>1947.9509999999432</v>
      </c>
      <c r="G274" s="58">
        <v>2226427</v>
      </c>
      <c r="H274" s="17">
        <v>1133.9809999999788</v>
      </c>
      <c r="I274" s="101"/>
      <c r="J274" s="35">
        <v>136610</v>
      </c>
      <c r="K274" s="36">
        <v>72.557999999999993</v>
      </c>
      <c r="L274" s="51">
        <v>4289561</v>
      </c>
      <c r="M274" s="52">
        <v>1650.3969999999581</v>
      </c>
      <c r="N274" s="58">
        <v>2040972</v>
      </c>
      <c r="O274" s="17">
        <v>973.10699999997985</v>
      </c>
      <c r="P274" s="101"/>
      <c r="Q274" s="35">
        <f t="shared" si="35"/>
        <v>4328</v>
      </c>
      <c r="R274" s="36">
        <f t="shared" si="35"/>
        <v>3.1140000000000043</v>
      </c>
      <c r="S274" s="51">
        <f t="shared" si="35"/>
        <v>579423</v>
      </c>
      <c r="T274" s="52">
        <f t="shared" si="35"/>
        <v>297.55399999998508</v>
      </c>
      <c r="U274" s="58">
        <f t="shared" si="35"/>
        <v>185455</v>
      </c>
      <c r="V274" s="17">
        <f t="shared" si="35"/>
        <v>160.873999999999</v>
      </c>
      <c r="W274" s="101"/>
      <c r="X274" s="555">
        <f t="shared" si="36"/>
        <v>7236349</v>
      </c>
      <c r="Y274" s="632">
        <f t="shared" si="36"/>
        <v>3157.6039999999221</v>
      </c>
    </row>
    <row r="275" spans="1:25" outlineLevel="1">
      <c r="A275" s="114">
        <v>43362</v>
      </c>
      <c r="B275" s="115">
        <f t="shared" si="33"/>
        <v>9</v>
      </c>
      <c r="C275" s="35">
        <v>143978</v>
      </c>
      <c r="D275" s="36">
        <v>77.055999999999983</v>
      </c>
      <c r="E275" s="51">
        <v>4453048</v>
      </c>
      <c r="F275" s="52">
        <v>1877.6479999999613</v>
      </c>
      <c r="G275" s="58">
        <v>2697198</v>
      </c>
      <c r="H275" s="17">
        <v>1714.8719999999698</v>
      </c>
      <c r="I275" s="101"/>
      <c r="J275" s="35">
        <v>139212</v>
      </c>
      <c r="K275" s="36">
        <v>73.727999999999994</v>
      </c>
      <c r="L275" s="51">
        <v>3860923</v>
      </c>
      <c r="M275" s="52">
        <v>1623.2679999999632</v>
      </c>
      <c r="N275" s="58">
        <v>2515233</v>
      </c>
      <c r="O275" s="17">
        <v>1501.6749999999736</v>
      </c>
      <c r="P275" s="101"/>
      <c r="Q275" s="35">
        <f t="shared" si="35"/>
        <v>4766</v>
      </c>
      <c r="R275" s="36">
        <f t="shared" si="35"/>
        <v>3.3279999999999887</v>
      </c>
      <c r="S275" s="51">
        <f t="shared" si="35"/>
        <v>592125</v>
      </c>
      <c r="T275" s="52">
        <f t="shared" si="35"/>
        <v>254.37999999999806</v>
      </c>
      <c r="U275" s="58">
        <f t="shared" si="35"/>
        <v>181965</v>
      </c>
      <c r="V275" s="17">
        <f t="shared" si="35"/>
        <v>213.19699999999625</v>
      </c>
      <c r="W275" s="101"/>
      <c r="X275" s="555">
        <f t="shared" si="36"/>
        <v>7294224</v>
      </c>
      <c r="Y275" s="632">
        <f t="shared" si="36"/>
        <v>3669.5759999999309</v>
      </c>
    </row>
    <row r="276" spans="1:25" outlineLevel="1">
      <c r="A276" s="114">
        <v>43363</v>
      </c>
      <c r="B276" s="115">
        <f t="shared" si="33"/>
        <v>9</v>
      </c>
      <c r="C276" s="35">
        <v>176353</v>
      </c>
      <c r="D276" s="36">
        <v>83.00500000000001</v>
      </c>
      <c r="E276" s="51">
        <v>4283352</v>
      </c>
      <c r="F276" s="52">
        <v>1941.1039999999573</v>
      </c>
      <c r="G276" s="58">
        <v>2357844</v>
      </c>
      <c r="H276" s="17">
        <v>1292.5329999999637</v>
      </c>
      <c r="I276" s="101"/>
      <c r="J276" s="35">
        <v>170408</v>
      </c>
      <c r="K276" s="36">
        <v>78.941000000000017</v>
      </c>
      <c r="L276" s="51">
        <v>3753462</v>
      </c>
      <c r="M276" s="52">
        <v>1695.0139999999578</v>
      </c>
      <c r="N276" s="58">
        <v>2170302</v>
      </c>
      <c r="O276" s="17">
        <v>1120.1979999999667</v>
      </c>
      <c r="P276" s="101"/>
      <c r="Q276" s="35">
        <f t="shared" si="35"/>
        <v>5945</v>
      </c>
      <c r="R276" s="36">
        <f t="shared" si="35"/>
        <v>4.063999999999993</v>
      </c>
      <c r="S276" s="51">
        <f t="shared" si="35"/>
        <v>529890</v>
      </c>
      <c r="T276" s="52">
        <f t="shared" si="35"/>
        <v>246.08999999999946</v>
      </c>
      <c r="U276" s="58">
        <f t="shared" si="35"/>
        <v>187542</v>
      </c>
      <c r="V276" s="17">
        <f t="shared" si="35"/>
        <v>172.33499999999708</v>
      </c>
      <c r="W276" s="101"/>
      <c r="X276" s="555">
        <f t="shared" si="36"/>
        <v>6817549</v>
      </c>
      <c r="Y276" s="632">
        <f t="shared" si="36"/>
        <v>3316.6419999999212</v>
      </c>
    </row>
    <row r="277" spans="1:25" outlineLevel="1">
      <c r="A277" s="114">
        <v>43364</v>
      </c>
      <c r="B277" s="115">
        <f t="shared" si="33"/>
        <v>9</v>
      </c>
      <c r="C277" s="35">
        <v>212547</v>
      </c>
      <c r="D277" s="36">
        <v>91.895000000000024</v>
      </c>
      <c r="E277" s="51">
        <v>5995133</v>
      </c>
      <c r="F277" s="52">
        <v>2592.5060000001422</v>
      </c>
      <c r="G277" s="58">
        <v>3349511</v>
      </c>
      <c r="H277" s="17">
        <v>2085.2889999999643</v>
      </c>
      <c r="I277" s="101"/>
      <c r="J277" s="35">
        <v>204286</v>
      </c>
      <c r="K277" s="36">
        <v>87.070000000000022</v>
      </c>
      <c r="L277" s="51">
        <v>5348789</v>
      </c>
      <c r="M277" s="52">
        <v>2314.0910000001463</v>
      </c>
      <c r="N277" s="58">
        <v>3128559</v>
      </c>
      <c r="O277" s="17">
        <v>1853.3069999999675</v>
      </c>
      <c r="P277" s="101"/>
      <c r="Q277" s="35">
        <f t="shared" si="35"/>
        <v>8261</v>
      </c>
      <c r="R277" s="36">
        <f t="shared" si="35"/>
        <v>4.8250000000000028</v>
      </c>
      <c r="S277" s="51">
        <f t="shared" si="35"/>
        <v>646344</v>
      </c>
      <c r="T277" s="52">
        <f t="shared" si="35"/>
        <v>278.41499999999587</v>
      </c>
      <c r="U277" s="58">
        <f t="shared" si="35"/>
        <v>220952</v>
      </c>
      <c r="V277" s="17">
        <f t="shared" si="35"/>
        <v>231.98199999999679</v>
      </c>
      <c r="W277" s="101"/>
      <c r="X277" s="555">
        <f t="shared" si="36"/>
        <v>9557191</v>
      </c>
      <c r="Y277" s="632">
        <f t="shared" si="36"/>
        <v>4769.690000000106</v>
      </c>
    </row>
    <row r="278" spans="1:25" outlineLevel="1">
      <c r="A278" s="114">
        <v>43365</v>
      </c>
      <c r="B278" s="115">
        <f t="shared" si="33"/>
        <v>9</v>
      </c>
      <c r="C278" s="35">
        <v>244342</v>
      </c>
      <c r="D278" s="36">
        <v>102.30000000000001</v>
      </c>
      <c r="E278" s="51">
        <v>6328231</v>
      </c>
      <c r="F278" s="52">
        <v>2485.6150000001107</v>
      </c>
      <c r="G278" s="58">
        <v>3737752</v>
      </c>
      <c r="H278" s="17">
        <v>1929.1709999999666</v>
      </c>
      <c r="I278" s="101"/>
      <c r="J278" s="35">
        <v>234346</v>
      </c>
      <c r="K278" s="36">
        <v>95.696000000000026</v>
      </c>
      <c r="L278" s="51">
        <v>5571391</v>
      </c>
      <c r="M278" s="52">
        <v>2172.8560000001471</v>
      </c>
      <c r="N278" s="58">
        <v>3479113</v>
      </c>
      <c r="O278" s="17">
        <v>1710.6629999999705</v>
      </c>
      <c r="P278" s="101"/>
      <c r="Q278" s="35">
        <f t="shared" si="35"/>
        <v>9996</v>
      </c>
      <c r="R278" s="36">
        <f t="shared" si="35"/>
        <v>6.603999999999985</v>
      </c>
      <c r="S278" s="51">
        <f t="shared" si="35"/>
        <v>756840</v>
      </c>
      <c r="T278" s="52">
        <f t="shared" si="35"/>
        <v>312.75899999996363</v>
      </c>
      <c r="U278" s="58">
        <f t="shared" si="35"/>
        <v>258639</v>
      </c>
      <c r="V278" s="17">
        <f t="shared" si="35"/>
        <v>218.50799999999617</v>
      </c>
      <c r="W278" s="101"/>
      <c r="X278" s="555">
        <f t="shared" si="36"/>
        <v>10310325</v>
      </c>
      <c r="Y278" s="632">
        <f t="shared" si="36"/>
        <v>4517.0860000000775</v>
      </c>
    </row>
    <row r="279" spans="1:25" outlineLevel="1">
      <c r="A279" s="114">
        <v>43366</v>
      </c>
      <c r="B279" s="115">
        <f t="shared" si="33"/>
        <v>9</v>
      </c>
      <c r="C279" s="35">
        <v>266633</v>
      </c>
      <c r="D279" s="36">
        <v>111.84099999999998</v>
      </c>
      <c r="E279" s="51">
        <v>4649969</v>
      </c>
      <c r="F279" s="52">
        <v>1887.5609999999222</v>
      </c>
      <c r="G279" s="58">
        <v>3592523</v>
      </c>
      <c r="H279" s="17">
        <v>1923.3759999999672</v>
      </c>
      <c r="I279" s="101"/>
      <c r="J279" s="35">
        <v>254126</v>
      </c>
      <c r="K279" s="36">
        <v>103.71499999999999</v>
      </c>
      <c r="L279" s="51">
        <v>3996554</v>
      </c>
      <c r="M279" s="52">
        <v>1564.2159999999553</v>
      </c>
      <c r="N279" s="58">
        <v>3349419</v>
      </c>
      <c r="O279" s="17">
        <v>1699.340999999971</v>
      </c>
      <c r="P279" s="101"/>
      <c r="Q279" s="35">
        <f t="shared" si="35"/>
        <v>12507</v>
      </c>
      <c r="R279" s="36">
        <f t="shared" si="35"/>
        <v>8.1259999999999906</v>
      </c>
      <c r="S279" s="51">
        <f t="shared" si="35"/>
        <v>653415</v>
      </c>
      <c r="T279" s="52">
        <f t="shared" si="35"/>
        <v>323.34499999996683</v>
      </c>
      <c r="U279" s="58">
        <f t="shared" si="35"/>
        <v>243104</v>
      </c>
      <c r="V279" s="17">
        <f t="shared" si="35"/>
        <v>224.03499999999622</v>
      </c>
      <c r="W279" s="101"/>
      <c r="X279" s="555">
        <f t="shared" si="36"/>
        <v>8509125</v>
      </c>
      <c r="Y279" s="632">
        <f t="shared" si="36"/>
        <v>3922.7779999998893</v>
      </c>
    </row>
    <row r="280" spans="1:25" outlineLevel="1">
      <c r="A280" s="114">
        <v>43367</v>
      </c>
      <c r="B280" s="115">
        <f t="shared" si="33"/>
        <v>9</v>
      </c>
      <c r="C280" s="35">
        <v>299068</v>
      </c>
      <c r="D280" s="36">
        <v>126.922</v>
      </c>
      <c r="E280" s="51">
        <v>4254628</v>
      </c>
      <c r="F280" s="52">
        <v>1874.6789999999523</v>
      </c>
      <c r="G280" s="58">
        <v>2837481</v>
      </c>
      <c r="H280" s="17">
        <v>1423.8649999999641</v>
      </c>
      <c r="I280" s="101"/>
      <c r="J280" s="35">
        <v>285365</v>
      </c>
      <c r="K280" s="36">
        <v>116.65300000000001</v>
      </c>
      <c r="L280" s="51">
        <v>3730751</v>
      </c>
      <c r="M280" s="52">
        <v>1592.7259999999558</v>
      </c>
      <c r="N280" s="58">
        <v>2639019</v>
      </c>
      <c r="O280" s="17">
        <v>1246.0359999999662</v>
      </c>
      <c r="P280" s="101"/>
      <c r="Q280" s="35">
        <f t="shared" si="35"/>
        <v>13703</v>
      </c>
      <c r="R280" s="36">
        <f t="shared" si="35"/>
        <v>10.268999999999991</v>
      </c>
      <c r="S280" s="51">
        <f t="shared" si="35"/>
        <v>523877</v>
      </c>
      <c r="T280" s="52">
        <f t="shared" si="35"/>
        <v>281.95299999999656</v>
      </c>
      <c r="U280" s="58">
        <f t="shared" si="35"/>
        <v>198462</v>
      </c>
      <c r="V280" s="17">
        <f t="shared" si="35"/>
        <v>177.8289999999979</v>
      </c>
      <c r="W280" s="101"/>
      <c r="X280" s="555">
        <f t="shared" si="36"/>
        <v>7391177</v>
      </c>
      <c r="Y280" s="632">
        <f t="shared" si="36"/>
        <v>3425.4659999999167</v>
      </c>
    </row>
    <row r="281" spans="1:25" outlineLevel="1">
      <c r="A281" s="114">
        <v>43368</v>
      </c>
      <c r="B281" s="115">
        <f t="shared" si="33"/>
        <v>9</v>
      </c>
      <c r="C281" s="35">
        <v>297186</v>
      </c>
      <c r="D281" s="36">
        <v>128.54600000000002</v>
      </c>
      <c r="E281" s="51">
        <v>4452458</v>
      </c>
      <c r="F281" s="52">
        <v>2135.9709999999495</v>
      </c>
      <c r="G281" s="58">
        <v>2500318</v>
      </c>
      <c r="H281" s="17">
        <v>1207.4509999999693</v>
      </c>
      <c r="I281" s="101"/>
      <c r="J281" s="35">
        <v>284335</v>
      </c>
      <c r="K281" s="36">
        <v>120.07100000000001</v>
      </c>
      <c r="L281" s="51">
        <v>3953629</v>
      </c>
      <c r="M281" s="52">
        <v>1845.3209999999581</v>
      </c>
      <c r="N281" s="58">
        <v>2318135</v>
      </c>
      <c r="O281" s="17">
        <v>1051.520999999969</v>
      </c>
      <c r="P281" s="101"/>
      <c r="Q281" s="35">
        <f t="shared" si="35"/>
        <v>12851</v>
      </c>
      <c r="R281" s="36">
        <f t="shared" si="35"/>
        <v>8.4750000000000085</v>
      </c>
      <c r="S281" s="51">
        <f t="shared" si="35"/>
        <v>498829</v>
      </c>
      <c r="T281" s="52">
        <f t="shared" si="35"/>
        <v>290.64999999999145</v>
      </c>
      <c r="U281" s="58">
        <f t="shared" si="35"/>
        <v>182183</v>
      </c>
      <c r="V281" s="17">
        <f t="shared" si="35"/>
        <v>155.93000000000029</v>
      </c>
      <c r="W281" s="101"/>
      <c r="X281" s="555">
        <f t="shared" si="36"/>
        <v>7249962</v>
      </c>
      <c r="Y281" s="632">
        <f t="shared" si="36"/>
        <v>3471.9679999999189</v>
      </c>
    </row>
    <row r="282" spans="1:25" outlineLevel="1">
      <c r="A282" s="114">
        <v>43369</v>
      </c>
      <c r="B282" s="115">
        <f t="shared" si="33"/>
        <v>9</v>
      </c>
      <c r="C282" s="35">
        <v>325062</v>
      </c>
      <c r="D282" s="36">
        <v>157.98400000000001</v>
      </c>
      <c r="E282" s="51">
        <v>4601946</v>
      </c>
      <c r="F282" s="52">
        <v>2385.9680000001617</v>
      </c>
      <c r="G282" s="58">
        <v>4152979</v>
      </c>
      <c r="H282" s="17">
        <v>2093.8119999999649</v>
      </c>
      <c r="I282" s="101"/>
      <c r="J282" s="35">
        <v>311387</v>
      </c>
      <c r="K282" s="36">
        <v>147.37</v>
      </c>
      <c r="L282" s="51">
        <v>4191271</v>
      </c>
      <c r="M282" s="52">
        <v>2099.9180000001688</v>
      </c>
      <c r="N282" s="58">
        <v>3939505</v>
      </c>
      <c r="O282" s="17">
        <v>1890.7579999999698</v>
      </c>
      <c r="P282" s="101"/>
      <c r="Q282" s="35">
        <f t="shared" si="35"/>
        <v>13675</v>
      </c>
      <c r="R282" s="36">
        <f t="shared" si="35"/>
        <v>10.614000000000004</v>
      </c>
      <c r="S282" s="51">
        <f t="shared" si="35"/>
        <v>410675</v>
      </c>
      <c r="T282" s="52">
        <f t="shared" si="35"/>
        <v>286.04999999999291</v>
      </c>
      <c r="U282" s="58">
        <f t="shared" si="35"/>
        <v>213474</v>
      </c>
      <c r="V282" s="17">
        <f t="shared" si="35"/>
        <v>203.05399999999509</v>
      </c>
      <c r="W282" s="101"/>
      <c r="X282" s="555">
        <f t="shared" si="36"/>
        <v>9079987</v>
      </c>
      <c r="Y282" s="632">
        <f t="shared" si="36"/>
        <v>4637.7640000001265</v>
      </c>
    </row>
    <row r="283" spans="1:25" outlineLevel="1">
      <c r="A283" s="114">
        <v>43370</v>
      </c>
      <c r="B283" s="115">
        <f t="shared" si="33"/>
        <v>9</v>
      </c>
      <c r="C283" s="35">
        <v>335168</v>
      </c>
      <c r="D283" s="36">
        <v>172.46199999999996</v>
      </c>
      <c r="E283" s="51">
        <v>4811123</v>
      </c>
      <c r="F283" s="52">
        <v>2469.5700000001516</v>
      </c>
      <c r="G283" s="58">
        <v>3796937</v>
      </c>
      <c r="H283" s="17">
        <v>2112.9049999999702</v>
      </c>
      <c r="I283" s="101"/>
      <c r="J283" s="35">
        <v>320900</v>
      </c>
      <c r="K283" s="36">
        <v>159.071</v>
      </c>
      <c r="L283" s="51">
        <v>4410821</v>
      </c>
      <c r="M283" s="52">
        <v>2166.0800000001682</v>
      </c>
      <c r="N283" s="58">
        <v>3615224</v>
      </c>
      <c r="O283" s="17">
        <v>1935.1899999999725</v>
      </c>
      <c r="P283" s="101"/>
      <c r="Q283" s="35">
        <f t="shared" si="35"/>
        <v>14268</v>
      </c>
      <c r="R283" s="36">
        <f t="shared" si="35"/>
        <v>13.390999999999963</v>
      </c>
      <c r="S283" s="51">
        <f t="shared" si="35"/>
        <v>400302</v>
      </c>
      <c r="T283" s="52">
        <f t="shared" si="35"/>
        <v>303.48999999998341</v>
      </c>
      <c r="U283" s="58">
        <f t="shared" si="35"/>
        <v>181713</v>
      </c>
      <c r="V283" s="17">
        <f t="shared" si="35"/>
        <v>177.71499999999764</v>
      </c>
      <c r="W283" s="101"/>
      <c r="X283" s="555">
        <f t="shared" si="36"/>
        <v>8943228</v>
      </c>
      <c r="Y283" s="632">
        <f t="shared" si="36"/>
        <v>4754.9370000001218</v>
      </c>
    </row>
    <row r="284" spans="1:25" outlineLevel="1">
      <c r="A284" s="114">
        <v>43371</v>
      </c>
      <c r="B284" s="115">
        <f t="shared" si="33"/>
        <v>9</v>
      </c>
      <c r="C284" s="35">
        <v>434500</v>
      </c>
      <c r="D284" s="36">
        <v>197.37100000000004</v>
      </c>
      <c r="E284" s="51">
        <v>6314713</v>
      </c>
      <c r="F284" s="52">
        <v>3321.4020000001137</v>
      </c>
      <c r="G284" s="58">
        <v>4619741</v>
      </c>
      <c r="H284" s="17">
        <v>2853.7350000001134</v>
      </c>
      <c r="I284" s="101"/>
      <c r="J284" s="35">
        <v>414788</v>
      </c>
      <c r="K284" s="36">
        <v>180.43800000000005</v>
      </c>
      <c r="L284" s="51">
        <v>5853604</v>
      </c>
      <c r="M284" s="52">
        <v>2956.9590000001517</v>
      </c>
      <c r="N284" s="58">
        <v>4412641</v>
      </c>
      <c r="O284" s="17">
        <v>2655.7050000001168</v>
      </c>
      <c r="P284" s="101"/>
      <c r="Q284" s="35">
        <f t="shared" si="35"/>
        <v>19712</v>
      </c>
      <c r="R284" s="36">
        <f t="shared" si="35"/>
        <v>16.932999999999993</v>
      </c>
      <c r="S284" s="51">
        <f t="shared" si="35"/>
        <v>461109</v>
      </c>
      <c r="T284" s="52">
        <f t="shared" si="35"/>
        <v>364.44299999996201</v>
      </c>
      <c r="U284" s="58">
        <f t="shared" si="35"/>
        <v>207100</v>
      </c>
      <c r="V284" s="17">
        <f t="shared" si="35"/>
        <v>198.02999999999656</v>
      </c>
      <c r="W284" s="101"/>
      <c r="X284" s="555">
        <f t="shared" si="36"/>
        <v>11368954</v>
      </c>
      <c r="Y284" s="632">
        <f t="shared" si="36"/>
        <v>6372.5080000002272</v>
      </c>
    </row>
    <row r="285" spans="1:25" outlineLevel="1">
      <c r="A285" s="114">
        <v>43372</v>
      </c>
      <c r="B285" s="115">
        <f t="shared" si="33"/>
        <v>9</v>
      </c>
      <c r="C285" s="35">
        <v>435147</v>
      </c>
      <c r="D285" s="36">
        <v>187.88100000000003</v>
      </c>
      <c r="E285" s="51">
        <v>6452623</v>
      </c>
      <c r="F285" s="52">
        <v>2996.1640000001175</v>
      </c>
      <c r="G285" s="58">
        <v>4508416</v>
      </c>
      <c r="H285" s="17">
        <v>2241.6530000001171</v>
      </c>
      <c r="I285" s="101"/>
      <c r="J285" s="35">
        <v>414431</v>
      </c>
      <c r="K285" s="36">
        <v>171.16600000000003</v>
      </c>
      <c r="L285" s="51">
        <v>5909550</v>
      </c>
      <c r="M285" s="52">
        <v>2584.0910000001572</v>
      </c>
      <c r="N285" s="58">
        <v>4295924</v>
      </c>
      <c r="O285" s="17">
        <v>2080.5160000001174</v>
      </c>
      <c r="P285" s="101"/>
      <c r="Q285" s="35">
        <f t="shared" si="35"/>
        <v>20716</v>
      </c>
      <c r="R285" s="36">
        <f t="shared" si="35"/>
        <v>16.715000000000003</v>
      </c>
      <c r="S285" s="51">
        <f t="shared" si="35"/>
        <v>543073</v>
      </c>
      <c r="T285" s="52">
        <f t="shared" si="35"/>
        <v>412.0729999999603</v>
      </c>
      <c r="U285" s="58">
        <f t="shared" si="35"/>
        <v>212492</v>
      </c>
      <c r="V285" s="17">
        <f t="shared" si="35"/>
        <v>161.13699999999972</v>
      </c>
      <c r="W285" s="101"/>
      <c r="X285" s="555">
        <f t="shared" si="36"/>
        <v>11396186</v>
      </c>
      <c r="Y285" s="632">
        <f t="shared" si="36"/>
        <v>5425.698000000235</v>
      </c>
    </row>
    <row r="286" spans="1:25" outlineLevel="1">
      <c r="A286" s="114">
        <v>43373</v>
      </c>
      <c r="B286" s="115">
        <f t="shared" si="33"/>
        <v>9</v>
      </c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>
        <f t="shared" si="35"/>
        <v>0</v>
      </c>
      <c r="R286" s="36">
        <f t="shared" si="35"/>
        <v>0</v>
      </c>
      <c r="S286" s="51">
        <f t="shared" si="35"/>
        <v>0</v>
      </c>
      <c r="T286" s="52">
        <f t="shared" si="35"/>
        <v>0</v>
      </c>
      <c r="U286" s="58">
        <f t="shared" si="35"/>
        <v>0</v>
      </c>
      <c r="V286" s="17">
        <f t="shared" si="35"/>
        <v>0</v>
      </c>
      <c r="W286" s="101"/>
      <c r="X286" s="555">
        <f t="shared" si="36"/>
        <v>0</v>
      </c>
      <c r="Y286" s="632">
        <f t="shared" si="36"/>
        <v>0</v>
      </c>
    </row>
    <row r="287" spans="1:25">
      <c r="A287" s="104"/>
      <c r="B287" s="104" t="s">
        <v>23</v>
      </c>
      <c r="C287" s="105">
        <f>SUBTOTAL(9,C288:C318)</f>
        <v>0</v>
      </c>
      <c r="D287" s="106">
        <f t="shared" ref="D287:V287" si="37">SUBTOTAL(9,D288:D318)</f>
        <v>0</v>
      </c>
      <c r="E287" s="109">
        <f t="shared" si="37"/>
        <v>0</v>
      </c>
      <c r="F287" s="110">
        <f t="shared" si="37"/>
        <v>0</v>
      </c>
      <c r="G287" s="111">
        <f t="shared" si="37"/>
        <v>0</v>
      </c>
      <c r="H287" s="14">
        <f t="shared" si="37"/>
        <v>0</v>
      </c>
      <c r="I287" s="103"/>
      <c r="J287" s="105">
        <f t="shared" si="37"/>
        <v>0</v>
      </c>
      <c r="K287" s="106">
        <f t="shared" si="37"/>
        <v>0</v>
      </c>
      <c r="L287" s="109">
        <f t="shared" si="37"/>
        <v>0</v>
      </c>
      <c r="M287" s="110">
        <f t="shared" si="37"/>
        <v>0</v>
      </c>
      <c r="N287" s="111">
        <f t="shared" si="37"/>
        <v>0</v>
      </c>
      <c r="O287" s="14">
        <f t="shared" si="37"/>
        <v>0</v>
      </c>
      <c r="P287" s="103"/>
      <c r="Q287" s="105">
        <f t="shared" si="37"/>
        <v>0</v>
      </c>
      <c r="R287" s="106">
        <f t="shared" si="37"/>
        <v>0</v>
      </c>
      <c r="S287" s="109">
        <f t="shared" si="37"/>
        <v>0</v>
      </c>
      <c r="T287" s="110">
        <f t="shared" si="37"/>
        <v>0</v>
      </c>
      <c r="U287" s="111">
        <f t="shared" si="37"/>
        <v>0</v>
      </c>
      <c r="V287" s="14">
        <f t="shared" si="37"/>
        <v>0</v>
      </c>
      <c r="W287" s="103"/>
      <c r="X287" s="555"/>
      <c r="Y287" s="632"/>
    </row>
    <row r="288" spans="1:25" hidden="1" outlineLevel="1">
      <c r="A288" s="97">
        <v>43374</v>
      </c>
      <c r="B288" s="98">
        <f t="shared" si="33"/>
        <v>10</v>
      </c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>
        <f t="shared" ref="Q288:V318" si="38">C288-J288</f>
        <v>0</v>
      </c>
      <c r="R288" s="36">
        <f t="shared" si="38"/>
        <v>0</v>
      </c>
      <c r="S288" s="51">
        <f t="shared" si="38"/>
        <v>0</v>
      </c>
      <c r="T288" s="52">
        <f t="shared" si="38"/>
        <v>0</v>
      </c>
      <c r="U288" s="58">
        <f t="shared" si="38"/>
        <v>0</v>
      </c>
      <c r="V288" s="17">
        <f t="shared" si="38"/>
        <v>0</v>
      </c>
      <c r="W288" s="101"/>
      <c r="X288" s="555">
        <f t="shared" si="36"/>
        <v>0</v>
      </c>
      <c r="Y288" s="632">
        <f t="shared" si="36"/>
        <v>0</v>
      </c>
    </row>
    <row r="289" spans="1:25" hidden="1" outlineLevel="1">
      <c r="A289" s="97">
        <v>43375</v>
      </c>
      <c r="B289" s="98">
        <f t="shared" si="33"/>
        <v>10</v>
      </c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>
        <f t="shared" si="38"/>
        <v>0</v>
      </c>
      <c r="R289" s="36">
        <f t="shared" si="38"/>
        <v>0</v>
      </c>
      <c r="S289" s="51">
        <f t="shared" si="38"/>
        <v>0</v>
      </c>
      <c r="T289" s="52">
        <f t="shared" si="38"/>
        <v>0</v>
      </c>
      <c r="U289" s="58">
        <f t="shared" si="38"/>
        <v>0</v>
      </c>
      <c r="V289" s="17">
        <f t="shared" si="38"/>
        <v>0</v>
      </c>
      <c r="W289" s="101"/>
      <c r="X289" s="555">
        <f t="shared" si="36"/>
        <v>0</v>
      </c>
      <c r="Y289" s="632">
        <f t="shared" si="36"/>
        <v>0</v>
      </c>
    </row>
    <row r="290" spans="1:25" hidden="1" outlineLevel="1">
      <c r="A290" s="97">
        <v>43376</v>
      </c>
      <c r="B290" s="98">
        <f t="shared" si="33"/>
        <v>10</v>
      </c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>
        <f t="shared" si="38"/>
        <v>0</v>
      </c>
      <c r="R290" s="36">
        <f t="shared" si="38"/>
        <v>0</v>
      </c>
      <c r="S290" s="51">
        <f t="shared" si="38"/>
        <v>0</v>
      </c>
      <c r="T290" s="52">
        <f t="shared" si="38"/>
        <v>0</v>
      </c>
      <c r="U290" s="58">
        <f t="shared" si="38"/>
        <v>0</v>
      </c>
      <c r="V290" s="17">
        <f t="shared" si="38"/>
        <v>0</v>
      </c>
      <c r="W290" s="101"/>
      <c r="X290" s="555">
        <f t="shared" si="36"/>
        <v>0</v>
      </c>
      <c r="Y290" s="632">
        <f t="shared" si="36"/>
        <v>0</v>
      </c>
    </row>
    <row r="291" spans="1:25" hidden="1" outlineLevel="1">
      <c r="A291" s="97">
        <v>43377</v>
      </c>
      <c r="B291" s="98">
        <f t="shared" si="33"/>
        <v>10</v>
      </c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>
        <f t="shared" si="38"/>
        <v>0</v>
      </c>
      <c r="R291" s="36">
        <f t="shared" si="38"/>
        <v>0</v>
      </c>
      <c r="S291" s="51">
        <f t="shared" si="38"/>
        <v>0</v>
      </c>
      <c r="T291" s="52">
        <f t="shared" si="38"/>
        <v>0</v>
      </c>
      <c r="U291" s="58">
        <f t="shared" si="38"/>
        <v>0</v>
      </c>
      <c r="V291" s="17">
        <f t="shared" si="38"/>
        <v>0</v>
      </c>
      <c r="W291" s="101"/>
      <c r="X291" s="555">
        <f t="shared" si="36"/>
        <v>0</v>
      </c>
      <c r="Y291" s="632">
        <f t="shared" si="36"/>
        <v>0</v>
      </c>
    </row>
    <row r="292" spans="1:25" hidden="1" outlineLevel="1">
      <c r="A292" s="97">
        <v>43378</v>
      </c>
      <c r="B292" s="98">
        <f t="shared" ref="B292:B357" si="39">MONTH(A292)</f>
        <v>10</v>
      </c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>
        <f t="shared" si="38"/>
        <v>0</v>
      </c>
      <c r="R292" s="36">
        <f t="shared" si="38"/>
        <v>0</v>
      </c>
      <c r="S292" s="51">
        <f t="shared" si="38"/>
        <v>0</v>
      </c>
      <c r="T292" s="52">
        <f t="shared" si="38"/>
        <v>0</v>
      </c>
      <c r="U292" s="58">
        <f t="shared" si="38"/>
        <v>0</v>
      </c>
      <c r="V292" s="17">
        <f t="shared" si="38"/>
        <v>0</v>
      </c>
      <c r="W292" s="101"/>
      <c r="X292" s="555">
        <f t="shared" si="36"/>
        <v>0</v>
      </c>
      <c r="Y292" s="632">
        <f t="shared" si="36"/>
        <v>0</v>
      </c>
    </row>
    <row r="293" spans="1:25" hidden="1" outlineLevel="1">
      <c r="A293" s="97">
        <v>43379</v>
      </c>
      <c r="B293" s="98">
        <f t="shared" si="39"/>
        <v>10</v>
      </c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>
        <f t="shared" si="38"/>
        <v>0</v>
      </c>
      <c r="R293" s="36">
        <f t="shared" si="38"/>
        <v>0</v>
      </c>
      <c r="S293" s="51">
        <f t="shared" si="38"/>
        <v>0</v>
      </c>
      <c r="T293" s="52">
        <f t="shared" si="38"/>
        <v>0</v>
      </c>
      <c r="U293" s="58">
        <f t="shared" si="38"/>
        <v>0</v>
      </c>
      <c r="V293" s="17">
        <f t="shared" si="38"/>
        <v>0</v>
      </c>
      <c r="W293" s="101"/>
      <c r="X293" s="555">
        <f t="shared" si="36"/>
        <v>0</v>
      </c>
      <c r="Y293" s="632">
        <f t="shared" si="36"/>
        <v>0</v>
      </c>
    </row>
    <row r="294" spans="1:25" hidden="1" outlineLevel="1">
      <c r="A294" s="97">
        <v>43380</v>
      </c>
      <c r="B294" s="98">
        <f t="shared" si="39"/>
        <v>10</v>
      </c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>
        <f t="shared" si="38"/>
        <v>0</v>
      </c>
      <c r="R294" s="36">
        <f t="shared" si="38"/>
        <v>0</v>
      </c>
      <c r="S294" s="51">
        <f t="shared" si="38"/>
        <v>0</v>
      </c>
      <c r="T294" s="52">
        <f t="shared" si="38"/>
        <v>0</v>
      </c>
      <c r="U294" s="58">
        <f t="shared" si="38"/>
        <v>0</v>
      </c>
      <c r="V294" s="17">
        <f t="shared" si="38"/>
        <v>0</v>
      </c>
      <c r="W294" s="101"/>
      <c r="X294" s="555">
        <f t="shared" si="36"/>
        <v>0</v>
      </c>
      <c r="Y294" s="632">
        <f t="shared" si="36"/>
        <v>0</v>
      </c>
    </row>
    <row r="295" spans="1:25" hidden="1" outlineLevel="1">
      <c r="A295" s="97">
        <v>43381</v>
      </c>
      <c r="B295" s="98">
        <f t="shared" si="39"/>
        <v>10</v>
      </c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>
        <f t="shared" si="38"/>
        <v>0</v>
      </c>
      <c r="R295" s="36">
        <f t="shared" si="38"/>
        <v>0</v>
      </c>
      <c r="S295" s="51">
        <f t="shared" si="38"/>
        <v>0</v>
      </c>
      <c r="T295" s="52">
        <f t="shared" si="38"/>
        <v>0</v>
      </c>
      <c r="U295" s="58">
        <f t="shared" si="38"/>
        <v>0</v>
      </c>
      <c r="V295" s="17">
        <f t="shared" si="38"/>
        <v>0</v>
      </c>
      <c r="W295" s="101"/>
      <c r="X295" s="555">
        <f t="shared" si="36"/>
        <v>0</v>
      </c>
      <c r="Y295" s="632">
        <f t="shared" si="36"/>
        <v>0</v>
      </c>
    </row>
    <row r="296" spans="1:25" hidden="1" outlineLevel="1">
      <c r="A296" s="97">
        <v>43382</v>
      </c>
      <c r="B296" s="98">
        <f t="shared" si="39"/>
        <v>10</v>
      </c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>
        <f t="shared" si="38"/>
        <v>0</v>
      </c>
      <c r="R296" s="36">
        <f t="shared" si="38"/>
        <v>0</v>
      </c>
      <c r="S296" s="51">
        <f t="shared" si="38"/>
        <v>0</v>
      </c>
      <c r="T296" s="52">
        <f t="shared" si="38"/>
        <v>0</v>
      </c>
      <c r="U296" s="58">
        <f t="shared" si="38"/>
        <v>0</v>
      </c>
      <c r="V296" s="17">
        <f t="shared" si="38"/>
        <v>0</v>
      </c>
      <c r="W296" s="101"/>
      <c r="X296" s="555">
        <f t="shared" si="36"/>
        <v>0</v>
      </c>
      <c r="Y296" s="632">
        <f t="shared" si="36"/>
        <v>0</v>
      </c>
    </row>
    <row r="297" spans="1:25" hidden="1" outlineLevel="1">
      <c r="A297" s="97">
        <v>43383</v>
      </c>
      <c r="B297" s="98">
        <f t="shared" si="39"/>
        <v>10</v>
      </c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>
        <f t="shared" si="38"/>
        <v>0</v>
      </c>
      <c r="R297" s="36">
        <f t="shared" si="38"/>
        <v>0</v>
      </c>
      <c r="S297" s="51">
        <f t="shared" si="38"/>
        <v>0</v>
      </c>
      <c r="T297" s="52">
        <f t="shared" si="38"/>
        <v>0</v>
      </c>
      <c r="U297" s="58">
        <f t="shared" si="38"/>
        <v>0</v>
      </c>
      <c r="V297" s="17">
        <f t="shared" si="38"/>
        <v>0</v>
      </c>
      <c r="W297" s="101"/>
      <c r="X297" s="555">
        <f t="shared" si="36"/>
        <v>0</v>
      </c>
      <c r="Y297" s="632">
        <f t="shared" si="36"/>
        <v>0</v>
      </c>
    </row>
    <row r="298" spans="1:25" hidden="1" outlineLevel="1">
      <c r="A298" s="97">
        <v>43384</v>
      </c>
      <c r="B298" s="98">
        <f t="shared" si="39"/>
        <v>10</v>
      </c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>
        <f t="shared" si="38"/>
        <v>0</v>
      </c>
      <c r="R298" s="36">
        <f t="shared" si="38"/>
        <v>0</v>
      </c>
      <c r="S298" s="51">
        <f t="shared" si="38"/>
        <v>0</v>
      </c>
      <c r="T298" s="52">
        <f t="shared" si="38"/>
        <v>0</v>
      </c>
      <c r="U298" s="58">
        <f t="shared" si="38"/>
        <v>0</v>
      </c>
      <c r="V298" s="17">
        <f t="shared" si="38"/>
        <v>0</v>
      </c>
      <c r="W298" s="101"/>
      <c r="X298" s="555">
        <f t="shared" si="36"/>
        <v>0</v>
      </c>
      <c r="Y298" s="632">
        <f t="shared" si="36"/>
        <v>0</v>
      </c>
    </row>
    <row r="299" spans="1:25" hidden="1" outlineLevel="1">
      <c r="A299" s="97">
        <v>43385</v>
      </c>
      <c r="B299" s="98">
        <f t="shared" si="39"/>
        <v>10</v>
      </c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>
        <f t="shared" si="38"/>
        <v>0</v>
      </c>
      <c r="R299" s="36">
        <f t="shared" si="38"/>
        <v>0</v>
      </c>
      <c r="S299" s="51">
        <f t="shared" si="38"/>
        <v>0</v>
      </c>
      <c r="T299" s="52">
        <f t="shared" si="38"/>
        <v>0</v>
      </c>
      <c r="U299" s="58">
        <f t="shared" si="38"/>
        <v>0</v>
      </c>
      <c r="V299" s="17">
        <f t="shared" si="38"/>
        <v>0</v>
      </c>
      <c r="W299" s="101"/>
      <c r="X299" s="555">
        <f t="shared" si="36"/>
        <v>0</v>
      </c>
      <c r="Y299" s="632">
        <f t="shared" si="36"/>
        <v>0</v>
      </c>
    </row>
    <row r="300" spans="1:25" hidden="1" outlineLevel="1">
      <c r="A300" s="97">
        <v>43386</v>
      </c>
      <c r="B300" s="98">
        <f t="shared" si="39"/>
        <v>10</v>
      </c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>
        <f t="shared" si="38"/>
        <v>0</v>
      </c>
      <c r="R300" s="36">
        <f t="shared" si="38"/>
        <v>0</v>
      </c>
      <c r="S300" s="51">
        <f t="shared" si="38"/>
        <v>0</v>
      </c>
      <c r="T300" s="52">
        <f t="shared" si="38"/>
        <v>0</v>
      </c>
      <c r="U300" s="58">
        <f t="shared" si="38"/>
        <v>0</v>
      </c>
      <c r="V300" s="17">
        <f t="shared" si="38"/>
        <v>0</v>
      </c>
      <c r="W300" s="101"/>
      <c r="X300" s="555">
        <f t="shared" si="36"/>
        <v>0</v>
      </c>
      <c r="Y300" s="632">
        <f t="shared" si="36"/>
        <v>0</v>
      </c>
    </row>
    <row r="301" spans="1:25" hidden="1" outlineLevel="1">
      <c r="A301" s="97">
        <v>43387</v>
      </c>
      <c r="B301" s="98">
        <f t="shared" si="39"/>
        <v>10</v>
      </c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>
        <f t="shared" si="38"/>
        <v>0</v>
      </c>
      <c r="R301" s="36">
        <f t="shared" si="38"/>
        <v>0</v>
      </c>
      <c r="S301" s="51">
        <f t="shared" si="38"/>
        <v>0</v>
      </c>
      <c r="T301" s="52">
        <f t="shared" si="38"/>
        <v>0</v>
      </c>
      <c r="U301" s="58">
        <f t="shared" si="38"/>
        <v>0</v>
      </c>
      <c r="V301" s="17">
        <f t="shared" si="38"/>
        <v>0</v>
      </c>
      <c r="W301" s="101"/>
      <c r="X301" s="555">
        <f t="shared" si="36"/>
        <v>0</v>
      </c>
      <c r="Y301" s="632">
        <f t="shared" si="36"/>
        <v>0</v>
      </c>
    </row>
    <row r="302" spans="1:25" hidden="1" outlineLevel="1">
      <c r="A302" s="97">
        <v>43388</v>
      </c>
      <c r="B302" s="98">
        <f t="shared" si="39"/>
        <v>10</v>
      </c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>
        <f t="shared" si="38"/>
        <v>0</v>
      </c>
      <c r="R302" s="36">
        <f t="shared" si="38"/>
        <v>0</v>
      </c>
      <c r="S302" s="51">
        <f t="shared" si="38"/>
        <v>0</v>
      </c>
      <c r="T302" s="52">
        <f t="shared" si="38"/>
        <v>0</v>
      </c>
      <c r="U302" s="58">
        <f t="shared" si="38"/>
        <v>0</v>
      </c>
      <c r="V302" s="17">
        <f t="shared" si="38"/>
        <v>0</v>
      </c>
      <c r="W302" s="101"/>
      <c r="X302" s="555">
        <f t="shared" si="36"/>
        <v>0</v>
      </c>
      <c r="Y302" s="632">
        <f t="shared" si="36"/>
        <v>0</v>
      </c>
    </row>
    <row r="303" spans="1:25" hidden="1" outlineLevel="1">
      <c r="A303" s="97">
        <v>43389</v>
      </c>
      <c r="B303" s="98">
        <f t="shared" si="39"/>
        <v>10</v>
      </c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>
        <f t="shared" si="38"/>
        <v>0</v>
      </c>
      <c r="R303" s="36">
        <f t="shared" si="38"/>
        <v>0</v>
      </c>
      <c r="S303" s="51">
        <f t="shared" si="38"/>
        <v>0</v>
      </c>
      <c r="T303" s="52">
        <f t="shared" si="38"/>
        <v>0</v>
      </c>
      <c r="U303" s="58">
        <f t="shared" si="38"/>
        <v>0</v>
      </c>
      <c r="V303" s="17">
        <f t="shared" si="38"/>
        <v>0</v>
      </c>
      <c r="W303" s="101"/>
      <c r="X303" s="555">
        <f t="shared" si="36"/>
        <v>0</v>
      </c>
      <c r="Y303" s="632">
        <f t="shared" si="36"/>
        <v>0</v>
      </c>
    </row>
    <row r="304" spans="1:25" hidden="1" outlineLevel="1">
      <c r="A304" s="97">
        <v>43390</v>
      </c>
      <c r="B304" s="98">
        <f t="shared" si="39"/>
        <v>10</v>
      </c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>
        <f t="shared" si="38"/>
        <v>0</v>
      </c>
      <c r="R304" s="36">
        <f t="shared" si="38"/>
        <v>0</v>
      </c>
      <c r="S304" s="51">
        <f t="shared" si="38"/>
        <v>0</v>
      </c>
      <c r="T304" s="52">
        <f t="shared" si="38"/>
        <v>0</v>
      </c>
      <c r="U304" s="58">
        <f t="shared" si="38"/>
        <v>0</v>
      </c>
      <c r="V304" s="17">
        <f t="shared" si="38"/>
        <v>0</v>
      </c>
      <c r="W304" s="101"/>
      <c r="X304" s="555">
        <f t="shared" si="36"/>
        <v>0</v>
      </c>
      <c r="Y304" s="632">
        <f t="shared" si="36"/>
        <v>0</v>
      </c>
    </row>
    <row r="305" spans="1:25" hidden="1" outlineLevel="1">
      <c r="A305" s="97">
        <v>43391</v>
      </c>
      <c r="B305" s="98">
        <f t="shared" si="39"/>
        <v>10</v>
      </c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>
        <f t="shared" si="38"/>
        <v>0</v>
      </c>
      <c r="R305" s="36">
        <f t="shared" si="38"/>
        <v>0</v>
      </c>
      <c r="S305" s="51">
        <f t="shared" si="38"/>
        <v>0</v>
      </c>
      <c r="T305" s="52">
        <f t="shared" si="38"/>
        <v>0</v>
      </c>
      <c r="U305" s="58">
        <f t="shared" si="38"/>
        <v>0</v>
      </c>
      <c r="V305" s="17">
        <f t="shared" si="38"/>
        <v>0</v>
      </c>
      <c r="W305" s="101"/>
      <c r="X305" s="555">
        <f t="shared" si="36"/>
        <v>0</v>
      </c>
      <c r="Y305" s="632">
        <f t="shared" si="36"/>
        <v>0</v>
      </c>
    </row>
    <row r="306" spans="1:25" hidden="1" outlineLevel="1">
      <c r="A306" s="97">
        <v>43392</v>
      </c>
      <c r="B306" s="98">
        <f t="shared" si="39"/>
        <v>10</v>
      </c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>
        <f t="shared" si="38"/>
        <v>0</v>
      </c>
      <c r="R306" s="36">
        <f t="shared" si="38"/>
        <v>0</v>
      </c>
      <c r="S306" s="51">
        <f t="shared" si="38"/>
        <v>0</v>
      </c>
      <c r="T306" s="52">
        <f t="shared" si="38"/>
        <v>0</v>
      </c>
      <c r="U306" s="58">
        <f t="shared" si="38"/>
        <v>0</v>
      </c>
      <c r="V306" s="17">
        <f t="shared" si="38"/>
        <v>0</v>
      </c>
      <c r="W306" s="101"/>
      <c r="X306" s="555">
        <f t="shared" si="36"/>
        <v>0</v>
      </c>
      <c r="Y306" s="632">
        <f t="shared" si="36"/>
        <v>0</v>
      </c>
    </row>
    <row r="307" spans="1:25" hidden="1" outlineLevel="1">
      <c r="A307" s="97">
        <v>43393</v>
      </c>
      <c r="B307" s="98">
        <f t="shared" si="39"/>
        <v>10</v>
      </c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>
        <f t="shared" si="38"/>
        <v>0</v>
      </c>
      <c r="R307" s="36">
        <f t="shared" si="38"/>
        <v>0</v>
      </c>
      <c r="S307" s="51">
        <f t="shared" si="38"/>
        <v>0</v>
      </c>
      <c r="T307" s="52">
        <f t="shared" si="38"/>
        <v>0</v>
      </c>
      <c r="U307" s="58">
        <f t="shared" si="38"/>
        <v>0</v>
      </c>
      <c r="V307" s="17">
        <f t="shared" si="38"/>
        <v>0</v>
      </c>
      <c r="W307" s="101"/>
      <c r="X307" s="555">
        <f t="shared" si="36"/>
        <v>0</v>
      </c>
      <c r="Y307" s="632">
        <f t="shared" si="36"/>
        <v>0</v>
      </c>
    </row>
    <row r="308" spans="1:25" hidden="1" outlineLevel="1">
      <c r="A308" s="97">
        <v>43394</v>
      </c>
      <c r="B308" s="98">
        <f t="shared" si="39"/>
        <v>10</v>
      </c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>
        <f t="shared" si="38"/>
        <v>0</v>
      </c>
      <c r="R308" s="36">
        <f t="shared" si="38"/>
        <v>0</v>
      </c>
      <c r="S308" s="51">
        <f t="shared" si="38"/>
        <v>0</v>
      </c>
      <c r="T308" s="52">
        <f t="shared" si="38"/>
        <v>0</v>
      </c>
      <c r="U308" s="58">
        <f t="shared" si="38"/>
        <v>0</v>
      </c>
      <c r="V308" s="17">
        <f t="shared" si="38"/>
        <v>0</v>
      </c>
      <c r="W308" s="101"/>
      <c r="X308" s="555">
        <f t="shared" si="36"/>
        <v>0</v>
      </c>
      <c r="Y308" s="632">
        <f t="shared" si="36"/>
        <v>0</v>
      </c>
    </row>
    <row r="309" spans="1:25" hidden="1" outlineLevel="1">
      <c r="A309" s="97">
        <v>43395</v>
      </c>
      <c r="B309" s="98">
        <f t="shared" si="39"/>
        <v>10</v>
      </c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>
        <f t="shared" si="38"/>
        <v>0</v>
      </c>
      <c r="R309" s="36">
        <f t="shared" si="38"/>
        <v>0</v>
      </c>
      <c r="S309" s="51">
        <f t="shared" si="38"/>
        <v>0</v>
      </c>
      <c r="T309" s="52">
        <f t="shared" si="38"/>
        <v>0</v>
      </c>
      <c r="U309" s="58">
        <f t="shared" si="38"/>
        <v>0</v>
      </c>
      <c r="V309" s="17">
        <f t="shared" si="38"/>
        <v>0</v>
      </c>
      <c r="W309" s="101"/>
      <c r="X309" s="555">
        <f t="shared" si="36"/>
        <v>0</v>
      </c>
      <c r="Y309" s="632">
        <f t="shared" si="36"/>
        <v>0</v>
      </c>
    </row>
    <row r="310" spans="1:25" hidden="1" outlineLevel="1">
      <c r="A310" s="97">
        <v>43396</v>
      </c>
      <c r="B310" s="98">
        <f t="shared" si="39"/>
        <v>10</v>
      </c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>
        <f t="shared" si="38"/>
        <v>0</v>
      </c>
      <c r="R310" s="36">
        <f t="shared" si="38"/>
        <v>0</v>
      </c>
      <c r="S310" s="51">
        <f t="shared" si="38"/>
        <v>0</v>
      </c>
      <c r="T310" s="52">
        <f t="shared" si="38"/>
        <v>0</v>
      </c>
      <c r="U310" s="58">
        <f t="shared" si="38"/>
        <v>0</v>
      </c>
      <c r="V310" s="17">
        <f t="shared" si="38"/>
        <v>0</v>
      </c>
      <c r="W310" s="101"/>
      <c r="X310" s="555">
        <f t="shared" si="36"/>
        <v>0</v>
      </c>
      <c r="Y310" s="632">
        <f t="shared" si="36"/>
        <v>0</v>
      </c>
    </row>
    <row r="311" spans="1:25" hidden="1" outlineLevel="1">
      <c r="A311" s="97">
        <v>43397</v>
      </c>
      <c r="B311" s="98">
        <f t="shared" si="39"/>
        <v>10</v>
      </c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>
        <f t="shared" si="38"/>
        <v>0</v>
      </c>
      <c r="R311" s="36">
        <f t="shared" si="38"/>
        <v>0</v>
      </c>
      <c r="S311" s="51">
        <f t="shared" si="38"/>
        <v>0</v>
      </c>
      <c r="T311" s="52">
        <f t="shared" si="38"/>
        <v>0</v>
      </c>
      <c r="U311" s="58">
        <f t="shared" si="38"/>
        <v>0</v>
      </c>
      <c r="V311" s="17">
        <f t="shared" si="38"/>
        <v>0</v>
      </c>
      <c r="W311" s="101"/>
      <c r="X311" s="555">
        <f t="shared" si="36"/>
        <v>0</v>
      </c>
      <c r="Y311" s="632">
        <f t="shared" si="36"/>
        <v>0</v>
      </c>
    </row>
    <row r="312" spans="1:25" hidden="1" outlineLevel="1">
      <c r="A312" s="97">
        <v>43398</v>
      </c>
      <c r="B312" s="98">
        <f t="shared" si="39"/>
        <v>10</v>
      </c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>
        <f t="shared" si="38"/>
        <v>0</v>
      </c>
      <c r="R312" s="36">
        <f t="shared" si="38"/>
        <v>0</v>
      </c>
      <c r="S312" s="51">
        <f t="shared" si="38"/>
        <v>0</v>
      </c>
      <c r="T312" s="52">
        <f t="shared" si="38"/>
        <v>0</v>
      </c>
      <c r="U312" s="58">
        <f t="shared" si="38"/>
        <v>0</v>
      </c>
      <c r="V312" s="17">
        <f t="shared" si="38"/>
        <v>0</v>
      </c>
      <c r="W312" s="101"/>
      <c r="X312" s="555">
        <f t="shared" si="36"/>
        <v>0</v>
      </c>
      <c r="Y312" s="632">
        <f t="shared" si="36"/>
        <v>0</v>
      </c>
    </row>
    <row r="313" spans="1:25" hidden="1" outlineLevel="1">
      <c r="A313" s="97">
        <v>43399</v>
      </c>
      <c r="B313" s="98">
        <f t="shared" si="39"/>
        <v>10</v>
      </c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>
        <f t="shared" si="38"/>
        <v>0</v>
      </c>
      <c r="R313" s="36">
        <f t="shared" si="38"/>
        <v>0</v>
      </c>
      <c r="S313" s="51">
        <f t="shared" si="38"/>
        <v>0</v>
      </c>
      <c r="T313" s="52">
        <f t="shared" si="38"/>
        <v>0</v>
      </c>
      <c r="U313" s="58">
        <f t="shared" si="38"/>
        <v>0</v>
      </c>
      <c r="V313" s="17">
        <f t="shared" si="38"/>
        <v>0</v>
      </c>
      <c r="W313" s="101"/>
      <c r="X313" s="555">
        <f t="shared" si="36"/>
        <v>0</v>
      </c>
      <c r="Y313" s="632">
        <f t="shared" si="36"/>
        <v>0</v>
      </c>
    </row>
    <row r="314" spans="1:25" hidden="1" outlineLevel="1">
      <c r="A314" s="97">
        <v>43400</v>
      </c>
      <c r="B314" s="98">
        <f t="shared" si="39"/>
        <v>10</v>
      </c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>
        <f t="shared" si="38"/>
        <v>0</v>
      </c>
      <c r="R314" s="36">
        <f t="shared" si="38"/>
        <v>0</v>
      </c>
      <c r="S314" s="51">
        <f t="shared" si="38"/>
        <v>0</v>
      </c>
      <c r="T314" s="52">
        <f t="shared" si="38"/>
        <v>0</v>
      </c>
      <c r="U314" s="58">
        <f t="shared" si="38"/>
        <v>0</v>
      </c>
      <c r="V314" s="17">
        <f t="shared" si="38"/>
        <v>0</v>
      </c>
      <c r="W314" s="101"/>
      <c r="X314" s="555">
        <f t="shared" si="36"/>
        <v>0</v>
      </c>
      <c r="Y314" s="632">
        <f t="shared" si="36"/>
        <v>0</v>
      </c>
    </row>
    <row r="315" spans="1:25" hidden="1" outlineLevel="1">
      <c r="A315" s="97">
        <v>43401</v>
      </c>
      <c r="B315" s="98">
        <f t="shared" si="39"/>
        <v>10</v>
      </c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>
        <f t="shared" si="38"/>
        <v>0</v>
      </c>
      <c r="R315" s="36">
        <f t="shared" si="38"/>
        <v>0</v>
      </c>
      <c r="S315" s="51">
        <f t="shared" si="38"/>
        <v>0</v>
      </c>
      <c r="T315" s="52">
        <f t="shared" si="38"/>
        <v>0</v>
      </c>
      <c r="U315" s="58">
        <f t="shared" si="38"/>
        <v>0</v>
      </c>
      <c r="V315" s="17">
        <f t="shared" si="38"/>
        <v>0</v>
      </c>
      <c r="W315" s="101"/>
      <c r="X315" s="555">
        <f t="shared" si="36"/>
        <v>0</v>
      </c>
      <c r="Y315" s="632">
        <f t="shared" si="36"/>
        <v>0</v>
      </c>
    </row>
    <row r="316" spans="1:25" hidden="1" outlineLevel="1">
      <c r="A316" s="97">
        <v>43402</v>
      </c>
      <c r="B316" s="98">
        <f t="shared" si="39"/>
        <v>10</v>
      </c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>
        <f t="shared" si="38"/>
        <v>0</v>
      </c>
      <c r="R316" s="36">
        <f t="shared" si="38"/>
        <v>0</v>
      </c>
      <c r="S316" s="51">
        <f t="shared" si="38"/>
        <v>0</v>
      </c>
      <c r="T316" s="52">
        <f t="shared" si="38"/>
        <v>0</v>
      </c>
      <c r="U316" s="58">
        <f t="shared" si="38"/>
        <v>0</v>
      </c>
      <c r="V316" s="17">
        <f t="shared" si="38"/>
        <v>0</v>
      </c>
      <c r="W316" s="101"/>
      <c r="X316" s="555">
        <f t="shared" si="36"/>
        <v>0</v>
      </c>
      <c r="Y316" s="632">
        <f t="shared" si="36"/>
        <v>0</v>
      </c>
    </row>
    <row r="317" spans="1:25" hidden="1" outlineLevel="1">
      <c r="A317" s="97">
        <v>43403</v>
      </c>
      <c r="B317" s="98">
        <f t="shared" si="39"/>
        <v>10</v>
      </c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>
        <f t="shared" si="38"/>
        <v>0</v>
      </c>
      <c r="R317" s="36">
        <f t="shared" si="38"/>
        <v>0</v>
      </c>
      <c r="S317" s="51">
        <f t="shared" si="38"/>
        <v>0</v>
      </c>
      <c r="T317" s="52">
        <f t="shared" si="38"/>
        <v>0</v>
      </c>
      <c r="U317" s="58">
        <f t="shared" si="38"/>
        <v>0</v>
      </c>
      <c r="V317" s="17">
        <f t="shared" si="38"/>
        <v>0</v>
      </c>
      <c r="W317" s="101"/>
      <c r="X317" s="555">
        <f t="shared" si="36"/>
        <v>0</v>
      </c>
      <c r="Y317" s="632">
        <f t="shared" si="36"/>
        <v>0</v>
      </c>
    </row>
    <row r="318" spans="1:25" hidden="1" outlineLevel="1">
      <c r="A318" s="97">
        <v>43404</v>
      </c>
      <c r="B318" s="98">
        <f t="shared" si="39"/>
        <v>10</v>
      </c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>
        <f t="shared" si="38"/>
        <v>0</v>
      </c>
      <c r="R318" s="36">
        <f t="shared" si="38"/>
        <v>0</v>
      </c>
      <c r="S318" s="51">
        <f t="shared" si="38"/>
        <v>0</v>
      </c>
      <c r="T318" s="52">
        <f t="shared" si="38"/>
        <v>0</v>
      </c>
      <c r="U318" s="58">
        <f t="shared" si="38"/>
        <v>0</v>
      </c>
      <c r="V318" s="17">
        <f t="shared" si="38"/>
        <v>0</v>
      </c>
      <c r="W318" s="101"/>
      <c r="X318" s="555">
        <f t="shared" si="36"/>
        <v>0</v>
      </c>
      <c r="Y318" s="632">
        <f t="shared" si="36"/>
        <v>0</v>
      </c>
    </row>
    <row r="319" spans="1:25" collapsed="1">
      <c r="A319" s="104"/>
      <c r="B319" s="104" t="s">
        <v>24</v>
      </c>
      <c r="C319" s="105">
        <f>SUBTOTAL(9,C320:C349)</f>
        <v>0</v>
      </c>
      <c r="D319" s="106">
        <f t="shared" ref="D319:V319" si="40">SUBTOTAL(9,D320:D349)</f>
        <v>0</v>
      </c>
      <c r="E319" s="109">
        <f t="shared" si="40"/>
        <v>0</v>
      </c>
      <c r="F319" s="110">
        <f t="shared" si="40"/>
        <v>0</v>
      </c>
      <c r="G319" s="111">
        <f t="shared" si="40"/>
        <v>0</v>
      </c>
      <c r="H319" s="14">
        <f t="shared" si="40"/>
        <v>0</v>
      </c>
      <c r="I319" s="103"/>
      <c r="J319" s="105">
        <f t="shared" si="40"/>
        <v>0</v>
      </c>
      <c r="K319" s="106">
        <f t="shared" si="40"/>
        <v>0</v>
      </c>
      <c r="L319" s="109">
        <f t="shared" si="40"/>
        <v>0</v>
      </c>
      <c r="M319" s="110">
        <f t="shared" si="40"/>
        <v>0</v>
      </c>
      <c r="N319" s="111">
        <f t="shared" si="40"/>
        <v>0</v>
      </c>
      <c r="O319" s="14">
        <f t="shared" si="40"/>
        <v>0</v>
      </c>
      <c r="P319" s="103"/>
      <c r="Q319" s="105">
        <f t="shared" si="40"/>
        <v>0</v>
      </c>
      <c r="R319" s="106">
        <f t="shared" si="40"/>
        <v>0</v>
      </c>
      <c r="S319" s="109">
        <f t="shared" si="40"/>
        <v>0</v>
      </c>
      <c r="T319" s="110">
        <f t="shared" si="40"/>
        <v>0</v>
      </c>
      <c r="U319" s="111">
        <f t="shared" si="40"/>
        <v>0</v>
      </c>
      <c r="V319" s="14">
        <f t="shared" si="40"/>
        <v>0</v>
      </c>
      <c r="W319" s="103"/>
      <c r="X319" s="555"/>
      <c r="Y319" s="632"/>
    </row>
    <row r="320" spans="1:25" hidden="1" outlineLevel="1">
      <c r="A320" s="114">
        <v>43405</v>
      </c>
      <c r="B320" s="115">
        <f t="shared" si="39"/>
        <v>11</v>
      </c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>
        <f t="shared" ref="Q320:V349" si="41">C320-J320</f>
        <v>0</v>
      </c>
      <c r="R320" s="36">
        <f t="shared" si="41"/>
        <v>0</v>
      </c>
      <c r="S320" s="51">
        <f t="shared" si="41"/>
        <v>0</v>
      </c>
      <c r="T320" s="52">
        <f t="shared" si="41"/>
        <v>0</v>
      </c>
      <c r="U320" s="58">
        <f t="shared" si="41"/>
        <v>0</v>
      </c>
      <c r="V320" s="17">
        <f t="shared" si="41"/>
        <v>0</v>
      </c>
      <c r="W320" s="101"/>
      <c r="X320" s="555">
        <f t="shared" si="36"/>
        <v>0</v>
      </c>
      <c r="Y320" s="632">
        <f t="shared" si="36"/>
        <v>0</v>
      </c>
    </row>
    <row r="321" spans="1:25" hidden="1" outlineLevel="1">
      <c r="A321" s="114">
        <v>43406</v>
      </c>
      <c r="B321" s="115">
        <f t="shared" si="39"/>
        <v>11</v>
      </c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>
        <f t="shared" si="41"/>
        <v>0</v>
      </c>
      <c r="R321" s="36">
        <f t="shared" si="41"/>
        <v>0</v>
      </c>
      <c r="S321" s="51">
        <f t="shared" si="41"/>
        <v>0</v>
      </c>
      <c r="T321" s="52">
        <f t="shared" si="41"/>
        <v>0</v>
      </c>
      <c r="U321" s="58">
        <f t="shared" si="41"/>
        <v>0</v>
      </c>
      <c r="V321" s="17">
        <f t="shared" si="41"/>
        <v>0</v>
      </c>
      <c r="W321" s="101"/>
      <c r="X321" s="555">
        <f t="shared" si="36"/>
        <v>0</v>
      </c>
      <c r="Y321" s="632">
        <f t="shared" si="36"/>
        <v>0</v>
      </c>
    </row>
    <row r="322" spans="1:25" hidden="1" outlineLevel="1">
      <c r="A322" s="114">
        <v>43407</v>
      </c>
      <c r="B322" s="115">
        <f t="shared" si="39"/>
        <v>11</v>
      </c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>
        <f t="shared" si="41"/>
        <v>0</v>
      </c>
      <c r="R322" s="36">
        <f t="shared" si="41"/>
        <v>0</v>
      </c>
      <c r="S322" s="51">
        <f t="shared" si="41"/>
        <v>0</v>
      </c>
      <c r="T322" s="52">
        <f t="shared" si="41"/>
        <v>0</v>
      </c>
      <c r="U322" s="58">
        <f t="shared" si="41"/>
        <v>0</v>
      </c>
      <c r="V322" s="17">
        <f t="shared" si="41"/>
        <v>0</v>
      </c>
      <c r="W322" s="101"/>
      <c r="X322" s="555">
        <f t="shared" ref="X322:Y381" si="42">SUM(C322,E322,G322)</f>
        <v>0</v>
      </c>
      <c r="Y322" s="632">
        <f t="shared" si="42"/>
        <v>0</v>
      </c>
    </row>
    <row r="323" spans="1:25" hidden="1" outlineLevel="1">
      <c r="A323" s="114">
        <v>43408</v>
      </c>
      <c r="B323" s="115">
        <f t="shared" si="39"/>
        <v>11</v>
      </c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>
        <f t="shared" si="41"/>
        <v>0</v>
      </c>
      <c r="R323" s="36">
        <f t="shared" si="41"/>
        <v>0</v>
      </c>
      <c r="S323" s="51">
        <f t="shared" si="41"/>
        <v>0</v>
      </c>
      <c r="T323" s="52">
        <f t="shared" si="41"/>
        <v>0</v>
      </c>
      <c r="U323" s="58">
        <f t="shared" si="41"/>
        <v>0</v>
      </c>
      <c r="V323" s="17">
        <f t="shared" si="41"/>
        <v>0</v>
      </c>
      <c r="W323" s="101"/>
      <c r="X323" s="555">
        <f t="shared" si="42"/>
        <v>0</v>
      </c>
      <c r="Y323" s="632">
        <f t="shared" si="42"/>
        <v>0</v>
      </c>
    </row>
    <row r="324" spans="1:25" hidden="1" outlineLevel="1">
      <c r="A324" s="114">
        <v>43409</v>
      </c>
      <c r="B324" s="115">
        <f t="shared" si="39"/>
        <v>11</v>
      </c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>
        <f t="shared" si="41"/>
        <v>0</v>
      </c>
      <c r="R324" s="36">
        <f t="shared" si="41"/>
        <v>0</v>
      </c>
      <c r="S324" s="51">
        <f t="shared" si="41"/>
        <v>0</v>
      </c>
      <c r="T324" s="52">
        <f t="shared" si="41"/>
        <v>0</v>
      </c>
      <c r="U324" s="58">
        <f t="shared" si="41"/>
        <v>0</v>
      </c>
      <c r="V324" s="17">
        <f t="shared" si="41"/>
        <v>0</v>
      </c>
      <c r="W324" s="101"/>
      <c r="X324" s="555">
        <f t="shared" si="42"/>
        <v>0</v>
      </c>
      <c r="Y324" s="632">
        <f t="shared" si="42"/>
        <v>0</v>
      </c>
    </row>
    <row r="325" spans="1:25" hidden="1" outlineLevel="1">
      <c r="A325" s="114">
        <v>43410</v>
      </c>
      <c r="B325" s="115">
        <f t="shared" si="39"/>
        <v>11</v>
      </c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>
        <f t="shared" si="41"/>
        <v>0</v>
      </c>
      <c r="R325" s="36">
        <f t="shared" si="41"/>
        <v>0</v>
      </c>
      <c r="S325" s="51">
        <f t="shared" si="41"/>
        <v>0</v>
      </c>
      <c r="T325" s="52">
        <f t="shared" si="41"/>
        <v>0</v>
      </c>
      <c r="U325" s="58">
        <f t="shared" si="41"/>
        <v>0</v>
      </c>
      <c r="V325" s="17">
        <f t="shared" si="41"/>
        <v>0</v>
      </c>
      <c r="W325" s="101"/>
      <c r="X325" s="555">
        <f t="shared" si="42"/>
        <v>0</v>
      </c>
      <c r="Y325" s="632">
        <f t="shared" si="42"/>
        <v>0</v>
      </c>
    </row>
    <row r="326" spans="1:25" hidden="1" outlineLevel="1">
      <c r="A326" s="114">
        <v>43411</v>
      </c>
      <c r="B326" s="115">
        <f t="shared" si="39"/>
        <v>11</v>
      </c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>
        <f t="shared" si="41"/>
        <v>0</v>
      </c>
      <c r="R326" s="36">
        <f t="shared" si="41"/>
        <v>0</v>
      </c>
      <c r="S326" s="51">
        <f t="shared" si="41"/>
        <v>0</v>
      </c>
      <c r="T326" s="52">
        <f t="shared" si="41"/>
        <v>0</v>
      </c>
      <c r="U326" s="58">
        <f t="shared" si="41"/>
        <v>0</v>
      </c>
      <c r="V326" s="17">
        <f t="shared" si="41"/>
        <v>0</v>
      </c>
      <c r="W326" s="101"/>
      <c r="X326" s="555">
        <f t="shared" si="42"/>
        <v>0</v>
      </c>
      <c r="Y326" s="632">
        <f t="shared" si="42"/>
        <v>0</v>
      </c>
    </row>
    <row r="327" spans="1:25" hidden="1" outlineLevel="1">
      <c r="A327" s="114">
        <v>43412</v>
      </c>
      <c r="B327" s="115">
        <f t="shared" si="39"/>
        <v>11</v>
      </c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>
        <f t="shared" si="41"/>
        <v>0</v>
      </c>
      <c r="R327" s="36">
        <f t="shared" si="41"/>
        <v>0</v>
      </c>
      <c r="S327" s="51">
        <f t="shared" si="41"/>
        <v>0</v>
      </c>
      <c r="T327" s="52">
        <f t="shared" si="41"/>
        <v>0</v>
      </c>
      <c r="U327" s="58">
        <f t="shared" si="41"/>
        <v>0</v>
      </c>
      <c r="V327" s="17">
        <f t="shared" si="41"/>
        <v>0</v>
      </c>
      <c r="W327" s="101"/>
      <c r="X327" s="555">
        <f t="shared" si="42"/>
        <v>0</v>
      </c>
      <c r="Y327" s="632">
        <f t="shared" si="42"/>
        <v>0</v>
      </c>
    </row>
    <row r="328" spans="1:25" hidden="1" outlineLevel="1">
      <c r="A328" s="114">
        <v>43413</v>
      </c>
      <c r="B328" s="115">
        <f t="shared" si="39"/>
        <v>11</v>
      </c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>
        <f t="shared" si="41"/>
        <v>0</v>
      </c>
      <c r="R328" s="36">
        <f t="shared" si="41"/>
        <v>0</v>
      </c>
      <c r="S328" s="51">
        <f t="shared" si="41"/>
        <v>0</v>
      </c>
      <c r="T328" s="52">
        <f t="shared" si="41"/>
        <v>0</v>
      </c>
      <c r="U328" s="58">
        <f t="shared" si="41"/>
        <v>0</v>
      </c>
      <c r="V328" s="17">
        <f t="shared" si="41"/>
        <v>0</v>
      </c>
      <c r="W328" s="101"/>
      <c r="X328" s="555">
        <f t="shared" si="42"/>
        <v>0</v>
      </c>
      <c r="Y328" s="632">
        <f t="shared" si="42"/>
        <v>0</v>
      </c>
    </row>
    <row r="329" spans="1:25" hidden="1" outlineLevel="1">
      <c r="A329" s="114">
        <v>43414</v>
      </c>
      <c r="B329" s="115">
        <f t="shared" si="39"/>
        <v>11</v>
      </c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>
        <f t="shared" si="41"/>
        <v>0</v>
      </c>
      <c r="R329" s="36">
        <f t="shared" si="41"/>
        <v>0</v>
      </c>
      <c r="S329" s="51">
        <f t="shared" si="41"/>
        <v>0</v>
      </c>
      <c r="T329" s="52">
        <f t="shared" si="41"/>
        <v>0</v>
      </c>
      <c r="U329" s="58">
        <f t="shared" si="41"/>
        <v>0</v>
      </c>
      <c r="V329" s="17">
        <f t="shared" si="41"/>
        <v>0</v>
      </c>
      <c r="W329" s="101"/>
      <c r="X329" s="555">
        <f t="shared" si="42"/>
        <v>0</v>
      </c>
      <c r="Y329" s="632">
        <f t="shared" si="42"/>
        <v>0</v>
      </c>
    </row>
    <row r="330" spans="1:25" hidden="1" outlineLevel="1">
      <c r="A330" s="114">
        <v>43415</v>
      </c>
      <c r="B330" s="115">
        <f t="shared" si="39"/>
        <v>11</v>
      </c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>
        <f t="shared" si="41"/>
        <v>0</v>
      </c>
      <c r="R330" s="36">
        <f t="shared" si="41"/>
        <v>0</v>
      </c>
      <c r="S330" s="51">
        <f t="shared" si="41"/>
        <v>0</v>
      </c>
      <c r="T330" s="52">
        <f t="shared" si="41"/>
        <v>0</v>
      </c>
      <c r="U330" s="58">
        <f t="shared" si="41"/>
        <v>0</v>
      </c>
      <c r="V330" s="17">
        <f t="shared" si="41"/>
        <v>0</v>
      </c>
      <c r="W330" s="101"/>
      <c r="X330" s="555">
        <f t="shared" si="42"/>
        <v>0</v>
      </c>
      <c r="Y330" s="632">
        <f t="shared" si="42"/>
        <v>0</v>
      </c>
    </row>
    <row r="331" spans="1:25" hidden="1" outlineLevel="1">
      <c r="A331" s="114">
        <v>43416</v>
      </c>
      <c r="B331" s="115">
        <f t="shared" si="39"/>
        <v>11</v>
      </c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>
        <f t="shared" si="41"/>
        <v>0</v>
      </c>
      <c r="R331" s="36">
        <f t="shared" si="41"/>
        <v>0</v>
      </c>
      <c r="S331" s="51">
        <f t="shared" si="41"/>
        <v>0</v>
      </c>
      <c r="T331" s="52">
        <f t="shared" si="41"/>
        <v>0</v>
      </c>
      <c r="U331" s="58">
        <f t="shared" si="41"/>
        <v>0</v>
      </c>
      <c r="V331" s="17">
        <f t="shared" si="41"/>
        <v>0</v>
      </c>
      <c r="W331" s="101"/>
      <c r="X331" s="555">
        <f t="shared" si="42"/>
        <v>0</v>
      </c>
      <c r="Y331" s="632">
        <f t="shared" si="42"/>
        <v>0</v>
      </c>
    </row>
    <row r="332" spans="1:25" hidden="1" outlineLevel="1">
      <c r="A332" s="114">
        <v>43417</v>
      </c>
      <c r="B332" s="115">
        <f t="shared" si="39"/>
        <v>11</v>
      </c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>
        <f t="shared" si="41"/>
        <v>0</v>
      </c>
      <c r="R332" s="36">
        <f t="shared" si="41"/>
        <v>0</v>
      </c>
      <c r="S332" s="51">
        <f t="shared" si="41"/>
        <v>0</v>
      </c>
      <c r="T332" s="52">
        <f t="shared" si="41"/>
        <v>0</v>
      </c>
      <c r="U332" s="58">
        <f t="shared" si="41"/>
        <v>0</v>
      </c>
      <c r="V332" s="17">
        <f t="shared" si="41"/>
        <v>0</v>
      </c>
      <c r="W332" s="101"/>
      <c r="X332" s="555">
        <f t="shared" si="42"/>
        <v>0</v>
      </c>
      <c r="Y332" s="632">
        <f t="shared" si="42"/>
        <v>0</v>
      </c>
    </row>
    <row r="333" spans="1:25" hidden="1" outlineLevel="1">
      <c r="A333" s="114">
        <v>43418</v>
      </c>
      <c r="B333" s="115">
        <f t="shared" si="39"/>
        <v>11</v>
      </c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>
        <f t="shared" si="41"/>
        <v>0</v>
      </c>
      <c r="R333" s="36">
        <f t="shared" si="41"/>
        <v>0</v>
      </c>
      <c r="S333" s="51">
        <f t="shared" si="41"/>
        <v>0</v>
      </c>
      <c r="T333" s="52">
        <f t="shared" si="41"/>
        <v>0</v>
      </c>
      <c r="U333" s="58">
        <f t="shared" si="41"/>
        <v>0</v>
      </c>
      <c r="V333" s="17">
        <f t="shared" si="41"/>
        <v>0</v>
      </c>
      <c r="W333" s="101"/>
      <c r="X333" s="555">
        <f t="shared" si="42"/>
        <v>0</v>
      </c>
      <c r="Y333" s="632">
        <f t="shared" si="42"/>
        <v>0</v>
      </c>
    </row>
    <row r="334" spans="1:25" hidden="1" outlineLevel="1">
      <c r="A334" s="114">
        <v>43419</v>
      </c>
      <c r="B334" s="115">
        <f t="shared" si="39"/>
        <v>11</v>
      </c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>
        <f t="shared" si="41"/>
        <v>0</v>
      </c>
      <c r="R334" s="36">
        <f t="shared" si="41"/>
        <v>0</v>
      </c>
      <c r="S334" s="51">
        <f t="shared" si="41"/>
        <v>0</v>
      </c>
      <c r="T334" s="52">
        <f t="shared" si="41"/>
        <v>0</v>
      </c>
      <c r="U334" s="58">
        <f t="shared" si="41"/>
        <v>0</v>
      </c>
      <c r="V334" s="17">
        <f t="shared" si="41"/>
        <v>0</v>
      </c>
      <c r="W334" s="101"/>
      <c r="X334" s="555">
        <f t="shared" si="42"/>
        <v>0</v>
      </c>
      <c r="Y334" s="632">
        <f t="shared" si="42"/>
        <v>0</v>
      </c>
    </row>
    <row r="335" spans="1:25" hidden="1" outlineLevel="1">
      <c r="A335" s="114">
        <v>43420</v>
      </c>
      <c r="B335" s="115">
        <f t="shared" si="39"/>
        <v>11</v>
      </c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>
        <f t="shared" si="41"/>
        <v>0</v>
      </c>
      <c r="R335" s="36">
        <f t="shared" si="41"/>
        <v>0</v>
      </c>
      <c r="S335" s="51">
        <f t="shared" si="41"/>
        <v>0</v>
      </c>
      <c r="T335" s="52">
        <f t="shared" si="41"/>
        <v>0</v>
      </c>
      <c r="U335" s="58">
        <f t="shared" si="41"/>
        <v>0</v>
      </c>
      <c r="V335" s="17">
        <f t="shared" si="41"/>
        <v>0</v>
      </c>
      <c r="W335" s="101"/>
      <c r="X335" s="555">
        <f t="shared" si="42"/>
        <v>0</v>
      </c>
      <c r="Y335" s="632">
        <f t="shared" si="42"/>
        <v>0</v>
      </c>
    </row>
    <row r="336" spans="1:25" hidden="1" outlineLevel="1">
      <c r="A336" s="114">
        <v>43421</v>
      </c>
      <c r="B336" s="115">
        <f t="shared" si="39"/>
        <v>11</v>
      </c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>
        <f t="shared" si="41"/>
        <v>0</v>
      </c>
      <c r="R336" s="36">
        <f t="shared" si="41"/>
        <v>0</v>
      </c>
      <c r="S336" s="51">
        <f t="shared" si="41"/>
        <v>0</v>
      </c>
      <c r="T336" s="52">
        <f t="shared" si="41"/>
        <v>0</v>
      </c>
      <c r="U336" s="58">
        <f t="shared" si="41"/>
        <v>0</v>
      </c>
      <c r="V336" s="17">
        <f t="shared" si="41"/>
        <v>0</v>
      </c>
      <c r="W336" s="101"/>
      <c r="X336" s="555">
        <f t="shared" si="42"/>
        <v>0</v>
      </c>
      <c r="Y336" s="632">
        <f t="shared" si="42"/>
        <v>0</v>
      </c>
    </row>
    <row r="337" spans="1:25" hidden="1" outlineLevel="1">
      <c r="A337" s="114">
        <v>43422</v>
      </c>
      <c r="B337" s="115">
        <f t="shared" si="39"/>
        <v>11</v>
      </c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>
        <f t="shared" si="41"/>
        <v>0</v>
      </c>
      <c r="R337" s="36">
        <f t="shared" si="41"/>
        <v>0</v>
      </c>
      <c r="S337" s="51">
        <f t="shared" si="41"/>
        <v>0</v>
      </c>
      <c r="T337" s="52">
        <f t="shared" si="41"/>
        <v>0</v>
      </c>
      <c r="U337" s="58">
        <f t="shared" si="41"/>
        <v>0</v>
      </c>
      <c r="V337" s="17">
        <f t="shared" si="41"/>
        <v>0</v>
      </c>
      <c r="W337" s="101"/>
      <c r="X337" s="555">
        <f t="shared" si="42"/>
        <v>0</v>
      </c>
      <c r="Y337" s="632">
        <f t="shared" si="42"/>
        <v>0</v>
      </c>
    </row>
    <row r="338" spans="1:25" hidden="1" outlineLevel="1">
      <c r="A338" s="114">
        <v>43423</v>
      </c>
      <c r="B338" s="115">
        <f t="shared" si="39"/>
        <v>11</v>
      </c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>
        <f t="shared" si="41"/>
        <v>0</v>
      </c>
      <c r="R338" s="36">
        <f t="shared" si="41"/>
        <v>0</v>
      </c>
      <c r="S338" s="51">
        <f t="shared" si="41"/>
        <v>0</v>
      </c>
      <c r="T338" s="52">
        <f t="shared" si="41"/>
        <v>0</v>
      </c>
      <c r="U338" s="58">
        <f t="shared" si="41"/>
        <v>0</v>
      </c>
      <c r="V338" s="17">
        <f t="shared" si="41"/>
        <v>0</v>
      </c>
      <c r="W338" s="101"/>
      <c r="X338" s="555">
        <f t="shared" si="42"/>
        <v>0</v>
      </c>
      <c r="Y338" s="632">
        <f t="shared" si="42"/>
        <v>0</v>
      </c>
    </row>
    <row r="339" spans="1:25" hidden="1" outlineLevel="1">
      <c r="A339" s="114">
        <v>43424</v>
      </c>
      <c r="B339" s="115">
        <f t="shared" si="39"/>
        <v>11</v>
      </c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>
        <f t="shared" si="41"/>
        <v>0</v>
      </c>
      <c r="R339" s="36">
        <f t="shared" si="41"/>
        <v>0</v>
      </c>
      <c r="S339" s="51">
        <f t="shared" si="41"/>
        <v>0</v>
      </c>
      <c r="T339" s="52">
        <f t="shared" si="41"/>
        <v>0</v>
      </c>
      <c r="U339" s="58">
        <f t="shared" si="41"/>
        <v>0</v>
      </c>
      <c r="V339" s="17">
        <f t="shared" si="41"/>
        <v>0</v>
      </c>
      <c r="W339" s="101"/>
      <c r="X339" s="555">
        <f t="shared" si="42"/>
        <v>0</v>
      </c>
      <c r="Y339" s="632">
        <f t="shared" si="42"/>
        <v>0</v>
      </c>
    </row>
    <row r="340" spans="1:25" hidden="1" outlineLevel="1">
      <c r="A340" s="114">
        <v>43425</v>
      </c>
      <c r="B340" s="115">
        <f t="shared" si="39"/>
        <v>11</v>
      </c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>
        <f t="shared" si="41"/>
        <v>0</v>
      </c>
      <c r="R340" s="36">
        <f t="shared" si="41"/>
        <v>0</v>
      </c>
      <c r="S340" s="51">
        <f t="shared" si="41"/>
        <v>0</v>
      </c>
      <c r="T340" s="52">
        <f t="shared" si="41"/>
        <v>0</v>
      </c>
      <c r="U340" s="58">
        <f t="shared" si="41"/>
        <v>0</v>
      </c>
      <c r="V340" s="17">
        <f t="shared" si="41"/>
        <v>0</v>
      </c>
      <c r="W340" s="101"/>
      <c r="X340" s="555">
        <f t="shared" si="42"/>
        <v>0</v>
      </c>
      <c r="Y340" s="632">
        <f t="shared" si="42"/>
        <v>0</v>
      </c>
    </row>
    <row r="341" spans="1:25" hidden="1" outlineLevel="1">
      <c r="A341" s="114">
        <v>43426</v>
      </c>
      <c r="B341" s="115">
        <f t="shared" si="39"/>
        <v>11</v>
      </c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>
        <f t="shared" si="41"/>
        <v>0</v>
      </c>
      <c r="R341" s="36">
        <f t="shared" si="41"/>
        <v>0</v>
      </c>
      <c r="S341" s="51">
        <f t="shared" si="41"/>
        <v>0</v>
      </c>
      <c r="T341" s="52">
        <f t="shared" si="41"/>
        <v>0</v>
      </c>
      <c r="U341" s="58">
        <f t="shared" si="41"/>
        <v>0</v>
      </c>
      <c r="V341" s="17">
        <f t="shared" si="41"/>
        <v>0</v>
      </c>
      <c r="W341" s="101"/>
      <c r="X341" s="555">
        <f t="shared" si="42"/>
        <v>0</v>
      </c>
      <c r="Y341" s="632">
        <f t="shared" si="42"/>
        <v>0</v>
      </c>
    </row>
    <row r="342" spans="1:25" hidden="1" outlineLevel="1">
      <c r="A342" s="114">
        <v>43427</v>
      </c>
      <c r="B342" s="115">
        <f t="shared" si="39"/>
        <v>11</v>
      </c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>
        <f t="shared" si="41"/>
        <v>0</v>
      </c>
      <c r="R342" s="36">
        <f t="shared" si="41"/>
        <v>0</v>
      </c>
      <c r="S342" s="51">
        <f t="shared" si="41"/>
        <v>0</v>
      </c>
      <c r="T342" s="52">
        <f t="shared" si="41"/>
        <v>0</v>
      </c>
      <c r="U342" s="58">
        <f t="shared" si="41"/>
        <v>0</v>
      </c>
      <c r="V342" s="17">
        <f t="shared" si="41"/>
        <v>0</v>
      </c>
      <c r="W342" s="101"/>
      <c r="X342" s="555">
        <f t="shared" si="42"/>
        <v>0</v>
      </c>
      <c r="Y342" s="632">
        <f t="shared" si="42"/>
        <v>0</v>
      </c>
    </row>
    <row r="343" spans="1:25" hidden="1" outlineLevel="1">
      <c r="A343" s="114">
        <v>43428</v>
      </c>
      <c r="B343" s="115">
        <f t="shared" si="39"/>
        <v>11</v>
      </c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>
        <f t="shared" si="41"/>
        <v>0</v>
      </c>
      <c r="R343" s="36">
        <f t="shared" si="41"/>
        <v>0</v>
      </c>
      <c r="S343" s="51">
        <f t="shared" si="41"/>
        <v>0</v>
      </c>
      <c r="T343" s="52">
        <f t="shared" si="41"/>
        <v>0</v>
      </c>
      <c r="U343" s="58">
        <f t="shared" si="41"/>
        <v>0</v>
      </c>
      <c r="V343" s="17">
        <f t="shared" si="41"/>
        <v>0</v>
      </c>
      <c r="W343" s="101"/>
      <c r="X343" s="555">
        <f t="shared" si="42"/>
        <v>0</v>
      </c>
      <c r="Y343" s="632">
        <f t="shared" si="42"/>
        <v>0</v>
      </c>
    </row>
    <row r="344" spans="1:25" hidden="1" outlineLevel="1">
      <c r="A344" s="114">
        <v>43429</v>
      </c>
      <c r="B344" s="115">
        <f t="shared" si="39"/>
        <v>11</v>
      </c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>
        <f t="shared" si="41"/>
        <v>0</v>
      </c>
      <c r="R344" s="36">
        <f t="shared" si="41"/>
        <v>0</v>
      </c>
      <c r="S344" s="51">
        <f t="shared" si="41"/>
        <v>0</v>
      </c>
      <c r="T344" s="52">
        <f t="shared" si="41"/>
        <v>0</v>
      </c>
      <c r="U344" s="58">
        <f t="shared" si="41"/>
        <v>0</v>
      </c>
      <c r="V344" s="17">
        <f t="shared" si="41"/>
        <v>0</v>
      </c>
      <c r="W344" s="101"/>
      <c r="X344" s="555">
        <f t="shared" si="42"/>
        <v>0</v>
      </c>
      <c r="Y344" s="632">
        <f t="shared" si="42"/>
        <v>0</v>
      </c>
    </row>
    <row r="345" spans="1:25" hidden="1" outlineLevel="1">
      <c r="A345" s="114">
        <v>43430</v>
      </c>
      <c r="B345" s="115">
        <f t="shared" si="39"/>
        <v>11</v>
      </c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>
        <f t="shared" si="41"/>
        <v>0</v>
      </c>
      <c r="R345" s="36">
        <f t="shared" si="41"/>
        <v>0</v>
      </c>
      <c r="S345" s="51">
        <f t="shared" si="41"/>
        <v>0</v>
      </c>
      <c r="T345" s="52">
        <f t="shared" si="41"/>
        <v>0</v>
      </c>
      <c r="U345" s="58">
        <f t="shared" si="41"/>
        <v>0</v>
      </c>
      <c r="V345" s="17">
        <f t="shared" si="41"/>
        <v>0</v>
      </c>
      <c r="W345" s="101"/>
      <c r="X345" s="555">
        <f t="shared" si="42"/>
        <v>0</v>
      </c>
      <c r="Y345" s="632">
        <f t="shared" si="42"/>
        <v>0</v>
      </c>
    </row>
    <row r="346" spans="1:25" hidden="1" outlineLevel="1">
      <c r="A346" s="114">
        <v>43431</v>
      </c>
      <c r="B346" s="115">
        <f t="shared" si="39"/>
        <v>11</v>
      </c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>
        <f t="shared" si="41"/>
        <v>0</v>
      </c>
      <c r="R346" s="36">
        <f t="shared" si="41"/>
        <v>0</v>
      </c>
      <c r="S346" s="51">
        <f t="shared" si="41"/>
        <v>0</v>
      </c>
      <c r="T346" s="52">
        <f t="shared" si="41"/>
        <v>0</v>
      </c>
      <c r="U346" s="58">
        <f t="shared" si="41"/>
        <v>0</v>
      </c>
      <c r="V346" s="17">
        <f t="shared" si="41"/>
        <v>0</v>
      </c>
      <c r="W346" s="101"/>
      <c r="X346" s="555">
        <f t="shared" si="42"/>
        <v>0</v>
      </c>
      <c r="Y346" s="632">
        <f t="shared" si="42"/>
        <v>0</v>
      </c>
    </row>
    <row r="347" spans="1:25" hidden="1" outlineLevel="1">
      <c r="A347" s="114">
        <v>43432</v>
      </c>
      <c r="B347" s="115">
        <f t="shared" si="39"/>
        <v>11</v>
      </c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>
        <f t="shared" si="41"/>
        <v>0</v>
      </c>
      <c r="R347" s="36">
        <f t="shared" si="41"/>
        <v>0</v>
      </c>
      <c r="S347" s="51">
        <f t="shared" si="41"/>
        <v>0</v>
      </c>
      <c r="T347" s="52">
        <f t="shared" si="41"/>
        <v>0</v>
      </c>
      <c r="U347" s="58">
        <f t="shared" si="41"/>
        <v>0</v>
      </c>
      <c r="V347" s="17">
        <f t="shared" si="41"/>
        <v>0</v>
      </c>
      <c r="W347" s="101"/>
      <c r="X347" s="555">
        <f t="shared" si="42"/>
        <v>0</v>
      </c>
      <c r="Y347" s="632">
        <f t="shared" si="42"/>
        <v>0</v>
      </c>
    </row>
    <row r="348" spans="1:25" hidden="1" outlineLevel="1">
      <c r="A348" s="114">
        <v>43433</v>
      </c>
      <c r="B348" s="115">
        <f t="shared" si="39"/>
        <v>11</v>
      </c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>
        <f t="shared" si="41"/>
        <v>0</v>
      </c>
      <c r="R348" s="36">
        <f t="shared" si="41"/>
        <v>0</v>
      </c>
      <c r="S348" s="51">
        <f t="shared" si="41"/>
        <v>0</v>
      </c>
      <c r="T348" s="52">
        <f t="shared" si="41"/>
        <v>0</v>
      </c>
      <c r="U348" s="58">
        <f t="shared" si="41"/>
        <v>0</v>
      </c>
      <c r="V348" s="17">
        <f t="shared" si="41"/>
        <v>0</v>
      </c>
      <c r="W348" s="101"/>
      <c r="X348" s="555">
        <f t="shared" si="42"/>
        <v>0</v>
      </c>
      <c r="Y348" s="632">
        <f t="shared" si="42"/>
        <v>0</v>
      </c>
    </row>
    <row r="349" spans="1:25" hidden="1" outlineLevel="1">
      <c r="A349" s="114">
        <v>43434</v>
      </c>
      <c r="B349" s="115">
        <f t="shared" si="39"/>
        <v>11</v>
      </c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>
        <f t="shared" si="41"/>
        <v>0</v>
      </c>
      <c r="R349" s="36">
        <f t="shared" si="41"/>
        <v>0</v>
      </c>
      <c r="S349" s="51">
        <f t="shared" si="41"/>
        <v>0</v>
      </c>
      <c r="T349" s="52">
        <f t="shared" si="41"/>
        <v>0</v>
      </c>
      <c r="U349" s="58">
        <f t="shared" si="41"/>
        <v>0</v>
      </c>
      <c r="V349" s="17">
        <f t="shared" si="41"/>
        <v>0</v>
      </c>
      <c r="W349" s="101"/>
      <c r="X349" s="555">
        <f t="shared" si="42"/>
        <v>0</v>
      </c>
      <c r="Y349" s="632">
        <f t="shared" si="42"/>
        <v>0</v>
      </c>
    </row>
    <row r="350" spans="1:25" collapsed="1">
      <c r="A350" s="104"/>
      <c r="B350" s="104" t="s">
        <v>25</v>
      </c>
      <c r="C350" s="105">
        <f>SUBTOTAL(9,C351:C381)</f>
        <v>0</v>
      </c>
      <c r="D350" s="106">
        <f t="shared" ref="D350:V350" si="43">SUBTOTAL(9,D351:D381)</f>
        <v>0</v>
      </c>
      <c r="E350" s="109">
        <f t="shared" si="43"/>
        <v>0</v>
      </c>
      <c r="F350" s="110">
        <f t="shared" si="43"/>
        <v>0</v>
      </c>
      <c r="G350" s="111">
        <f t="shared" si="43"/>
        <v>0</v>
      </c>
      <c r="H350" s="14">
        <f t="shared" si="43"/>
        <v>0</v>
      </c>
      <c r="I350" s="103"/>
      <c r="J350" s="105">
        <f t="shared" si="43"/>
        <v>0</v>
      </c>
      <c r="K350" s="106">
        <f t="shared" si="43"/>
        <v>0</v>
      </c>
      <c r="L350" s="109">
        <f t="shared" si="43"/>
        <v>0</v>
      </c>
      <c r="M350" s="110">
        <f t="shared" si="43"/>
        <v>0</v>
      </c>
      <c r="N350" s="111">
        <f t="shared" si="43"/>
        <v>0</v>
      </c>
      <c r="O350" s="14">
        <f t="shared" si="43"/>
        <v>0</v>
      </c>
      <c r="P350" s="103"/>
      <c r="Q350" s="105">
        <f t="shared" si="43"/>
        <v>0</v>
      </c>
      <c r="R350" s="106">
        <f t="shared" si="43"/>
        <v>0</v>
      </c>
      <c r="S350" s="109">
        <f t="shared" si="43"/>
        <v>0</v>
      </c>
      <c r="T350" s="110">
        <f t="shared" si="43"/>
        <v>0</v>
      </c>
      <c r="U350" s="111">
        <f t="shared" si="43"/>
        <v>0</v>
      </c>
      <c r="V350" s="14">
        <f t="shared" si="43"/>
        <v>0</v>
      </c>
      <c r="W350" s="103"/>
      <c r="X350" s="555"/>
      <c r="Y350" s="632"/>
    </row>
    <row r="351" spans="1:25" hidden="1" outlineLevel="1">
      <c r="A351" s="97">
        <v>43435</v>
      </c>
      <c r="B351" s="98">
        <f t="shared" si="39"/>
        <v>12</v>
      </c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>
        <f t="shared" ref="Q351:V381" si="44">C351-J351</f>
        <v>0</v>
      </c>
      <c r="R351" s="36">
        <f t="shared" si="44"/>
        <v>0</v>
      </c>
      <c r="S351" s="51">
        <f t="shared" si="44"/>
        <v>0</v>
      </c>
      <c r="T351" s="52">
        <f t="shared" si="44"/>
        <v>0</v>
      </c>
      <c r="U351" s="58">
        <f t="shared" si="44"/>
        <v>0</v>
      </c>
      <c r="V351" s="17">
        <f t="shared" si="44"/>
        <v>0</v>
      </c>
      <c r="W351" s="103"/>
      <c r="X351" s="555">
        <f t="shared" si="42"/>
        <v>0</v>
      </c>
      <c r="Y351" s="632">
        <f t="shared" si="42"/>
        <v>0</v>
      </c>
    </row>
    <row r="352" spans="1:25" hidden="1" outlineLevel="1">
      <c r="A352" s="97">
        <v>43436</v>
      </c>
      <c r="B352" s="98">
        <f t="shared" si="39"/>
        <v>12</v>
      </c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>
        <f t="shared" si="44"/>
        <v>0</v>
      </c>
      <c r="R352" s="36">
        <f t="shared" si="44"/>
        <v>0</v>
      </c>
      <c r="S352" s="51">
        <f t="shared" si="44"/>
        <v>0</v>
      </c>
      <c r="T352" s="52">
        <f t="shared" si="44"/>
        <v>0</v>
      </c>
      <c r="U352" s="58">
        <f t="shared" si="44"/>
        <v>0</v>
      </c>
      <c r="V352" s="17">
        <f t="shared" si="44"/>
        <v>0</v>
      </c>
      <c r="W352" s="103"/>
      <c r="X352" s="555">
        <f t="shared" si="42"/>
        <v>0</v>
      </c>
      <c r="Y352" s="632">
        <f t="shared" si="42"/>
        <v>0</v>
      </c>
    </row>
    <row r="353" spans="1:25" hidden="1" outlineLevel="1">
      <c r="A353" s="97">
        <v>43437</v>
      </c>
      <c r="B353" s="98">
        <f t="shared" si="39"/>
        <v>12</v>
      </c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>
        <f t="shared" si="44"/>
        <v>0</v>
      </c>
      <c r="R353" s="36">
        <f t="shared" si="44"/>
        <v>0</v>
      </c>
      <c r="S353" s="51">
        <f t="shared" si="44"/>
        <v>0</v>
      </c>
      <c r="T353" s="52">
        <f t="shared" si="44"/>
        <v>0</v>
      </c>
      <c r="U353" s="58">
        <f t="shared" si="44"/>
        <v>0</v>
      </c>
      <c r="V353" s="17">
        <f t="shared" si="44"/>
        <v>0</v>
      </c>
      <c r="W353" s="103"/>
      <c r="X353" s="555">
        <f t="shared" si="42"/>
        <v>0</v>
      </c>
      <c r="Y353" s="632">
        <f t="shared" si="42"/>
        <v>0</v>
      </c>
    </row>
    <row r="354" spans="1:25" hidden="1" outlineLevel="1">
      <c r="A354" s="97">
        <v>43438</v>
      </c>
      <c r="B354" s="98">
        <f t="shared" si="39"/>
        <v>12</v>
      </c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>
        <f t="shared" si="44"/>
        <v>0</v>
      </c>
      <c r="R354" s="36">
        <f t="shared" si="44"/>
        <v>0</v>
      </c>
      <c r="S354" s="51">
        <f t="shared" si="44"/>
        <v>0</v>
      </c>
      <c r="T354" s="52">
        <f t="shared" si="44"/>
        <v>0</v>
      </c>
      <c r="U354" s="58">
        <f t="shared" si="44"/>
        <v>0</v>
      </c>
      <c r="V354" s="17">
        <f t="shared" si="44"/>
        <v>0</v>
      </c>
      <c r="W354" s="103"/>
      <c r="X354" s="555">
        <f t="shared" si="42"/>
        <v>0</v>
      </c>
      <c r="Y354" s="632">
        <f t="shared" si="42"/>
        <v>0</v>
      </c>
    </row>
    <row r="355" spans="1:25" hidden="1" outlineLevel="1">
      <c r="A355" s="97">
        <v>43439</v>
      </c>
      <c r="B355" s="98">
        <f t="shared" si="39"/>
        <v>12</v>
      </c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>
        <f t="shared" si="44"/>
        <v>0</v>
      </c>
      <c r="R355" s="36">
        <f t="shared" si="44"/>
        <v>0</v>
      </c>
      <c r="S355" s="51">
        <f t="shared" si="44"/>
        <v>0</v>
      </c>
      <c r="T355" s="52">
        <f t="shared" si="44"/>
        <v>0</v>
      </c>
      <c r="U355" s="58">
        <f t="shared" si="44"/>
        <v>0</v>
      </c>
      <c r="V355" s="17">
        <f t="shared" si="44"/>
        <v>0</v>
      </c>
      <c r="W355" s="103"/>
      <c r="X355" s="555">
        <f t="shared" si="42"/>
        <v>0</v>
      </c>
      <c r="Y355" s="632">
        <f t="shared" si="42"/>
        <v>0</v>
      </c>
    </row>
    <row r="356" spans="1:25" hidden="1" outlineLevel="1">
      <c r="A356" s="97">
        <v>43440</v>
      </c>
      <c r="B356" s="98">
        <f t="shared" si="39"/>
        <v>12</v>
      </c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>
        <f t="shared" si="44"/>
        <v>0</v>
      </c>
      <c r="R356" s="36">
        <f t="shared" si="44"/>
        <v>0</v>
      </c>
      <c r="S356" s="51">
        <f t="shared" si="44"/>
        <v>0</v>
      </c>
      <c r="T356" s="52">
        <f t="shared" si="44"/>
        <v>0</v>
      </c>
      <c r="U356" s="58">
        <f t="shared" si="44"/>
        <v>0</v>
      </c>
      <c r="V356" s="17">
        <f t="shared" si="44"/>
        <v>0</v>
      </c>
      <c r="W356" s="103"/>
      <c r="X356" s="555">
        <f t="shared" si="42"/>
        <v>0</v>
      </c>
      <c r="Y356" s="632">
        <f t="shared" si="42"/>
        <v>0</v>
      </c>
    </row>
    <row r="357" spans="1:25" hidden="1" outlineLevel="1">
      <c r="A357" s="97">
        <v>43441</v>
      </c>
      <c r="B357" s="98">
        <f t="shared" si="39"/>
        <v>12</v>
      </c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>
        <f t="shared" si="44"/>
        <v>0</v>
      </c>
      <c r="R357" s="36">
        <f t="shared" si="44"/>
        <v>0</v>
      </c>
      <c r="S357" s="51">
        <f t="shared" si="44"/>
        <v>0</v>
      </c>
      <c r="T357" s="52">
        <f t="shared" si="44"/>
        <v>0</v>
      </c>
      <c r="U357" s="58">
        <f t="shared" si="44"/>
        <v>0</v>
      </c>
      <c r="V357" s="17">
        <f t="shared" si="44"/>
        <v>0</v>
      </c>
      <c r="W357" s="103"/>
      <c r="X357" s="555">
        <f t="shared" si="42"/>
        <v>0</v>
      </c>
      <c r="Y357" s="632">
        <f t="shared" si="42"/>
        <v>0</v>
      </c>
    </row>
    <row r="358" spans="1:25" hidden="1" outlineLevel="1">
      <c r="A358" s="97">
        <v>43442</v>
      </c>
      <c r="B358" s="98">
        <f t="shared" ref="B358:B381" si="45">MONTH(A358)</f>
        <v>12</v>
      </c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>
        <f t="shared" si="44"/>
        <v>0</v>
      </c>
      <c r="R358" s="36">
        <f t="shared" si="44"/>
        <v>0</v>
      </c>
      <c r="S358" s="51">
        <f t="shared" si="44"/>
        <v>0</v>
      </c>
      <c r="T358" s="52">
        <f t="shared" si="44"/>
        <v>0</v>
      </c>
      <c r="U358" s="58">
        <f t="shared" si="44"/>
        <v>0</v>
      </c>
      <c r="V358" s="17">
        <f t="shared" si="44"/>
        <v>0</v>
      </c>
      <c r="W358" s="103"/>
      <c r="X358" s="555">
        <f t="shared" si="42"/>
        <v>0</v>
      </c>
      <c r="Y358" s="632">
        <f t="shared" si="42"/>
        <v>0</v>
      </c>
    </row>
    <row r="359" spans="1:25" hidden="1" outlineLevel="1">
      <c r="A359" s="97">
        <v>43443</v>
      </c>
      <c r="B359" s="98">
        <f t="shared" si="45"/>
        <v>12</v>
      </c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>
        <f t="shared" si="44"/>
        <v>0</v>
      </c>
      <c r="R359" s="36">
        <f t="shared" si="44"/>
        <v>0</v>
      </c>
      <c r="S359" s="51">
        <f t="shared" si="44"/>
        <v>0</v>
      </c>
      <c r="T359" s="52">
        <f t="shared" si="44"/>
        <v>0</v>
      </c>
      <c r="U359" s="58">
        <f t="shared" si="44"/>
        <v>0</v>
      </c>
      <c r="V359" s="17">
        <f t="shared" si="44"/>
        <v>0</v>
      </c>
      <c r="W359" s="103"/>
      <c r="X359" s="555">
        <f t="shared" si="42"/>
        <v>0</v>
      </c>
      <c r="Y359" s="632">
        <f t="shared" si="42"/>
        <v>0</v>
      </c>
    </row>
    <row r="360" spans="1:25" hidden="1" outlineLevel="1">
      <c r="A360" s="97">
        <v>43444</v>
      </c>
      <c r="B360" s="98">
        <f t="shared" si="45"/>
        <v>12</v>
      </c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>
        <f t="shared" si="44"/>
        <v>0</v>
      </c>
      <c r="R360" s="36">
        <f t="shared" si="44"/>
        <v>0</v>
      </c>
      <c r="S360" s="51">
        <f t="shared" si="44"/>
        <v>0</v>
      </c>
      <c r="T360" s="52">
        <f t="shared" si="44"/>
        <v>0</v>
      </c>
      <c r="U360" s="58">
        <f t="shared" si="44"/>
        <v>0</v>
      </c>
      <c r="V360" s="17">
        <f t="shared" si="44"/>
        <v>0</v>
      </c>
      <c r="W360" s="103"/>
      <c r="X360" s="555">
        <f t="shared" si="42"/>
        <v>0</v>
      </c>
      <c r="Y360" s="632">
        <f t="shared" si="42"/>
        <v>0</v>
      </c>
    </row>
    <row r="361" spans="1:25" hidden="1" outlineLevel="1">
      <c r="A361" s="97">
        <v>43445</v>
      </c>
      <c r="B361" s="98">
        <f t="shared" si="45"/>
        <v>12</v>
      </c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>
        <f t="shared" si="44"/>
        <v>0</v>
      </c>
      <c r="R361" s="36">
        <f t="shared" si="44"/>
        <v>0</v>
      </c>
      <c r="S361" s="51">
        <f t="shared" si="44"/>
        <v>0</v>
      </c>
      <c r="T361" s="52">
        <f t="shared" si="44"/>
        <v>0</v>
      </c>
      <c r="U361" s="58">
        <f t="shared" si="44"/>
        <v>0</v>
      </c>
      <c r="V361" s="17">
        <f t="shared" si="44"/>
        <v>0</v>
      </c>
      <c r="W361" s="103"/>
      <c r="X361" s="555">
        <f t="shared" si="42"/>
        <v>0</v>
      </c>
      <c r="Y361" s="632">
        <f t="shared" si="42"/>
        <v>0</v>
      </c>
    </row>
    <row r="362" spans="1:25" hidden="1" outlineLevel="1">
      <c r="A362" s="97">
        <v>43446</v>
      </c>
      <c r="B362" s="98">
        <f t="shared" si="45"/>
        <v>12</v>
      </c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>
        <f t="shared" si="44"/>
        <v>0</v>
      </c>
      <c r="R362" s="36">
        <f t="shared" si="44"/>
        <v>0</v>
      </c>
      <c r="S362" s="51">
        <f t="shared" si="44"/>
        <v>0</v>
      </c>
      <c r="T362" s="52">
        <f t="shared" si="44"/>
        <v>0</v>
      </c>
      <c r="U362" s="58">
        <f t="shared" si="44"/>
        <v>0</v>
      </c>
      <c r="V362" s="17">
        <f t="shared" si="44"/>
        <v>0</v>
      </c>
      <c r="W362" s="103"/>
      <c r="X362" s="555">
        <f t="shared" si="42"/>
        <v>0</v>
      </c>
      <c r="Y362" s="632">
        <f t="shared" si="42"/>
        <v>0</v>
      </c>
    </row>
    <row r="363" spans="1:25" hidden="1" outlineLevel="1">
      <c r="A363" s="97">
        <v>43447</v>
      </c>
      <c r="B363" s="98">
        <f t="shared" si="45"/>
        <v>12</v>
      </c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>
        <f t="shared" si="44"/>
        <v>0</v>
      </c>
      <c r="R363" s="36">
        <f t="shared" si="44"/>
        <v>0</v>
      </c>
      <c r="S363" s="51">
        <f t="shared" si="44"/>
        <v>0</v>
      </c>
      <c r="T363" s="52">
        <f t="shared" si="44"/>
        <v>0</v>
      </c>
      <c r="U363" s="58">
        <f t="shared" si="44"/>
        <v>0</v>
      </c>
      <c r="V363" s="17">
        <f t="shared" si="44"/>
        <v>0</v>
      </c>
      <c r="W363" s="103"/>
      <c r="X363" s="555">
        <f t="shared" si="42"/>
        <v>0</v>
      </c>
      <c r="Y363" s="632">
        <f t="shared" si="42"/>
        <v>0</v>
      </c>
    </row>
    <row r="364" spans="1:25" hidden="1" outlineLevel="1">
      <c r="A364" s="97">
        <v>43448</v>
      </c>
      <c r="B364" s="98">
        <f t="shared" si="45"/>
        <v>12</v>
      </c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>
        <f t="shared" si="44"/>
        <v>0</v>
      </c>
      <c r="R364" s="36">
        <f t="shared" si="44"/>
        <v>0</v>
      </c>
      <c r="S364" s="51">
        <f t="shared" si="44"/>
        <v>0</v>
      </c>
      <c r="T364" s="52">
        <f t="shared" si="44"/>
        <v>0</v>
      </c>
      <c r="U364" s="58">
        <f t="shared" si="44"/>
        <v>0</v>
      </c>
      <c r="V364" s="17">
        <f t="shared" si="44"/>
        <v>0</v>
      </c>
      <c r="W364" s="103"/>
      <c r="X364" s="555">
        <f t="shared" si="42"/>
        <v>0</v>
      </c>
      <c r="Y364" s="632">
        <f t="shared" si="42"/>
        <v>0</v>
      </c>
    </row>
    <row r="365" spans="1:25" hidden="1" outlineLevel="1">
      <c r="A365" s="97">
        <v>43449</v>
      </c>
      <c r="B365" s="98">
        <f t="shared" si="45"/>
        <v>12</v>
      </c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>
        <f t="shared" si="44"/>
        <v>0</v>
      </c>
      <c r="R365" s="36">
        <f t="shared" si="44"/>
        <v>0</v>
      </c>
      <c r="S365" s="51">
        <f t="shared" si="44"/>
        <v>0</v>
      </c>
      <c r="T365" s="52">
        <f t="shared" si="44"/>
        <v>0</v>
      </c>
      <c r="U365" s="58">
        <f t="shared" si="44"/>
        <v>0</v>
      </c>
      <c r="V365" s="17">
        <f t="shared" si="44"/>
        <v>0</v>
      </c>
      <c r="W365" s="103"/>
      <c r="X365" s="555">
        <f t="shared" si="42"/>
        <v>0</v>
      </c>
      <c r="Y365" s="632">
        <f t="shared" si="42"/>
        <v>0</v>
      </c>
    </row>
    <row r="366" spans="1:25" hidden="1" outlineLevel="1">
      <c r="A366" s="97">
        <v>43450</v>
      </c>
      <c r="B366" s="98">
        <f t="shared" si="45"/>
        <v>12</v>
      </c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>
        <f t="shared" si="44"/>
        <v>0</v>
      </c>
      <c r="R366" s="36">
        <f t="shared" si="44"/>
        <v>0</v>
      </c>
      <c r="S366" s="51">
        <f t="shared" si="44"/>
        <v>0</v>
      </c>
      <c r="T366" s="52">
        <f t="shared" si="44"/>
        <v>0</v>
      </c>
      <c r="U366" s="58">
        <f t="shared" si="44"/>
        <v>0</v>
      </c>
      <c r="V366" s="17">
        <f t="shared" si="44"/>
        <v>0</v>
      </c>
      <c r="W366" s="103"/>
      <c r="X366" s="555">
        <f t="shared" si="42"/>
        <v>0</v>
      </c>
      <c r="Y366" s="632">
        <f t="shared" si="42"/>
        <v>0</v>
      </c>
    </row>
    <row r="367" spans="1:25" hidden="1" outlineLevel="1">
      <c r="A367" s="97">
        <v>43451</v>
      </c>
      <c r="B367" s="98">
        <f t="shared" si="45"/>
        <v>12</v>
      </c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>
        <f t="shared" si="44"/>
        <v>0</v>
      </c>
      <c r="R367" s="36">
        <f t="shared" si="44"/>
        <v>0</v>
      </c>
      <c r="S367" s="51">
        <f t="shared" si="44"/>
        <v>0</v>
      </c>
      <c r="T367" s="52">
        <f t="shared" si="44"/>
        <v>0</v>
      </c>
      <c r="U367" s="58">
        <f t="shared" si="44"/>
        <v>0</v>
      </c>
      <c r="V367" s="17">
        <f t="shared" si="44"/>
        <v>0</v>
      </c>
      <c r="W367" s="103"/>
      <c r="X367" s="555">
        <f t="shared" si="42"/>
        <v>0</v>
      </c>
      <c r="Y367" s="632">
        <f t="shared" si="42"/>
        <v>0</v>
      </c>
    </row>
    <row r="368" spans="1:25" hidden="1" outlineLevel="1">
      <c r="A368" s="97">
        <v>43452</v>
      </c>
      <c r="B368" s="98">
        <f t="shared" si="45"/>
        <v>12</v>
      </c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>
        <f t="shared" si="44"/>
        <v>0</v>
      </c>
      <c r="R368" s="36">
        <f t="shared" si="44"/>
        <v>0</v>
      </c>
      <c r="S368" s="51">
        <f t="shared" si="44"/>
        <v>0</v>
      </c>
      <c r="T368" s="52">
        <f t="shared" si="44"/>
        <v>0</v>
      </c>
      <c r="U368" s="58">
        <f t="shared" si="44"/>
        <v>0</v>
      </c>
      <c r="V368" s="17">
        <f t="shared" si="44"/>
        <v>0</v>
      </c>
      <c r="W368" s="103"/>
      <c r="X368" s="555">
        <f t="shared" si="42"/>
        <v>0</v>
      </c>
      <c r="Y368" s="632">
        <f t="shared" si="42"/>
        <v>0</v>
      </c>
    </row>
    <row r="369" spans="1:25" hidden="1" outlineLevel="1">
      <c r="A369" s="97">
        <v>43453</v>
      </c>
      <c r="B369" s="98">
        <f t="shared" si="45"/>
        <v>12</v>
      </c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>
        <f t="shared" si="44"/>
        <v>0</v>
      </c>
      <c r="R369" s="36">
        <f t="shared" si="44"/>
        <v>0</v>
      </c>
      <c r="S369" s="51">
        <f t="shared" si="44"/>
        <v>0</v>
      </c>
      <c r="T369" s="52">
        <f t="shared" si="44"/>
        <v>0</v>
      </c>
      <c r="U369" s="58">
        <f t="shared" si="44"/>
        <v>0</v>
      </c>
      <c r="V369" s="17">
        <f t="shared" si="44"/>
        <v>0</v>
      </c>
      <c r="W369" s="103"/>
      <c r="X369" s="555">
        <f t="shared" si="42"/>
        <v>0</v>
      </c>
      <c r="Y369" s="632">
        <f t="shared" si="42"/>
        <v>0</v>
      </c>
    </row>
    <row r="370" spans="1:25" hidden="1" outlineLevel="1">
      <c r="A370" s="97">
        <v>43454</v>
      </c>
      <c r="B370" s="98">
        <f t="shared" si="45"/>
        <v>12</v>
      </c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>
        <f t="shared" si="44"/>
        <v>0</v>
      </c>
      <c r="R370" s="36">
        <f t="shared" si="44"/>
        <v>0</v>
      </c>
      <c r="S370" s="51">
        <f t="shared" si="44"/>
        <v>0</v>
      </c>
      <c r="T370" s="52">
        <f t="shared" si="44"/>
        <v>0</v>
      </c>
      <c r="U370" s="58">
        <f t="shared" si="44"/>
        <v>0</v>
      </c>
      <c r="V370" s="17">
        <f t="shared" si="44"/>
        <v>0</v>
      </c>
      <c r="W370" s="103"/>
      <c r="X370" s="555">
        <f t="shared" si="42"/>
        <v>0</v>
      </c>
      <c r="Y370" s="632">
        <f t="shared" si="42"/>
        <v>0</v>
      </c>
    </row>
    <row r="371" spans="1:25" hidden="1" outlineLevel="1">
      <c r="A371" s="97">
        <v>43455</v>
      </c>
      <c r="B371" s="98">
        <f t="shared" si="45"/>
        <v>12</v>
      </c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>
        <f t="shared" si="44"/>
        <v>0</v>
      </c>
      <c r="R371" s="36">
        <f t="shared" si="44"/>
        <v>0</v>
      </c>
      <c r="S371" s="51">
        <f t="shared" si="44"/>
        <v>0</v>
      </c>
      <c r="T371" s="52">
        <f t="shared" si="44"/>
        <v>0</v>
      </c>
      <c r="U371" s="58">
        <f t="shared" si="44"/>
        <v>0</v>
      </c>
      <c r="V371" s="17">
        <f t="shared" si="44"/>
        <v>0</v>
      </c>
      <c r="W371" s="103"/>
      <c r="X371" s="555">
        <f t="shared" si="42"/>
        <v>0</v>
      </c>
      <c r="Y371" s="632">
        <f t="shared" si="42"/>
        <v>0</v>
      </c>
    </row>
    <row r="372" spans="1:25" hidden="1" outlineLevel="1">
      <c r="A372" s="97">
        <v>43456</v>
      </c>
      <c r="B372" s="98">
        <f t="shared" si="45"/>
        <v>12</v>
      </c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>
        <f t="shared" si="44"/>
        <v>0</v>
      </c>
      <c r="R372" s="36">
        <f t="shared" si="44"/>
        <v>0</v>
      </c>
      <c r="S372" s="51">
        <f t="shared" si="44"/>
        <v>0</v>
      </c>
      <c r="T372" s="52">
        <f t="shared" si="44"/>
        <v>0</v>
      </c>
      <c r="U372" s="58">
        <f t="shared" si="44"/>
        <v>0</v>
      </c>
      <c r="V372" s="17">
        <f t="shared" si="44"/>
        <v>0</v>
      </c>
      <c r="W372" s="103"/>
      <c r="X372" s="555">
        <f t="shared" si="42"/>
        <v>0</v>
      </c>
      <c r="Y372" s="632">
        <f t="shared" si="42"/>
        <v>0</v>
      </c>
    </row>
    <row r="373" spans="1:25" hidden="1" outlineLevel="1">
      <c r="A373" s="97">
        <v>43457</v>
      </c>
      <c r="B373" s="98">
        <f t="shared" si="45"/>
        <v>12</v>
      </c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>
        <f t="shared" si="44"/>
        <v>0</v>
      </c>
      <c r="R373" s="36">
        <f t="shared" si="44"/>
        <v>0</v>
      </c>
      <c r="S373" s="51">
        <f t="shared" si="44"/>
        <v>0</v>
      </c>
      <c r="T373" s="52">
        <f t="shared" si="44"/>
        <v>0</v>
      </c>
      <c r="U373" s="58">
        <f t="shared" si="44"/>
        <v>0</v>
      </c>
      <c r="V373" s="17">
        <f t="shared" si="44"/>
        <v>0</v>
      </c>
      <c r="W373" s="103"/>
      <c r="X373" s="555">
        <f t="shared" si="42"/>
        <v>0</v>
      </c>
      <c r="Y373" s="632">
        <f t="shared" si="42"/>
        <v>0</v>
      </c>
    </row>
    <row r="374" spans="1:25" hidden="1" outlineLevel="1">
      <c r="A374" s="97">
        <v>43458</v>
      </c>
      <c r="B374" s="98">
        <f t="shared" si="45"/>
        <v>12</v>
      </c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>
        <f t="shared" si="44"/>
        <v>0</v>
      </c>
      <c r="R374" s="36">
        <f t="shared" si="44"/>
        <v>0</v>
      </c>
      <c r="S374" s="51">
        <f t="shared" si="44"/>
        <v>0</v>
      </c>
      <c r="T374" s="52">
        <f t="shared" si="44"/>
        <v>0</v>
      </c>
      <c r="U374" s="58">
        <f t="shared" si="44"/>
        <v>0</v>
      </c>
      <c r="V374" s="17">
        <f t="shared" si="44"/>
        <v>0</v>
      </c>
      <c r="W374" s="103"/>
      <c r="X374" s="555">
        <f t="shared" si="42"/>
        <v>0</v>
      </c>
      <c r="Y374" s="632">
        <f t="shared" si="42"/>
        <v>0</v>
      </c>
    </row>
    <row r="375" spans="1:25" hidden="1" outlineLevel="1">
      <c r="A375" s="97">
        <v>43459</v>
      </c>
      <c r="B375" s="98">
        <f t="shared" si="45"/>
        <v>12</v>
      </c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>
        <f t="shared" si="44"/>
        <v>0</v>
      </c>
      <c r="R375" s="36">
        <f t="shared" si="44"/>
        <v>0</v>
      </c>
      <c r="S375" s="51">
        <f t="shared" si="44"/>
        <v>0</v>
      </c>
      <c r="T375" s="52">
        <f t="shared" si="44"/>
        <v>0</v>
      </c>
      <c r="U375" s="58">
        <f t="shared" si="44"/>
        <v>0</v>
      </c>
      <c r="V375" s="17">
        <f t="shared" si="44"/>
        <v>0</v>
      </c>
      <c r="W375" s="103"/>
      <c r="X375" s="555">
        <f t="shared" si="42"/>
        <v>0</v>
      </c>
      <c r="Y375" s="632">
        <f t="shared" si="42"/>
        <v>0</v>
      </c>
    </row>
    <row r="376" spans="1:25" hidden="1" outlineLevel="1">
      <c r="A376" s="97">
        <v>43460</v>
      </c>
      <c r="B376" s="98">
        <f t="shared" si="45"/>
        <v>12</v>
      </c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>
        <f t="shared" si="44"/>
        <v>0</v>
      </c>
      <c r="R376" s="36">
        <f t="shared" si="44"/>
        <v>0</v>
      </c>
      <c r="S376" s="51">
        <f t="shared" si="44"/>
        <v>0</v>
      </c>
      <c r="T376" s="52">
        <f t="shared" si="44"/>
        <v>0</v>
      </c>
      <c r="U376" s="58">
        <f t="shared" si="44"/>
        <v>0</v>
      </c>
      <c r="V376" s="17">
        <f t="shared" si="44"/>
        <v>0</v>
      </c>
      <c r="W376" s="103"/>
      <c r="X376" s="555">
        <f t="shared" si="42"/>
        <v>0</v>
      </c>
      <c r="Y376" s="632">
        <f t="shared" si="42"/>
        <v>0</v>
      </c>
    </row>
    <row r="377" spans="1:25" hidden="1" outlineLevel="1">
      <c r="A377" s="97">
        <v>43461</v>
      </c>
      <c r="B377" s="98">
        <f t="shared" si="45"/>
        <v>12</v>
      </c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>
        <f t="shared" si="44"/>
        <v>0</v>
      </c>
      <c r="R377" s="36">
        <f t="shared" si="44"/>
        <v>0</v>
      </c>
      <c r="S377" s="51">
        <f t="shared" si="44"/>
        <v>0</v>
      </c>
      <c r="T377" s="52">
        <f t="shared" si="44"/>
        <v>0</v>
      </c>
      <c r="U377" s="58">
        <f t="shared" si="44"/>
        <v>0</v>
      </c>
      <c r="V377" s="17">
        <f t="shared" si="44"/>
        <v>0</v>
      </c>
      <c r="W377" s="103"/>
      <c r="X377" s="555">
        <f t="shared" si="42"/>
        <v>0</v>
      </c>
      <c r="Y377" s="632">
        <f t="shared" si="42"/>
        <v>0</v>
      </c>
    </row>
    <row r="378" spans="1:25" hidden="1" outlineLevel="1">
      <c r="A378" s="97">
        <v>43462</v>
      </c>
      <c r="B378" s="98">
        <f t="shared" si="45"/>
        <v>12</v>
      </c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>
        <f t="shared" si="44"/>
        <v>0</v>
      </c>
      <c r="R378" s="36">
        <f t="shared" si="44"/>
        <v>0</v>
      </c>
      <c r="S378" s="51">
        <f t="shared" si="44"/>
        <v>0</v>
      </c>
      <c r="T378" s="52">
        <f t="shared" si="44"/>
        <v>0</v>
      </c>
      <c r="U378" s="58">
        <f t="shared" si="44"/>
        <v>0</v>
      </c>
      <c r="V378" s="17">
        <f t="shared" si="44"/>
        <v>0</v>
      </c>
      <c r="W378" s="103"/>
      <c r="X378" s="555">
        <f t="shared" si="42"/>
        <v>0</v>
      </c>
      <c r="Y378" s="632">
        <f t="shared" si="42"/>
        <v>0</v>
      </c>
    </row>
    <row r="379" spans="1:25" hidden="1" outlineLevel="1">
      <c r="A379" s="97">
        <v>43463</v>
      </c>
      <c r="B379" s="98">
        <f t="shared" si="45"/>
        <v>12</v>
      </c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>
        <f t="shared" si="44"/>
        <v>0</v>
      </c>
      <c r="R379" s="36">
        <f t="shared" si="44"/>
        <v>0</v>
      </c>
      <c r="S379" s="51">
        <f t="shared" si="44"/>
        <v>0</v>
      </c>
      <c r="T379" s="52">
        <f t="shared" si="44"/>
        <v>0</v>
      </c>
      <c r="U379" s="58">
        <f t="shared" si="44"/>
        <v>0</v>
      </c>
      <c r="V379" s="17">
        <f t="shared" si="44"/>
        <v>0</v>
      </c>
      <c r="W379" s="103"/>
      <c r="X379" s="555">
        <f t="shared" si="42"/>
        <v>0</v>
      </c>
      <c r="Y379" s="632">
        <f t="shared" si="42"/>
        <v>0</v>
      </c>
    </row>
    <row r="380" spans="1:25" hidden="1" outlineLevel="1">
      <c r="A380" s="97">
        <v>43464</v>
      </c>
      <c r="B380" s="98">
        <f t="shared" si="45"/>
        <v>12</v>
      </c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>
        <f t="shared" si="44"/>
        <v>0</v>
      </c>
      <c r="R380" s="36">
        <f t="shared" si="44"/>
        <v>0</v>
      </c>
      <c r="S380" s="51">
        <f t="shared" si="44"/>
        <v>0</v>
      </c>
      <c r="T380" s="52">
        <f t="shared" si="44"/>
        <v>0</v>
      </c>
      <c r="U380" s="58">
        <f t="shared" si="44"/>
        <v>0</v>
      </c>
      <c r="V380" s="17">
        <f t="shared" si="44"/>
        <v>0</v>
      </c>
      <c r="W380" s="103"/>
      <c r="X380" s="555">
        <f t="shared" si="42"/>
        <v>0</v>
      </c>
      <c r="Y380" s="632">
        <f t="shared" si="42"/>
        <v>0</v>
      </c>
    </row>
    <row r="381" spans="1:25" hidden="1" outlineLevel="1">
      <c r="A381" s="97">
        <v>43465</v>
      </c>
      <c r="B381" s="98">
        <f t="shared" si="45"/>
        <v>12</v>
      </c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>
        <f t="shared" si="44"/>
        <v>0</v>
      </c>
      <c r="R381" s="36">
        <f t="shared" si="44"/>
        <v>0</v>
      </c>
      <c r="S381" s="51">
        <f t="shared" si="44"/>
        <v>0</v>
      </c>
      <c r="T381" s="52">
        <f t="shared" si="44"/>
        <v>0</v>
      </c>
      <c r="U381" s="58">
        <f t="shared" si="44"/>
        <v>0</v>
      </c>
      <c r="V381" s="17">
        <f t="shared" si="44"/>
        <v>0</v>
      </c>
      <c r="W381" s="103"/>
      <c r="X381" s="555">
        <f t="shared" si="42"/>
        <v>0</v>
      </c>
      <c r="Y381" s="632">
        <f t="shared" si="42"/>
        <v>0</v>
      </c>
    </row>
    <row r="382" spans="1:25" collapsed="1">
      <c r="I382" s="103"/>
      <c r="P382" s="103"/>
      <c r="W382" s="103"/>
    </row>
    <row r="383" spans="1:25">
      <c r="A383" s="102" t="s">
        <v>101</v>
      </c>
      <c r="C383" s="859" t="s">
        <v>1</v>
      </c>
      <c r="D383" s="859"/>
      <c r="E383" s="861" t="s">
        <v>3</v>
      </c>
      <c r="F383" s="861"/>
      <c r="G383" s="858" t="s">
        <v>4</v>
      </c>
      <c r="H383" s="858"/>
      <c r="I383" s="103"/>
      <c r="J383" s="859" t="s">
        <v>1</v>
      </c>
      <c r="K383" s="859"/>
      <c r="L383" s="861" t="s">
        <v>3</v>
      </c>
      <c r="M383" s="861"/>
      <c r="N383" s="858" t="s">
        <v>4</v>
      </c>
      <c r="O383" s="858"/>
      <c r="P383" s="103"/>
      <c r="Q383" s="859" t="s">
        <v>1</v>
      </c>
      <c r="R383" s="859"/>
      <c r="S383" s="861" t="s">
        <v>3</v>
      </c>
      <c r="T383" s="861"/>
      <c r="U383" s="858" t="s">
        <v>4</v>
      </c>
      <c r="V383" s="858"/>
      <c r="W383" s="103"/>
    </row>
    <row r="384" spans="1:25">
      <c r="C384" s="670" t="s">
        <v>100</v>
      </c>
      <c r="D384" s="670" t="s">
        <v>29</v>
      </c>
      <c r="E384" s="672" t="s">
        <v>100</v>
      </c>
      <c r="F384" s="672" t="s">
        <v>29</v>
      </c>
      <c r="G384" s="671" t="s">
        <v>100</v>
      </c>
      <c r="H384" s="671" t="s">
        <v>29</v>
      </c>
      <c r="I384" s="103"/>
      <c r="J384" s="670" t="s">
        <v>100</v>
      </c>
      <c r="K384" s="670" t="s">
        <v>29</v>
      </c>
      <c r="L384" s="672" t="s">
        <v>100</v>
      </c>
      <c r="M384" s="672" t="s">
        <v>29</v>
      </c>
      <c r="N384" s="671" t="s">
        <v>100</v>
      </c>
      <c r="O384" s="671" t="s">
        <v>29</v>
      </c>
      <c r="P384" s="103"/>
      <c r="Q384" s="670" t="s">
        <v>100</v>
      </c>
      <c r="R384" s="670" t="s">
        <v>29</v>
      </c>
      <c r="S384" s="672" t="s">
        <v>100</v>
      </c>
      <c r="T384" s="672" t="s">
        <v>29</v>
      </c>
      <c r="U384" s="671" t="s">
        <v>100</v>
      </c>
      <c r="V384" s="671" t="s">
        <v>29</v>
      </c>
      <c r="W384" s="103"/>
    </row>
    <row r="385" spans="1:23">
      <c r="B385" s="552" t="s">
        <v>14</v>
      </c>
      <c r="C385" s="539">
        <f>'TH_YouTube Performance'!E66</f>
        <v>32453.65958135141</v>
      </c>
      <c r="D385" s="540">
        <f>C5</f>
        <v>17985</v>
      </c>
      <c r="E385" s="543">
        <f>'TH_YouTube Performance'!G66</f>
        <v>101068097.32039945</v>
      </c>
      <c r="F385" s="544">
        <f>E5</f>
        <v>83731674</v>
      </c>
      <c r="G385" s="545">
        <f>'TH_YouTube Performance'!I66</f>
        <v>9265411.4280192014</v>
      </c>
      <c r="H385" s="545">
        <f>G5</f>
        <v>6427843</v>
      </c>
      <c r="I385" s="103"/>
      <c r="J385" s="539">
        <f t="shared" ref="J385:J396" si="46">C385</f>
        <v>32453.65958135141</v>
      </c>
      <c r="K385" s="540">
        <f>J5</f>
        <v>6616</v>
      </c>
      <c r="L385" s="543">
        <f t="shared" ref="L385:L396" si="47">E385</f>
        <v>101068097.32039945</v>
      </c>
      <c r="M385" s="544">
        <f>L5</f>
        <v>79105684</v>
      </c>
      <c r="N385" s="545">
        <f t="shared" ref="N385:N396" si="48">G385</f>
        <v>9265411.4280192014</v>
      </c>
      <c r="O385" s="545">
        <f>N5</f>
        <v>5853720</v>
      </c>
      <c r="P385" s="103"/>
      <c r="Q385" s="539">
        <f t="shared" ref="Q385:Q396" si="49">C385-J385</f>
        <v>0</v>
      </c>
      <c r="R385" s="540">
        <f>Q5</f>
        <v>11369</v>
      </c>
      <c r="S385" s="543">
        <f t="shared" ref="S385:S396" si="50">E385-L385</f>
        <v>0</v>
      </c>
      <c r="T385" s="544">
        <f>S5</f>
        <v>4625990</v>
      </c>
      <c r="U385" s="545">
        <f t="shared" ref="U385:U396" si="51">G385-N385</f>
        <v>0</v>
      </c>
      <c r="V385" s="545">
        <f>U5</f>
        <v>574123</v>
      </c>
      <c r="W385" s="103"/>
    </row>
    <row r="386" spans="1:23">
      <c r="B386" s="552" t="s">
        <v>15</v>
      </c>
      <c r="C386" s="539">
        <f>'TH_YouTube Performance'!E67</f>
        <v>28519.900412724968</v>
      </c>
      <c r="D386" s="540">
        <f>C37</f>
        <v>23347</v>
      </c>
      <c r="E386" s="543">
        <f>'TH_YouTube Performance'!G67</f>
        <v>88817474.135881677</v>
      </c>
      <c r="F386" s="544">
        <f>E37</f>
        <v>80755802</v>
      </c>
      <c r="G386" s="545">
        <f>'TH_YouTube Performance'!I67</f>
        <v>8142336.3225845424</v>
      </c>
      <c r="H386" s="545">
        <f>G37</f>
        <v>6236890</v>
      </c>
      <c r="I386" s="103"/>
      <c r="J386" s="539">
        <f t="shared" si="46"/>
        <v>28519.900412724968</v>
      </c>
      <c r="K386" s="540">
        <f>J37</f>
        <v>10109</v>
      </c>
      <c r="L386" s="543">
        <f t="shared" si="47"/>
        <v>88817474.135881677</v>
      </c>
      <c r="M386" s="544">
        <f>L37</f>
        <v>76944769</v>
      </c>
      <c r="N386" s="545">
        <f t="shared" si="48"/>
        <v>8142336.3225845424</v>
      </c>
      <c r="O386" s="545">
        <f>N37</f>
        <v>5740417</v>
      </c>
      <c r="P386" s="103"/>
      <c r="Q386" s="539">
        <f t="shared" si="49"/>
        <v>0</v>
      </c>
      <c r="R386" s="540">
        <f>Q37</f>
        <v>13238</v>
      </c>
      <c r="S386" s="543">
        <f t="shared" si="50"/>
        <v>0</v>
      </c>
      <c r="T386" s="544">
        <f>S37</f>
        <v>3811033</v>
      </c>
      <c r="U386" s="545">
        <f t="shared" si="51"/>
        <v>0</v>
      </c>
      <c r="V386" s="545">
        <f>U37</f>
        <v>496473</v>
      </c>
      <c r="W386" s="103"/>
    </row>
    <row r="387" spans="1:23">
      <c r="B387" s="552" t="s">
        <v>16</v>
      </c>
      <c r="C387" s="539">
        <f>'TH_YouTube Performance'!E68</f>
        <v>34223.880495269965</v>
      </c>
      <c r="D387" s="540">
        <f>C66</f>
        <v>14334</v>
      </c>
      <c r="E387" s="543">
        <f>'TH_YouTube Performance'!G68</f>
        <v>106580968.96305802</v>
      </c>
      <c r="F387" s="544">
        <f>E66</f>
        <v>103932465</v>
      </c>
      <c r="G387" s="545">
        <f>'TH_YouTube Performance'!I68</f>
        <v>9770803.5871014521</v>
      </c>
      <c r="H387" s="545">
        <f>G66</f>
        <v>8986233</v>
      </c>
      <c r="I387" s="103"/>
      <c r="J387" s="539">
        <f t="shared" si="46"/>
        <v>34223.880495269965</v>
      </c>
      <c r="K387" s="540">
        <f>J66</f>
        <v>2043</v>
      </c>
      <c r="L387" s="543">
        <f t="shared" si="47"/>
        <v>106580968.96305802</v>
      </c>
      <c r="M387" s="544">
        <f>L66</f>
        <v>99058641</v>
      </c>
      <c r="N387" s="545">
        <f t="shared" si="48"/>
        <v>9770803.5871014521</v>
      </c>
      <c r="O387" s="545">
        <f>N66</f>
        <v>8280425</v>
      </c>
      <c r="P387" s="103"/>
      <c r="Q387" s="539">
        <f t="shared" si="49"/>
        <v>0</v>
      </c>
      <c r="R387" s="540">
        <f>Q66</f>
        <v>12291</v>
      </c>
      <c r="S387" s="543">
        <f t="shared" si="50"/>
        <v>0</v>
      </c>
      <c r="T387" s="544">
        <f>S66</f>
        <v>4873824</v>
      </c>
      <c r="U387" s="545">
        <f t="shared" si="51"/>
        <v>0</v>
      </c>
      <c r="V387" s="545">
        <f>U66</f>
        <v>705808</v>
      </c>
      <c r="W387" s="103"/>
    </row>
    <row r="388" spans="1:23">
      <c r="B388" s="552" t="s">
        <v>17</v>
      </c>
      <c r="C388" s="539">
        <f>'TH_YouTube Performance'!E69</f>
        <v>42779.850619087454</v>
      </c>
      <c r="D388" s="540">
        <f>C98</f>
        <v>9414</v>
      </c>
      <c r="E388" s="543">
        <f>'TH_YouTube Performance'!G69</f>
        <v>133226211.20382252</v>
      </c>
      <c r="F388" s="544">
        <f>E98</f>
        <v>111270105</v>
      </c>
      <c r="G388" s="545">
        <f>'TH_YouTube Performance'!I69</f>
        <v>12213504.483876813</v>
      </c>
      <c r="H388" s="545">
        <f>G98</f>
        <v>12987814</v>
      </c>
      <c r="I388" s="103"/>
      <c r="J388" s="539">
        <f t="shared" si="46"/>
        <v>42779.850619087454</v>
      </c>
      <c r="K388" s="540">
        <f>J98</f>
        <v>328</v>
      </c>
      <c r="L388" s="543">
        <f t="shared" si="47"/>
        <v>133226211.20382252</v>
      </c>
      <c r="M388" s="544">
        <f>L98</f>
        <v>106964570</v>
      </c>
      <c r="N388" s="545">
        <f t="shared" si="48"/>
        <v>12213504.483876813</v>
      </c>
      <c r="O388" s="545">
        <f>N98</f>
        <v>11952318</v>
      </c>
      <c r="P388" s="103"/>
      <c r="Q388" s="539">
        <f t="shared" si="49"/>
        <v>0</v>
      </c>
      <c r="R388" s="540">
        <f>Q98</f>
        <v>9086</v>
      </c>
      <c r="S388" s="543">
        <f t="shared" si="50"/>
        <v>0</v>
      </c>
      <c r="T388" s="544">
        <f>S98</f>
        <v>4305535</v>
      </c>
      <c r="U388" s="545">
        <f t="shared" si="51"/>
        <v>0</v>
      </c>
      <c r="V388" s="545">
        <f>U98</f>
        <v>1035496</v>
      </c>
      <c r="W388" s="103"/>
    </row>
    <row r="389" spans="1:23">
      <c r="B389" s="552" t="s">
        <v>18</v>
      </c>
      <c r="C389" s="539">
        <f>'TH_YouTube Performance'!E70</f>
        <v>41068.656594323948</v>
      </c>
      <c r="D389" s="540">
        <f>C129</f>
        <v>7291</v>
      </c>
      <c r="E389" s="543">
        <f>'TH_YouTube Performance'!G70</f>
        <v>127897162.75566959</v>
      </c>
      <c r="F389" s="544">
        <f>E129</f>
        <v>106062922</v>
      </c>
      <c r="G389" s="545">
        <f>'TH_YouTube Performance'!I70</f>
        <v>11724964.304521739</v>
      </c>
      <c r="H389" s="545">
        <f>G129</f>
        <v>15179425</v>
      </c>
      <c r="I389" s="103"/>
      <c r="J389" s="539">
        <f t="shared" si="46"/>
        <v>41068.656594323948</v>
      </c>
      <c r="K389" s="540">
        <f>J129</f>
        <v>308</v>
      </c>
      <c r="L389" s="543">
        <f t="shared" si="47"/>
        <v>127897162.75566959</v>
      </c>
      <c r="M389" s="544">
        <f>L129</f>
        <v>100169724</v>
      </c>
      <c r="N389" s="545">
        <f t="shared" si="48"/>
        <v>11724964.304521739</v>
      </c>
      <c r="O389" s="545">
        <f>N129</f>
        <v>13828333</v>
      </c>
      <c r="P389" s="103"/>
      <c r="Q389" s="539">
        <f t="shared" si="49"/>
        <v>0</v>
      </c>
      <c r="R389" s="540">
        <f>Q129</f>
        <v>6983</v>
      </c>
      <c r="S389" s="543">
        <f t="shared" si="50"/>
        <v>0</v>
      </c>
      <c r="T389" s="544">
        <f>S129</f>
        <v>5893198</v>
      </c>
      <c r="U389" s="545">
        <f t="shared" si="51"/>
        <v>0</v>
      </c>
      <c r="V389" s="545">
        <f>U129</f>
        <v>1351092</v>
      </c>
      <c r="W389" s="103"/>
    </row>
    <row r="390" spans="1:23">
      <c r="B390" s="552" t="s">
        <v>19</v>
      </c>
      <c r="C390" s="539">
        <f>'TH_YouTube Performance'!E71</f>
        <v>41890.029726210429</v>
      </c>
      <c r="D390" s="540">
        <f>C161</f>
        <v>6523</v>
      </c>
      <c r="E390" s="543">
        <f>'TH_YouTube Performance'!G71</f>
        <v>130455106.010783</v>
      </c>
      <c r="F390" s="544">
        <f>E161</f>
        <v>96421756</v>
      </c>
      <c r="G390" s="545">
        <f>'TH_YouTube Performance'!I71</f>
        <v>11959463.590612175</v>
      </c>
      <c r="H390" s="545">
        <f>G161</f>
        <v>16329420</v>
      </c>
      <c r="I390" s="103"/>
      <c r="J390" s="539">
        <f t="shared" si="46"/>
        <v>41890.029726210429</v>
      </c>
      <c r="K390" s="540">
        <f>J161</f>
        <v>886</v>
      </c>
      <c r="L390" s="543">
        <f t="shared" si="47"/>
        <v>130455106.010783</v>
      </c>
      <c r="M390" s="544">
        <f>L161</f>
        <v>89075535</v>
      </c>
      <c r="N390" s="545">
        <f t="shared" si="48"/>
        <v>11959463.590612175</v>
      </c>
      <c r="O390" s="545">
        <f>N161</f>
        <v>14428229</v>
      </c>
      <c r="P390" s="103"/>
      <c r="Q390" s="539">
        <f t="shared" si="49"/>
        <v>0</v>
      </c>
      <c r="R390" s="540">
        <f>Q161</f>
        <v>5637</v>
      </c>
      <c r="S390" s="543">
        <f t="shared" si="50"/>
        <v>0</v>
      </c>
      <c r="T390" s="544">
        <f>S161</f>
        <v>7346221</v>
      </c>
      <c r="U390" s="545">
        <f t="shared" si="51"/>
        <v>0</v>
      </c>
      <c r="V390" s="545">
        <f>U161</f>
        <v>1901191</v>
      </c>
      <c r="W390" s="103"/>
    </row>
    <row r="391" spans="1:23">
      <c r="B391" s="552" t="s">
        <v>20</v>
      </c>
      <c r="C391" s="539">
        <f>'TH_YouTube Performance'!E72</f>
        <v>43984.53121252096</v>
      </c>
      <c r="D391" s="540">
        <f>C192</f>
        <v>5231</v>
      </c>
      <c r="E391" s="543">
        <f>'TH_YouTube Performance'!G72</f>
        <v>136977861.31132218</v>
      </c>
      <c r="F391" s="544">
        <f>E192</f>
        <v>142012046</v>
      </c>
      <c r="G391" s="545">
        <f>'TH_YouTube Performance'!I72</f>
        <v>12557436.770142784</v>
      </c>
      <c r="H391" s="545">
        <f>G192</f>
        <v>26832577</v>
      </c>
      <c r="I391" s="103"/>
      <c r="J391" s="539">
        <f t="shared" si="46"/>
        <v>43984.53121252096</v>
      </c>
      <c r="K391" s="540">
        <f>J192</f>
        <v>333</v>
      </c>
      <c r="L391" s="543">
        <f t="shared" si="47"/>
        <v>136977861.31132218</v>
      </c>
      <c r="M391" s="544">
        <f>L192</f>
        <v>132837262</v>
      </c>
      <c r="N391" s="545">
        <f t="shared" si="48"/>
        <v>12557436.770142784</v>
      </c>
      <c r="O391" s="545">
        <f>N192</f>
        <v>24704007</v>
      </c>
      <c r="P391" s="103"/>
      <c r="Q391" s="539">
        <f t="shared" si="49"/>
        <v>0</v>
      </c>
      <c r="R391" s="540">
        <f>Q192</f>
        <v>4898</v>
      </c>
      <c r="S391" s="543">
        <f t="shared" si="50"/>
        <v>0</v>
      </c>
      <c r="T391" s="544">
        <f>S192</f>
        <v>9174784</v>
      </c>
      <c r="U391" s="545">
        <f t="shared" si="51"/>
        <v>0</v>
      </c>
      <c r="V391" s="545">
        <f>U192</f>
        <v>2128570</v>
      </c>
      <c r="W391" s="103"/>
    </row>
    <row r="392" spans="1:23">
      <c r="B392" s="552" t="s">
        <v>21</v>
      </c>
      <c r="C392" s="539">
        <f>'TH_YouTube Performance'!E73</f>
        <v>48382.984333773056</v>
      </c>
      <c r="D392" s="540">
        <f>C224</f>
        <v>557895</v>
      </c>
      <c r="E392" s="543">
        <f>'TH_YouTube Performance'!G73</f>
        <v>150675647.4424544</v>
      </c>
      <c r="F392" s="544">
        <f>E224</f>
        <v>168781036</v>
      </c>
      <c r="G392" s="545">
        <f>'TH_YouTube Performance'!I73</f>
        <v>13813180.447157064</v>
      </c>
      <c r="H392" s="545">
        <f>G224</f>
        <v>66967835</v>
      </c>
      <c r="I392" s="103"/>
      <c r="J392" s="539">
        <f t="shared" si="46"/>
        <v>48382.984333773056</v>
      </c>
      <c r="K392" s="540">
        <f>J224</f>
        <v>537474</v>
      </c>
      <c r="L392" s="543">
        <f t="shared" si="47"/>
        <v>150675647.4424544</v>
      </c>
      <c r="M392" s="544">
        <f>L224</f>
        <v>152169499</v>
      </c>
      <c r="N392" s="545">
        <f t="shared" si="48"/>
        <v>13813180.447157064</v>
      </c>
      <c r="O392" s="545">
        <f>N224</f>
        <v>63006163</v>
      </c>
      <c r="P392" s="103"/>
      <c r="Q392" s="539">
        <f t="shared" si="49"/>
        <v>0</v>
      </c>
      <c r="R392" s="540">
        <f>Q224</f>
        <v>20421</v>
      </c>
      <c r="S392" s="543">
        <f t="shared" si="50"/>
        <v>0</v>
      </c>
      <c r="T392" s="544">
        <f>S224</f>
        <v>16611537</v>
      </c>
      <c r="U392" s="545">
        <f t="shared" si="51"/>
        <v>0</v>
      </c>
      <c r="V392" s="545">
        <f>U224</f>
        <v>3961672</v>
      </c>
      <c r="W392" s="103"/>
    </row>
    <row r="393" spans="1:23">
      <c r="B393" s="552" t="s">
        <v>22</v>
      </c>
      <c r="C393" s="539">
        <f>'TH_YouTube Performance'!E74</f>
        <v>58059.58120052766</v>
      </c>
      <c r="D393" s="540">
        <f>C256</f>
        <v>5951333</v>
      </c>
      <c r="E393" s="543">
        <f>'TH_YouTube Performance'!G74</f>
        <v>180810776.93094528</v>
      </c>
      <c r="F393" s="544">
        <f>E256</f>
        <v>154215658</v>
      </c>
      <c r="G393" s="545">
        <f>'TH_YouTube Performance'!I74</f>
        <v>16575816.536588477</v>
      </c>
      <c r="H393" s="545">
        <f>G256</f>
        <v>89849762</v>
      </c>
      <c r="I393" s="103"/>
      <c r="J393" s="539">
        <f t="shared" si="46"/>
        <v>58059.58120052766</v>
      </c>
      <c r="K393" s="540">
        <f>J256</f>
        <v>5735135</v>
      </c>
      <c r="L393" s="543">
        <f t="shared" si="47"/>
        <v>180810776.93094528</v>
      </c>
      <c r="M393" s="544">
        <f>L256</f>
        <v>135715551</v>
      </c>
      <c r="N393" s="545">
        <f t="shared" si="48"/>
        <v>16575816.536588477</v>
      </c>
      <c r="O393" s="545">
        <f>N256</f>
        <v>84278922</v>
      </c>
      <c r="P393" s="103"/>
      <c r="Q393" s="539">
        <f t="shared" si="49"/>
        <v>0</v>
      </c>
      <c r="R393" s="540">
        <f>Q256</f>
        <v>216198</v>
      </c>
      <c r="S393" s="543">
        <f t="shared" si="50"/>
        <v>0</v>
      </c>
      <c r="T393" s="544">
        <f>S256</f>
        <v>18500107</v>
      </c>
      <c r="U393" s="545">
        <f t="shared" si="51"/>
        <v>0</v>
      </c>
      <c r="V393" s="545">
        <f>U256</f>
        <v>5570840</v>
      </c>
      <c r="W393" s="103"/>
    </row>
    <row r="394" spans="1:23">
      <c r="B394" s="552" t="s">
        <v>23</v>
      </c>
      <c r="C394" s="539">
        <f>'TH_YouTube Performance'!E75</f>
        <v>66768.518380606809</v>
      </c>
      <c r="D394" s="540">
        <f>C287</f>
        <v>0</v>
      </c>
      <c r="E394" s="543">
        <f>'TH_YouTube Performance'!G75</f>
        <v>207932393.47058702</v>
      </c>
      <c r="F394" s="544">
        <f>E287</f>
        <v>0</v>
      </c>
      <c r="G394" s="545">
        <f>'TH_YouTube Performance'!I75</f>
        <v>19062189.017076746</v>
      </c>
      <c r="H394" s="545">
        <f>G287</f>
        <v>0</v>
      </c>
      <c r="I394" s="103"/>
      <c r="J394" s="539">
        <f t="shared" si="46"/>
        <v>66768.518380606809</v>
      </c>
      <c r="K394" s="540">
        <f>J287</f>
        <v>0</v>
      </c>
      <c r="L394" s="543">
        <f t="shared" si="47"/>
        <v>207932393.47058702</v>
      </c>
      <c r="M394" s="544">
        <f>L287</f>
        <v>0</v>
      </c>
      <c r="N394" s="545">
        <f t="shared" si="48"/>
        <v>19062189.017076746</v>
      </c>
      <c r="O394" s="545">
        <f>N287</f>
        <v>0</v>
      </c>
      <c r="P394" s="103"/>
      <c r="Q394" s="539">
        <f t="shared" si="49"/>
        <v>0</v>
      </c>
      <c r="R394" s="540">
        <f>Q287</f>
        <v>0</v>
      </c>
      <c r="S394" s="543">
        <f t="shared" si="50"/>
        <v>0</v>
      </c>
      <c r="T394" s="544">
        <f>S287</f>
        <v>0</v>
      </c>
      <c r="U394" s="545">
        <f t="shared" si="51"/>
        <v>0</v>
      </c>
      <c r="V394" s="545">
        <f>U287</f>
        <v>0</v>
      </c>
      <c r="W394" s="103"/>
    </row>
    <row r="395" spans="1:23">
      <c r="B395" s="552" t="s">
        <v>24</v>
      </c>
      <c r="C395" s="539">
        <f>'TH_YouTube Performance'!E76</f>
        <v>86799.073894788846</v>
      </c>
      <c r="D395" s="540">
        <f>C319</f>
        <v>0</v>
      </c>
      <c r="E395" s="543">
        <f>'TH_YouTube Performance'!G76</f>
        <v>270312111.5117631</v>
      </c>
      <c r="F395" s="544">
        <f>E319</f>
        <v>0</v>
      </c>
      <c r="G395" s="545">
        <f>'TH_YouTube Performance'!I76</f>
        <v>24780845.722199768</v>
      </c>
      <c r="H395" s="545">
        <f>G319</f>
        <v>0</v>
      </c>
      <c r="I395" s="103"/>
      <c r="J395" s="539">
        <f t="shared" si="46"/>
        <v>86799.073894788846</v>
      </c>
      <c r="K395" s="540">
        <f>J319</f>
        <v>0</v>
      </c>
      <c r="L395" s="543">
        <f t="shared" si="47"/>
        <v>270312111.5117631</v>
      </c>
      <c r="M395" s="544">
        <f>L319</f>
        <v>0</v>
      </c>
      <c r="N395" s="545">
        <f t="shared" si="48"/>
        <v>24780845.722199768</v>
      </c>
      <c r="O395" s="545">
        <f>N319</f>
        <v>0</v>
      </c>
      <c r="P395" s="103"/>
      <c r="Q395" s="539">
        <f t="shared" si="49"/>
        <v>0</v>
      </c>
      <c r="R395" s="540">
        <f>Q319</f>
        <v>0</v>
      </c>
      <c r="S395" s="543">
        <f t="shared" si="50"/>
        <v>0</v>
      </c>
      <c r="T395" s="544">
        <f>S319</f>
        <v>0</v>
      </c>
      <c r="U395" s="545">
        <f t="shared" si="51"/>
        <v>0</v>
      </c>
      <c r="V395" s="545">
        <f>U319</f>
        <v>0</v>
      </c>
      <c r="W395" s="103"/>
    </row>
    <row r="396" spans="1:23">
      <c r="B396" s="552" t="s">
        <v>25</v>
      </c>
      <c r="C396" s="539">
        <f>'TH_YouTube Performance'!E77</f>
        <v>112838.7960632255</v>
      </c>
      <c r="D396" s="540">
        <f>C350</f>
        <v>0</v>
      </c>
      <c r="E396" s="543">
        <f>'TH_YouTube Performance'!G77</f>
        <v>351405744.9652921</v>
      </c>
      <c r="F396" s="544">
        <f>E350</f>
        <v>0</v>
      </c>
      <c r="G396" s="545">
        <f>'TH_YouTube Performance'!I77</f>
        <v>32215099.438859701</v>
      </c>
      <c r="H396" s="545">
        <f>G350</f>
        <v>0</v>
      </c>
      <c r="I396" s="103"/>
      <c r="J396" s="539">
        <f t="shared" si="46"/>
        <v>112838.7960632255</v>
      </c>
      <c r="K396" s="540">
        <f>J350</f>
        <v>0</v>
      </c>
      <c r="L396" s="543">
        <f t="shared" si="47"/>
        <v>351405744.9652921</v>
      </c>
      <c r="M396" s="544">
        <f>L350</f>
        <v>0</v>
      </c>
      <c r="N396" s="545">
        <f t="shared" si="48"/>
        <v>32215099.438859701</v>
      </c>
      <c r="O396" s="545">
        <f>N350</f>
        <v>0</v>
      </c>
      <c r="P396" s="103"/>
      <c r="Q396" s="539">
        <f t="shared" si="49"/>
        <v>0</v>
      </c>
      <c r="R396" s="540">
        <f>Q350</f>
        <v>0</v>
      </c>
      <c r="S396" s="543">
        <f t="shared" si="50"/>
        <v>0</v>
      </c>
      <c r="T396" s="544">
        <f>S350</f>
        <v>0</v>
      </c>
      <c r="U396" s="545">
        <f t="shared" si="51"/>
        <v>0</v>
      </c>
      <c r="V396" s="545">
        <f>U350</f>
        <v>0</v>
      </c>
      <c r="W396" s="103"/>
    </row>
    <row r="397" spans="1:23">
      <c r="B397" s="552" t="s">
        <v>7</v>
      </c>
      <c r="C397" s="538">
        <f t="shared" ref="C397:H397" si="52">SUM(C385:C396)</f>
        <v>637769.46251441108</v>
      </c>
      <c r="D397" s="538">
        <f t="shared" si="52"/>
        <v>6593353</v>
      </c>
      <c r="E397" s="534">
        <f t="shared" si="52"/>
        <v>1986159556.0219784</v>
      </c>
      <c r="F397" s="534">
        <f t="shared" si="52"/>
        <v>1047183464</v>
      </c>
      <c r="G397" s="536">
        <f t="shared" si="52"/>
        <v>182081051.64874047</v>
      </c>
      <c r="H397" s="536">
        <f t="shared" si="52"/>
        <v>249797799</v>
      </c>
      <c r="I397" s="103"/>
      <c r="J397" s="538">
        <f t="shared" ref="J397:O397" si="53">SUM(J385:J396)</f>
        <v>637769.46251441108</v>
      </c>
      <c r="K397" s="538">
        <f t="shared" si="53"/>
        <v>6293232</v>
      </c>
      <c r="L397" s="534">
        <f t="shared" si="53"/>
        <v>1986159556.0219784</v>
      </c>
      <c r="M397" s="534">
        <f t="shared" si="53"/>
        <v>972041235</v>
      </c>
      <c r="N397" s="536">
        <f t="shared" si="53"/>
        <v>182081051.64874047</v>
      </c>
      <c r="O397" s="536">
        <f t="shared" si="53"/>
        <v>232072534</v>
      </c>
      <c r="P397" s="103"/>
      <c r="Q397" s="538">
        <f t="shared" ref="Q397:V397" si="54">SUM(Q385:Q396)</f>
        <v>0</v>
      </c>
      <c r="R397" s="538">
        <f t="shared" si="54"/>
        <v>300121</v>
      </c>
      <c r="S397" s="534">
        <f t="shared" si="54"/>
        <v>0</v>
      </c>
      <c r="T397" s="534">
        <f t="shared" si="54"/>
        <v>75142229</v>
      </c>
      <c r="U397" s="536">
        <f t="shared" si="54"/>
        <v>0</v>
      </c>
      <c r="V397" s="536">
        <f t="shared" si="54"/>
        <v>17725265</v>
      </c>
      <c r="W397" s="103"/>
    </row>
    <row r="398" spans="1:23">
      <c r="I398" s="103"/>
      <c r="P398" s="103"/>
      <c r="W398" s="103"/>
    </row>
    <row r="399" spans="1:23">
      <c r="A399" s="102" t="s">
        <v>102</v>
      </c>
      <c r="C399" s="859" t="s">
        <v>1</v>
      </c>
      <c r="D399" s="859"/>
      <c r="E399" s="861" t="s">
        <v>3</v>
      </c>
      <c r="F399" s="861"/>
      <c r="G399" s="858" t="s">
        <v>4</v>
      </c>
      <c r="H399" s="858"/>
      <c r="I399" s="103"/>
      <c r="J399" s="859" t="s">
        <v>1</v>
      </c>
      <c r="K399" s="859"/>
      <c r="L399" s="861" t="s">
        <v>3</v>
      </c>
      <c r="M399" s="861"/>
      <c r="N399" s="858" t="s">
        <v>4</v>
      </c>
      <c r="O399" s="858"/>
      <c r="P399" s="103"/>
      <c r="Q399" s="859" t="s">
        <v>1</v>
      </c>
      <c r="R399" s="859"/>
      <c r="S399" s="861" t="s">
        <v>3</v>
      </c>
      <c r="T399" s="861"/>
      <c r="U399" s="858" t="s">
        <v>4</v>
      </c>
      <c r="V399" s="858"/>
      <c r="W399" s="103"/>
    </row>
    <row r="400" spans="1:23">
      <c r="C400" s="670" t="s">
        <v>100</v>
      </c>
      <c r="D400" s="670" t="s">
        <v>29</v>
      </c>
      <c r="E400" s="672" t="s">
        <v>100</v>
      </c>
      <c r="F400" s="672" t="s">
        <v>29</v>
      </c>
      <c r="G400" s="671" t="s">
        <v>100</v>
      </c>
      <c r="H400" s="671" t="s">
        <v>29</v>
      </c>
      <c r="I400" s="103"/>
      <c r="J400" s="670" t="s">
        <v>100</v>
      </c>
      <c r="K400" s="670" t="s">
        <v>29</v>
      </c>
      <c r="L400" s="672" t="s">
        <v>100</v>
      </c>
      <c r="M400" s="672" t="s">
        <v>29</v>
      </c>
      <c r="N400" s="671" t="s">
        <v>100</v>
      </c>
      <c r="O400" s="671" t="s">
        <v>29</v>
      </c>
      <c r="P400" s="103"/>
      <c r="Q400" s="670" t="s">
        <v>100</v>
      </c>
      <c r="R400" s="670" t="s">
        <v>29</v>
      </c>
      <c r="S400" s="672" t="s">
        <v>100</v>
      </c>
      <c r="T400" s="672" t="s">
        <v>29</v>
      </c>
      <c r="U400" s="671" t="s">
        <v>100</v>
      </c>
      <c r="V400" s="671" t="s">
        <v>29</v>
      </c>
      <c r="W400" s="103"/>
    </row>
    <row r="401" spans="2:23">
      <c r="B401" s="552" t="s">
        <v>14</v>
      </c>
      <c r="C401" s="547">
        <f>'TH_YouTube Performance'!F66</f>
        <v>5.8416587246432545</v>
      </c>
      <c r="D401" s="547">
        <f>D5</f>
        <v>0.85000000000000031</v>
      </c>
      <c r="E401" s="549">
        <f>'TH_YouTube Performance'!H66</f>
        <v>18192.2575176719</v>
      </c>
      <c r="F401" s="549">
        <f>F5</f>
        <v>11744.779999999999</v>
      </c>
      <c r="G401" s="550">
        <f>'TH_YouTube Performance'!J66</f>
        <v>1667.7740570434564</v>
      </c>
      <c r="H401" s="550">
        <f>H5</f>
        <v>571.70000000000005</v>
      </c>
      <c r="I401" s="103"/>
      <c r="J401" s="547">
        <f t="shared" ref="J401:J412" si="55">C401</f>
        <v>5.8416587246432545</v>
      </c>
      <c r="K401" s="547">
        <f>K5</f>
        <v>0.51000000000000023</v>
      </c>
      <c r="L401" s="549">
        <f t="shared" ref="L401:L412" si="56">E401</f>
        <v>18192.2575176719</v>
      </c>
      <c r="M401" s="549">
        <f>M5</f>
        <v>10850.28</v>
      </c>
      <c r="N401" s="550">
        <f t="shared" ref="N401:N412" si="57">G401</f>
        <v>1667.7740570434564</v>
      </c>
      <c r="O401" s="550">
        <f>O5</f>
        <v>501.09</v>
      </c>
      <c r="P401" s="103"/>
      <c r="Q401" s="547">
        <f t="shared" ref="Q401:Q412" si="58">C401-J401</f>
        <v>0</v>
      </c>
      <c r="R401" s="547">
        <f>R5</f>
        <v>0.33999999999999997</v>
      </c>
      <c r="S401" s="549">
        <f t="shared" ref="S401:S412" si="59">E401-L401</f>
        <v>0</v>
      </c>
      <c r="T401" s="549">
        <f>T5</f>
        <v>894.5</v>
      </c>
      <c r="U401" s="550">
        <f t="shared" ref="U401:U412" si="60">G401-N401</f>
        <v>0</v>
      </c>
      <c r="V401" s="550">
        <f>V5</f>
        <v>70.61</v>
      </c>
      <c r="W401" s="103"/>
    </row>
    <row r="402" spans="2:23">
      <c r="B402" s="552" t="s">
        <v>15</v>
      </c>
      <c r="C402" s="547">
        <f>'TH_YouTube Performance'!F67</f>
        <v>5.1335820742904943</v>
      </c>
      <c r="D402" s="547">
        <f>D37</f>
        <v>1.3700000000000006</v>
      </c>
      <c r="E402" s="549">
        <f>'TH_YouTube Performance'!H67</f>
        <v>15987.145344458702</v>
      </c>
      <c r="F402" s="549">
        <f>F37</f>
        <v>17885.199999999997</v>
      </c>
      <c r="G402" s="550">
        <f>'TH_YouTube Performance'!J67</f>
        <v>1465.6205380652177</v>
      </c>
      <c r="H402" s="550">
        <f>H37</f>
        <v>826.6099999999999</v>
      </c>
      <c r="I402" s="103"/>
      <c r="J402" s="547">
        <f t="shared" si="55"/>
        <v>5.1335820742904943</v>
      </c>
      <c r="K402" s="547">
        <f>K37</f>
        <v>0.97000000000000042</v>
      </c>
      <c r="L402" s="549">
        <f t="shared" si="56"/>
        <v>15987.145344458702</v>
      </c>
      <c r="M402" s="549">
        <f>M37</f>
        <v>16814.939999999999</v>
      </c>
      <c r="N402" s="550">
        <f t="shared" si="57"/>
        <v>1465.6205380652177</v>
      </c>
      <c r="O402" s="550">
        <f>O37</f>
        <v>725.43000000000006</v>
      </c>
      <c r="P402" s="103"/>
      <c r="Q402" s="547">
        <f t="shared" si="58"/>
        <v>0</v>
      </c>
      <c r="R402" s="547">
        <f>R37</f>
        <v>0.40000000000000008</v>
      </c>
      <c r="S402" s="549">
        <f t="shared" si="59"/>
        <v>0</v>
      </c>
      <c r="T402" s="549">
        <f>T37</f>
        <v>1070.2599999999998</v>
      </c>
      <c r="U402" s="550">
        <f t="shared" si="60"/>
        <v>0</v>
      </c>
      <c r="V402" s="550">
        <f>V37</f>
        <v>101.17999999999998</v>
      </c>
      <c r="W402" s="103"/>
    </row>
    <row r="403" spans="2:23">
      <c r="B403" s="552" t="s">
        <v>16</v>
      </c>
      <c r="C403" s="547">
        <f>'TH_YouTube Performance'!F68</f>
        <v>6.1602984891485937</v>
      </c>
      <c r="D403" s="547">
        <f>D66</f>
        <v>0.52000000000000024</v>
      </c>
      <c r="E403" s="549">
        <f>'TH_YouTube Performance'!H68</f>
        <v>19184.574413350445</v>
      </c>
      <c r="F403" s="549">
        <f>F66</f>
        <v>34740.61</v>
      </c>
      <c r="G403" s="550">
        <f>'TH_YouTube Performance'!J68</f>
        <v>1758.7446456782616</v>
      </c>
      <c r="H403" s="550">
        <f>H66</f>
        <v>1861.6100000000001</v>
      </c>
      <c r="I403" s="103"/>
      <c r="J403" s="547">
        <f t="shared" si="55"/>
        <v>6.1602984891485937</v>
      </c>
      <c r="K403" s="547">
        <f>K66</f>
        <v>0.17</v>
      </c>
      <c r="L403" s="549">
        <f t="shared" si="56"/>
        <v>19184.574413350445</v>
      </c>
      <c r="M403" s="549">
        <f>M66</f>
        <v>33332.479999999996</v>
      </c>
      <c r="N403" s="550">
        <f t="shared" si="57"/>
        <v>1758.7446456782616</v>
      </c>
      <c r="O403" s="550">
        <f>O66</f>
        <v>1732.85</v>
      </c>
      <c r="P403" s="103"/>
      <c r="Q403" s="547">
        <f t="shared" si="58"/>
        <v>0</v>
      </c>
      <c r="R403" s="547">
        <f>R66</f>
        <v>0.35000000000000009</v>
      </c>
      <c r="S403" s="549">
        <f t="shared" si="59"/>
        <v>0</v>
      </c>
      <c r="T403" s="549">
        <f>T66</f>
        <v>1408.13</v>
      </c>
      <c r="U403" s="550">
        <f t="shared" si="60"/>
        <v>0</v>
      </c>
      <c r="V403" s="550">
        <f>V66</f>
        <v>128.76</v>
      </c>
      <c r="W403" s="103"/>
    </row>
    <row r="404" spans="2:23">
      <c r="B404" s="552" t="s">
        <v>17</v>
      </c>
      <c r="C404" s="547">
        <f>'TH_YouTube Performance'!F69</f>
        <v>7.7003731114357423</v>
      </c>
      <c r="D404" s="547">
        <f>D98</f>
        <v>0.22000000000000006</v>
      </c>
      <c r="E404" s="549">
        <f>'TH_YouTube Performance'!H69</f>
        <v>23980.718016688057</v>
      </c>
      <c r="F404" s="549">
        <f>F98</f>
        <v>33316.100000000006</v>
      </c>
      <c r="G404" s="550">
        <f>'TH_YouTube Performance'!J69</f>
        <v>2198.4308070978263</v>
      </c>
      <c r="H404" s="550">
        <f>H98</f>
        <v>2969.36</v>
      </c>
      <c r="I404" s="103"/>
      <c r="J404" s="547">
        <f t="shared" si="55"/>
        <v>7.7003731114357423</v>
      </c>
      <c r="K404" s="547">
        <f>K98</f>
        <v>0</v>
      </c>
      <c r="L404" s="549">
        <f t="shared" si="56"/>
        <v>23980.718016688057</v>
      </c>
      <c r="M404" s="549">
        <f>M98</f>
        <v>32350.280000000002</v>
      </c>
      <c r="N404" s="550">
        <f t="shared" si="57"/>
        <v>2198.4308070978263</v>
      </c>
      <c r="O404" s="550">
        <f>O98</f>
        <v>2815.69</v>
      </c>
      <c r="P404" s="103"/>
      <c r="Q404" s="547">
        <f t="shared" si="58"/>
        <v>0</v>
      </c>
      <c r="R404" s="547">
        <f>R98</f>
        <v>0.22000000000000006</v>
      </c>
      <c r="S404" s="549">
        <f t="shared" si="59"/>
        <v>0</v>
      </c>
      <c r="T404" s="549">
        <f>T98</f>
        <v>965.81999999999948</v>
      </c>
      <c r="U404" s="550">
        <f t="shared" si="60"/>
        <v>0</v>
      </c>
      <c r="V404" s="550">
        <f>V98</f>
        <v>153.67000000000007</v>
      </c>
      <c r="W404" s="103"/>
    </row>
    <row r="405" spans="2:23">
      <c r="B405" s="552" t="s">
        <v>18</v>
      </c>
      <c r="C405" s="547">
        <f>'TH_YouTube Performance'!F70</f>
        <v>7.3923581869783108</v>
      </c>
      <c r="D405" s="547">
        <f>D129</f>
        <v>0.18</v>
      </c>
      <c r="E405" s="549">
        <f>'TH_YouTube Performance'!H70</f>
        <v>23021.489296020529</v>
      </c>
      <c r="F405" s="549">
        <f>F129</f>
        <v>31918.839999999997</v>
      </c>
      <c r="G405" s="550">
        <f>'TH_YouTube Performance'!J70</f>
        <v>2110.4935748139133</v>
      </c>
      <c r="H405" s="550">
        <f>H129</f>
        <v>3022.3300000000004</v>
      </c>
      <c r="I405" s="103"/>
      <c r="J405" s="547">
        <f t="shared" si="55"/>
        <v>7.3923581869783108</v>
      </c>
      <c r="K405" s="547">
        <f>K129</f>
        <v>0</v>
      </c>
      <c r="L405" s="549">
        <f t="shared" si="56"/>
        <v>23021.489296020529</v>
      </c>
      <c r="M405" s="549">
        <f>M129</f>
        <v>30542.560000000005</v>
      </c>
      <c r="N405" s="550">
        <f t="shared" si="57"/>
        <v>2110.4935748139133</v>
      </c>
      <c r="O405" s="550">
        <f>O129</f>
        <v>2787.77</v>
      </c>
      <c r="P405" s="103"/>
      <c r="Q405" s="547">
        <f t="shared" si="58"/>
        <v>0</v>
      </c>
      <c r="R405" s="547">
        <f>R129</f>
        <v>0.18</v>
      </c>
      <c r="S405" s="549">
        <f t="shared" si="59"/>
        <v>0</v>
      </c>
      <c r="T405" s="549">
        <f>T129</f>
        <v>1376.2800000000002</v>
      </c>
      <c r="U405" s="550">
        <f t="shared" si="60"/>
        <v>0</v>
      </c>
      <c r="V405" s="550">
        <f>V129</f>
        <v>234.56000000000006</v>
      </c>
      <c r="W405" s="103"/>
    </row>
    <row r="406" spans="2:23">
      <c r="B406" s="552" t="s">
        <v>19</v>
      </c>
      <c r="C406" s="547">
        <f>'TH_YouTube Performance'!F71</f>
        <v>7.5402053507178772</v>
      </c>
      <c r="D406" s="547">
        <f>D161</f>
        <v>0.14000000000000001</v>
      </c>
      <c r="E406" s="549">
        <f>'TH_YouTube Performance'!H71</f>
        <v>23481.919081940941</v>
      </c>
      <c r="F406" s="549">
        <f>F161</f>
        <v>30405.260000000002</v>
      </c>
      <c r="G406" s="550">
        <f>'TH_YouTube Performance'!J71</f>
        <v>2152.7034463101918</v>
      </c>
      <c r="H406" s="550">
        <f>H161</f>
        <v>3610.8499999999995</v>
      </c>
      <c r="I406" s="103"/>
      <c r="J406" s="547">
        <f t="shared" si="55"/>
        <v>7.5402053507178772</v>
      </c>
      <c r="K406" s="547">
        <f>K161</f>
        <v>0</v>
      </c>
      <c r="L406" s="549">
        <f t="shared" si="56"/>
        <v>23481.919081940941</v>
      </c>
      <c r="M406" s="549">
        <f>M161</f>
        <v>28011.569999999996</v>
      </c>
      <c r="N406" s="550">
        <f t="shared" si="57"/>
        <v>2152.7034463101918</v>
      </c>
      <c r="O406" s="550">
        <f>O161</f>
        <v>3215.7100000000009</v>
      </c>
      <c r="P406" s="103"/>
      <c r="Q406" s="547">
        <f t="shared" si="58"/>
        <v>0</v>
      </c>
      <c r="R406" s="547">
        <f>R161</f>
        <v>0.14000000000000001</v>
      </c>
      <c r="S406" s="549">
        <f t="shared" si="59"/>
        <v>0</v>
      </c>
      <c r="T406" s="549">
        <f>T161</f>
        <v>2393.6899999999996</v>
      </c>
      <c r="U406" s="550">
        <f t="shared" si="60"/>
        <v>0</v>
      </c>
      <c r="V406" s="550">
        <f>V161</f>
        <v>395.14000000000004</v>
      </c>
      <c r="W406" s="103"/>
    </row>
    <row r="407" spans="2:23">
      <c r="B407" s="552" t="s">
        <v>20</v>
      </c>
      <c r="C407" s="547">
        <f>'TH_YouTube Performance'!F72</f>
        <v>7.9172156182537732</v>
      </c>
      <c r="D407" s="547">
        <f>D192</f>
        <v>0.19000000000000006</v>
      </c>
      <c r="E407" s="549">
        <f>'TH_YouTube Performance'!H72</f>
        <v>24656.015036037996</v>
      </c>
      <c r="F407" s="549">
        <f>F192</f>
        <v>45395.429999999993</v>
      </c>
      <c r="G407" s="550">
        <f>'TH_YouTube Performance'!J72</f>
        <v>2260.3386186257012</v>
      </c>
      <c r="H407" s="550">
        <f>H192</f>
        <v>9670.14</v>
      </c>
      <c r="I407" s="103"/>
      <c r="J407" s="547">
        <f t="shared" si="55"/>
        <v>7.9172156182537732</v>
      </c>
      <c r="K407" s="547">
        <f>K192</f>
        <v>0</v>
      </c>
      <c r="L407" s="549">
        <f t="shared" si="56"/>
        <v>24656.015036037996</v>
      </c>
      <c r="M407" s="549">
        <f>M192</f>
        <v>41863.799999999996</v>
      </c>
      <c r="N407" s="550">
        <f t="shared" si="57"/>
        <v>2260.3386186257012</v>
      </c>
      <c r="O407" s="550">
        <f>O192</f>
        <v>8924.61</v>
      </c>
      <c r="P407" s="103"/>
      <c r="Q407" s="547">
        <f t="shared" si="58"/>
        <v>0</v>
      </c>
      <c r="R407" s="547">
        <f>R192</f>
        <v>0.19000000000000006</v>
      </c>
      <c r="S407" s="549">
        <f t="shared" si="59"/>
        <v>0</v>
      </c>
      <c r="T407" s="549">
        <f>T192</f>
        <v>3531.6299999999997</v>
      </c>
      <c r="U407" s="550">
        <f t="shared" si="60"/>
        <v>0</v>
      </c>
      <c r="V407" s="550">
        <f>V192</f>
        <v>745.53</v>
      </c>
      <c r="W407" s="103"/>
    </row>
    <row r="408" spans="2:23">
      <c r="B408" s="552" t="s">
        <v>21</v>
      </c>
      <c r="C408" s="547">
        <f>'TH_YouTube Performance'!F73</f>
        <v>8.7089371800791504</v>
      </c>
      <c r="D408" s="547">
        <f>D224</f>
        <v>288.86400000000003</v>
      </c>
      <c r="E408" s="549">
        <f>'TH_YouTube Performance'!H73</f>
        <v>27121.616539641793</v>
      </c>
      <c r="F408" s="549">
        <f>F224</f>
        <v>54772.393999999687</v>
      </c>
      <c r="G408" s="550">
        <f>'TH_YouTube Performance'!J73</f>
        <v>2486.3724804882718</v>
      </c>
      <c r="H408" s="550">
        <f>H224</f>
        <v>23652.75799999966</v>
      </c>
      <c r="I408" s="103"/>
      <c r="J408" s="547">
        <f t="shared" si="55"/>
        <v>8.7089371800791504</v>
      </c>
      <c r="K408" s="547">
        <f>K224</f>
        <v>280.82299999999998</v>
      </c>
      <c r="L408" s="549">
        <f t="shared" si="56"/>
        <v>27121.616539641793</v>
      </c>
      <c r="M408" s="549">
        <f>M224</f>
        <v>48666.327000000063</v>
      </c>
      <c r="N408" s="550">
        <f t="shared" si="57"/>
        <v>2486.3724804882718</v>
      </c>
      <c r="O408" s="550">
        <f>O224</f>
        <v>21761.083999999759</v>
      </c>
      <c r="P408" s="103"/>
      <c r="Q408" s="547">
        <f t="shared" si="58"/>
        <v>0</v>
      </c>
      <c r="R408" s="547">
        <f>R224</f>
        <v>8.0409999999999933</v>
      </c>
      <c r="S408" s="549">
        <f t="shared" si="59"/>
        <v>0</v>
      </c>
      <c r="T408" s="549">
        <f>T224</f>
        <v>6106.0669999996353</v>
      </c>
      <c r="U408" s="550">
        <f t="shared" si="60"/>
        <v>0</v>
      </c>
      <c r="V408" s="550">
        <f>V224</f>
        <v>1891.6739999999013</v>
      </c>
      <c r="W408" s="103"/>
    </row>
    <row r="409" spans="2:23">
      <c r="B409" s="552" t="s">
        <v>22</v>
      </c>
      <c r="C409" s="547">
        <f>'TH_YouTube Performance'!F74</f>
        <v>10.450724616094979</v>
      </c>
      <c r="D409" s="547">
        <f>D256</f>
        <v>3042.4639999999999</v>
      </c>
      <c r="E409" s="549">
        <f>'TH_YouTube Performance'!H74</f>
        <v>32545.939847570153</v>
      </c>
      <c r="F409" s="549">
        <f>F256</f>
        <v>61792.702999999892</v>
      </c>
      <c r="G409" s="550">
        <f>'TH_YouTube Performance'!J74</f>
        <v>2983.646976585926</v>
      </c>
      <c r="H409" s="550">
        <f>H256</f>
        <v>46022.833999999631</v>
      </c>
      <c r="I409" s="103"/>
      <c r="J409" s="547">
        <f t="shared" si="55"/>
        <v>10.450724616094979</v>
      </c>
      <c r="K409" s="547">
        <f>K256</f>
        <v>2890.7240000000006</v>
      </c>
      <c r="L409" s="549">
        <f t="shared" si="56"/>
        <v>32545.939847570153</v>
      </c>
      <c r="M409" s="549">
        <f>M256</f>
        <v>53181.013000000385</v>
      </c>
      <c r="N409" s="550">
        <f t="shared" si="57"/>
        <v>2983.646976585926</v>
      </c>
      <c r="O409" s="550">
        <f>O256</f>
        <v>41305.100999999682</v>
      </c>
      <c r="P409" s="103"/>
      <c r="Q409" s="547">
        <f t="shared" si="58"/>
        <v>0</v>
      </c>
      <c r="R409" s="547">
        <f>R256</f>
        <v>151.73999999999987</v>
      </c>
      <c r="S409" s="549">
        <f t="shared" si="59"/>
        <v>0</v>
      </c>
      <c r="T409" s="549">
        <f>T256</f>
        <v>8611.6899999995239</v>
      </c>
      <c r="U409" s="550">
        <f t="shared" si="60"/>
        <v>0</v>
      </c>
      <c r="V409" s="550">
        <f>V256</f>
        <v>4717.7329999999683</v>
      </c>
      <c r="W409" s="103"/>
    </row>
    <row r="410" spans="2:23">
      <c r="B410" s="552" t="s">
        <v>23</v>
      </c>
      <c r="C410" s="547">
        <f>'TH_YouTube Performance'!F75</f>
        <v>12.018333308509227</v>
      </c>
      <c r="D410" s="547">
        <f>D287</f>
        <v>0</v>
      </c>
      <c r="E410" s="549">
        <f>'TH_YouTube Performance'!H75</f>
        <v>37427.830824705663</v>
      </c>
      <c r="F410" s="549">
        <f>F287</f>
        <v>0</v>
      </c>
      <c r="G410" s="550">
        <f>'TH_YouTube Performance'!J75</f>
        <v>3431.1940230738146</v>
      </c>
      <c r="H410" s="550">
        <f>H287</f>
        <v>0</v>
      </c>
      <c r="I410" s="103"/>
      <c r="J410" s="547">
        <f t="shared" si="55"/>
        <v>12.018333308509227</v>
      </c>
      <c r="K410" s="547">
        <f>K287</f>
        <v>0</v>
      </c>
      <c r="L410" s="549">
        <f t="shared" si="56"/>
        <v>37427.830824705663</v>
      </c>
      <c r="M410" s="549">
        <f>M287</f>
        <v>0</v>
      </c>
      <c r="N410" s="550">
        <f t="shared" si="57"/>
        <v>3431.1940230738146</v>
      </c>
      <c r="O410" s="550">
        <f>O287</f>
        <v>0</v>
      </c>
      <c r="P410" s="103"/>
      <c r="Q410" s="547">
        <f t="shared" si="58"/>
        <v>0</v>
      </c>
      <c r="R410" s="547">
        <f>R287</f>
        <v>0</v>
      </c>
      <c r="S410" s="549">
        <f t="shared" si="59"/>
        <v>0</v>
      </c>
      <c r="T410" s="549">
        <f>T287</f>
        <v>0</v>
      </c>
      <c r="U410" s="550">
        <f t="shared" si="60"/>
        <v>0</v>
      </c>
      <c r="V410" s="550">
        <f>V287</f>
        <v>0</v>
      </c>
      <c r="W410" s="103"/>
    </row>
    <row r="411" spans="2:23">
      <c r="B411" s="552" t="s">
        <v>24</v>
      </c>
      <c r="C411" s="547">
        <f>'TH_YouTube Performance'!F76</f>
        <v>15.623833301061993</v>
      </c>
      <c r="D411" s="547">
        <f>D319</f>
        <v>0</v>
      </c>
      <c r="E411" s="549">
        <f>'TH_YouTube Performance'!H76</f>
        <v>48656.180072117357</v>
      </c>
      <c r="F411" s="549">
        <f>F319</f>
        <v>0</v>
      </c>
      <c r="G411" s="550">
        <f>'TH_YouTube Performance'!J76</f>
        <v>4460.5522299959584</v>
      </c>
      <c r="H411" s="550">
        <f>H319</f>
        <v>0</v>
      </c>
      <c r="I411" s="103"/>
      <c r="J411" s="547">
        <f t="shared" si="55"/>
        <v>15.623833301061993</v>
      </c>
      <c r="K411" s="547">
        <f>K319</f>
        <v>0</v>
      </c>
      <c r="L411" s="549">
        <f t="shared" si="56"/>
        <v>48656.180072117357</v>
      </c>
      <c r="M411" s="549">
        <f>M319</f>
        <v>0</v>
      </c>
      <c r="N411" s="550">
        <f t="shared" si="57"/>
        <v>4460.5522299959584</v>
      </c>
      <c r="O411" s="550">
        <f>O319</f>
        <v>0</v>
      </c>
      <c r="P411" s="103"/>
      <c r="Q411" s="547">
        <f t="shared" si="58"/>
        <v>0</v>
      </c>
      <c r="R411" s="547">
        <f>R319</f>
        <v>0</v>
      </c>
      <c r="S411" s="549">
        <f t="shared" si="59"/>
        <v>0</v>
      </c>
      <c r="T411" s="549">
        <f>T319</f>
        <v>0</v>
      </c>
      <c r="U411" s="550">
        <f t="shared" si="60"/>
        <v>0</v>
      </c>
      <c r="V411" s="550">
        <f>V319</f>
        <v>0</v>
      </c>
      <c r="W411" s="103"/>
    </row>
    <row r="412" spans="2:23">
      <c r="B412" s="552" t="s">
        <v>25</v>
      </c>
      <c r="C412" s="547">
        <f>'TH_YouTube Performance'!F77</f>
        <v>20.310983291380591</v>
      </c>
      <c r="D412" s="547">
        <f>D350</f>
        <v>0</v>
      </c>
      <c r="E412" s="549">
        <f>'TH_YouTube Performance'!H77</f>
        <v>63253.034093752583</v>
      </c>
      <c r="F412" s="549">
        <f>F350</f>
        <v>0</v>
      </c>
      <c r="G412" s="550">
        <f>'TH_YouTube Performance'!J77</f>
        <v>5798.717898994747</v>
      </c>
      <c r="H412" s="550">
        <f>H350</f>
        <v>0</v>
      </c>
      <c r="I412" s="103"/>
      <c r="J412" s="547">
        <f t="shared" si="55"/>
        <v>20.310983291380591</v>
      </c>
      <c r="K412" s="547">
        <f>K350</f>
        <v>0</v>
      </c>
      <c r="L412" s="549">
        <f t="shared" si="56"/>
        <v>63253.034093752583</v>
      </c>
      <c r="M412" s="549">
        <f>M350</f>
        <v>0</v>
      </c>
      <c r="N412" s="550">
        <f t="shared" si="57"/>
        <v>5798.717898994747</v>
      </c>
      <c r="O412" s="550">
        <f>O350</f>
        <v>0</v>
      </c>
      <c r="P412" s="103"/>
      <c r="Q412" s="547">
        <f t="shared" si="58"/>
        <v>0</v>
      </c>
      <c r="R412" s="547">
        <f>R350</f>
        <v>0</v>
      </c>
      <c r="S412" s="549">
        <f t="shared" si="59"/>
        <v>0</v>
      </c>
      <c r="T412" s="549">
        <f>T350</f>
        <v>0</v>
      </c>
      <c r="U412" s="550">
        <f t="shared" si="60"/>
        <v>0</v>
      </c>
      <c r="V412" s="550">
        <f>V350</f>
        <v>0</v>
      </c>
      <c r="W412" s="103"/>
    </row>
    <row r="413" spans="2:23">
      <c r="B413" s="552" t="s">
        <v>7</v>
      </c>
      <c r="C413" s="546">
        <f t="shared" ref="C413:H413" si="61">SUM(C401:C412)</f>
        <v>114.79850325259397</v>
      </c>
      <c r="D413" s="546">
        <f t="shared" si="61"/>
        <v>3334.7979999999998</v>
      </c>
      <c r="E413" s="535">
        <f t="shared" si="61"/>
        <v>357508.72008395608</v>
      </c>
      <c r="F413" s="535">
        <f t="shared" si="61"/>
        <v>321971.31699999957</v>
      </c>
      <c r="G413" s="537">
        <f t="shared" si="61"/>
        <v>32774.589296773287</v>
      </c>
      <c r="H413" s="537">
        <f t="shared" si="61"/>
        <v>92208.191999999282</v>
      </c>
      <c r="I413" s="103"/>
      <c r="J413" s="546">
        <f t="shared" ref="J413:O413" si="62">SUM(J401:J412)</f>
        <v>114.79850325259397</v>
      </c>
      <c r="K413" s="546">
        <f t="shared" si="62"/>
        <v>3173.1970000000006</v>
      </c>
      <c r="L413" s="535">
        <f t="shared" si="62"/>
        <v>357508.72008395608</v>
      </c>
      <c r="M413" s="535">
        <f t="shared" si="62"/>
        <v>295613.25000000047</v>
      </c>
      <c r="N413" s="537">
        <f t="shared" si="62"/>
        <v>32774.589296773287</v>
      </c>
      <c r="O413" s="537">
        <f t="shared" si="62"/>
        <v>83769.334999999439</v>
      </c>
      <c r="P413" s="103"/>
      <c r="Q413" s="546">
        <f t="shared" ref="Q413:V413" si="63">SUM(Q401:Q412)</f>
        <v>0</v>
      </c>
      <c r="R413" s="546">
        <f t="shared" si="63"/>
        <v>161.60099999999986</v>
      </c>
      <c r="S413" s="535">
        <f t="shared" si="63"/>
        <v>0</v>
      </c>
      <c r="T413" s="535">
        <f t="shared" si="63"/>
        <v>26358.066999999159</v>
      </c>
      <c r="U413" s="537">
        <f t="shared" si="63"/>
        <v>0</v>
      </c>
      <c r="V413" s="537">
        <f t="shared" si="63"/>
        <v>8438.856999999869</v>
      </c>
      <c r="W413" s="103"/>
    </row>
    <row r="414" spans="2:23">
      <c r="I414" s="103"/>
      <c r="P414" s="103"/>
      <c r="W414" s="103"/>
    </row>
  </sheetData>
  <mergeCells count="28"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C399:D399"/>
    <mergeCell ref="E399:F399"/>
    <mergeCell ref="G399:H399"/>
    <mergeCell ref="J399:K399"/>
    <mergeCell ref="L399:M399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K112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/>
    </sheetView>
  </sheetViews>
  <sheetFormatPr defaultColWidth="8.85546875" defaultRowHeight="15" outlineLevelCol="1"/>
  <cols>
    <col min="1" max="1" width="2.42578125" style="569" customWidth="1"/>
    <col min="2" max="2" width="2.85546875" style="569" customWidth="1"/>
    <col min="3" max="3" width="14.42578125" style="569" customWidth="1"/>
    <col min="4" max="4" width="13" style="569" customWidth="1"/>
    <col min="5" max="17" width="13" style="569" hidden="1" customWidth="1"/>
    <col min="18" max="18" width="11.42578125" style="569" hidden="1" customWidth="1"/>
    <col min="19" max="19" width="9.140625" style="569" hidden="1" customWidth="1"/>
    <col min="20" max="32" width="13.85546875" style="569" hidden="1" customWidth="1"/>
    <col min="33" max="33" width="10.42578125" style="569" hidden="1" customWidth="1"/>
    <col min="34" max="35" width="8" style="569" hidden="1" customWidth="1"/>
    <col min="36" max="48" width="13.85546875" style="569" hidden="1" customWidth="1" outlineLevel="1"/>
    <col min="49" max="52" width="10.42578125" style="569" hidden="1" customWidth="1" outlineLevel="1"/>
    <col min="53" max="53" width="9.42578125" style="569" hidden="1" customWidth="1" outlineLevel="1"/>
    <col min="54" max="55" width="0" style="569" hidden="1" customWidth="1" outlineLevel="1"/>
    <col min="56" max="67" width="13" style="571" hidden="1" customWidth="1" outlineLevel="1"/>
    <col min="68" max="68" width="14.42578125" style="569" hidden="1" customWidth="1" outlineLevel="1"/>
    <col min="69" max="69" width="8.140625" style="569" hidden="1" customWidth="1" outlineLevel="1"/>
    <col min="70" max="70" width="7.140625" style="569" hidden="1" customWidth="1" outlineLevel="1"/>
    <col min="71" max="71" width="14.140625" style="569" hidden="1" customWidth="1" outlineLevel="1"/>
    <col min="72" max="72" width="8.85546875" style="569" hidden="1" customWidth="1" outlineLevel="1"/>
    <col min="73" max="73" width="0" style="569" hidden="1" customWidth="1" outlineLevel="1"/>
    <col min="74" max="74" width="13.85546875" style="569" customWidth="1" collapsed="1"/>
    <col min="75" max="86" width="13.85546875" style="569" customWidth="1"/>
    <col min="87" max="88" width="10.42578125" style="569" customWidth="1"/>
    <col min="89" max="89" width="14.85546875" style="569" bestFit="1" customWidth="1"/>
    <col min="90" max="16384" width="8.85546875" style="569"/>
  </cols>
  <sheetData>
    <row r="1" spans="2:89" s="630" customFormat="1" ht="24" customHeight="1">
      <c r="AJ1" s="630" t="s">
        <v>144</v>
      </c>
      <c r="BD1" s="631"/>
      <c r="BE1" s="631"/>
      <c r="BF1" s="631"/>
      <c r="BG1" s="631"/>
      <c r="BH1" s="631"/>
      <c r="BI1" s="631"/>
      <c r="BJ1" s="631"/>
      <c r="BK1" s="631"/>
      <c r="BL1" s="631"/>
      <c r="BM1" s="631"/>
      <c r="BN1" s="631"/>
      <c r="BO1" s="631"/>
      <c r="BV1" s="630" t="s">
        <v>143</v>
      </c>
    </row>
    <row r="2" spans="2:89" s="572" customFormat="1" ht="105">
      <c r="D2" s="572" t="s">
        <v>111</v>
      </c>
      <c r="E2" s="573">
        <v>42005</v>
      </c>
      <c r="F2" s="573">
        <v>42036</v>
      </c>
      <c r="G2" s="573">
        <v>42064</v>
      </c>
      <c r="H2" s="573">
        <v>42095</v>
      </c>
      <c r="I2" s="573">
        <v>42125</v>
      </c>
      <c r="J2" s="573">
        <v>42156</v>
      </c>
      <c r="K2" s="573">
        <v>42186</v>
      </c>
      <c r="L2" s="573">
        <v>42217</v>
      </c>
      <c r="M2" s="573">
        <v>42248</v>
      </c>
      <c r="N2" s="573">
        <v>42278</v>
      </c>
      <c r="O2" s="573">
        <v>42309</v>
      </c>
      <c r="P2" s="573">
        <v>42339</v>
      </c>
      <c r="Q2" s="572" t="s">
        <v>112</v>
      </c>
      <c r="R2" s="572" t="s">
        <v>113</v>
      </c>
      <c r="S2" s="572" t="s">
        <v>114</v>
      </c>
      <c r="T2" s="573">
        <v>42370</v>
      </c>
      <c r="U2" s="573">
        <v>42401</v>
      </c>
      <c r="V2" s="573">
        <v>42430</v>
      </c>
      <c r="W2" s="573">
        <v>42461</v>
      </c>
      <c r="X2" s="573">
        <v>42491</v>
      </c>
      <c r="Y2" s="573">
        <v>42522</v>
      </c>
      <c r="Z2" s="573">
        <v>42552</v>
      </c>
      <c r="AA2" s="573">
        <v>42583</v>
      </c>
      <c r="AB2" s="573">
        <v>42614</v>
      </c>
      <c r="AC2" s="573">
        <v>42644</v>
      </c>
      <c r="AD2" s="573">
        <v>42675</v>
      </c>
      <c r="AE2" s="573">
        <v>42705</v>
      </c>
      <c r="AF2" s="573" t="s">
        <v>115</v>
      </c>
      <c r="AG2" s="572" t="s">
        <v>113</v>
      </c>
      <c r="AH2" s="572" t="s">
        <v>114</v>
      </c>
      <c r="AI2" s="572" t="s">
        <v>116</v>
      </c>
      <c r="AJ2" s="573">
        <v>42736</v>
      </c>
      <c r="AK2" s="573">
        <v>42767</v>
      </c>
      <c r="AL2" s="573">
        <v>42795</v>
      </c>
      <c r="AM2" s="573">
        <v>42826</v>
      </c>
      <c r="AN2" s="573">
        <v>42856</v>
      </c>
      <c r="AO2" s="573">
        <v>42887</v>
      </c>
      <c r="AP2" s="573">
        <v>42917</v>
      </c>
      <c r="AQ2" s="573">
        <v>42948</v>
      </c>
      <c r="AR2" s="573">
        <v>42979</v>
      </c>
      <c r="AS2" s="573">
        <v>43009</v>
      </c>
      <c r="AT2" s="573">
        <v>43040</v>
      </c>
      <c r="AU2" s="573">
        <v>43070</v>
      </c>
      <c r="AV2" s="573" t="s">
        <v>84</v>
      </c>
      <c r="AW2" s="572" t="s">
        <v>113</v>
      </c>
      <c r="AX2" s="572" t="s">
        <v>114</v>
      </c>
      <c r="AY2" s="572" t="s">
        <v>116</v>
      </c>
      <c r="BA2" s="572" t="s">
        <v>117</v>
      </c>
      <c r="BB2" s="572" t="s">
        <v>113</v>
      </c>
      <c r="BC2" s="572" t="s">
        <v>114</v>
      </c>
      <c r="BD2" s="574">
        <v>43101</v>
      </c>
      <c r="BE2" s="574">
        <v>43132</v>
      </c>
      <c r="BF2" s="574">
        <v>43160</v>
      </c>
      <c r="BG2" s="574">
        <v>43191</v>
      </c>
      <c r="BH2" s="574">
        <v>43221</v>
      </c>
      <c r="BI2" s="574">
        <v>43252</v>
      </c>
      <c r="BJ2" s="574">
        <v>43282</v>
      </c>
      <c r="BK2" s="574">
        <v>43313</v>
      </c>
      <c r="BL2" s="574">
        <v>43344</v>
      </c>
      <c r="BM2" s="574">
        <v>43374</v>
      </c>
      <c r="BN2" s="574">
        <v>43405</v>
      </c>
      <c r="BO2" s="574">
        <v>43435</v>
      </c>
      <c r="BP2" s="575" t="s">
        <v>47</v>
      </c>
      <c r="BQ2" s="572" t="s">
        <v>113</v>
      </c>
      <c r="BR2" s="572" t="s">
        <v>114</v>
      </c>
      <c r="BS2" s="572" t="s">
        <v>116</v>
      </c>
      <c r="BV2" s="628">
        <v>43101</v>
      </c>
      <c r="BW2" s="628">
        <v>43132</v>
      </c>
      <c r="BX2" s="628">
        <v>43160</v>
      </c>
      <c r="BY2" s="628">
        <v>43191</v>
      </c>
      <c r="BZ2" s="628">
        <v>43221</v>
      </c>
      <c r="CA2" s="628">
        <v>43252</v>
      </c>
      <c r="CB2" s="628">
        <v>43282</v>
      </c>
      <c r="CC2" s="628">
        <v>43313</v>
      </c>
      <c r="CD2" s="628">
        <v>43344</v>
      </c>
      <c r="CE2" s="628">
        <v>43374</v>
      </c>
      <c r="CF2" s="628">
        <v>43405</v>
      </c>
      <c r="CG2" s="628">
        <v>43435</v>
      </c>
      <c r="CH2" s="628" t="s">
        <v>83</v>
      </c>
      <c r="CI2" s="572" t="s">
        <v>113</v>
      </c>
      <c r="CJ2" s="572" t="s">
        <v>114</v>
      </c>
      <c r="CK2" s="572" t="s">
        <v>116</v>
      </c>
    </row>
    <row r="3" spans="2:89" s="572" customFormat="1">
      <c r="T3" s="576"/>
      <c r="U3" s="576"/>
      <c r="V3" s="576"/>
      <c r="W3" s="576"/>
      <c r="X3" s="576"/>
      <c r="Y3" s="576"/>
      <c r="Z3" s="576"/>
      <c r="AA3" s="576"/>
      <c r="AB3" s="576"/>
      <c r="AC3" s="576"/>
      <c r="AD3" s="576"/>
      <c r="AE3" s="576"/>
      <c r="AF3" s="573"/>
      <c r="AJ3" s="576">
        <f>AJ22/$AV$22</f>
        <v>6.627483473330463E-2</v>
      </c>
      <c r="AK3" s="576">
        <f>AK22/$AV$22</f>
        <v>5.9150858491454607E-2</v>
      </c>
      <c r="AL3" s="576">
        <f t="shared" ref="AL3:AU3" si="0">AL22/$AV$22</f>
        <v>7.3004342858793578E-2</v>
      </c>
      <c r="AM3" s="576">
        <f t="shared" si="0"/>
        <v>7.6654648296113848E-2</v>
      </c>
      <c r="AN3" s="576">
        <f t="shared" si="0"/>
        <v>8.3045581469272947E-2</v>
      </c>
      <c r="AO3" s="576">
        <f t="shared" si="0"/>
        <v>8.1500305921687624E-2</v>
      </c>
      <c r="AP3" s="576">
        <f t="shared" si="0"/>
        <v>8.7993829200888038E-2</v>
      </c>
      <c r="AQ3" s="576">
        <f t="shared" si="0"/>
        <v>8.7172422433645896E-2</v>
      </c>
      <c r="AR3" s="576">
        <f t="shared" si="0"/>
        <v>9.1971836917349642E-2</v>
      </c>
      <c r="AS3" s="576">
        <f t="shared" si="0"/>
        <v>9.8684656883038832E-2</v>
      </c>
      <c r="AT3" s="576">
        <f t="shared" si="0"/>
        <v>9.42076203927001E-2</v>
      </c>
      <c r="AU3" s="576">
        <f t="shared" si="0"/>
        <v>0.10033906240175026</v>
      </c>
      <c r="AV3" s="573"/>
      <c r="BD3" s="574"/>
      <c r="BE3" s="574"/>
      <c r="BF3" s="574"/>
      <c r="BG3" s="574"/>
      <c r="BH3" s="574"/>
      <c r="BI3" s="574"/>
      <c r="BJ3" s="574"/>
      <c r="BK3" s="574"/>
      <c r="BL3" s="574"/>
      <c r="BM3" s="574"/>
      <c r="BN3" s="574"/>
      <c r="BO3" s="574"/>
      <c r="BP3" s="575"/>
      <c r="BV3" s="576">
        <f>BV22/$CH$22</f>
        <v>9.0961728793079621E-2</v>
      </c>
      <c r="BW3" s="576">
        <f t="shared" ref="BW3:CG3" si="1">BW22/$CH$22</f>
        <v>9.0715999110666329E-2</v>
      </c>
      <c r="BX3" s="576">
        <f t="shared" si="1"/>
        <v>0.1135707566582916</v>
      </c>
      <c r="BY3" s="576">
        <f t="shared" si="1"/>
        <v>0.12139572547429042</v>
      </c>
      <c r="BZ3" s="576">
        <f t="shared" si="1"/>
        <v>0.12182716855946446</v>
      </c>
      <c r="CA3" s="576">
        <f t="shared" si="1"/>
        <v>0.11679366586717979</v>
      </c>
      <c r="CB3" s="576">
        <f t="shared" si="1"/>
        <v>0.12196975393968386</v>
      </c>
      <c r="CC3" s="576">
        <f t="shared" si="1"/>
        <v>0.12140044215087502</v>
      </c>
      <c r="CD3" s="576">
        <f t="shared" si="1"/>
        <v>0.10136475944646889</v>
      </c>
      <c r="CE3" s="576">
        <f t="shared" si="1"/>
        <v>0</v>
      </c>
      <c r="CF3" s="576">
        <f t="shared" si="1"/>
        <v>0</v>
      </c>
      <c r="CG3" s="576">
        <f t="shared" si="1"/>
        <v>0</v>
      </c>
      <c r="CH3" s="573"/>
    </row>
    <row r="4" spans="2:89" s="577" customFormat="1">
      <c r="B4" s="577" t="s">
        <v>118</v>
      </c>
      <c r="E4" s="578"/>
      <c r="F4" s="578"/>
      <c r="G4" s="578"/>
      <c r="H4" s="578"/>
      <c r="I4" s="578"/>
      <c r="J4" s="578"/>
      <c r="K4" s="578"/>
      <c r="L4" s="578"/>
      <c r="M4" s="578"/>
      <c r="N4" s="578"/>
      <c r="O4" s="578"/>
      <c r="P4" s="578"/>
      <c r="Q4" s="578"/>
      <c r="R4" s="579"/>
      <c r="S4" s="579">
        <f>(Q8+Q12)/Q22</f>
        <v>9.8502035460833012E-2</v>
      </c>
      <c r="T4" s="578"/>
      <c r="U4" s="578"/>
      <c r="V4" s="578"/>
      <c r="W4" s="578"/>
      <c r="X4" s="578"/>
      <c r="Y4" s="578"/>
      <c r="Z4" s="578"/>
      <c r="AA4" s="578"/>
      <c r="AB4" s="578"/>
      <c r="AC4" s="578"/>
      <c r="AD4" s="578"/>
      <c r="AE4" s="578"/>
      <c r="AF4" s="578"/>
      <c r="AH4" s="580">
        <f>SUM(AF8,AF12,AF16,AF20)/AF22</f>
        <v>7.385639524827578E-2</v>
      </c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X4" s="580">
        <f>SUM(AV8,AV12,AV16,AV20)/AV22</f>
        <v>8.4212053551897773E-2</v>
      </c>
      <c r="BD4" s="581"/>
      <c r="BE4" s="581"/>
      <c r="BF4" s="581"/>
      <c r="BG4" s="581"/>
      <c r="BH4" s="581"/>
      <c r="BI4" s="581"/>
      <c r="BJ4" s="581"/>
      <c r="BK4" s="581"/>
      <c r="BL4" s="581"/>
      <c r="BM4" s="581"/>
      <c r="BN4" s="581"/>
      <c r="BO4" s="581"/>
      <c r="BP4" s="578"/>
      <c r="BQ4" s="582"/>
      <c r="BR4" s="582"/>
      <c r="BS4" s="583">
        <f>SUM(BP8,BP12,BP16,BP20)/BP22</f>
        <v>8.8405195452031321E-2</v>
      </c>
      <c r="BT4" s="584"/>
      <c r="BU4" s="584"/>
      <c r="BV4" s="578"/>
      <c r="BW4" s="578"/>
      <c r="BX4" s="578"/>
      <c r="BY4" s="578"/>
      <c r="BZ4" s="578"/>
      <c r="CA4" s="578"/>
      <c r="CB4" s="578"/>
      <c r="CC4" s="578"/>
      <c r="CD4" s="578"/>
      <c r="CE4" s="578"/>
      <c r="CF4" s="578"/>
      <c r="CG4" s="578"/>
      <c r="CH4" s="578"/>
      <c r="CJ4" s="580">
        <f>SUM(CH8,CH12,CH16,CH20)/CH22</f>
        <v>0.22086355115337225</v>
      </c>
    </row>
    <row r="5" spans="2:89" s="577" customFormat="1">
      <c r="Q5" s="578"/>
      <c r="R5" s="579"/>
      <c r="S5" s="579"/>
      <c r="T5" s="578"/>
      <c r="U5" s="578"/>
      <c r="V5" s="578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BD5" s="581"/>
      <c r="BE5" s="581"/>
      <c r="BF5" s="581"/>
      <c r="BG5" s="581"/>
      <c r="BH5" s="581"/>
      <c r="BI5" s="581"/>
      <c r="BJ5" s="581"/>
      <c r="BK5" s="581"/>
      <c r="BL5" s="581"/>
      <c r="BM5" s="581"/>
      <c r="BN5" s="581"/>
      <c r="BO5" s="581"/>
      <c r="BP5" s="578"/>
      <c r="BQ5" s="582"/>
      <c r="BR5" s="582"/>
      <c r="BT5" s="584"/>
      <c r="BU5" s="584"/>
      <c r="BV5" s="578"/>
      <c r="BW5" s="578"/>
      <c r="BX5" s="578"/>
      <c r="BY5" s="578"/>
      <c r="BZ5" s="578"/>
      <c r="CA5" s="578"/>
      <c r="CB5" s="578"/>
      <c r="CC5" s="578"/>
      <c r="CD5" s="578"/>
      <c r="CE5" s="578"/>
      <c r="CF5" s="578"/>
      <c r="CG5" s="578"/>
      <c r="CH5" s="578"/>
    </row>
    <row r="6" spans="2:89">
      <c r="C6" s="569" t="s">
        <v>119</v>
      </c>
      <c r="R6" s="585"/>
      <c r="S6" s="585"/>
      <c r="BD6" s="586"/>
      <c r="BE6" s="586"/>
      <c r="BF6" s="586"/>
      <c r="BG6" s="586"/>
      <c r="BH6" s="586"/>
      <c r="BI6" s="586"/>
      <c r="BJ6" s="586"/>
      <c r="BK6" s="586"/>
      <c r="BL6" s="586"/>
      <c r="BM6" s="586"/>
      <c r="BN6" s="586"/>
      <c r="BO6" s="586"/>
    </row>
    <row r="7" spans="2:89" s="587" customFormat="1" ht="12.75">
      <c r="D7" s="587" t="s">
        <v>86</v>
      </c>
      <c r="E7" s="588">
        <v>256372726</v>
      </c>
      <c r="F7" s="588">
        <v>272680127</v>
      </c>
      <c r="G7" s="588">
        <v>340242742</v>
      </c>
      <c r="H7" s="588">
        <v>341539766</v>
      </c>
      <c r="I7" s="588">
        <v>331963923</v>
      </c>
      <c r="J7" s="588">
        <v>321544125</v>
      </c>
      <c r="K7" s="588">
        <v>347410778</v>
      </c>
      <c r="L7" s="588">
        <v>372773467</v>
      </c>
      <c r="M7" s="588">
        <v>368137647</v>
      </c>
      <c r="N7" s="588">
        <v>437828661</v>
      </c>
      <c r="O7" s="588">
        <v>440236077</v>
      </c>
      <c r="P7" s="588">
        <v>469688554</v>
      </c>
      <c r="Q7" s="588">
        <f>SUM(E7:P7)</f>
        <v>4300418593</v>
      </c>
      <c r="R7" s="589"/>
      <c r="S7" s="589">
        <f>Q7/Q9</f>
        <v>0.89798888755416884</v>
      </c>
      <c r="T7" s="588">
        <v>528558836</v>
      </c>
      <c r="U7" s="588">
        <v>464914140</v>
      </c>
      <c r="V7" s="588">
        <v>549846078</v>
      </c>
      <c r="W7" s="588">
        <v>543614173</v>
      </c>
      <c r="X7" s="588">
        <v>566440906</v>
      </c>
      <c r="Y7" s="588">
        <v>545325274</v>
      </c>
      <c r="Z7" s="588">
        <v>559815571</v>
      </c>
      <c r="AA7" s="588">
        <v>592380601</v>
      </c>
      <c r="AB7" s="588">
        <v>563589403</v>
      </c>
      <c r="AC7" s="588">
        <v>610176568</v>
      </c>
      <c r="AD7" s="588">
        <v>596755989</v>
      </c>
      <c r="AE7" s="588">
        <v>626026648</v>
      </c>
      <c r="AF7" s="588">
        <f>SUM(T7:AE7)</f>
        <v>6747444187</v>
      </c>
      <c r="AG7" s="590"/>
      <c r="AH7" s="591">
        <f>AF7/AF9</f>
        <v>0.92738550059643443</v>
      </c>
      <c r="AI7" s="591">
        <f>AF7/Q7</f>
        <v>1.5690203269940146</v>
      </c>
      <c r="AJ7" s="588">
        <v>689813060</v>
      </c>
      <c r="AK7" s="588">
        <v>639681140</v>
      </c>
      <c r="AL7" s="588">
        <v>809346665</v>
      </c>
      <c r="AM7" s="588">
        <v>803808667</v>
      </c>
      <c r="AN7" s="588">
        <v>804638631</v>
      </c>
      <c r="AO7" s="588">
        <v>758043875</v>
      </c>
      <c r="AP7" s="588">
        <v>797915103</v>
      </c>
      <c r="AQ7" s="588">
        <v>817388580</v>
      </c>
      <c r="AR7" s="588">
        <v>851719407</v>
      </c>
      <c r="AS7" s="588">
        <v>851408733</v>
      </c>
      <c r="AT7" s="588">
        <v>796339292</v>
      </c>
      <c r="AU7" s="588">
        <v>814948935</v>
      </c>
      <c r="AV7" s="588">
        <f>SUM(AJ7:AU7)</f>
        <v>9435052088</v>
      </c>
      <c r="AW7" s="590"/>
      <c r="AX7" s="591">
        <f>AV7/AV9</f>
        <v>0.92155433570515144</v>
      </c>
      <c r="AY7" s="591">
        <f>AV7/AF7</f>
        <v>1.3983149510414765</v>
      </c>
      <c r="AZ7" s="591"/>
      <c r="BA7" s="590"/>
      <c r="BB7" s="592"/>
      <c r="BC7" s="592">
        <f>AX7</f>
        <v>0.92155433570515144</v>
      </c>
      <c r="BD7" s="593">
        <f>BD9-BD8</f>
        <v>1220409659.8420966</v>
      </c>
      <c r="BE7" s="593">
        <f>BE9-BE8</f>
        <v>1089226089.8335795</v>
      </c>
      <c r="BF7" s="593">
        <f t="shared" ref="BF7:BO7" si="2">BF9-BF8</f>
        <v>1344329346.0303969</v>
      </c>
      <c r="BG7" s="593">
        <f t="shared" si="2"/>
        <v>1411547439.2177515</v>
      </c>
      <c r="BH7" s="593">
        <f t="shared" si="2"/>
        <v>1529232479.2682433</v>
      </c>
      <c r="BI7" s="593">
        <f t="shared" si="2"/>
        <v>1500777195.8566766</v>
      </c>
      <c r="BJ7" s="593">
        <f t="shared" si="2"/>
        <v>1620351368.5911028</v>
      </c>
      <c r="BK7" s="593">
        <f t="shared" si="2"/>
        <v>1605225676.3515682</v>
      </c>
      <c r="BL7" s="593">
        <f t="shared" si="2"/>
        <v>1693603894.4349203</v>
      </c>
      <c r="BM7" s="593">
        <f t="shared" si="2"/>
        <v>1817216278.5906081</v>
      </c>
      <c r="BN7" s="593">
        <f t="shared" si="2"/>
        <v>1734774449.768827</v>
      </c>
      <c r="BO7" s="593">
        <f t="shared" si="2"/>
        <v>1847681122.2142301</v>
      </c>
      <c r="BP7" s="588">
        <f>SUM(BD7:BO7)</f>
        <v>18414375000</v>
      </c>
      <c r="BQ7" s="590"/>
      <c r="BR7" s="591">
        <f>BP7/BP9</f>
        <v>0.91500000000000004</v>
      </c>
      <c r="BS7" s="591">
        <f>BP7/AV7</f>
        <v>1.9516982872220048</v>
      </c>
      <c r="BV7" s="588">
        <f>'2018 VN YouTube View'!R4</f>
        <v>795091225</v>
      </c>
      <c r="BW7" s="588">
        <f>'2018 VN YouTube View'!S4</f>
        <v>776784349</v>
      </c>
      <c r="BX7" s="588">
        <f>'2018 VN YouTube View'!T4</f>
        <v>953219469</v>
      </c>
      <c r="BY7" s="588">
        <f>'2018 VN YouTube View'!U4</f>
        <v>986462798</v>
      </c>
      <c r="BZ7" s="588">
        <f>'2018 VN YouTube View'!V4</f>
        <v>975013929</v>
      </c>
      <c r="CA7" s="588">
        <f>'2018 VN YouTube View'!W4</f>
        <v>871337365</v>
      </c>
      <c r="CB7" s="588">
        <f>'2018 VN YouTube View'!X4</f>
        <v>1020957380</v>
      </c>
      <c r="CC7" s="588">
        <f>'2018 VN YouTube View'!Y4</f>
        <v>1057393463</v>
      </c>
      <c r="CD7" s="588">
        <f>'2018 VN YouTube View'!Z4</f>
        <v>1010441081</v>
      </c>
      <c r="CE7" s="588">
        <f>'2018 VN YouTube View'!AA4</f>
        <v>0</v>
      </c>
      <c r="CF7" s="588">
        <f>'2018 VN YouTube View'!AB4</f>
        <v>0</v>
      </c>
      <c r="CG7" s="588">
        <f>'2018 VN YouTube View'!AC4</f>
        <v>0</v>
      </c>
      <c r="CH7" s="588">
        <f>SUM(BV7:CG7)</f>
        <v>8446701059</v>
      </c>
      <c r="CI7" s="590"/>
      <c r="CJ7" s="591">
        <f>CH7/CH9</f>
        <v>0.91968607205000807</v>
      </c>
      <c r="CK7" s="591">
        <f>CH7/AV7</f>
        <v>0.89524689214413167</v>
      </c>
    </row>
    <row r="8" spans="2:89" s="587" customFormat="1" ht="12.75">
      <c r="D8" s="587" t="s">
        <v>120</v>
      </c>
      <c r="E8" s="588">
        <v>41661984</v>
      </c>
      <c r="F8" s="588">
        <v>37832288</v>
      </c>
      <c r="G8" s="588">
        <v>40368479</v>
      </c>
      <c r="H8" s="588">
        <v>39599246</v>
      </c>
      <c r="I8" s="588">
        <v>40564473</v>
      </c>
      <c r="J8" s="588">
        <v>38679710</v>
      </c>
      <c r="K8" s="588">
        <v>37593307</v>
      </c>
      <c r="L8" s="588">
        <v>41052968</v>
      </c>
      <c r="M8" s="588">
        <v>39242866</v>
      </c>
      <c r="N8" s="588">
        <v>44475555</v>
      </c>
      <c r="O8" s="588">
        <v>44319426</v>
      </c>
      <c r="P8" s="588">
        <v>43135214</v>
      </c>
      <c r="Q8" s="588">
        <f>SUM(E8:P8)</f>
        <v>488525516</v>
      </c>
      <c r="R8" s="589"/>
      <c r="S8" s="589">
        <f>Q8/Q9</f>
        <v>0.10201111244583122</v>
      </c>
      <c r="T8" s="588">
        <v>44151364</v>
      </c>
      <c r="U8" s="588">
        <v>40659716</v>
      </c>
      <c r="V8" s="588">
        <v>43720837</v>
      </c>
      <c r="W8" s="588">
        <v>41288493</v>
      </c>
      <c r="X8" s="588">
        <v>42885802</v>
      </c>
      <c r="Y8" s="588">
        <v>41457951</v>
      </c>
      <c r="Z8" s="588">
        <v>45951785</v>
      </c>
      <c r="AA8" s="588">
        <v>42442595</v>
      </c>
      <c r="AB8" s="588">
        <v>41183268</v>
      </c>
      <c r="AC8" s="588">
        <v>45606949</v>
      </c>
      <c r="AD8" s="588">
        <v>45485388</v>
      </c>
      <c r="AE8" s="588">
        <v>53492294</v>
      </c>
      <c r="AF8" s="588">
        <f>SUM(T8:AE8)</f>
        <v>528326442</v>
      </c>
      <c r="AG8" s="590"/>
      <c r="AH8" s="591">
        <f>AF8/AF9</f>
        <v>7.2614499403565513E-2</v>
      </c>
      <c r="AI8" s="591">
        <f>AF8/Q8</f>
        <v>1.0814715397588364</v>
      </c>
      <c r="AJ8" s="588">
        <v>68503707</v>
      </c>
      <c r="AK8" s="588">
        <v>59822431</v>
      </c>
      <c r="AL8" s="588">
        <v>74030095</v>
      </c>
      <c r="AM8" s="588">
        <v>69760409</v>
      </c>
      <c r="AN8" s="588">
        <v>74143085</v>
      </c>
      <c r="AO8" s="588">
        <v>60849060</v>
      </c>
      <c r="AP8" s="588">
        <v>62022610</v>
      </c>
      <c r="AQ8" s="588">
        <v>64735793</v>
      </c>
      <c r="AR8" s="588">
        <v>66092391</v>
      </c>
      <c r="AS8" s="588">
        <v>72547169</v>
      </c>
      <c r="AT8" s="588">
        <v>64941244</v>
      </c>
      <c r="AU8" s="588">
        <v>65693937</v>
      </c>
      <c r="AV8" s="588">
        <f>SUM(AJ8:AU8)</f>
        <v>803141931</v>
      </c>
      <c r="AW8" s="590"/>
      <c r="AX8" s="591">
        <f>AV8/AV9</f>
        <v>7.8445664294848519E-2</v>
      </c>
      <c r="AY8" s="591">
        <f>AV8/AF8</f>
        <v>1.520162284438529</v>
      </c>
      <c r="AZ8" s="591"/>
      <c r="BA8" s="590"/>
      <c r="BB8" s="592"/>
      <c r="BC8" s="592">
        <v>8.5000000000000006E-2</v>
      </c>
      <c r="BD8" s="593">
        <f>BD9*$BC$8</f>
        <v>113371389.16565925</v>
      </c>
      <c r="BE8" s="593">
        <f t="shared" ref="BE8:BO8" si="3">BE9*$BC$8</f>
        <v>101184937.30694456</v>
      </c>
      <c r="BF8" s="593">
        <f t="shared" si="3"/>
        <v>124883054.00282377</v>
      </c>
      <c r="BG8" s="593">
        <f t="shared" si="3"/>
        <v>131127357.74153976</v>
      </c>
      <c r="BH8" s="593">
        <f t="shared" si="3"/>
        <v>142059847.80087507</v>
      </c>
      <c r="BI8" s="593">
        <f t="shared" si="3"/>
        <v>139416460.81728691</v>
      </c>
      <c r="BJ8" s="593">
        <f t="shared" si="3"/>
        <v>150524444.07676911</v>
      </c>
      <c r="BK8" s="593">
        <f t="shared" si="3"/>
        <v>149119325.12555552</v>
      </c>
      <c r="BL8" s="593">
        <f t="shared" si="3"/>
        <v>157329323.52674124</v>
      </c>
      <c r="BM8" s="593">
        <f t="shared" si="3"/>
        <v>168812441.18054831</v>
      </c>
      <c r="BN8" s="593">
        <f t="shared" si="3"/>
        <v>161153910.63426262</v>
      </c>
      <c r="BO8" s="593">
        <f t="shared" si="3"/>
        <v>171642508.62099406</v>
      </c>
      <c r="BP8" s="588">
        <f>SUM(BD8:BO8)</f>
        <v>1710625000</v>
      </c>
      <c r="BQ8" s="590"/>
      <c r="BR8" s="591">
        <f>BP8/BP9</f>
        <v>8.5000000000000006E-2</v>
      </c>
      <c r="BS8" s="591">
        <f>BP8/AV8</f>
        <v>2.1299161878773827</v>
      </c>
      <c r="BV8" s="588">
        <f>'2018 VN YouTube View'!R5</f>
        <v>69014460</v>
      </c>
      <c r="BW8" s="588">
        <f>'2018 VN YouTube View'!S5</f>
        <v>57150563</v>
      </c>
      <c r="BX8" s="588">
        <f>'2018 VN YouTube View'!T5</f>
        <v>69081865</v>
      </c>
      <c r="BY8" s="588">
        <f>'2018 VN YouTube View'!U5</f>
        <v>72154120</v>
      </c>
      <c r="BZ8" s="588">
        <f>'2018 VN YouTube View'!V5</f>
        <v>77389589</v>
      </c>
      <c r="CA8" s="588">
        <f>'2018 VN YouTube View'!W5</f>
        <v>76818446</v>
      </c>
      <c r="CB8" s="588">
        <f>'2018 VN YouTube View'!X5</f>
        <v>98478150</v>
      </c>
      <c r="CC8" s="588">
        <f>'2018 VN YouTube View'!Y5</f>
        <v>111896028</v>
      </c>
      <c r="CD8" s="588">
        <f>'2018 VN YouTube View'!Z5</f>
        <v>105646456</v>
      </c>
      <c r="CE8" s="588">
        <f>'2018 VN YouTube View'!AA5</f>
        <v>0</v>
      </c>
      <c r="CF8" s="588">
        <f>'2018 VN YouTube View'!AB5</f>
        <v>0</v>
      </c>
      <c r="CG8" s="588">
        <f>'2018 VN YouTube View'!AC5</f>
        <v>0</v>
      </c>
      <c r="CH8" s="588">
        <f>SUM(BV8:CG8)</f>
        <v>737629677</v>
      </c>
      <c r="CI8" s="590"/>
      <c r="CJ8" s="591">
        <f>CH8/CH9</f>
        <v>8.0313927949991898E-2</v>
      </c>
      <c r="CK8" s="591">
        <f>CH8/AV8</f>
        <v>0.91843004147669138</v>
      </c>
    </row>
    <row r="9" spans="2:89" s="577" customFormat="1" ht="12.75">
      <c r="C9" s="577" t="s">
        <v>121</v>
      </c>
      <c r="E9" s="578">
        <f t="shared" ref="E9:P9" si="4">SUM(E7:E8)</f>
        <v>298034710</v>
      </c>
      <c r="F9" s="578">
        <f t="shared" si="4"/>
        <v>310512415</v>
      </c>
      <c r="G9" s="578">
        <f t="shared" si="4"/>
        <v>380611221</v>
      </c>
      <c r="H9" s="578">
        <f t="shared" si="4"/>
        <v>381139012</v>
      </c>
      <c r="I9" s="578">
        <f t="shared" si="4"/>
        <v>372528396</v>
      </c>
      <c r="J9" s="578">
        <f t="shared" si="4"/>
        <v>360223835</v>
      </c>
      <c r="K9" s="578">
        <f t="shared" si="4"/>
        <v>385004085</v>
      </c>
      <c r="L9" s="578">
        <f t="shared" si="4"/>
        <v>413826435</v>
      </c>
      <c r="M9" s="578">
        <f t="shared" si="4"/>
        <v>407380513</v>
      </c>
      <c r="N9" s="578">
        <f t="shared" si="4"/>
        <v>482304216</v>
      </c>
      <c r="O9" s="578">
        <f t="shared" si="4"/>
        <v>484555503</v>
      </c>
      <c r="P9" s="578">
        <f t="shared" si="4"/>
        <v>512823768</v>
      </c>
      <c r="Q9" s="578">
        <f>SUM(E9:P9)</f>
        <v>4788944109</v>
      </c>
      <c r="R9" s="579">
        <f>Q9/Q22</f>
        <v>0.65573933496206993</v>
      </c>
      <c r="S9" s="579"/>
      <c r="T9" s="578">
        <f>SUM(T7:T8)</f>
        <v>572710200</v>
      </c>
      <c r="U9" s="578">
        <f t="shared" ref="U9:AE9" si="5">SUM(U7:U8)</f>
        <v>505573856</v>
      </c>
      <c r="V9" s="578">
        <f t="shared" si="5"/>
        <v>593566915</v>
      </c>
      <c r="W9" s="578">
        <f t="shared" si="5"/>
        <v>584902666</v>
      </c>
      <c r="X9" s="578">
        <f t="shared" si="5"/>
        <v>609326708</v>
      </c>
      <c r="Y9" s="578">
        <f t="shared" si="5"/>
        <v>586783225</v>
      </c>
      <c r="Z9" s="578">
        <f t="shared" si="5"/>
        <v>605767356</v>
      </c>
      <c r="AA9" s="578">
        <f t="shared" si="5"/>
        <v>634823196</v>
      </c>
      <c r="AB9" s="578">
        <f t="shared" si="5"/>
        <v>604772671</v>
      </c>
      <c r="AC9" s="578">
        <f t="shared" si="5"/>
        <v>655783517</v>
      </c>
      <c r="AD9" s="578">
        <f t="shared" si="5"/>
        <v>642241377</v>
      </c>
      <c r="AE9" s="578">
        <f t="shared" si="5"/>
        <v>679518942</v>
      </c>
      <c r="AF9" s="578">
        <f>SUM(T9:AE9)</f>
        <v>7275770629</v>
      </c>
      <c r="AG9" s="594">
        <f>AF9/$AF$22</f>
        <v>0.49554211336975212</v>
      </c>
      <c r="AI9" s="591">
        <f>AF9/Q9</f>
        <v>1.5192849328365381</v>
      </c>
      <c r="AJ9" s="578">
        <f t="shared" ref="AJ9:AU9" si="6">SUM(AJ7:AJ8)</f>
        <v>758316767</v>
      </c>
      <c r="AK9" s="578">
        <f t="shared" si="6"/>
        <v>699503571</v>
      </c>
      <c r="AL9" s="578">
        <f t="shared" si="6"/>
        <v>883376760</v>
      </c>
      <c r="AM9" s="578">
        <f t="shared" si="6"/>
        <v>873569076</v>
      </c>
      <c r="AN9" s="578">
        <f t="shared" si="6"/>
        <v>878781716</v>
      </c>
      <c r="AO9" s="578">
        <f t="shared" si="6"/>
        <v>818892935</v>
      </c>
      <c r="AP9" s="578">
        <f t="shared" si="6"/>
        <v>859937713</v>
      </c>
      <c r="AQ9" s="578">
        <f t="shared" si="6"/>
        <v>882124373</v>
      </c>
      <c r="AR9" s="578">
        <f t="shared" si="6"/>
        <v>917811798</v>
      </c>
      <c r="AS9" s="578">
        <f t="shared" si="6"/>
        <v>923955902</v>
      </c>
      <c r="AT9" s="578">
        <f t="shared" si="6"/>
        <v>861280536</v>
      </c>
      <c r="AU9" s="578">
        <f t="shared" si="6"/>
        <v>880642872</v>
      </c>
      <c r="AV9" s="578">
        <f>SUM(AJ9:AU9)</f>
        <v>10238194019</v>
      </c>
      <c r="AW9" s="594">
        <f>AV9/$AV$22</f>
        <v>0.3871744899622106</v>
      </c>
      <c r="AY9" s="591">
        <f>AV9/AF9</f>
        <v>1.4071628341597628</v>
      </c>
      <c r="AZ9" s="591"/>
      <c r="BA9" s="594">
        <f>SUM(AC9:AE9,AJ9:AR9)/SUM($AC$22:$AE$22,$AJ$22:$AR$22)</f>
        <v>0.41067139111328677</v>
      </c>
      <c r="BB9" s="595">
        <v>0.40250000000000002</v>
      </c>
      <c r="BC9" s="595"/>
      <c r="BD9" s="581">
        <f>BD22*$BB$9</f>
        <v>1333781049.0077558</v>
      </c>
      <c r="BE9" s="581">
        <f t="shared" ref="BE9:BO9" si="7">BE22*$BB$9</f>
        <v>1190411027.1405241</v>
      </c>
      <c r="BF9" s="581">
        <f t="shared" si="7"/>
        <v>1469212400.0332208</v>
      </c>
      <c r="BG9" s="581">
        <f t="shared" si="7"/>
        <v>1542674796.9592912</v>
      </c>
      <c r="BH9" s="581">
        <f t="shared" si="7"/>
        <v>1671292327.0691183</v>
      </c>
      <c r="BI9" s="581">
        <f t="shared" si="7"/>
        <v>1640193656.6739635</v>
      </c>
      <c r="BJ9" s="581">
        <f t="shared" si="7"/>
        <v>1770875812.667872</v>
      </c>
      <c r="BK9" s="581">
        <f t="shared" si="7"/>
        <v>1754345001.4771237</v>
      </c>
      <c r="BL9" s="581">
        <f t="shared" si="7"/>
        <v>1850933217.9616616</v>
      </c>
      <c r="BM9" s="581">
        <f t="shared" si="7"/>
        <v>1986028719.7711565</v>
      </c>
      <c r="BN9" s="581">
        <f t="shared" si="7"/>
        <v>1895928360.4030895</v>
      </c>
      <c r="BO9" s="581">
        <f t="shared" si="7"/>
        <v>2019323630.8352242</v>
      </c>
      <c r="BP9" s="578">
        <f>SUM(BD9:BO9)</f>
        <v>20125000000</v>
      </c>
      <c r="BQ9" s="594">
        <f>BP9/$BP$22</f>
        <v>0.40250000000000002</v>
      </c>
      <c r="BS9" s="591">
        <f>BP9/AV9</f>
        <v>1.9656787088281493</v>
      </c>
      <c r="BV9" s="578">
        <f t="shared" ref="BV9:CG9" si="8">SUM(BV7:BV8)</f>
        <v>864105685</v>
      </c>
      <c r="BW9" s="578">
        <f t="shared" si="8"/>
        <v>833934912</v>
      </c>
      <c r="BX9" s="578">
        <f>SUM(BX7:BX8)</f>
        <v>1022301334</v>
      </c>
      <c r="BY9" s="578">
        <f t="shared" si="8"/>
        <v>1058616918</v>
      </c>
      <c r="BZ9" s="578">
        <f t="shared" si="8"/>
        <v>1052403518</v>
      </c>
      <c r="CA9" s="578">
        <f t="shared" si="8"/>
        <v>948155811</v>
      </c>
      <c r="CB9" s="578">
        <f t="shared" si="8"/>
        <v>1119435530</v>
      </c>
      <c r="CC9" s="578">
        <f t="shared" si="8"/>
        <v>1169289491</v>
      </c>
      <c r="CD9" s="578">
        <f t="shared" si="8"/>
        <v>1116087537</v>
      </c>
      <c r="CE9" s="578">
        <f t="shared" si="8"/>
        <v>0</v>
      </c>
      <c r="CF9" s="578">
        <f t="shared" si="8"/>
        <v>0</v>
      </c>
      <c r="CG9" s="578">
        <f t="shared" si="8"/>
        <v>0</v>
      </c>
      <c r="CH9" s="578">
        <f>SUM(BV9:CG9)</f>
        <v>9184330736</v>
      </c>
      <c r="CI9" s="594">
        <f>CH9/$AV$22</f>
        <v>0.34732088117845367</v>
      </c>
      <c r="CK9" s="591">
        <f>CH9/AV9</f>
        <v>0.89706550969397092</v>
      </c>
    </row>
    <row r="10" spans="2:89" s="577" customFormat="1">
      <c r="C10" s="569" t="s">
        <v>122</v>
      </c>
      <c r="E10" s="578"/>
      <c r="F10" s="578"/>
      <c r="G10" s="578"/>
      <c r="H10" s="578"/>
      <c r="I10" s="578"/>
      <c r="J10" s="578"/>
      <c r="K10" s="578"/>
      <c r="L10" s="578"/>
      <c r="M10" s="578"/>
      <c r="N10" s="578"/>
      <c r="O10" s="578"/>
      <c r="P10" s="578"/>
      <c r="Q10" s="578"/>
      <c r="R10" s="579"/>
      <c r="S10" s="579"/>
      <c r="T10" s="578"/>
      <c r="U10" s="578"/>
      <c r="V10" s="578"/>
      <c r="W10" s="578"/>
      <c r="X10" s="578"/>
      <c r="Y10" s="578"/>
      <c r="Z10" s="578"/>
      <c r="AA10" s="578"/>
      <c r="AB10" s="578"/>
      <c r="AC10" s="578"/>
      <c r="AD10" s="596">
        <f>AD9/AC9</f>
        <v>0.97934967920213833</v>
      </c>
      <c r="AE10" s="596">
        <f>AE9/AD9</f>
        <v>1.0580429202087986</v>
      </c>
      <c r="AF10" s="578"/>
      <c r="AG10" s="594"/>
      <c r="AI10" s="584"/>
      <c r="AJ10" s="578"/>
      <c r="AK10" s="578"/>
      <c r="AL10" s="578"/>
      <c r="AM10" s="578"/>
      <c r="AN10" s="578"/>
      <c r="AO10" s="578"/>
      <c r="AP10" s="578"/>
      <c r="AQ10" s="578"/>
      <c r="AR10" s="578"/>
      <c r="AS10" s="578"/>
      <c r="AT10" s="578"/>
      <c r="AU10" s="578"/>
      <c r="AV10" s="578"/>
      <c r="AW10" s="594"/>
      <c r="AY10" s="584"/>
      <c r="AZ10" s="584"/>
      <c r="BA10" s="594"/>
      <c r="BB10" s="595"/>
      <c r="BC10" s="595"/>
      <c r="BD10" s="581"/>
      <c r="BE10" s="581"/>
      <c r="BF10" s="581"/>
      <c r="BG10" s="581"/>
      <c r="BH10" s="581"/>
      <c r="BI10" s="581"/>
      <c r="BJ10" s="581"/>
      <c r="BK10" s="581"/>
      <c r="BL10" s="581"/>
      <c r="BM10" s="581"/>
      <c r="BN10" s="581"/>
      <c r="BO10" s="581"/>
      <c r="BP10" s="578"/>
      <c r="BQ10" s="594"/>
      <c r="BS10" s="591"/>
      <c r="BV10" s="578"/>
      <c r="BW10" s="578"/>
      <c r="BX10" s="578"/>
      <c r="BY10" s="578"/>
      <c r="BZ10" s="578"/>
      <c r="CA10" s="578"/>
      <c r="CB10" s="578"/>
      <c r="CC10" s="578"/>
      <c r="CD10" s="578"/>
      <c r="CE10" s="578"/>
      <c r="CF10" s="578"/>
      <c r="CG10" s="578"/>
      <c r="CH10" s="578"/>
      <c r="CI10" s="594"/>
      <c r="CK10" s="584"/>
    </row>
    <row r="11" spans="2:89" s="587" customFormat="1" ht="12.75">
      <c r="D11" s="587" t="s">
        <v>123</v>
      </c>
      <c r="E11" s="588">
        <v>78269510</v>
      </c>
      <c r="F11" s="588">
        <v>96766579</v>
      </c>
      <c r="G11" s="588">
        <v>112250412</v>
      </c>
      <c r="H11" s="588">
        <v>113608117</v>
      </c>
      <c r="I11" s="588">
        <v>196362060</v>
      </c>
      <c r="J11" s="588">
        <v>204984284</v>
      </c>
      <c r="K11" s="588">
        <v>202439887</v>
      </c>
      <c r="L11" s="588">
        <v>194632256</v>
      </c>
      <c r="M11" s="588">
        <v>188635027</v>
      </c>
      <c r="N11" s="588">
        <v>239209328</v>
      </c>
      <c r="O11" s="588">
        <v>282436653</v>
      </c>
      <c r="P11" s="588">
        <v>373736562</v>
      </c>
      <c r="Q11" s="588">
        <f>SUM(E11:P11)</f>
        <v>2283330675</v>
      </c>
      <c r="R11" s="589"/>
      <c r="S11" s="589">
        <f>Q11/Q13</f>
        <v>0.90818196896418579</v>
      </c>
      <c r="T11" s="588">
        <v>386189468</v>
      </c>
      <c r="U11" s="588">
        <v>314738967</v>
      </c>
      <c r="V11" s="588">
        <v>323689158</v>
      </c>
      <c r="W11" s="588">
        <v>333939312</v>
      </c>
      <c r="X11" s="588">
        <v>449270045</v>
      </c>
      <c r="Y11" s="588">
        <v>428103196</v>
      </c>
      <c r="Z11" s="588">
        <v>474058603</v>
      </c>
      <c r="AA11" s="588">
        <v>468246287</v>
      </c>
      <c r="AB11" s="588">
        <v>433219635</v>
      </c>
      <c r="AC11" s="588">
        <v>507427630</v>
      </c>
      <c r="AD11" s="588">
        <v>572607746</v>
      </c>
      <c r="AE11" s="588">
        <v>686010498</v>
      </c>
      <c r="AF11" s="588">
        <f>SUM(T11:AE11)</f>
        <v>5377500545</v>
      </c>
      <c r="AG11" s="590"/>
      <c r="AH11" s="591">
        <f>AF11/AF13</f>
        <v>0.91909820808468012</v>
      </c>
      <c r="AI11" s="591">
        <f>AF11/Q11</f>
        <v>2.3551124696382404</v>
      </c>
      <c r="AJ11" s="588">
        <v>694689795</v>
      </c>
      <c r="AK11" s="588">
        <v>592024934</v>
      </c>
      <c r="AL11" s="588">
        <v>723013098</v>
      </c>
      <c r="AM11" s="588">
        <v>771416561</v>
      </c>
      <c r="AN11" s="588">
        <v>915751970</v>
      </c>
      <c r="AO11" s="588">
        <v>922560596</v>
      </c>
      <c r="AP11" s="588">
        <v>962767942</v>
      </c>
      <c r="AQ11" s="588">
        <v>924253332</v>
      </c>
      <c r="AR11" s="588">
        <v>930931083</v>
      </c>
      <c r="AS11" s="588">
        <v>937862386</v>
      </c>
      <c r="AT11" s="588">
        <v>718866348</v>
      </c>
      <c r="AU11" s="588">
        <v>774228482</v>
      </c>
      <c r="AV11" s="588">
        <f>SUM(AJ11:AU11)</f>
        <v>9868366527</v>
      </c>
      <c r="AW11" s="590"/>
      <c r="AX11" s="591">
        <f>AV11/AV13</f>
        <v>0.91214721896416073</v>
      </c>
      <c r="AY11" s="591">
        <f>AV11/AF11</f>
        <v>1.8351214368868092</v>
      </c>
      <c r="AZ11" s="591"/>
      <c r="BA11" s="590"/>
      <c r="BB11" s="592"/>
      <c r="BC11" s="592">
        <f>AX11</f>
        <v>0.91214721896416073</v>
      </c>
      <c r="BD11" s="593">
        <f t="shared" ref="BD11:BO11" si="9">BD13-BD12</f>
        <v>1205249291.3968532</v>
      </c>
      <c r="BE11" s="593">
        <f t="shared" si="9"/>
        <v>1075695330.9536593</v>
      </c>
      <c r="BF11" s="593">
        <f t="shared" si="9"/>
        <v>1327629602.6014481</v>
      </c>
      <c r="BG11" s="593">
        <f t="shared" si="9"/>
        <v>1394012688.4200153</v>
      </c>
      <c r="BH11" s="593">
        <f t="shared" si="9"/>
        <v>1510235802.5071468</v>
      </c>
      <c r="BI11" s="593">
        <f t="shared" si="9"/>
        <v>1482134000.8770905</v>
      </c>
      <c r="BJ11" s="593">
        <f t="shared" si="9"/>
        <v>1600222780.1613998</v>
      </c>
      <c r="BK11" s="593">
        <f t="shared" si="9"/>
        <v>1585284984.7198715</v>
      </c>
      <c r="BL11" s="593">
        <f t="shared" si="9"/>
        <v>1672565336.7400768</v>
      </c>
      <c r="BM11" s="593">
        <f t="shared" si="9"/>
        <v>1794642163.328613</v>
      </c>
      <c r="BN11" s="593">
        <f t="shared" si="9"/>
        <v>1713224456.6039968</v>
      </c>
      <c r="BO11" s="593">
        <f t="shared" si="9"/>
        <v>1824728561.6898296</v>
      </c>
      <c r="BP11" s="588">
        <f>SUM(BD11:BO11)</f>
        <v>18185625000</v>
      </c>
      <c r="BQ11" s="590"/>
      <c r="BR11" s="591">
        <f>BP11/BP13</f>
        <v>0.91500000000000004</v>
      </c>
      <c r="BS11" s="591">
        <f>BP11/AV11</f>
        <v>1.8428201820680103</v>
      </c>
      <c r="BV11" s="588">
        <f>'2018 VN YouTube View'!R8</f>
        <v>868466034</v>
      </c>
      <c r="BW11" s="588">
        <f>'2018 VN YouTube View'!S8</f>
        <v>854430643</v>
      </c>
      <c r="BX11" s="588">
        <f>'2018 VN YouTube View'!T8</f>
        <v>1004359740</v>
      </c>
      <c r="BY11" s="588">
        <f>'2018 VN YouTube View'!U8</f>
        <v>981894209</v>
      </c>
      <c r="BZ11" s="588">
        <f>'2018 VN YouTube View'!V8</f>
        <v>1125171537</v>
      </c>
      <c r="CA11" s="588">
        <f>'2018 VN YouTube View'!W8</f>
        <v>1192784173</v>
      </c>
      <c r="CB11" s="588">
        <f>'2018 VN YouTube View'!X8</f>
        <v>1226568567</v>
      </c>
      <c r="CC11" s="588">
        <f>'2018 VN YouTube View'!Y8</f>
        <v>1214920738</v>
      </c>
      <c r="CD11" s="588">
        <f>'2018 VN YouTube View'!Z8</f>
        <v>1010653051</v>
      </c>
      <c r="CE11" s="588">
        <f>'2018 VN YouTube View'!AA8</f>
        <v>0</v>
      </c>
      <c r="CF11" s="588">
        <f>'2018 VN YouTube View'!AB8</f>
        <v>0</v>
      </c>
      <c r="CG11" s="588">
        <f>'2018 VN YouTube View'!AC8</f>
        <v>0</v>
      </c>
      <c r="CH11" s="588">
        <f>SUM(BV11:CG11)</f>
        <v>9479248692</v>
      </c>
      <c r="CI11" s="590"/>
      <c r="CJ11" s="591">
        <f>CH11/CH13</f>
        <v>0.69998622303160341</v>
      </c>
      <c r="CK11" s="591">
        <f t="shared" ref="CK11:CK13" si="10">CH11/AV11</f>
        <v>0.96056917485428128</v>
      </c>
    </row>
    <row r="12" spans="2:89" s="587" customFormat="1" ht="12.75">
      <c r="D12" s="587" t="s">
        <v>124</v>
      </c>
      <c r="E12" s="588">
        <v>12059174</v>
      </c>
      <c r="F12" s="588">
        <v>12294552</v>
      </c>
      <c r="G12" s="588">
        <v>14955262</v>
      </c>
      <c r="H12" s="588">
        <v>14221206</v>
      </c>
      <c r="I12" s="588">
        <v>21112480</v>
      </c>
      <c r="J12" s="588">
        <v>21395469</v>
      </c>
      <c r="K12" s="588">
        <v>18779269</v>
      </c>
      <c r="L12" s="588">
        <v>16747811</v>
      </c>
      <c r="M12" s="588">
        <v>17287528</v>
      </c>
      <c r="N12" s="588">
        <v>21305709</v>
      </c>
      <c r="O12" s="588">
        <v>26066003</v>
      </c>
      <c r="P12" s="588">
        <v>34622365</v>
      </c>
      <c r="Q12" s="588">
        <f>SUM(E12:P12)</f>
        <v>230846828</v>
      </c>
      <c r="R12" s="589"/>
      <c r="S12" s="589">
        <f>Q12/Q13</f>
        <v>9.1818031035814263E-2</v>
      </c>
      <c r="T12" s="588">
        <v>40235258</v>
      </c>
      <c r="U12" s="588">
        <v>32759019</v>
      </c>
      <c r="V12" s="588">
        <v>29972586</v>
      </c>
      <c r="W12" s="588">
        <v>29698724</v>
      </c>
      <c r="X12" s="588">
        <v>38642605</v>
      </c>
      <c r="Y12" s="588">
        <v>34715386</v>
      </c>
      <c r="Z12" s="588">
        <v>40940755</v>
      </c>
      <c r="AA12" s="588">
        <v>40657408</v>
      </c>
      <c r="AB12" s="588">
        <v>38627873</v>
      </c>
      <c r="AC12" s="588">
        <v>44395553</v>
      </c>
      <c r="AD12" s="588">
        <v>48009602</v>
      </c>
      <c r="AE12" s="588">
        <v>54689022</v>
      </c>
      <c r="AF12" s="588">
        <f>SUM(T12:AE12)</f>
        <v>473343791</v>
      </c>
      <c r="AG12" s="590"/>
      <c r="AH12" s="591">
        <f>AF12/AF13</f>
        <v>8.090179191531989E-2</v>
      </c>
      <c r="AI12" s="591">
        <f>AF12/Q12</f>
        <v>2.0504669485863589</v>
      </c>
      <c r="AJ12" s="588">
        <v>52786992</v>
      </c>
      <c r="AK12" s="588">
        <v>41804656</v>
      </c>
      <c r="AL12" s="588">
        <v>51749982</v>
      </c>
      <c r="AM12" s="588">
        <v>53984294</v>
      </c>
      <c r="AN12" s="588">
        <v>59380004</v>
      </c>
      <c r="AO12" s="588">
        <v>65856010</v>
      </c>
      <c r="AP12" s="588">
        <v>93962464</v>
      </c>
      <c r="AQ12" s="588">
        <v>71801120</v>
      </c>
      <c r="AR12" s="588">
        <v>75498106</v>
      </c>
      <c r="AS12" s="588">
        <v>90017095</v>
      </c>
      <c r="AT12" s="588">
        <v>192359418</v>
      </c>
      <c r="AU12" s="588">
        <v>101264242</v>
      </c>
      <c r="AV12" s="588">
        <f>SUM(AJ12:AU12)</f>
        <v>950464383</v>
      </c>
      <c r="AW12" s="590"/>
      <c r="AX12" s="591">
        <f>AV12/AV13</f>
        <v>8.7852781035839295E-2</v>
      </c>
      <c r="AY12" s="591">
        <f>AV12/AF12</f>
        <v>2.0079789807573496</v>
      </c>
      <c r="AZ12" s="591"/>
      <c r="BA12" s="590"/>
      <c r="BB12" s="592"/>
      <c r="BC12" s="592">
        <v>8.5000000000000006E-2</v>
      </c>
      <c r="BD12" s="593">
        <f>BD13*$BC$12</f>
        <v>111963048.92757654</v>
      </c>
      <c r="BE12" s="593">
        <f t="shared" ref="BE12:BO12" si="11">BE13*$BC$12</f>
        <v>99927981.564001143</v>
      </c>
      <c r="BF12" s="593">
        <f t="shared" si="11"/>
        <v>123331711.71707442</v>
      </c>
      <c r="BG12" s="593">
        <f t="shared" si="11"/>
        <v>129498446.46524735</v>
      </c>
      <c r="BH12" s="593">
        <f t="shared" si="11"/>
        <v>140295129.194653</v>
      </c>
      <c r="BI12" s="593">
        <f t="shared" si="11"/>
        <v>137684579.31645104</v>
      </c>
      <c r="BJ12" s="593">
        <f t="shared" si="11"/>
        <v>148654575.20625025</v>
      </c>
      <c r="BK12" s="593">
        <f t="shared" si="11"/>
        <v>147266911.14884055</v>
      </c>
      <c r="BL12" s="593">
        <f t="shared" si="11"/>
        <v>155374921.99224758</v>
      </c>
      <c r="BM12" s="593">
        <f t="shared" si="11"/>
        <v>166715392.22178373</v>
      </c>
      <c r="BN12" s="593">
        <f t="shared" si="11"/>
        <v>159151998.70091775</v>
      </c>
      <c r="BO12" s="593">
        <f t="shared" si="11"/>
        <v>169510303.54495686</v>
      </c>
      <c r="BP12" s="588">
        <f>SUM(BD12:BO12)</f>
        <v>1689375000.0000002</v>
      </c>
      <c r="BQ12" s="590"/>
      <c r="BR12" s="591">
        <f>BP12/BP13</f>
        <v>8.5000000000000006E-2</v>
      </c>
      <c r="BS12" s="591">
        <f>BP12/AV12</f>
        <v>1.7774206274492248</v>
      </c>
      <c r="BV12" s="588">
        <f>'2018 VN YouTube View'!R9</f>
        <v>278805306</v>
      </c>
      <c r="BW12" s="588">
        <f>'2018 VN YouTube View'!S9</f>
        <v>412488651</v>
      </c>
      <c r="BX12" s="588">
        <f>'2018 VN YouTube View'!T9</f>
        <v>698025478</v>
      </c>
      <c r="BY12" s="588">
        <f>'2018 VN YouTube View'!U9</f>
        <v>709986497</v>
      </c>
      <c r="BZ12" s="588">
        <f>'2018 VN YouTube View'!V9</f>
        <v>441378295</v>
      </c>
      <c r="CA12" s="588">
        <f>'2018 VN YouTube View'!W9</f>
        <v>440384432</v>
      </c>
      <c r="CB12" s="588">
        <f>'2018 VN YouTube View'!X9</f>
        <v>352670577</v>
      </c>
      <c r="CC12" s="588">
        <f>'2018 VN YouTube View'!Y9</f>
        <v>416128396</v>
      </c>
      <c r="CD12" s="588">
        <f>'2018 VN YouTube View'!Z9</f>
        <v>312934048</v>
      </c>
      <c r="CE12" s="588">
        <f>'2018 VN YouTube View'!AA9</f>
        <v>0</v>
      </c>
      <c r="CF12" s="588">
        <f>'2018 VN YouTube View'!AB9</f>
        <v>0</v>
      </c>
      <c r="CG12" s="588">
        <f>'2018 VN YouTube View'!AC9</f>
        <v>0</v>
      </c>
      <c r="CH12" s="588">
        <f>SUM(BV12:CG12)</f>
        <v>4062801680</v>
      </c>
      <c r="CI12" s="590"/>
      <c r="CJ12" s="591">
        <f>CH12/CH13</f>
        <v>0.30001377696839659</v>
      </c>
      <c r="CK12" s="591">
        <f t="shared" si="10"/>
        <v>4.2745438468471262</v>
      </c>
    </row>
    <row r="13" spans="2:89" s="577" customFormat="1" ht="12.75">
      <c r="C13" s="577" t="s">
        <v>125</v>
      </c>
      <c r="E13" s="578">
        <f t="shared" ref="E13:P13" si="12">SUM(E11:E12)</f>
        <v>90328684</v>
      </c>
      <c r="F13" s="578">
        <f t="shared" si="12"/>
        <v>109061131</v>
      </c>
      <c r="G13" s="578">
        <f t="shared" si="12"/>
        <v>127205674</v>
      </c>
      <c r="H13" s="578">
        <f t="shared" si="12"/>
        <v>127829323</v>
      </c>
      <c r="I13" s="578">
        <f t="shared" si="12"/>
        <v>217474540</v>
      </c>
      <c r="J13" s="578">
        <f t="shared" si="12"/>
        <v>226379753</v>
      </c>
      <c r="K13" s="578">
        <f t="shared" si="12"/>
        <v>221219156</v>
      </c>
      <c r="L13" s="578">
        <f t="shared" si="12"/>
        <v>211380067</v>
      </c>
      <c r="M13" s="578">
        <f t="shared" si="12"/>
        <v>205922555</v>
      </c>
      <c r="N13" s="578">
        <f t="shared" si="12"/>
        <v>260515037</v>
      </c>
      <c r="O13" s="578">
        <f t="shared" si="12"/>
        <v>308502656</v>
      </c>
      <c r="P13" s="578">
        <f t="shared" si="12"/>
        <v>408358927</v>
      </c>
      <c r="Q13" s="578">
        <f>SUM(E13:P13)</f>
        <v>2514177503</v>
      </c>
      <c r="R13" s="579">
        <f>Q13/Q22</f>
        <v>0.34426066503793007</v>
      </c>
      <c r="S13" s="579"/>
      <c r="T13" s="578">
        <f t="shared" ref="T13:AE13" si="13">SUM(T11:T12)</f>
        <v>426424726</v>
      </c>
      <c r="U13" s="578">
        <f t="shared" si="13"/>
        <v>347497986</v>
      </c>
      <c r="V13" s="578">
        <f t="shared" si="13"/>
        <v>353661744</v>
      </c>
      <c r="W13" s="578">
        <f t="shared" si="13"/>
        <v>363638036</v>
      </c>
      <c r="X13" s="578">
        <f t="shared" si="13"/>
        <v>487912650</v>
      </c>
      <c r="Y13" s="578">
        <f t="shared" si="13"/>
        <v>462818582</v>
      </c>
      <c r="Z13" s="578">
        <f t="shared" si="13"/>
        <v>514999358</v>
      </c>
      <c r="AA13" s="578">
        <f t="shared" si="13"/>
        <v>508903695</v>
      </c>
      <c r="AB13" s="578">
        <f t="shared" si="13"/>
        <v>471847508</v>
      </c>
      <c r="AC13" s="578">
        <f t="shared" si="13"/>
        <v>551823183</v>
      </c>
      <c r="AD13" s="578">
        <f t="shared" si="13"/>
        <v>620617348</v>
      </c>
      <c r="AE13" s="578">
        <f t="shared" si="13"/>
        <v>740699520</v>
      </c>
      <c r="AF13" s="578">
        <f>SUM(T13:AE13)</f>
        <v>5850844336</v>
      </c>
      <c r="AG13" s="594">
        <f>AF13/$AF$22</f>
        <v>0.39849246424874946</v>
      </c>
      <c r="AI13" s="591">
        <f>AF13/Q13</f>
        <v>2.3271405177313769</v>
      </c>
      <c r="AJ13" s="578">
        <f t="shared" ref="AJ13:AU13" si="14">SUM(AJ11:AJ12)</f>
        <v>747476787</v>
      </c>
      <c r="AK13" s="578">
        <f t="shared" si="14"/>
        <v>633829590</v>
      </c>
      <c r="AL13" s="578">
        <f t="shared" si="14"/>
        <v>774763080</v>
      </c>
      <c r="AM13" s="578">
        <f t="shared" si="14"/>
        <v>825400855</v>
      </c>
      <c r="AN13" s="578">
        <f t="shared" si="14"/>
        <v>975131974</v>
      </c>
      <c r="AO13" s="578">
        <f t="shared" si="14"/>
        <v>988416606</v>
      </c>
      <c r="AP13" s="578">
        <f t="shared" si="14"/>
        <v>1056730406</v>
      </c>
      <c r="AQ13" s="578">
        <f t="shared" si="14"/>
        <v>996054452</v>
      </c>
      <c r="AR13" s="578">
        <f t="shared" si="14"/>
        <v>1006429189</v>
      </c>
      <c r="AS13" s="578">
        <f t="shared" si="14"/>
        <v>1027879481</v>
      </c>
      <c r="AT13" s="578">
        <f t="shared" si="14"/>
        <v>911225766</v>
      </c>
      <c r="AU13" s="578">
        <f t="shared" si="14"/>
        <v>875492724</v>
      </c>
      <c r="AV13" s="578">
        <f>SUM(AJ13:AU13)</f>
        <v>10818830910</v>
      </c>
      <c r="AW13" s="594">
        <f>AV13/$AV$22</f>
        <v>0.40913224849940683</v>
      </c>
      <c r="AY13" s="591">
        <f>AV13/AF13</f>
        <v>1.8491059219320169</v>
      </c>
      <c r="AZ13" s="591"/>
      <c r="BA13" s="594">
        <f>SUM(AC13:AE13,AJ13:AR13)/SUM($AC$22:$AE$22,$AJ$22:$AR$22)</f>
        <v>0.42647556953867277</v>
      </c>
      <c r="BB13" s="595">
        <v>0.39750000000000002</v>
      </c>
      <c r="BC13" s="595"/>
      <c r="BD13" s="581">
        <f>BD22*$BB$13</f>
        <v>1317212340.3244298</v>
      </c>
      <c r="BE13" s="581">
        <f t="shared" ref="BE13:BO13" si="15">BE22*$BB$13</f>
        <v>1175623312.5176604</v>
      </c>
      <c r="BF13" s="581">
        <f t="shared" si="15"/>
        <v>1450961314.3185225</v>
      </c>
      <c r="BG13" s="581">
        <f t="shared" si="15"/>
        <v>1523511134.8852627</v>
      </c>
      <c r="BH13" s="581">
        <f t="shared" si="15"/>
        <v>1650530931.7017999</v>
      </c>
      <c r="BI13" s="581">
        <f t="shared" si="15"/>
        <v>1619818580.1935415</v>
      </c>
      <c r="BJ13" s="581">
        <f t="shared" si="15"/>
        <v>1748877355.36765</v>
      </c>
      <c r="BK13" s="581">
        <f t="shared" si="15"/>
        <v>1732551895.8687122</v>
      </c>
      <c r="BL13" s="581">
        <f t="shared" si="15"/>
        <v>1827940258.7323244</v>
      </c>
      <c r="BM13" s="581">
        <f t="shared" si="15"/>
        <v>1961357555.5503967</v>
      </c>
      <c r="BN13" s="581">
        <f t="shared" si="15"/>
        <v>1872376455.3049145</v>
      </c>
      <c r="BO13" s="581">
        <f t="shared" si="15"/>
        <v>1994238865.2347865</v>
      </c>
      <c r="BP13" s="578">
        <f>SUM(BD13:BO13)</f>
        <v>19875000000</v>
      </c>
      <c r="BQ13" s="594">
        <f>BP13/$BP$22</f>
        <v>0.39750000000000002</v>
      </c>
      <c r="BS13" s="591">
        <f>BP13/AV13</f>
        <v>1.8370746493162449</v>
      </c>
      <c r="BV13" s="578">
        <f t="shared" ref="BV13:CG13" si="16">SUM(BV11:BV12)</f>
        <v>1147271340</v>
      </c>
      <c r="BW13" s="578">
        <f t="shared" si="16"/>
        <v>1266919294</v>
      </c>
      <c r="BX13" s="578">
        <f t="shared" si="16"/>
        <v>1702385218</v>
      </c>
      <c r="BY13" s="578">
        <f t="shared" si="16"/>
        <v>1691880706</v>
      </c>
      <c r="BZ13" s="578">
        <f t="shared" si="16"/>
        <v>1566549832</v>
      </c>
      <c r="CA13" s="578">
        <f t="shared" si="16"/>
        <v>1633168605</v>
      </c>
      <c r="CB13" s="578">
        <f t="shared" si="16"/>
        <v>1579239144</v>
      </c>
      <c r="CC13" s="578">
        <f t="shared" si="16"/>
        <v>1631049134</v>
      </c>
      <c r="CD13" s="578">
        <f t="shared" si="16"/>
        <v>1323587099</v>
      </c>
      <c r="CE13" s="578">
        <f t="shared" si="16"/>
        <v>0</v>
      </c>
      <c r="CF13" s="578">
        <f t="shared" si="16"/>
        <v>0</v>
      </c>
      <c r="CG13" s="578">
        <f t="shared" si="16"/>
        <v>0</v>
      </c>
      <c r="CH13" s="578">
        <f>SUM(BV13:CG13)</f>
        <v>13542050372</v>
      </c>
      <c r="CI13" s="594">
        <f>CH13/$AV$22</f>
        <v>0.51211536293329396</v>
      </c>
      <c r="CK13" s="591">
        <f t="shared" si="10"/>
        <v>1.2517110660711861</v>
      </c>
    </row>
    <row r="14" spans="2:89">
      <c r="C14" s="569" t="s">
        <v>126</v>
      </c>
      <c r="T14" s="582"/>
      <c r="U14" s="582"/>
      <c r="V14" s="582"/>
      <c r="W14" s="582"/>
      <c r="X14" s="582"/>
      <c r="Y14" s="582"/>
      <c r="Z14" s="582"/>
      <c r="AA14" s="582"/>
      <c r="AB14" s="582"/>
      <c r="AC14" s="582"/>
      <c r="AD14" s="596">
        <f>AD13/AC13</f>
        <v>1.1246670439360646</v>
      </c>
      <c r="AE14" s="596">
        <f>AE13/AD13</f>
        <v>1.1934882619491327</v>
      </c>
      <c r="AF14" s="582"/>
      <c r="AG14" s="597"/>
      <c r="AI14" s="598"/>
      <c r="AJ14" s="582"/>
      <c r="AK14" s="582"/>
      <c r="AL14" s="582"/>
      <c r="AM14" s="582"/>
      <c r="AN14" s="582"/>
      <c r="AO14" s="582"/>
      <c r="AP14" s="582"/>
      <c r="AQ14" s="582"/>
      <c r="AR14" s="582"/>
      <c r="AS14" s="599"/>
      <c r="AT14" s="599"/>
      <c r="AU14" s="599"/>
      <c r="AV14" s="582"/>
      <c r="AW14" s="597"/>
      <c r="AY14" s="598"/>
      <c r="AZ14" s="598"/>
      <c r="BA14" s="597"/>
      <c r="BB14" s="600"/>
      <c r="BC14" s="600"/>
      <c r="BD14" s="601"/>
      <c r="BE14" s="601"/>
      <c r="BF14" s="601"/>
      <c r="BG14" s="601"/>
      <c r="BH14" s="601"/>
      <c r="BI14" s="601"/>
      <c r="BJ14" s="601"/>
      <c r="BK14" s="601"/>
      <c r="BL14" s="601"/>
      <c r="BM14" s="601"/>
      <c r="BN14" s="601"/>
      <c r="BO14" s="601"/>
      <c r="BP14" s="582"/>
      <c r="BQ14" s="597"/>
      <c r="BS14" s="591"/>
      <c r="BV14" s="582"/>
      <c r="BW14" s="582"/>
      <c r="BX14" s="582"/>
      <c r="BY14" s="582"/>
      <c r="BZ14" s="582"/>
      <c r="CA14" s="582"/>
      <c r="CB14" s="582"/>
      <c r="CC14" s="582"/>
      <c r="CD14" s="582"/>
      <c r="CE14" s="599"/>
      <c r="CF14" s="599"/>
      <c r="CG14" s="599"/>
      <c r="CH14" s="582"/>
      <c r="CI14" s="597"/>
      <c r="CK14" s="598"/>
    </row>
    <row r="15" spans="2:89" s="587" customFormat="1" ht="12.75">
      <c r="D15" s="587" t="s">
        <v>123</v>
      </c>
      <c r="T15" s="588"/>
      <c r="U15" s="588"/>
      <c r="V15" s="588"/>
      <c r="W15" s="588">
        <v>83300</v>
      </c>
      <c r="X15" s="588">
        <v>87020917</v>
      </c>
      <c r="Y15" s="588">
        <v>157695919</v>
      </c>
      <c r="Z15" s="588">
        <v>151552025</v>
      </c>
      <c r="AA15" s="588">
        <v>152047030</v>
      </c>
      <c r="AB15" s="588">
        <v>151021224</v>
      </c>
      <c r="AC15" s="588">
        <v>167305311</v>
      </c>
      <c r="AD15" s="588">
        <v>172809952</v>
      </c>
      <c r="AE15" s="588">
        <v>180854192</v>
      </c>
      <c r="AF15" s="588">
        <f>SUM(T15:AE15)</f>
        <v>1220389870</v>
      </c>
      <c r="AG15" s="590"/>
      <c r="AH15" s="591">
        <f>AF15/AF17</f>
        <v>0.96683519170161925</v>
      </c>
      <c r="AI15" s="591" t="e">
        <f>AF15/Q15</f>
        <v>#DIV/0!</v>
      </c>
      <c r="AJ15" s="588">
        <v>187186683</v>
      </c>
      <c r="AK15" s="588">
        <v>169911500</v>
      </c>
      <c r="AL15" s="588">
        <v>200430391</v>
      </c>
      <c r="AM15" s="588">
        <v>230597851</v>
      </c>
      <c r="AN15" s="588">
        <v>252359210</v>
      </c>
      <c r="AO15" s="588">
        <v>256559583</v>
      </c>
      <c r="AP15" s="588">
        <v>314727121</v>
      </c>
      <c r="AQ15" s="588">
        <v>309671327</v>
      </c>
      <c r="AR15" s="588">
        <v>409679877</v>
      </c>
      <c r="AS15" s="588">
        <v>511016170</v>
      </c>
      <c r="AT15" s="588">
        <v>537817186</v>
      </c>
      <c r="AU15" s="588">
        <v>656584336</v>
      </c>
      <c r="AV15" s="588">
        <f>SUM(AJ15:AU15)</f>
        <v>4036541235</v>
      </c>
      <c r="AW15" s="590"/>
      <c r="AX15" s="591">
        <f>AV15/AV17</f>
        <v>0.9189226526106804</v>
      </c>
      <c r="AY15" s="591">
        <f>AV15/AF15</f>
        <v>3.3075833667809778</v>
      </c>
      <c r="AZ15" s="591"/>
      <c r="BA15" s="590"/>
      <c r="BB15" s="592"/>
      <c r="BC15" s="592">
        <f>AX15</f>
        <v>0.9189226526106804</v>
      </c>
      <c r="BD15" s="593">
        <f t="shared" ref="BD15:BO15" si="17">BD17-BD16</f>
        <v>672432561.44408381</v>
      </c>
      <c r="BE15" s="593">
        <f t="shared" si="17"/>
        <v>600151829.07785547</v>
      </c>
      <c r="BF15" s="593">
        <f t="shared" si="17"/>
        <v>740710972.16047168</v>
      </c>
      <c r="BG15" s="593">
        <f t="shared" si="17"/>
        <v>777747416.61405635</v>
      </c>
      <c r="BH15" s="593">
        <f t="shared" si="17"/>
        <v>842590604.54411638</v>
      </c>
      <c r="BI15" s="593">
        <f t="shared" si="17"/>
        <v>826912050.25150883</v>
      </c>
      <c r="BJ15" s="593">
        <f t="shared" si="17"/>
        <v>892796129.91765213</v>
      </c>
      <c r="BK15" s="593">
        <f t="shared" si="17"/>
        <v>884462036.61199844</v>
      </c>
      <c r="BL15" s="593">
        <f t="shared" si="17"/>
        <v>933157481.68848324</v>
      </c>
      <c r="BM15" s="593">
        <f t="shared" si="17"/>
        <v>1001266572.2989049</v>
      </c>
      <c r="BN15" s="593">
        <f t="shared" si="17"/>
        <v>955842013.68639946</v>
      </c>
      <c r="BO15" s="593">
        <f t="shared" si="17"/>
        <v>1018052372.596877</v>
      </c>
      <c r="BP15" s="588">
        <f>SUM(BD15:BO15)</f>
        <v>10146122040.892406</v>
      </c>
      <c r="BQ15" s="590"/>
      <c r="BR15" s="591">
        <f>BP15/BP17</f>
        <v>0.92237473099021894</v>
      </c>
      <c r="BS15" s="591">
        <f>BP15/AV15</f>
        <v>2.5135682878493886</v>
      </c>
      <c r="BV15" s="588">
        <f>'2018 VN YouTube View'!R12</f>
        <v>600131253</v>
      </c>
      <c r="BW15" s="588">
        <f>'2018 VN YouTube View'!S12</f>
        <v>559835027</v>
      </c>
      <c r="BX15" s="588">
        <f>'2018 VN YouTube View'!T12</f>
        <v>551862891</v>
      </c>
      <c r="BY15" s="588">
        <f>'2018 VN YouTube View'!U12</f>
        <v>547962867</v>
      </c>
      <c r="BZ15" s="588">
        <f>'2018 VN YouTube View'!V12</f>
        <v>579917316</v>
      </c>
      <c r="CA15" s="588">
        <f>'2018 VN YouTube View'!W12</f>
        <v>684471205</v>
      </c>
      <c r="CB15" s="588">
        <f>'2018 VN YouTube View'!X12</f>
        <v>680408129</v>
      </c>
      <c r="CC15" s="588">
        <f>'2018 VN YouTube View'!Y12</f>
        <v>618827481</v>
      </c>
      <c r="CD15" s="588">
        <f>'2018 VN YouTube View'!Z12</f>
        <v>476542281</v>
      </c>
      <c r="CE15" s="588">
        <f>'2018 VN YouTube View'!AA12</f>
        <v>0</v>
      </c>
      <c r="CF15" s="588">
        <f>'2018 VN YouTube View'!AB12</f>
        <v>0</v>
      </c>
      <c r="CG15" s="588">
        <f>'2018 VN YouTube View'!AC12</f>
        <v>0</v>
      </c>
      <c r="CH15" s="588">
        <f>SUM(BV15:CG15)</f>
        <v>5299958450</v>
      </c>
      <c r="CI15" s="590"/>
      <c r="CJ15" s="591">
        <f>CH15/CH17</f>
        <v>0.78998927220142601</v>
      </c>
      <c r="CK15" s="591">
        <f t="shared" ref="CK15:CK17" si="18">CH15/AV15</f>
        <v>1.3129949978078199</v>
      </c>
    </row>
    <row r="16" spans="2:89" s="587" customFormat="1" ht="12.75">
      <c r="D16" s="587" t="s">
        <v>124</v>
      </c>
      <c r="T16" s="588"/>
      <c r="U16" s="588"/>
      <c r="V16" s="588"/>
      <c r="W16" s="588">
        <v>3278</v>
      </c>
      <c r="X16" s="588">
        <v>2344293</v>
      </c>
      <c r="Y16" s="588">
        <v>4101247</v>
      </c>
      <c r="Z16" s="588">
        <v>4255584</v>
      </c>
      <c r="AA16" s="588">
        <v>3628178</v>
      </c>
      <c r="AB16" s="588">
        <v>4311549</v>
      </c>
      <c r="AC16" s="588">
        <v>4225587</v>
      </c>
      <c r="AD16" s="588">
        <v>6937876</v>
      </c>
      <c r="AE16" s="588">
        <v>12054761</v>
      </c>
      <c r="AF16" s="588">
        <f>SUM(T16:AE16)</f>
        <v>41862353</v>
      </c>
      <c r="AG16" s="590"/>
      <c r="AH16" s="591">
        <f>AF16/AF17</f>
        <v>3.3164808298380789E-2</v>
      </c>
      <c r="AI16" s="591" t="e">
        <f>AF16/Q16</f>
        <v>#DIV/0!</v>
      </c>
      <c r="AJ16" s="588">
        <v>12634990</v>
      </c>
      <c r="AK16" s="588">
        <v>10521464</v>
      </c>
      <c r="AL16" s="588">
        <v>12768903</v>
      </c>
      <c r="AM16" s="588">
        <v>17048766</v>
      </c>
      <c r="AN16" s="588">
        <v>7513356</v>
      </c>
      <c r="AO16" s="588">
        <v>6264197</v>
      </c>
      <c r="AP16" s="588">
        <v>9398239</v>
      </c>
      <c r="AQ16" s="588">
        <v>9731559</v>
      </c>
      <c r="AR16" s="588">
        <v>13326066</v>
      </c>
      <c r="AS16" s="588">
        <v>53179449</v>
      </c>
      <c r="AT16" s="588">
        <v>70079374</v>
      </c>
      <c r="AU16" s="588">
        <v>118517286</v>
      </c>
      <c r="AV16" s="588">
        <f>SUM(AJ16:AU16)</f>
        <v>340983649</v>
      </c>
      <c r="AW16" s="590"/>
      <c r="AX16" s="591">
        <f>AV16/AV17</f>
        <v>7.7625269009781131E-2</v>
      </c>
      <c r="AY16" s="591">
        <f>AV16/AF16</f>
        <v>8.1453531529868854</v>
      </c>
      <c r="AZ16" s="591"/>
      <c r="BA16" s="590"/>
      <c r="BB16" s="592"/>
      <c r="BC16" s="592">
        <f>AX16</f>
        <v>7.7625269009781131E-2</v>
      </c>
      <c r="BD16" s="593">
        <f>BD17*$BC$16</f>
        <v>56590620.622267142</v>
      </c>
      <c r="BE16" s="593">
        <f t="shared" ref="BE16:BO16" si="19">BE17*$BC$16</f>
        <v>50507614.328145266</v>
      </c>
      <c r="BF16" s="593">
        <f t="shared" si="19"/>
        <v>62336799.286257595</v>
      </c>
      <c r="BG16" s="593">
        <f t="shared" si="19"/>
        <v>65453714.643195979</v>
      </c>
      <c r="BH16" s="593">
        <f t="shared" si="19"/>
        <v>70910791.617886081</v>
      </c>
      <c r="BI16" s="593">
        <f t="shared" si="19"/>
        <v>69591314.887055054</v>
      </c>
      <c r="BJ16" s="593">
        <f t="shared" si="19"/>
        <v>75135991.292116344</v>
      </c>
      <c r="BK16" s="593">
        <f t="shared" si="19"/>
        <v>74434610.158106461</v>
      </c>
      <c r="BL16" s="593">
        <f t="shared" si="19"/>
        <v>78532724.402362838</v>
      </c>
      <c r="BM16" s="593">
        <f t="shared" si="19"/>
        <v>84264653.414522216</v>
      </c>
      <c r="BN16" s="593">
        <f t="shared" si="19"/>
        <v>80441810.633301571</v>
      </c>
      <c r="BO16" s="593">
        <f t="shared" si="19"/>
        <v>85677313.822375879</v>
      </c>
      <c r="BP16" s="588">
        <f>SUM(BD16:BO16)</f>
        <v>853877959.10759246</v>
      </c>
      <c r="BQ16" s="590"/>
      <c r="BR16" s="591">
        <f>BP16/BP17</f>
        <v>7.7625269009781145E-2</v>
      </c>
      <c r="BS16" s="591">
        <f>BP16/AV16</f>
        <v>2.5041610106870329</v>
      </c>
      <c r="BV16" s="588">
        <f>'2018 VN YouTube View'!R13</f>
        <v>112112243</v>
      </c>
      <c r="BW16" s="588">
        <f>'2018 VN YouTube View'!S13</f>
        <v>80518892</v>
      </c>
      <c r="BX16" s="588">
        <f>'2018 VN YouTube View'!T13</f>
        <v>111529569</v>
      </c>
      <c r="BY16" s="588">
        <f>'2018 VN YouTube View'!U13</f>
        <v>145868611</v>
      </c>
      <c r="BZ16" s="588">
        <f>'2018 VN YouTube View'!V13</f>
        <v>216479216</v>
      </c>
      <c r="CA16" s="588">
        <f>'2018 VN YouTube View'!W13</f>
        <v>228549869</v>
      </c>
      <c r="CB16" s="588">
        <f>'2018 VN YouTube View'!X13</f>
        <v>227194036</v>
      </c>
      <c r="CC16" s="588">
        <f>'2018 VN YouTube View'!Y13</f>
        <v>192005439</v>
      </c>
      <c r="CD16" s="588">
        <f>'2018 VN YouTube View'!Z13</f>
        <v>94682943</v>
      </c>
      <c r="CE16" s="588">
        <f>'2018 VN YouTube View'!AA13</f>
        <v>0</v>
      </c>
      <c r="CF16" s="588">
        <f>'2018 VN YouTube View'!AB13</f>
        <v>0</v>
      </c>
      <c r="CG16" s="588">
        <f>'2018 VN YouTube View'!AC13</f>
        <v>0</v>
      </c>
      <c r="CH16" s="588">
        <f>SUM(BV16:CG16)</f>
        <v>1408940818</v>
      </c>
      <c r="CI16" s="590"/>
      <c r="CJ16" s="591">
        <f>CH16/CH17</f>
        <v>0.21001072779857394</v>
      </c>
      <c r="CK16" s="591">
        <f t="shared" si="18"/>
        <v>4.1319893846288211</v>
      </c>
    </row>
    <row r="17" spans="2:89" s="577" customFormat="1" ht="12.75">
      <c r="C17" s="577" t="s">
        <v>127</v>
      </c>
      <c r="T17" s="578">
        <f t="shared" ref="T17:AE17" si="20">SUM(T15:T16)</f>
        <v>0</v>
      </c>
      <c r="U17" s="578">
        <f t="shared" si="20"/>
        <v>0</v>
      </c>
      <c r="V17" s="578">
        <f t="shared" si="20"/>
        <v>0</v>
      </c>
      <c r="W17" s="578">
        <f t="shared" si="20"/>
        <v>86578</v>
      </c>
      <c r="X17" s="578">
        <f t="shared" si="20"/>
        <v>89365210</v>
      </c>
      <c r="Y17" s="578">
        <f t="shared" si="20"/>
        <v>161797166</v>
      </c>
      <c r="Z17" s="578">
        <f t="shared" si="20"/>
        <v>155807609</v>
      </c>
      <c r="AA17" s="578">
        <f t="shared" si="20"/>
        <v>155675208</v>
      </c>
      <c r="AB17" s="578">
        <f t="shared" si="20"/>
        <v>155332773</v>
      </c>
      <c r="AC17" s="578">
        <f t="shared" si="20"/>
        <v>171530898</v>
      </c>
      <c r="AD17" s="578">
        <f t="shared" si="20"/>
        <v>179747828</v>
      </c>
      <c r="AE17" s="578">
        <f t="shared" si="20"/>
        <v>192908953</v>
      </c>
      <c r="AF17" s="578">
        <f>SUM(T17:AE17)</f>
        <v>1262252223</v>
      </c>
      <c r="AG17" s="594">
        <f>AF17/$AF$22</f>
        <v>8.5970155752017954E-2</v>
      </c>
      <c r="AI17" s="591" t="e">
        <f>AF17/Q17</f>
        <v>#DIV/0!</v>
      </c>
      <c r="AJ17" s="578">
        <f t="shared" ref="AJ17:AT17" si="21">SUM(AJ15:AJ16)</f>
        <v>199821673</v>
      </c>
      <c r="AK17" s="578">
        <f t="shared" si="21"/>
        <v>180432964</v>
      </c>
      <c r="AL17" s="578">
        <f t="shared" si="21"/>
        <v>213199294</v>
      </c>
      <c r="AM17" s="578">
        <f t="shared" si="21"/>
        <v>247646617</v>
      </c>
      <c r="AN17" s="578">
        <f t="shared" si="21"/>
        <v>259872566</v>
      </c>
      <c r="AO17" s="578">
        <f t="shared" si="21"/>
        <v>262823780</v>
      </c>
      <c r="AP17" s="578">
        <f t="shared" si="21"/>
        <v>324125360</v>
      </c>
      <c r="AQ17" s="578">
        <f t="shared" si="21"/>
        <v>319402886</v>
      </c>
      <c r="AR17" s="578">
        <f t="shared" si="21"/>
        <v>423005943</v>
      </c>
      <c r="AS17" s="578">
        <f t="shared" si="21"/>
        <v>564195619</v>
      </c>
      <c r="AT17" s="578">
        <f t="shared" si="21"/>
        <v>607896560</v>
      </c>
      <c r="AU17" s="578">
        <f>AT17*130%</f>
        <v>790265528</v>
      </c>
      <c r="AV17" s="578">
        <f>SUM(AJ17:AU17)</f>
        <v>4392688790</v>
      </c>
      <c r="AW17" s="594">
        <f>AV17/$AV$22</f>
        <v>0.16611689900335438</v>
      </c>
      <c r="AY17" s="591">
        <f>AV17/AF17</f>
        <v>3.4800404467182311</v>
      </c>
      <c r="AZ17" s="591"/>
      <c r="BA17" s="594">
        <f>SUM(AC17:AE17,AJ17:AR17)/SUM($AC$22:$AE$22,$AJ$22:$AR$22)</f>
        <v>0.12791286406254423</v>
      </c>
      <c r="BB17" s="595">
        <v>0.22</v>
      </c>
      <c r="BC17" s="595"/>
      <c r="BD17" s="581">
        <f>BD22*$BB$17</f>
        <v>729023182.06635094</v>
      </c>
      <c r="BE17" s="581">
        <f t="shared" ref="BE17:BO17" si="22">BE22*$BB$17</f>
        <v>650659443.40600073</v>
      </c>
      <c r="BF17" s="581">
        <f t="shared" si="22"/>
        <v>803047771.4467293</v>
      </c>
      <c r="BG17" s="581">
        <f t="shared" si="22"/>
        <v>843201131.25725234</v>
      </c>
      <c r="BH17" s="581">
        <f t="shared" si="22"/>
        <v>913501396.16200244</v>
      </c>
      <c r="BI17" s="581">
        <f t="shared" si="22"/>
        <v>896503365.13856387</v>
      </c>
      <c r="BJ17" s="581">
        <f t="shared" si="22"/>
        <v>967932121.20976841</v>
      </c>
      <c r="BK17" s="581">
        <f t="shared" si="22"/>
        <v>958896646.77010489</v>
      </c>
      <c r="BL17" s="581">
        <f t="shared" si="22"/>
        <v>1011690206.0908461</v>
      </c>
      <c r="BM17" s="581">
        <f t="shared" si="22"/>
        <v>1085531225.7134271</v>
      </c>
      <c r="BN17" s="581">
        <f t="shared" si="22"/>
        <v>1036283824.3197011</v>
      </c>
      <c r="BO17" s="581">
        <f t="shared" si="22"/>
        <v>1103729686.4192529</v>
      </c>
      <c r="BP17" s="578">
        <f>SUM(BD17:BO17)</f>
        <v>10999999999.999998</v>
      </c>
      <c r="BQ17" s="594">
        <f>BP17/$BP$22</f>
        <v>0.21999999999999997</v>
      </c>
      <c r="BS17" s="591">
        <f>BP17/AV17</f>
        <v>2.5041610106870325</v>
      </c>
      <c r="BV17" s="578">
        <f t="shared" ref="BV17:CF17" si="23">SUM(BV15:BV16)</f>
        <v>712243496</v>
      </c>
      <c r="BW17" s="578">
        <f t="shared" si="23"/>
        <v>640353919</v>
      </c>
      <c r="BX17" s="578">
        <f t="shared" si="23"/>
        <v>663392460</v>
      </c>
      <c r="BY17" s="578">
        <f t="shared" si="23"/>
        <v>693831478</v>
      </c>
      <c r="BZ17" s="578">
        <f t="shared" si="23"/>
        <v>796396532</v>
      </c>
      <c r="CA17" s="578">
        <f t="shared" si="23"/>
        <v>913021074</v>
      </c>
      <c r="CB17" s="578">
        <f t="shared" si="23"/>
        <v>907602165</v>
      </c>
      <c r="CC17" s="578">
        <f t="shared" si="23"/>
        <v>810832920</v>
      </c>
      <c r="CD17" s="578">
        <f t="shared" si="23"/>
        <v>571225224</v>
      </c>
      <c r="CE17" s="578">
        <f t="shared" si="23"/>
        <v>0</v>
      </c>
      <c r="CF17" s="578">
        <f t="shared" si="23"/>
        <v>0</v>
      </c>
      <c r="CG17" s="578">
        <f>CF17*130%</f>
        <v>0</v>
      </c>
      <c r="CH17" s="578">
        <f>SUM(BV17:CG17)</f>
        <v>6708899268</v>
      </c>
      <c r="CI17" s="594">
        <f>CH17/$AV$22</f>
        <v>0.25370828560928721</v>
      </c>
      <c r="CK17" s="591">
        <f t="shared" si="18"/>
        <v>1.5272876337774888</v>
      </c>
    </row>
    <row r="18" spans="2:89" s="577" customFormat="1">
      <c r="C18" s="569" t="s">
        <v>128</v>
      </c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D18" s="596">
        <f>AD17/AC17</f>
        <v>1.0479034978292949</v>
      </c>
      <c r="AE18" s="596">
        <f>AE17/AD17</f>
        <v>1.0732199389914185</v>
      </c>
      <c r="AF18" s="578"/>
      <c r="AG18" s="594"/>
      <c r="AI18" s="584"/>
      <c r="AJ18" s="578"/>
      <c r="AK18" s="578"/>
      <c r="AL18" s="578"/>
      <c r="AM18" s="578"/>
      <c r="AN18" s="578"/>
      <c r="AO18" s="578"/>
      <c r="AP18" s="578"/>
      <c r="AQ18" s="578"/>
      <c r="AR18" s="578"/>
      <c r="AS18" s="602"/>
      <c r="AT18" s="602"/>
      <c r="AU18" s="602"/>
      <c r="AV18" s="578"/>
      <c r="AW18" s="594"/>
      <c r="AY18" s="584"/>
      <c r="AZ18" s="584"/>
      <c r="BA18" s="594"/>
      <c r="BB18" s="595"/>
      <c r="BC18" s="595"/>
      <c r="BD18" s="581"/>
      <c r="BE18" s="581"/>
      <c r="BF18" s="581"/>
      <c r="BG18" s="581"/>
      <c r="BH18" s="581"/>
      <c r="BI18" s="581"/>
      <c r="BJ18" s="581"/>
      <c r="BK18" s="581"/>
      <c r="BL18" s="581"/>
      <c r="BM18" s="581"/>
      <c r="BN18" s="581"/>
      <c r="BO18" s="581"/>
      <c r="BP18" s="578"/>
      <c r="BQ18" s="594"/>
      <c r="BS18" s="591"/>
      <c r="BV18" s="578"/>
      <c r="BW18" s="578"/>
      <c r="BX18" s="578"/>
      <c r="BY18" s="578"/>
      <c r="BZ18" s="578"/>
      <c r="CA18" s="578"/>
      <c r="CB18" s="578"/>
      <c r="CC18" s="578"/>
      <c r="CD18" s="578"/>
      <c r="CE18" s="602"/>
      <c r="CF18" s="602"/>
      <c r="CG18" s="602"/>
      <c r="CH18" s="578"/>
      <c r="CI18" s="594"/>
      <c r="CK18" s="584"/>
    </row>
    <row r="19" spans="2:89" s="587" customFormat="1" ht="12.75">
      <c r="D19" s="587" t="s">
        <v>123</v>
      </c>
      <c r="T19" s="588"/>
      <c r="U19" s="588"/>
      <c r="V19" s="588"/>
      <c r="W19" s="588">
        <v>6001897</v>
      </c>
      <c r="X19" s="588">
        <v>17390439</v>
      </c>
      <c r="Y19" s="588">
        <v>32204454</v>
      </c>
      <c r="Z19" s="588">
        <v>35341911</v>
      </c>
      <c r="AA19" s="588">
        <v>32726446</v>
      </c>
      <c r="AB19" s="588">
        <v>33449204</v>
      </c>
      <c r="AC19" s="588">
        <v>31398331</v>
      </c>
      <c r="AD19" s="588">
        <v>28245406</v>
      </c>
      <c r="AE19" s="588">
        <v>35961352</v>
      </c>
      <c r="AF19" s="588">
        <f>SUM(T19:AE19)</f>
        <v>252719440</v>
      </c>
      <c r="AG19" s="590"/>
      <c r="AH19" s="591">
        <f>AF19/AF21</f>
        <v>0.86082133103090142</v>
      </c>
      <c r="AI19" s="591" t="e">
        <f>AF19/Q19</f>
        <v>#DIV/0!</v>
      </c>
      <c r="AJ19" s="588">
        <v>42994207</v>
      </c>
      <c r="AK19" s="588">
        <v>44833993</v>
      </c>
      <c r="AL19" s="588">
        <v>55320433</v>
      </c>
      <c r="AM19" s="588">
        <v>74901575</v>
      </c>
      <c r="AN19" s="588">
        <v>76189641</v>
      </c>
      <c r="AO19" s="588">
        <v>73174184</v>
      </c>
      <c r="AP19" s="588">
        <v>75219334</v>
      </c>
      <c r="AQ19" s="588">
        <v>88527704</v>
      </c>
      <c r="AR19" s="588">
        <v>75943317</v>
      </c>
      <c r="AS19" s="588">
        <v>84642953</v>
      </c>
      <c r="AT19" s="588">
        <v>89004870</v>
      </c>
      <c r="AU19" s="588">
        <v>80633434</v>
      </c>
      <c r="AV19" s="588">
        <f>SUM(AJ19:AU19)</f>
        <v>861385645</v>
      </c>
      <c r="AW19" s="590"/>
      <c r="AX19" s="591">
        <f>AV19/AV21</f>
        <v>0.86689454920482123</v>
      </c>
      <c r="AY19" s="591">
        <f>AV19/AF19</f>
        <v>3.4084661037552157</v>
      </c>
      <c r="AZ19" s="591"/>
      <c r="BA19" s="590"/>
      <c r="BB19" s="592"/>
      <c r="BC19" s="592">
        <f>AX19</f>
        <v>0.86689454920482123</v>
      </c>
      <c r="BD19" s="593">
        <f t="shared" ref="BD19:BO19" si="24">BD21-BD20</f>
        <v>71816616.224690199</v>
      </c>
      <c r="BE19" s="593">
        <f t="shared" si="24"/>
        <v>64096946.008784644</v>
      </c>
      <c r="BF19" s="593">
        <f t="shared" si="24"/>
        <v>79108833.61571008</v>
      </c>
      <c r="BG19" s="593">
        <f t="shared" si="24"/>
        <v>83064370.973892152</v>
      </c>
      <c r="BH19" s="593">
        <f t="shared" si="24"/>
        <v>89989702.389072031</v>
      </c>
      <c r="BI19" s="593">
        <f t="shared" si="24"/>
        <v>88315213.702545524</v>
      </c>
      <c r="BJ19" s="593">
        <f t="shared" si="24"/>
        <v>95351713.62238735</v>
      </c>
      <c r="BK19" s="593">
        <f t="shared" si="24"/>
        <v>94461622.310884625</v>
      </c>
      <c r="BL19" s="593">
        <f t="shared" si="24"/>
        <v>99662355.130006447</v>
      </c>
      <c r="BM19" s="593">
        <f t="shared" si="24"/>
        <v>106936488.927568</v>
      </c>
      <c r="BN19" s="593">
        <f t="shared" si="24"/>
        <v>102085090.76498584</v>
      </c>
      <c r="BO19" s="593">
        <f t="shared" si="24"/>
        <v>108729232.83549964</v>
      </c>
      <c r="BP19" s="588">
        <f>SUM(BD19:BO19)</f>
        <v>1083618186.5060263</v>
      </c>
      <c r="BQ19" s="590"/>
      <c r="BR19" s="591">
        <f>BP19/BP21</f>
        <v>0.86689454920482101</v>
      </c>
      <c r="BS19" s="591">
        <f>BP19/AV19</f>
        <v>1.2579942477518606</v>
      </c>
      <c r="BV19" s="588">
        <f>'2018 VN YouTube View'!R16</f>
        <v>100691266</v>
      </c>
      <c r="BW19" s="588">
        <f>'2018 VN YouTube View'!S16</f>
        <v>87725110</v>
      </c>
      <c r="BX19" s="588">
        <f>'2018 VN YouTube View'!T16</f>
        <v>153626660</v>
      </c>
      <c r="BY19" s="588">
        <f>'2018 VN YouTube View'!U16</f>
        <v>184714554</v>
      </c>
      <c r="BZ19" s="588">
        <f>'2018 VN YouTube View'!V16</f>
        <v>156759564</v>
      </c>
      <c r="CA19" s="588">
        <f>'2018 VN YouTube View'!W16</f>
        <v>122963683</v>
      </c>
      <c r="CB19" s="588">
        <f>'2018 VN YouTube View'!X16</f>
        <v>153441957</v>
      </c>
      <c r="CC19" s="588">
        <f>'2018 VN YouTube View'!Y16</f>
        <v>125940833</v>
      </c>
      <c r="CD19" s="588">
        <f>'2018 VN YouTube View'!Z16</f>
        <v>96677191</v>
      </c>
      <c r="CE19" s="588">
        <f>'2018 VN YouTube View'!AA16</f>
        <v>0</v>
      </c>
      <c r="CF19" s="588">
        <f>'2018 VN YouTube View'!AB16</f>
        <v>0</v>
      </c>
      <c r="CG19" s="588">
        <f>'2018 VN YouTube View'!AC16</f>
        <v>0</v>
      </c>
      <c r="CH19" s="588">
        <f>SUM(BV19:CG19)</f>
        <v>1182540818</v>
      </c>
      <c r="CI19" s="590"/>
      <c r="CJ19" s="591">
        <f>CH19/CH21</f>
        <v>0.62492702273541167</v>
      </c>
      <c r="CK19" s="591">
        <f t="shared" ref="CK19:CK21" si="25">CH19/AV19</f>
        <v>1.3728355294335095</v>
      </c>
    </row>
    <row r="20" spans="2:89" s="587" customFormat="1" ht="12.75">
      <c r="D20" s="587" t="s">
        <v>124</v>
      </c>
      <c r="T20" s="588"/>
      <c r="U20" s="588"/>
      <c r="V20" s="588"/>
      <c r="W20" s="588">
        <v>239102</v>
      </c>
      <c r="X20" s="588">
        <v>942731</v>
      </c>
      <c r="Y20" s="588">
        <v>1313396</v>
      </c>
      <c r="Z20" s="588">
        <v>1087556</v>
      </c>
      <c r="AA20" s="588">
        <v>834007</v>
      </c>
      <c r="AB20" s="588">
        <v>1999093</v>
      </c>
      <c r="AC20" s="588">
        <v>4433434</v>
      </c>
      <c r="AD20" s="588">
        <v>24991770</v>
      </c>
      <c r="AE20" s="588">
        <v>5018906</v>
      </c>
      <c r="AF20" s="588">
        <f>SUM(T20:AE20)</f>
        <v>40859995</v>
      </c>
      <c r="AG20" s="590"/>
      <c r="AH20" s="591">
        <f>AF20/AF21</f>
        <v>0.13917866896909861</v>
      </c>
      <c r="AI20" s="591" t="e">
        <f>AF20/Q20</f>
        <v>#DIV/0!</v>
      </c>
      <c r="AJ20" s="588">
        <v>3919811</v>
      </c>
      <c r="AK20" s="588">
        <v>5547266</v>
      </c>
      <c r="AL20" s="588">
        <v>3820477</v>
      </c>
      <c r="AM20" s="588">
        <v>5488258</v>
      </c>
      <c r="AN20" s="588">
        <v>6028224</v>
      </c>
      <c r="AO20" s="588">
        <v>11834340</v>
      </c>
      <c r="AP20" s="588">
        <v>10839599</v>
      </c>
      <c r="AQ20" s="588">
        <v>19022243</v>
      </c>
      <c r="AR20" s="588">
        <v>8854051</v>
      </c>
      <c r="AS20" s="588">
        <v>8879851</v>
      </c>
      <c r="AT20" s="588">
        <v>21758191</v>
      </c>
      <c r="AU20" s="588">
        <v>26267287</v>
      </c>
      <c r="AV20" s="588">
        <f>SUM(AJ20:AU20)</f>
        <v>132259598</v>
      </c>
      <c r="AW20" s="590"/>
      <c r="AX20" s="591">
        <f>AV20/AV21</f>
        <v>0.13310545079517883</v>
      </c>
      <c r="AY20" s="591">
        <f>AV20/AF20</f>
        <v>3.2368970676574973</v>
      </c>
      <c r="AZ20" s="591"/>
      <c r="BA20" s="590"/>
      <c r="BB20" s="592"/>
      <c r="BC20" s="592">
        <f>AX20</f>
        <v>0.13310545079517883</v>
      </c>
      <c r="BD20" s="593">
        <f>BD21*$BC$20</f>
        <v>11026927.191940613</v>
      </c>
      <c r="BE20" s="593">
        <f t="shared" ref="BE20:BO20" si="26">BE21*$BC$20</f>
        <v>9841627.1055336222</v>
      </c>
      <c r="BF20" s="593">
        <f t="shared" si="26"/>
        <v>12146594.957781892</v>
      </c>
      <c r="BG20" s="593">
        <f t="shared" si="26"/>
        <v>12753939.396250151</v>
      </c>
      <c r="BH20" s="593">
        <f t="shared" si="26"/>
        <v>13817274.447519155</v>
      </c>
      <c r="BI20" s="593">
        <f t="shared" si="26"/>
        <v>13560168.699564017</v>
      </c>
      <c r="BJ20" s="593">
        <f t="shared" si="26"/>
        <v>14640572.878722718</v>
      </c>
      <c r="BK20" s="593">
        <f t="shared" si="26"/>
        <v>14503905.731172748</v>
      </c>
      <c r="BL20" s="593">
        <f t="shared" si="26"/>
        <v>15302441.016680619</v>
      </c>
      <c r="BM20" s="593">
        <f t="shared" si="26"/>
        <v>16419332.176230539</v>
      </c>
      <c r="BN20" s="593">
        <f t="shared" si="26"/>
        <v>15674434.725889286</v>
      </c>
      <c r="BO20" s="593">
        <f t="shared" si="26"/>
        <v>16694595.166688185</v>
      </c>
      <c r="BP20" s="588">
        <f>SUM(BD20:BO20)</f>
        <v>166381813.49397352</v>
      </c>
      <c r="BQ20" s="590"/>
      <c r="BR20" s="591">
        <f>BP20/BP21</f>
        <v>0.13310545079517883</v>
      </c>
      <c r="BS20" s="591">
        <f>BP20/AV20</f>
        <v>1.2579942477518609</v>
      </c>
      <c r="BV20" s="588">
        <f>'2018 VN YouTube View'!R17</f>
        <v>25297833</v>
      </c>
      <c r="BW20" s="588">
        <f>'2018 VN YouTube View'!S17</f>
        <v>12978272</v>
      </c>
      <c r="BX20" s="588">
        <f>'2018 VN YouTube View'!T17</f>
        <v>16189775</v>
      </c>
      <c r="BY20" s="588">
        <f>'2018 VN YouTube View'!U17</f>
        <v>173989023</v>
      </c>
      <c r="BZ20" s="588">
        <f>'2018 VN YouTube View'!V17</f>
        <v>244439295</v>
      </c>
      <c r="CA20" s="588">
        <f>'2018 VN YouTube View'!W17</f>
        <v>41552177</v>
      </c>
      <c r="CB20" s="588">
        <f>'2018 VN YouTube View'!X17</f>
        <v>61296798</v>
      </c>
      <c r="CC20" s="588">
        <f>'2018 VN YouTube View'!Y17</f>
        <v>66068063</v>
      </c>
      <c r="CD20" s="588">
        <f>'2018 VN YouTube View'!Z17</f>
        <v>67934205</v>
      </c>
      <c r="CE20" s="588">
        <f>'2018 VN YouTube View'!AA17</f>
        <v>0</v>
      </c>
      <c r="CF20" s="588">
        <f>'2018 VN YouTube View'!AB17</f>
        <v>0</v>
      </c>
      <c r="CG20" s="588">
        <f>'2018 VN YouTube View'!AC17</f>
        <v>0</v>
      </c>
      <c r="CH20" s="588">
        <f>SUM(BV20:CG20)</f>
        <v>709745441</v>
      </c>
      <c r="CI20" s="590"/>
      <c r="CJ20" s="591">
        <f>CH20/CH21</f>
        <v>0.37507297726458838</v>
      </c>
      <c r="CK20" s="591">
        <f t="shared" si="25"/>
        <v>5.3663057481847174</v>
      </c>
    </row>
    <row r="21" spans="2:89" s="577" customFormat="1" ht="12.75">
      <c r="C21" s="577" t="s">
        <v>129</v>
      </c>
      <c r="T21" s="578">
        <f t="shared" ref="T21:AE21" si="27">SUM(T19:T20)</f>
        <v>0</v>
      </c>
      <c r="U21" s="578">
        <f t="shared" si="27"/>
        <v>0</v>
      </c>
      <c r="V21" s="578">
        <f t="shared" si="27"/>
        <v>0</v>
      </c>
      <c r="W21" s="578">
        <f t="shared" si="27"/>
        <v>6240999</v>
      </c>
      <c r="X21" s="578">
        <f t="shared" si="27"/>
        <v>18333170</v>
      </c>
      <c r="Y21" s="578">
        <f t="shared" si="27"/>
        <v>33517850</v>
      </c>
      <c r="Z21" s="578">
        <f t="shared" si="27"/>
        <v>36429467</v>
      </c>
      <c r="AA21" s="578">
        <f t="shared" si="27"/>
        <v>33560453</v>
      </c>
      <c r="AB21" s="578">
        <f t="shared" si="27"/>
        <v>35448297</v>
      </c>
      <c r="AC21" s="578">
        <f t="shared" si="27"/>
        <v>35831765</v>
      </c>
      <c r="AD21" s="578">
        <f t="shared" si="27"/>
        <v>53237176</v>
      </c>
      <c r="AE21" s="578">
        <f t="shared" si="27"/>
        <v>40980258</v>
      </c>
      <c r="AF21" s="578">
        <f>SUM(T21:AE21)</f>
        <v>293579435</v>
      </c>
      <c r="AG21" s="594">
        <f>AF21/$AF$22</f>
        <v>1.9995266629480462E-2</v>
      </c>
      <c r="AI21" s="591" t="e">
        <f>AF21/Q21</f>
        <v>#DIV/0!</v>
      </c>
      <c r="AJ21" s="578">
        <f t="shared" ref="AJ21:AU21" si="28">SUM(AJ19:AJ20)</f>
        <v>46914018</v>
      </c>
      <c r="AK21" s="578">
        <f t="shared" si="28"/>
        <v>50381259</v>
      </c>
      <c r="AL21" s="578">
        <f t="shared" si="28"/>
        <v>59140910</v>
      </c>
      <c r="AM21" s="578">
        <f t="shared" si="28"/>
        <v>80389833</v>
      </c>
      <c r="AN21" s="578">
        <f t="shared" si="28"/>
        <v>82217865</v>
      </c>
      <c r="AO21" s="578">
        <f t="shared" si="28"/>
        <v>85008524</v>
      </c>
      <c r="AP21" s="578">
        <f t="shared" si="28"/>
        <v>86058933</v>
      </c>
      <c r="AQ21" s="578">
        <f t="shared" si="28"/>
        <v>107549947</v>
      </c>
      <c r="AR21" s="578">
        <f t="shared" si="28"/>
        <v>84797368</v>
      </c>
      <c r="AS21" s="578">
        <f t="shared" si="28"/>
        <v>93522804</v>
      </c>
      <c r="AT21" s="578">
        <f t="shared" si="28"/>
        <v>110763061</v>
      </c>
      <c r="AU21" s="578">
        <f t="shared" si="28"/>
        <v>106900721</v>
      </c>
      <c r="AV21" s="578">
        <f>SUM(AJ21:AU21)</f>
        <v>993645243</v>
      </c>
      <c r="AW21" s="594">
        <f>AV21/$AV$22</f>
        <v>3.7576362535028239E-2</v>
      </c>
      <c r="AX21" s="594"/>
      <c r="AY21" s="591">
        <f>AV21/AF21</f>
        <v>3.3845873536748239</v>
      </c>
      <c r="AZ21" s="591"/>
      <c r="BA21" s="594">
        <f>SUM(AC21:AE21,AJ21:AR21)/SUM($AC$22:$AE$22,$AJ$22:$AR$22)</f>
        <v>3.4940175285496242E-2</v>
      </c>
      <c r="BB21" s="595">
        <v>2.5000000000000001E-2</v>
      </c>
      <c r="BC21" s="595"/>
      <c r="BD21" s="581">
        <f>BD22*$BB$21</f>
        <v>82843543.416630805</v>
      </c>
      <c r="BE21" s="581">
        <f t="shared" ref="BE21:BO21" si="29">BE22*$BB$21</f>
        <v>73938573.114318267</v>
      </c>
      <c r="BF21" s="581">
        <f t="shared" si="29"/>
        <v>91255428.573491976</v>
      </c>
      <c r="BG21" s="581">
        <f t="shared" si="29"/>
        <v>95818310.370142311</v>
      </c>
      <c r="BH21" s="581">
        <f t="shared" si="29"/>
        <v>103806976.83659118</v>
      </c>
      <c r="BI21" s="581">
        <f t="shared" si="29"/>
        <v>101875382.40210953</v>
      </c>
      <c r="BJ21" s="581">
        <f t="shared" si="29"/>
        <v>109992286.50111006</v>
      </c>
      <c r="BK21" s="581">
        <f t="shared" si="29"/>
        <v>108965528.04205738</v>
      </c>
      <c r="BL21" s="581">
        <f t="shared" si="29"/>
        <v>114964796.14668706</v>
      </c>
      <c r="BM21" s="581">
        <f t="shared" si="29"/>
        <v>123355821.10379854</v>
      </c>
      <c r="BN21" s="581">
        <f t="shared" si="29"/>
        <v>117759525.49087512</v>
      </c>
      <c r="BO21" s="581">
        <f t="shared" si="29"/>
        <v>125423828.00218783</v>
      </c>
      <c r="BP21" s="578">
        <f>SUM(BD21:BO21)</f>
        <v>1250000000</v>
      </c>
      <c r="BQ21" s="594">
        <f>BP21/$BP$22</f>
        <v>2.5000000000000001E-2</v>
      </c>
      <c r="BR21" s="594"/>
      <c r="BS21" s="591">
        <f>BP21/AV21</f>
        <v>1.2579942477518609</v>
      </c>
      <c r="BT21" s="596">
        <f>(BP13+BP21)/(AV13+AV21)</f>
        <v>1.7883633986964629</v>
      </c>
      <c r="BV21" s="578">
        <f t="shared" ref="BV21:CG21" si="30">SUM(BV19:BV20)</f>
        <v>125989099</v>
      </c>
      <c r="BW21" s="578">
        <f t="shared" si="30"/>
        <v>100703382</v>
      </c>
      <c r="BX21" s="578">
        <f t="shared" si="30"/>
        <v>169816435</v>
      </c>
      <c r="BY21" s="578">
        <f t="shared" si="30"/>
        <v>358703577</v>
      </c>
      <c r="BZ21" s="578">
        <f t="shared" si="30"/>
        <v>401198859</v>
      </c>
      <c r="CA21" s="578">
        <f t="shared" si="30"/>
        <v>164515860</v>
      </c>
      <c r="CB21" s="578">
        <f t="shared" si="30"/>
        <v>214738755</v>
      </c>
      <c r="CC21" s="578">
        <f t="shared" si="30"/>
        <v>192008896</v>
      </c>
      <c r="CD21" s="578">
        <f t="shared" si="30"/>
        <v>164611396</v>
      </c>
      <c r="CE21" s="578">
        <f t="shared" si="30"/>
        <v>0</v>
      </c>
      <c r="CF21" s="578">
        <f t="shared" si="30"/>
        <v>0</v>
      </c>
      <c r="CG21" s="578">
        <f t="shared" si="30"/>
        <v>0</v>
      </c>
      <c r="CH21" s="578">
        <f>SUM(BV21:CG21)</f>
        <v>1892286259</v>
      </c>
      <c r="CI21" s="594">
        <f>CH21/$AV$22</f>
        <v>7.1559980776998836E-2</v>
      </c>
      <c r="CJ21" s="594"/>
      <c r="CK21" s="591">
        <f t="shared" si="25"/>
        <v>1.9043881831375105</v>
      </c>
    </row>
    <row r="22" spans="2:89">
      <c r="B22" s="577" t="s">
        <v>130</v>
      </c>
      <c r="C22" s="577"/>
      <c r="D22" s="577"/>
      <c r="E22" s="578">
        <f>SUM(E9+E13+E17+E21)</f>
        <v>388363394</v>
      </c>
      <c r="F22" s="578">
        <f t="shared" ref="F22:Q22" si="31">SUM(F9+F13+F17+F21)</f>
        <v>419573546</v>
      </c>
      <c r="G22" s="578">
        <f t="shared" si="31"/>
        <v>507816895</v>
      </c>
      <c r="H22" s="578">
        <f t="shared" si="31"/>
        <v>508968335</v>
      </c>
      <c r="I22" s="578">
        <f t="shared" si="31"/>
        <v>590002936</v>
      </c>
      <c r="J22" s="578">
        <f t="shared" si="31"/>
        <v>586603588</v>
      </c>
      <c r="K22" s="578">
        <f t="shared" si="31"/>
        <v>606223241</v>
      </c>
      <c r="L22" s="578">
        <f t="shared" si="31"/>
        <v>625206502</v>
      </c>
      <c r="M22" s="578">
        <f t="shared" si="31"/>
        <v>613303068</v>
      </c>
      <c r="N22" s="578">
        <f t="shared" si="31"/>
        <v>742819253</v>
      </c>
      <c r="O22" s="578">
        <f t="shared" si="31"/>
        <v>793058159</v>
      </c>
      <c r="P22" s="578">
        <f t="shared" si="31"/>
        <v>921182695</v>
      </c>
      <c r="Q22" s="578">
        <f t="shared" si="31"/>
        <v>7303121612</v>
      </c>
      <c r="R22" s="577"/>
      <c r="S22" s="577"/>
      <c r="T22" s="578">
        <f t="shared" ref="T22:AF22" si="32">SUM(T9+T13+T17+T21)</f>
        <v>999134926</v>
      </c>
      <c r="U22" s="578">
        <f t="shared" si="32"/>
        <v>853071842</v>
      </c>
      <c r="V22" s="578">
        <f t="shared" si="32"/>
        <v>947228659</v>
      </c>
      <c r="W22" s="578">
        <f t="shared" si="32"/>
        <v>954868279</v>
      </c>
      <c r="X22" s="578">
        <f t="shared" si="32"/>
        <v>1204937738</v>
      </c>
      <c r="Y22" s="578">
        <f t="shared" si="32"/>
        <v>1244916823</v>
      </c>
      <c r="Z22" s="578">
        <f t="shared" si="32"/>
        <v>1313003790</v>
      </c>
      <c r="AA22" s="578">
        <f t="shared" si="32"/>
        <v>1332962552</v>
      </c>
      <c r="AB22" s="578">
        <f t="shared" si="32"/>
        <v>1267401249</v>
      </c>
      <c r="AC22" s="578">
        <f t="shared" si="32"/>
        <v>1414969363</v>
      </c>
      <c r="AD22" s="578">
        <f t="shared" si="32"/>
        <v>1495843729</v>
      </c>
      <c r="AE22" s="578">
        <f t="shared" si="32"/>
        <v>1654107673</v>
      </c>
      <c r="AF22" s="578">
        <f t="shared" si="32"/>
        <v>14682446623</v>
      </c>
      <c r="AG22" s="577"/>
      <c r="AH22" s="577"/>
      <c r="AI22" s="591">
        <f>AF22/Q22</f>
        <v>2.01043435985987</v>
      </c>
      <c r="AJ22" s="578">
        <f t="shared" ref="AJ22:AV22" si="33">SUM(AJ9+AJ13+AJ17+AJ21)</f>
        <v>1752529245</v>
      </c>
      <c r="AK22" s="578">
        <f t="shared" si="33"/>
        <v>1564147384</v>
      </c>
      <c r="AL22" s="578">
        <f t="shared" si="33"/>
        <v>1930480044</v>
      </c>
      <c r="AM22" s="578">
        <f t="shared" si="33"/>
        <v>2027006381</v>
      </c>
      <c r="AN22" s="578">
        <f t="shared" si="33"/>
        <v>2196004121</v>
      </c>
      <c r="AO22" s="578">
        <f t="shared" si="33"/>
        <v>2155141845</v>
      </c>
      <c r="AP22" s="578">
        <f t="shared" si="33"/>
        <v>2326852412</v>
      </c>
      <c r="AQ22" s="578">
        <f t="shared" si="33"/>
        <v>2305131658</v>
      </c>
      <c r="AR22" s="578">
        <f t="shared" si="33"/>
        <v>2432044298</v>
      </c>
      <c r="AS22" s="578">
        <f t="shared" si="33"/>
        <v>2609553806</v>
      </c>
      <c r="AT22" s="578">
        <f t="shared" si="33"/>
        <v>2491165923</v>
      </c>
      <c r="AU22" s="578">
        <f t="shared" si="33"/>
        <v>2653301845</v>
      </c>
      <c r="AV22" s="578">
        <f t="shared" si="33"/>
        <v>26443358962</v>
      </c>
      <c r="AW22" s="577"/>
      <c r="AX22" s="577"/>
      <c r="AY22" s="577"/>
      <c r="AZ22" s="577"/>
      <c r="BA22" s="603">
        <f>SUM(BA9:BA21)</f>
        <v>0.99999999999999989</v>
      </c>
      <c r="BB22" s="603">
        <f>SUM(BB9:BB21)</f>
        <v>1.0449999999999999</v>
      </c>
      <c r="BC22" s="603"/>
      <c r="BD22" s="578">
        <f t="shared" ref="BD22:BO22" si="34">$BP$22*AJ3</f>
        <v>3313741736.6652317</v>
      </c>
      <c r="BE22" s="578">
        <f t="shared" si="34"/>
        <v>2957542924.5727305</v>
      </c>
      <c r="BF22" s="578">
        <f t="shared" si="34"/>
        <v>3650217142.9396787</v>
      </c>
      <c r="BG22" s="578">
        <f t="shared" si="34"/>
        <v>3832732414.8056922</v>
      </c>
      <c r="BH22" s="578">
        <f t="shared" si="34"/>
        <v>4152279073.4636474</v>
      </c>
      <c r="BI22" s="578">
        <f t="shared" si="34"/>
        <v>4075015296.0843811</v>
      </c>
      <c r="BJ22" s="578">
        <f t="shared" si="34"/>
        <v>4399691460.0444021</v>
      </c>
      <c r="BK22" s="578">
        <f t="shared" si="34"/>
        <v>4358621121.6822948</v>
      </c>
      <c r="BL22" s="578">
        <f t="shared" si="34"/>
        <v>4598591845.8674822</v>
      </c>
      <c r="BM22" s="578">
        <f t="shared" si="34"/>
        <v>4934232844.1519413</v>
      </c>
      <c r="BN22" s="578">
        <f t="shared" si="34"/>
        <v>4710381019.635005</v>
      </c>
      <c r="BO22" s="578">
        <f t="shared" si="34"/>
        <v>5016953120.087513</v>
      </c>
      <c r="BP22" s="578">
        <v>50000000000</v>
      </c>
      <c r="BQ22" s="588" t="b">
        <f>SUM(BP9,BP13,BP17,BP21)=BP22</f>
        <v>0</v>
      </c>
      <c r="BR22" s="582"/>
      <c r="BS22" s="581"/>
      <c r="BT22" s="604">
        <f>BP22/AV22</f>
        <v>1.8908339168201622</v>
      </c>
      <c r="BV22" s="578">
        <f t="shared" ref="BV22:CH22" si="35">SUM(BV9+BV13+BV17+BV21)</f>
        <v>2849609620</v>
      </c>
      <c r="BW22" s="578">
        <f t="shared" si="35"/>
        <v>2841911507</v>
      </c>
      <c r="BX22" s="578">
        <f t="shared" si="35"/>
        <v>3557895447</v>
      </c>
      <c r="BY22" s="578">
        <f t="shared" si="35"/>
        <v>3803032679</v>
      </c>
      <c r="BZ22" s="578">
        <f t="shared" si="35"/>
        <v>3816548741</v>
      </c>
      <c r="CA22" s="578">
        <f t="shared" si="35"/>
        <v>3658861350</v>
      </c>
      <c r="CB22" s="578">
        <f t="shared" si="35"/>
        <v>3821015594</v>
      </c>
      <c r="CC22" s="578">
        <f t="shared" si="35"/>
        <v>3803180441</v>
      </c>
      <c r="CD22" s="578">
        <f t="shared" si="35"/>
        <v>3175511256</v>
      </c>
      <c r="CE22" s="578">
        <f t="shared" si="35"/>
        <v>0</v>
      </c>
      <c r="CF22" s="578">
        <f t="shared" si="35"/>
        <v>0</v>
      </c>
      <c r="CG22" s="578">
        <f t="shared" si="35"/>
        <v>0</v>
      </c>
      <c r="CH22" s="578">
        <f t="shared" si="35"/>
        <v>31327566635</v>
      </c>
      <c r="CI22" s="577"/>
      <c r="CJ22" s="577"/>
      <c r="CK22" s="577"/>
    </row>
    <row r="23" spans="2:89">
      <c r="C23" s="577"/>
      <c r="D23" s="577"/>
      <c r="E23" s="577"/>
      <c r="F23" s="577"/>
      <c r="G23" s="577"/>
      <c r="H23" s="577"/>
      <c r="I23" s="577"/>
      <c r="J23" s="577"/>
      <c r="K23" s="577"/>
      <c r="L23" s="577"/>
      <c r="M23" s="577"/>
      <c r="N23" s="577"/>
      <c r="O23" s="577"/>
      <c r="P23" s="577"/>
      <c r="Q23" s="577"/>
      <c r="R23" s="577"/>
      <c r="S23" s="577"/>
      <c r="T23" s="578"/>
      <c r="U23" s="578"/>
      <c r="V23" s="578"/>
      <c r="W23" s="578"/>
      <c r="X23" s="578"/>
      <c r="Y23" s="578"/>
      <c r="Z23" s="578"/>
      <c r="AA23" s="578"/>
      <c r="AB23" s="578"/>
      <c r="AC23" s="578"/>
      <c r="AD23" s="578"/>
      <c r="AE23" s="596">
        <f>AE22/AD22</f>
        <v>1.1058024584598838</v>
      </c>
      <c r="AF23" s="578"/>
      <c r="AG23" s="577"/>
      <c r="AH23" s="577"/>
      <c r="AI23" s="577"/>
      <c r="AJ23" s="577"/>
      <c r="AK23" s="577"/>
      <c r="AL23" s="577"/>
      <c r="AM23" s="577"/>
      <c r="AN23" s="577"/>
      <c r="AO23" s="577"/>
      <c r="AP23" s="577"/>
      <c r="AQ23" s="577"/>
      <c r="AR23" s="577"/>
      <c r="AS23" s="577"/>
      <c r="AT23" s="577"/>
      <c r="AU23" s="577"/>
      <c r="AV23" s="577"/>
      <c r="AW23" s="577"/>
      <c r="AX23" s="577"/>
      <c r="AY23" s="577"/>
      <c r="AZ23" s="577"/>
      <c r="BA23" s="577"/>
      <c r="BB23" s="595"/>
      <c r="BC23" s="595"/>
      <c r="BD23" s="581"/>
      <c r="BE23" s="581"/>
      <c r="BF23" s="581"/>
      <c r="BG23" s="581"/>
      <c r="BH23" s="581"/>
      <c r="BI23" s="581"/>
      <c r="BJ23" s="581"/>
      <c r="BK23" s="581"/>
      <c r="BL23" s="581"/>
      <c r="BM23" s="581"/>
      <c r="BN23" s="581"/>
      <c r="BO23" s="581"/>
      <c r="BP23" s="581">
        <f>BP9+BP13+BP17+BP21</f>
        <v>52250000000</v>
      </c>
      <c r="BQ23" s="582"/>
      <c r="BR23" s="582"/>
      <c r="BS23" s="581"/>
      <c r="BT23" s="604">
        <f>BP23/AV22</f>
        <v>1.9759214430770695</v>
      </c>
      <c r="BV23" s="577"/>
      <c r="BW23" s="577"/>
      <c r="BX23" s="577"/>
      <c r="BY23" s="577"/>
      <c r="BZ23" s="577"/>
      <c r="CA23" s="577"/>
      <c r="CB23" s="577"/>
      <c r="CC23" s="577"/>
      <c r="CD23" s="577"/>
      <c r="CE23" s="577"/>
      <c r="CF23" s="577"/>
      <c r="CG23" s="577"/>
      <c r="CH23" s="577"/>
      <c r="CI23" s="577"/>
      <c r="CJ23" s="577"/>
      <c r="CK23" s="577"/>
    </row>
    <row r="24" spans="2:89">
      <c r="B24" s="577" t="s">
        <v>9</v>
      </c>
      <c r="C24" s="577"/>
      <c r="D24" s="577"/>
      <c r="E24" s="577"/>
      <c r="F24" s="577"/>
      <c r="G24" s="577"/>
      <c r="H24" s="577"/>
      <c r="I24" s="577"/>
      <c r="J24" s="577"/>
      <c r="K24" s="577"/>
      <c r="L24" s="577"/>
      <c r="M24" s="577"/>
      <c r="N24" s="577"/>
      <c r="O24" s="577"/>
      <c r="P24" s="577"/>
      <c r="Q24" s="577"/>
      <c r="R24" s="577"/>
      <c r="S24" s="606">
        <f>SUM(Q28,Q32,Q36,Q40)/Q42</f>
        <v>0.68264792922220552</v>
      </c>
      <c r="T24" s="578"/>
      <c r="U24" s="578"/>
      <c r="V24" s="578"/>
      <c r="W24" s="578"/>
      <c r="X24" s="578"/>
      <c r="Y24" s="578"/>
      <c r="Z24" s="578"/>
      <c r="AA24" s="578"/>
      <c r="AB24" s="578"/>
      <c r="AC24" s="578"/>
      <c r="AD24" s="578"/>
      <c r="AE24" s="578"/>
      <c r="AF24" s="578"/>
      <c r="AG24" s="577"/>
      <c r="AH24" s="606">
        <f>SUM(AF28,AF32,AF36,AF40)/AF42</f>
        <v>0.57813788524358811</v>
      </c>
      <c r="AI24" s="577"/>
      <c r="AJ24" s="577"/>
      <c r="AK24" s="577"/>
      <c r="AL24" s="577"/>
      <c r="AM24" s="577"/>
      <c r="AN24" s="577"/>
      <c r="AO24" s="577"/>
      <c r="AP24" s="577"/>
      <c r="AQ24" s="577"/>
      <c r="AR24" s="577"/>
      <c r="AS24" s="577"/>
      <c r="AT24" s="577"/>
      <c r="AU24" s="577"/>
      <c r="AV24" s="577"/>
      <c r="AW24" s="577"/>
      <c r="AX24" s="606">
        <f>SUM(AV28,AV32,AV36,AV40)/AV42</f>
        <v>0.54837582387862327</v>
      </c>
      <c r="AY24" s="577"/>
      <c r="AZ24" s="577"/>
      <c r="BA24" s="577"/>
      <c r="BB24" s="595"/>
      <c r="BC24" s="595"/>
      <c r="BD24" s="581"/>
      <c r="BE24" s="581"/>
      <c r="BF24" s="581"/>
      <c r="BG24" s="581"/>
      <c r="BH24" s="581"/>
      <c r="BI24" s="581"/>
      <c r="BJ24" s="581"/>
      <c r="BK24" s="581"/>
      <c r="BL24" s="581"/>
      <c r="BM24" s="581"/>
      <c r="BN24" s="581"/>
      <c r="BO24" s="581"/>
      <c r="BP24" s="581"/>
      <c r="BQ24" s="582"/>
      <c r="BR24" s="606">
        <f>SUM(BP28,BP32,BP36,BP40)/BP42</f>
        <v>0.53390900286978804</v>
      </c>
      <c r="BS24" s="581"/>
      <c r="BV24" s="577"/>
      <c r="BW24" s="577"/>
      <c r="BX24" s="577"/>
      <c r="BY24" s="577"/>
      <c r="BZ24" s="577"/>
      <c r="CA24" s="577"/>
      <c r="CB24" s="577"/>
      <c r="CC24" s="577"/>
      <c r="CD24" s="577"/>
      <c r="CE24" s="577"/>
      <c r="CF24" s="577"/>
      <c r="CG24" s="577"/>
      <c r="CH24" s="577"/>
      <c r="CI24" s="577"/>
      <c r="CJ24" s="606">
        <f>SUM(CH28,CH32,CH36,CH40)/CH42</f>
        <v>0.49484208335076035</v>
      </c>
      <c r="CK24" s="577"/>
    </row>
    <row r="25" spans="2:89">
      <c r="B25" s="577"/>
      <c r="C25" s="577"/>
      <c r="D25" s="577"/>
      <c r="E25" s="577"/>
      <c r="F25" s="577"/>
      <c r="G25" s="577"/>
      <c r="H25" s="577"/>
      <c r="I25" s="577"/>
      <c r="J25" s="577"/>
      <c r="K25" s="577"/>
      <c r="L25" s="577"/>
      <c r="M25" s="577"/>
      <c r="N25" s="577"/>
      <c r="O25" s="577"/>
      <c r="P25" s="577"/>
      <c r="Q25" s="577"/>
      <c r="R25" s="577"/>
      <c r="S25" s="577"/>
      <c r="T25" s="578"/>
      <c r="U25" s="578"/>
      <c r="V25" s="578"/>
      <c r="W25" s="578"/>
      <c r="X25" s="578"/>
      <c r="Y25" s="578"/>
      <c r="Z25" s="578"/>
      <c r="AA25" s="578"/>
      <c r="AB25" s="578"/>
      <c r="AC25" s="578"/>
      <c r="AD25" s="578"/>
      <c r="AE25" s="578"/>
      <c r="AF25" s="578"/>
      <c r="AG25" s="577"/>
      <c r="AH25" s="577"/>
      <c r="AI25" s="577"/>
      <c r="AJ25" s="577"/>
      <c r="AK25" s="577"/>
      <c r="AL25" s="577"/>
      <c r="AM25" s="577"/>
      <c r="AN25" s="577"/>
      <c r="AO25" s="577"/>
      <c r="AP25" s="577"/>
      <c r="AQ25" s="577"/>
      <c r="AR25" s="577"/>
      <c r="AS25" s="577"/>
      <c r="AT25" s="577"/>
      <c r="AU25" s="577"/>
      <c r="AV25" s="570"/>
      <c r="AW25" s="570"/>
      <c r="AX25" s="577"/>
      <c r="AY25" s="577"/>
      <c r="AZ25" s="577"/>
      <c r="BA25" s="577"/>
      <c r="BB25" s="595"/>
      <c r="BC25" s="595"/>
      <c r="BD25" s="581"/>
      <c r="BE25" s="581"/>
      <c r="BF25" s="581"/>
      <c r="BG25" s="581"/>
      <c r="BH25" s="581"/>
      <c r="BI25" s="581"/>
      <c r="BJ25" s="581"/>
      <c r="BK25" s="581"/>
      <c r="BL25" s="581"/>
      <c r="BM25" s="581"/>
      <c r="BN25" s="581"/>
      <c r="BO25" s="581"/>
      <c r="BP25" s="581"/>
      <c r="BQ25" s="582"/>
      <c r="BR25" s="582"/>
      <c r="BS25" s="581"/>
      <c r="BV25" s="577"/>
      <c r="BW25" s="577"/>
      <c r="BX25" s="577"/>
      <c r="BY25" s="577"/>
      <c r="BZ25" s="577"/>
      <c r="CA25" s="577"/>
      <c r="CB25" s="577"/>
      <c r="CC25" s="577"/>
      <c r="CD25" s="577"/>
      <c r="CE25" s="577"/>
      <c r="CF25" s="577"/>
      <c r="CG25" s="577"/>
      <c r="CH25" s="570"/>
      <c r="CI25" s="570"/>
      <c r="CJ25" s="577"/>
      <c r="CK25" s="577"/>
    </row>
    <row r="26" spans="2:89">
      <c r="C26" s="569" t="s">
        <v>119</v>
      </c>
      <c r="E26" s="588"/>
      <c r="F26" s="577"/>
      <c r="G26" s="577"/>
      <c r="H26" s="577"/>
      <c r="I26" s="577"/>
      <c r="J26" s="577"/>
      <c r="K26" s="577"/>
      <c r="L26" s="577"/>
      <c r="M26" s="577"/>
      <c r="N26" s="577"/>
      <c r="O26" s="577"/>
      <c r="P26" s="577"/>
      <c r="Q26" s="577"/>
      <c r="R26" s="577"/>
      <c r="S26" s="577"/>
      <c r="T26" s="588"/>
      <c r="U26" s="577"/>
      <c r="V26" s="577"/>
      <c r="W26" s="577"/>
      <c r="X26" s="577"/>
      <c r="Y26" s="577"/>
      <c r="Z26" s="577"/>
      <c r="AA26" s="577"/>
      <c r="AB26" s="577"/>
      <c r="AC26" s="577"/>
      <c r="AD26" s="577"/>
      <c r="AE26" s="577"/>
      <c r="AF26" s="577"/>
      <c r="AG26" s="577"/>
      <c r="AH26" s="577"/>
      <c r="AI26" s="577"/>
      <c r="AJ26" s="588"/>
      <c r="AK26" s="577"/>
      <c r="AL26" s="577"/>
      <c r="AM26" s="577"/>
      <c r="AN26" s="577"/>
      <c r="AO26" s="577"/>
      <c r="AP26" s="577"/>
      <c r="AQ26" s="577"/>
      <c r="AR26" s="577"/>
      <c r="AS26" s="577"/>
      <c r="AT26" s="577"/>
      <c r="AU26" s="577"/>
      <c r="AX26" s="577"/>
      <c r="AY26" s="577"/>
      <c r="AZ26" s="577"/>
      <c r="BA26" s="577"/>
      <c r="BB26" s="595"/>
      <c r="BC26" s="595"/>
      <c r="BD26" s="581"/>
      <c r="BE26" s="581"/>
      <c r="BF26" s="581"/>
      <c r="BG26" s="581"/>
      <c r="BH26" s="581"/>
      <c r="BI26" s="581"/>
      <c r="BJ26" s="581"/>
      <c r="BK26" s="581"/>
      <c r="BL26" s="581"/>
      <c r="BM26" s="581"/>
      <c r="BN26" s="581"/>
      <c r="BO26" s="581"/>
      <c r="BP26" s="581"/>
      <c r="BQ26" s="582"/>
      <c r="BR26" s="582"/>
      <c r="BS26" s="581"/>
      <c r="BV26" s="588"/>
      <c r="BW26" s="577"/>
      <c r="BX26" s="577"/>
      <c r="BY26" s="577"/>
      <c r="BZ26" s="577"/>
      <c r="CA26" s="577"/>
      <c r="CB26" s="577"/>
      <c r="CC26" s="577"/>
      <c r="CD26" s="577"/>
      <c r="CE26" s="577"/>
      <c r="CF26" s="577"/>
      <c r="CG26" s="577"/>
      <c r="CJ26" s="577"/>
      <c r="CK26" s="577"/>
    </row>
    <row r="27" spans="2:89">
      <c r="B27" s="587"/>
      <c r="C27" s="587"/>
      <c r="D27" s="587" t="s">
        <v>86</v>
      </c>
      <c r="E27" s="607">
        <v>1225.78</v>
      </c>
      <c r="F27" s="607">
        <v>11424.08</v>
      </c>
      <c r="G27" s="607">
        <v>35278.67</v>
      </c>
      <c r="H27" s="607">
        <v>37637.837137000002</v>
      </c>
      <c r="I27" s="607">
        <v>36448.18</v>
      </c>
      <c r="J27" s="607">
        <v>40850.70074</v>
      </c>
      <c r="K27" s="607">
        <v>37182.478643999995</v>
      </c>
      <c r="L27" s="607">
        <v>44446.102310000002</v>
      </c>
      <c r="M27" s="607">
        <v>50227.712779000001</v>
      </c>
      <c r="N27" s="607">
        <v>57514.496897999998</v>
      </c>
      <c r="O27" s="607">
        <v>61378.311837000001</v>
      </c>
      <c r="P27" s="607">
        <v>110238.21411199999</v>
      </c>
      <c r="Q27" s="607">
        <f>SUM(E27:P27)</f>
        <v>523852.564457</v>
      </c>
      <c r="R27" s="590"/>
      <c r="S27" s="591">
        <f>Q27/Q29</f>
        <v>0.38402674924542191</v>
      </c>
      <c r="T27" s="607">
        <v>77111.760922999994</v>
      </c>
      <c r="U27" s="607">
        <v>45508.305756000002</v>
      </c>
      <c r="V27" s="607">
        <v>66275.903586999993</v>
      </c>
      <c r="W27" s="607">
        <v>49699.114116999997</v>
      </c>
      <c r="X27" s="607">
        <v>50673.212237</v>
      </c>
      <c r="Y27" s="607">
        <v>55948.243197999996</v>
      </c>
      <c r="Z27" s="607">
        <v>54362.977931000001</v>
      </c>
      <c r="AA27" s="607">
        <v>59616.429378999994</v>
      </c>
      <c r="AB27" s="607">
        <v>53845.054579000003</v>
      </c>
      <c r="AC27" s="607">
        <v>60374.221179</v>
      </c>
      <c r="AD27" s="607">
        <v>65285.629250999998</v>
      </c>
      <c r="AE27" s="607">
        <v>118461.554688</v>
      </c>
      <c r="AF27" s="607">
        <f>SUM(T27:AE27)</f>
        <v>757162.40682499995</v>
      </c>
      <c r="AG27" s="590"/>
      <c r="AH27" s="591">
        <f>AF27/AF29</f>
        <v>0.4619497692356872</v>
      </c>
      <c r="AI27" s="591">
        <f t="shared" ref="AI27:AI42" si="36">AF27/Q27</f>
        <v>1.4453731034224058</v>
      </c>
      <c r="AJ27" s="607">
        <v>83316.169339</v>
      </c>
      <c r="AK27" s="607">
        <v>54187.517997999996</v>
      </c>
      <c r="AL27" s="607">
        <v>68633.587121000004</v>
      </c>
      <c r="AM27" s="607">
        <v>63366.726219999997</v>
      </c>
      <c r="AN27" s="607">
        <v>76331.122787</v>
      </c>
      <c r="AO27" s="607">
        <v>84294.15</v>
      </c>
      <c r="AP27" s="607">
        <v>63424.648816000001</v>
      </c>
      <c r="AQ27" s="607">
        <v>74691.960000000006</v>
      </c>
      <c r="AR27" s="607">
        <v>90731.247315999994</v>
      </c>
      <c r="AS27" s="607">
        <v>90040.05</v>
      </c>
      <c r="AT27" s="607">
        <v>110844.39</v>
      </c>
      <c r="AU27" s="607">
        <v>149703.32</v>
      </c>
      <c r="AV27" s="607">
        <f>SUM(AJ27:AU27)</f>
        <v>1009564.8895969999</v>
      </c>
      <c r="AW27" s="590"/>
      <c r="AX27" s="591">
        <f>AV27/AV29</f>
        <v>0.4158773028552632</v>
      </c>
      <c r="AY27" s="591">
        <f>AV27/AF27</f>
        <v>1.3333531624085726</v>
      </c>
      <c r="AZ27" s="577"/>
      <c r="BA27" s="577"/>
      <c r="BB27" s="595">
        <f>AX27</f>
        <v>0.4158773028552632</v>
      </c>
      <c r="BC27" s="592">
        <f>AX27</f>
        <v>0.4158773028552632</v>
      </c>
      <c r="BD27" s="608">
        <f t="shared" ref="BD27:BO27" si="37">BD29-BD28</f>
        <v>116400.03204191508</v>
      </c>
      <c r="BE27" s="593">
        <f t="shared" si="37"/>
        <v>103888.02705308216</v>
      </c>
      <c r="BF27" s="593">
        <f t="shared" si="37"/>
        <v>128219.22351308758</v>
      </c>
      <c r="BG27" s="593">
        <f t="shared" si="37"/>
        <v>134630.33976221396</v>
      </c>
      <c r="BH27" s="593">
        <f t="shared" si="37"/>
        <v>145854.88417831084</v>
      </c>
      <c r="BI27" s="593">
        <f t="shared" si="37"/>
        <v>143140.88083184714</v>
      </c>
      <c r="BJ27" s="593">
        <f t="shared" si="37"/>
        <v>154545.60663471691</v>
      </c>
      <c r="BK27" s="593">
        <f t="shared" si="37"/>
        <v>153102.95084521279</v>
      </c>
      <c r="BL27" s="593">
        <f t="shared" si="37"/>
        <v>161532.27401038713</v>
      </c>
      <c r="BM27" s="593">
        <f t="shared" si="37"/>
        <v>173322.1556787781</v>
      </c>
      <c r="BN27" s="593">
        <f t="shared" si="37"/>
        <v>165459.03247333653</v>
      </c>
      <c r="BO27" s="593">
        <f t="shared" si="37"/>
        <v>176227.82652900743</v>
      </c>
      <c r="BP27" s="607">
        <f>SUM(BD27:BO27)</f>
        <v>1756323.2335518959</v>
      </c>
      <c r="BQ27" s="590"/>
      <c r="BR27" s="591">
        <f>BP27/BP29</f>
        <v>0.41587730285526325</v>
      </c>
      <c r="BS27" s="591">
        <f>BP27/AV27</f>
        <v>1.7396833543339534</v>
      </c>
      <c r="BV27" s="607">
        <f>'2018 VN YouTube View'!R22</f>
        <v>112045.99700000002</v>
      </c>
      <c r="BW27" s="607">
        <f>'2018 VN YouTube View'!S22</f>
        <v>99888.500000000015</v>
      </c>
      <c r="BX27" s="607">
        <f>'2018 VN YouTube View'!T22</f>
        <v>130016.65</v>
      </c>
      <c r="BY27" s="607">
        <f>'2018 VN YouTube View'!U22</f>
        <v>175528.19000000003</v>
      </c>
      <c r="BZ27" s="607">
        <f>'2018 VN YouTube View'!V22</f>
        <v>188575.44999999992</v>
      </c>
      <c r="CA27" s="607">
        <f>'2018 VN YouTube View'!W22</f>
        <v>163293.01999999999</v>
      </c>
      <c r="CB27" s="607">
        <f>'2018 VN YouTube View'!X22</f>
        <v>182824.15</v>
      </c>
      <c r="CC27" s="607">
        <f>'2018 VN YouTube View'!Y22</f>
        <v>218040.19800009488</v>
      </c>
      <c r="CD27" s="607">
        <f>'2018 VN YouTube View'!Z22</f>
        <v>183136.0120001497</v>
      </c>
      <c r="CE27" s="607">
        <f>'2018 VN YouTube View'!AA22</f>
        <v>0</v>
      </c>
      <c r="CF27" s="607">
        <f>'2018 VN YouTube View'!AB22</f>
        <v>0</v>
      </c>
      <c r="CG27" s="607">
        <f>'2018 VN YouTube View'!AC22</f>
        <v>0</v>
      </c>
      <c r="CH27" s="607">
        <f>SUM(BV27:CG27)</f>
        <v>1453348.1670002444</v>
      </c>
      <c r="CI27" s="590"/>
      <c r="CJ27" s="591">
        <f>CH27/CH29</f>
        <v>0.56483477392012527</v>
      </c>
      <c r="CK27" s="591">
        <f>CH27/AV27</f>
        <v>1.439578755141133</v>
      </c>
    </row>
    <row r="28" spans="2:89">
      <c r="B28" s="587"/>
      <c r="C28" s="587"/>
      <c r="D28" s="587" t="s">
        <v>120</v>
      </c>
      <c r="E28" s="607">
        <v>46276.07</v>
      </c>
      <c r="F28" s="607">
        <v>57194.86</v>
      </c>
      <c r="G28" s="607">
        <v>68055.45</v>
      </c>
      <c r="H28" s="607">
        <v>58788.351138999999</v>
      </c>
      <c r="I28" s="607">
        <v>64362.650438999997</v>
      </c>
      <c r="J28" s="607">
        <v>64371.696421999994</v>
      </c>
      <c r="K28" s="607">
        <v>54398.059267000011</v>
      </c>
      <c r="L28" s="607">
        <v>64544.387690000003</v>
      </c>
      <c r="M28" s="607">
        <v>79636.347221000004</v>
      </c>
      <c r="N28" s="607">
        <v>83308.493101999993</v>
      </c>
      <c r="O28" s="607">
        <v>91816.408163</v>
      </c>
      <c r="P28" s="607">
        <v>107499.025888</v>
      </c>
      <c r="Q28" s="607">
        <f>SUM(E28:P28)</f>
        <v>840251.79933100007</v>
      </c>
      <c r="R28" s="590"/>
      <c r="S28" s="591">
        <f>Q28/Q29</f>
        <v>0.61597325075457832</v>
      </c>
      <c r="T28" s="607">
        <v>55901.719076999987</v>
      </c>
      <c r="U28" s="607">
        <v>65820.954243999993</v>
      </c>
      <c r="V28" s="607">
        <v>80798.278520000022</v>
      </c>
      <c r="W28" s="607">
        <v>67768.125882999986</v>
      </c>
      <c r="X28" s="607">
        <v>69620.577762999994</v>
      </c>
      <c r="Y28" s="607">
        <v>69325.976802000005</v>
      </c>
      <c r="Z28" s="607">
        <v>57858.041833999996</v>
      </c>
      <c r="AA28" s="607">
        <v>63477.680621</v>
      </c>
      <c r="AB28" s="607">
        <v>72140.785420999993</v>
      </c>
      <c r="AC28" s="607">
        <v>82692.998821000001</v>
      </c>
      <c r="AD28" s="607">
        <v>88825.630749000004</v>
      </c>
      <c r="AE28" s="607">
        <v>107664.69780099999</v>
      </c>
      <c r="AF28" s="607">
        <f>SUM(T28:AE28)</f>
        <v>881895.46753599984</v>
      </c>
      <c r="AG28" s="590"/>
      <c r="AH28" s="591">
        <f>AF28/AF29</f>
        <v>0.53805023076431269</v>
      </c>
      <c r="AI28" s="591">
        <f t="shared" si="36"/>
        <v>1.0495609390401259</v>
      </c>
      <c r="AJ28" s="607">
        <v>74308.519700000092</v>
      </c>
      <c r="AK28" s="607">
        <v>87646.610954999982</v>
      </c>
      <c r="AL28" s="607">
        <v>114627.80193700003</v>
      </c>
      <c r="AM28" s="607">
        <v>98006.225701000018</v>
      </c>
      <c r="AN28" s="607">
        <v>111671.27357299994</v>
      </c>
      <c r="AO28" s="607">
        <v>126506.92581699995</v>
      </c>
      <c r="AP28" s="607">
        <v>106984.162209</v>
      </c>
      <c r="AQ28" s="607">
        <v>104996.02</v>
      </c>
      <c r="AR28" s="607">
        <v>136838.04268400001</v>
      </c>
      <c r="AS28" s="607">
        <v>135511.44</v>
      </c>
      <c r="AT28" s="607">
        <v>144029.74</v>
      </c>
      <c r="AU28" s="607">
        <v>176863.02000000002</v>
      </c>
      <c r="AV28" s="607">
        <f>SUM(AJ28:AU28)</f>
        <v>1417989.7825760001</v>
      </c>
      <c r="AW28" s="590"/>
      <c r="AX28" s="591">
        <f>AV28/AV29</f>
        <v>0.58412269714473686</v>
      </c>
      <c r="AY28" s="591">
        <f t="shared" ref="AY28:AY42" si="38">AV28/AF28</f>
        <v>1.6078887291912705</v>
      </c>
      <c r="AZ28" s="577"/>
      <c r="BA28" s="577"/>
      <c r="BB28" s="595">
        <f>AX28</f>
        <v>0.58412269714473686</v>
      </c>
      <c r="BC28" s="592">
        <f>AX28</f>
        <v>0.58412269714473686</v>
      </c>
      <c r="BD28" s="608">
        <f>BD29*$BC$28</f>
        <v>163490.28955715886</v>
      </c>
      <c r="BE28" s="593">
        <f t="shared" ref="BE28:BO28" si="39">BE29*$BC$28</f>
        <v>145916.48581603705</v>
      </c>
      <c r="BF28" s="593">
        <f t="shared" si="39"/>
        <v>180090.99835471038</v>
      </c>
      <c r="BG28" s="593">
        <f t="shared" si="39"/>
        <v>189095.76608172306</v>
      </c>
      <c r="BH28" s="593">
        <f t="shared" si="39"/>
        <v>204861.26016744683</v>
      </c>
      <c r="BI28" s="593">
        <f t="shared" si="39"/>
        <v>201049.29220499238</v>
      </c>
      <c r="BJ28" s="593">
        <f t="shared" si="39"/>
        <v>217067.8610242841</v>
      </c>
      <c r="BK28" s="593">
        <f t="shared" si="39"/>
        <v>215041.5710944634</v>
      </c>
      <c r="BL28" s="593">
        <f t="shared" si="39"/>
        <v>226881.02217424463</v>
      </c>
      <c r="BM28" s="593">
        <f t="shared" si="39"/>
        <v>243440.56373103548</v>
      </c>
      <c r="BN28" s="593">
        <f t="shared" si="39"/>
        <v>232396.37184268326</v>
      </c>
      <c r="BO28" s="593">
        <f t="shared" si="39"/>
        <v>247521.73931430964</v>
      </c>
      <c r="BP28" s="607">
        <f>SUM(BD28:BO28)</f>
        <v>2466853.221363089</v>
      </c>
      <c r="BQ28" s="590"/>
      <c r="BR28" s="591">
        <f>BP28/BP29</f>
        <v>0.58412269714473686</v>
      </c>
      <c r="BS28" s="591">
        <f>BP28/AV28</f>
        <v>1.7396833543339534</v>
      </c>
      <c r="BV28" s="607">
        <f>'2018 VN YouTube View'!R23</f>
        <v>98938.030000000013</v>
      </c>
      <c r="BW28" s="607">
        <f>'2018 VN YouTube View'!S23</f>
        <v>116156.72999999998</v>
      </c>
      <c r="BX28" s="607">
        <f>'2018 VN YouTube View'!T23</f>
        <v>137630.57999999999</v>
      </c>
      <c r="BY28" s="607">
        <f>'2018 VN YouTube View'!U23</f>
        <v>115726.34</v>
      </c>
      <c r="BZ28" s="607">
        <f>'2018 VN YouTube View'!V23</f>
        <v>133651.52000000002</v>
      </c>
      <c r="CA28" s="607">
        <f>'2018 VN YouTube View'!W23</f>
        <v>136990.62</v>
      </c>
      <c r="CB28" s="607">
        <f>'2018 VN YouTube View'!X23</f>
        <v>118085.97999999998</v>
      </c>
      <c r="CC28" s="607">
        <f>'2018 VN YouTube View'!Y23</f>
        <v>120901.46500008198</v>
      </c>
      <c r="CD28" s="607">
        <f>'2018 VN YouTube View'!Z23</f>
        <v>141620.66000014605</v>
      </c>
      <c r="CE28" s="607">
        <f>'2018 VN YouTube View'!AA23</f>
        <v>0</v>
      </c>
      <c r="CF28" s="607">
        <f>'2018 VN YouTube View'!AB23</f>
        <v>0</v>
      </c>
      <c r="CG28" s="607">
        <f>'2018 VN YouTube View'!AC23</f>
        <v>0</v>
      </c>
      <c r="CH28" s="607">
        <f>SUM(BV28:CG28)</f>
        <v>1119701.925000228</v>
      </c>
      <c r="CI28" s="590"/>
      <c r="CJ28" s="591">
        <f>CH28/CH29</f>
        <v>0.43516522607987473</v>
      </c>
      <c r="CK28" s="591">
        <f t="shared" ref="CK28:CK29" si="40">CH28/AV28</f>
        <v>0.78964033363210451</v>
      </c>
    </row>
    <row r="29" spans="2:89">
      <c r="B29" s="577"/>
      <c r="C29" s="577" t="s">
        <v>121</v>
      </c>
      <c r="D29" s="577"/>
      <c r="E29" s="609">
        <f>SUM(E27:E28)</f>
        <v>47501.85</v>
      </c>
      <c r="F29" s="609">
        <f t="shared" ref="F29:P29" si="41">SUM(F27:F28)</f>
        <v>68618.94</v>
      </c>
      <c r="G29" s="609">
        <f t="shared" si="41"/>
        <v>103334.12</v>
      </c>
      <c r="H29" s="609">
        <f t="shared" si="41"/>
        <v>96426.188276000001</v>
      </c>
      <c r="I29" s="609">
        <f t="shared" si="41"/>
        <v>100810.830439</v>
      </c>
      <c r="J29" s="609">
        <f t="shared" si="41"/>
        <v>105222.39716199999</v>
      </c>
      <c r="K29" s="609">
        <f t="shared" si="41"/>
        <v>91580.537911000007</v>
      </c>
      <c r="L29" s="609">
        <f t="shared" si="41"/>
        <v>108990.49</v>
      </c>
      <c r="M29" s="609">
        <f t="shared" si="41"/>
        <v>129864.06</v>
      </c>
      <c r="N29" s="609">
        <f t="shared" si="41"/>
        <v>140822.99</v>
      </c>
      <c r="O29" s="609">
        <f t="shared" si="41"/>
        <v>153194.72</v>
      </c>
      <c r="P29" s="609">
        <f t="shared" si="41"/>
        <v>217737.24</v>
      </c>
      <c r="Q29" s="609">
        <f>SUM(E29:P29)</f>
        <v>1364104.3637879998</v>
      </c>
      <c r="R29" s="594">
        <f>Q29/$Q$42</f>
        <v>0.47896245842091301</v>
      </c>
      <c r="S29" s="577"/>
      <c r="T29" s="609">
        <f t="shared" ref="T29:AE29" si="42">SUM(T27:T28)</f>
        <v>133013.47999999998</v>
      </c>
      <c r="U29" s="609">
        <f t="shared" si="42"/>
        <v>111329.26</v>
      </c>
      <c r="V29" s="609">
        <f t="shared" si="42"/>
        <v>147074.18210700003</v>
      </c>
      <c r="W29" s="609">
        <f t="shared" si="42"/>
        <v>117467.23999999999</v>
      </c>
      <c r="X29" s="609">
        <f t="shared" si="42"/>
        <v>120293.79</v>
      </c>
      <c r="Y29" s="609">
        <f t="shared" si="42"/>
        <v>125274.22</v>
      </c>
      <c r="Z29" s="609">
        <f t="shared" si="42"/>
        <v>112221.019765</v>
      </c>
      <c r="AA29" s="609">
        <f t="shared" si="42"/>
        <v>123094.10999999999</v>
      </c>
      <c r="AB29" s="609">
        <f t="shared" si="42"/>
        <v>125985.84</v>
      </c>
      <c r="AC29" s="609">
        <f t="shared" si="42"/>
        <v>143067.22</v>
      </c>
      <c r="AD29" s="609">
        <f t="shared" si="42"/>
        <v>154111.26</v>
      </c>
      <c r="AE29" s="609">
        <f t="shared" si="42"/>
        <v>226126.25248899998</v>
      </c>
      <c r="AF29" s="609">
        <f>SUM(T29:AE29)</f>
        <v>1639057.874361</v>
      </c>
      <c r="AG29" s="594">
        <f>AF29/$AF$42</f>
        <v>0.35647198065683849</v>
      </c>
      <c r="AH29" s="577"/>
      <c r="AI29" s="591">
        <f t="shared" si="36"/>
        <v>1.2015633978396478</v>
      </c>
      <c r="AJ29" s="609">
        <f t="shared" ref="AJ29:AT29" si="43">SUM(AJ27:AJ28)</f>
        <v>157624.68903900008</v>
      </c>
      <c r="AK29" s="609">
        <f t="shared" si="43"/>
        <v>141834.12895299998</v>
      </c>
      <c r="AL29" s="609">
        <f t="shared" si="43"/>
        <v>183261.38905800003</v>
      </c>
      <c r="AM29" s="609">
        <f t="shared" si="43"/>
        <v>161372.95192100003</v>
      </c>
      <c r="AN29" s="609">
        <f t="shared" si="43"/>
        <v>188002.39635999996</v>
      </c>
      <c r="AO29" s="609">
        <f t="shared" si="43"/>
        <v>210801.07581699995</v>
      </c>
      <c r="AP29" s="609">
        <f t="shared" si="43"/>
        <v>170408.811025</v>
      </c>
      <c r="AQ29" s="609">
        <f t="shared" si="43"/>
        <v>179687.98</v>
      </c>
      <c r="AR29" s="609">
        <f t="shared" si="43"/>
        <v>227569.29</v>
      </c>
      <c r="AS29" s="609">
        <f t="shared" si="43"/>
        <v>225551.49</v>
      </c>
      <c r="AT29" s="609">
        <f t="shared" si="43"/>
        <v>254874.13</v>
      </c>
      <c r="AU29" s="609">
        <f>SUM(AU27:AU28)</f>
        <v>326566.34000000003</v>
      </c>
      <c r="AV29" s="609">
        <f>SUM(AJ29:AU29)</f>
        <v>2427554.6721729999</v>
      </c>
      <c r="AW29" s="594">
        <f>AV29/$AV$42</f>
        <v>0.3811086396006641</v>
      </c>
      <c r="AX29" s="577"/>
      <c r="AY29" s="591">
        <f t="shared" si="38"/>
        <v>1.4810670874690144</v>
      </c>
      <c r="AZ29" s="577"/>
      <c r="BA29" s="594"/>
      <c r="BB29" s="595"/>
      <c r="BC29" s="595"/>
      <c r="BD29" s="610">
        <f>BD50</f>
        <v>279890.32159907394</v>
      </c>
      <c r="BE29" s="610">
        <f t="shared" ref="BE29:BO29" si="44">BE50</f>
        <v>249804.51286911921</v>
      </c>
      <c r="BF29" s="610">
        <f t="shared" si="44"/>
        <v>308310.22186779795</v>
      </c>
      <c r="BG29" s="610">
        <f t="shared" si="44"/>
        <v>323726.10584393702</v>
      </c>
      <c r="BH29" s="610">
        <f t="shared" si="44"/>
        <v>350716.14434575767</v>
      </c>
      <c r="BI29" s="610">
        <f t="shared" si="44"/>
        <v>344190.17303683952</v>
      </c>
      <c r="BJ29" s="610">
        <f t="shared" si="44"/>
        <v>371613.46765900101</v>
      </c>
      <c r="BK29" s="610">
        <f t="shared" si="44"/>
        <v>368144.5219396762</v>
      </c>
      <c r="BL29" s="610">
        <f t="shared" si="44"/>
        <v>388413.29618463176</v>
      </c>
      <c r="BM29" s="610">
        <f t="shared" si="44"/>
        <v>416762.71940981358</v>
      </c>
      <c r="BN29" s="610">
        <f t="shared" si="44"/>
        <v>397855.40431601979</v>
      </c>
      <c r="BO29" s="610">
        <f t="shared" si="44"/>
        <v>423749.56584331708</v>
      </c>
      <c r="BP29" s="609">
        <f>SUM(BD29:BO29)</f>
        <v>4223176.4549149843</v>
      </c>
      <c r="BQ29" s="594">
        <f>BP29/$BP$42</f>
        <v>0.34888562940085999</v>
      </c>
      <c r="BR29" s="577"/>
      <c r="BS29" s="591">
        <f>BP29/AV29</f>
        <v>1.7396833543339532</v>
      </c>
      <c r="BV29" s="609">
        <f t="shared" ref="BV29:CF29" si="45">SUM(BV27:BV28)</f>
        <v>210984.02700000003</v>
      </c>
      <c r="BW29" s="609">
        <f t="shared" si="45"/>
        <v>216045.22999999998</v>
      </c>
      <c r="BX29" s="609">
        <f t="shared" si="45"/>
        <v>267647.23</v>
      </c>
      <c r="BY29" s="609">
        <f t="shared" si="45"/>
        <v>291254.53000000003</v>
      </c>
      <c r="BZ29" s="609">
        <f t="shared" si="45"/>
        <v>322226.96999999997</v>
      </c>
      <c r="CA29" s="609">
        <f t="shared" si="45"/>
        <v>300283.64</v>
      </c>
      <c r="CB29" s="609">
        <f t="shared" si="45"/>
        <v>300910.13</v>
      </c>
      <c r="CC29" s="609">
        <f t="shared" si="45"/>
        <v>338941.66300017689</v>
      </c>
      <c r="CD29" s="609">
        <f t="shared" si="45"/>
        <v>324756.67200029572</v>
      </c>
      <c r="CE29" s="609">
        <f t="shared" si="45"/>
        <v>0</v>
      </c>
      <c r="CF29" s="609">
        <f t="shared" si="45"/>
        <v>0</v>
      </c>
      <c r="CG29" s="609">
        <f>SUM(CG27:CG28)</f>
        <v>0</v>
      </c>
      <c r="CH29" s="609">
        <f>SUM(BV29:CG29)</f>
        <v>2573050.0920004724</v>
      </c>
      <c r="CI29" s="594">
        <f>CH29/$AV$42</f>
        <v>0.40395037501210201</v>
      </c>
      <c r="CJ29" s="577"/>
      <c r="CK29" s="591">
        <f t="shared" si="40"/>
        <v>1.0599349713912865</v>
      </c>
    </row>
    <row r="30" spans="2:89">
      <c r="B30" s="577"/>
      <c r="C30" s="569" t="s">
        <v>122</v>
      </c>
      <c r="D30" s="577"/>
      <c r="E30" s="609"/>
      <c r="F30" s="609"/>
      <c r="G30" s="609"/>
      <c r="H30" s="609"/>
      <c r="I30" s="609"/>
      <c r="J30" s="609"/>
      <c r="K30" s="609"/>
      <c r="L30" s="609"/>
      <c r="M30" s="609"/>
      <c r="N30" s="609"/>
      <c r="O30" s="609"/>
      <c r="P30" s="609"/>
      <c r="Q30" s="609"/>
      <c r="R30" s="594"/>
      <c r="S30" s="577"/>
      <c r="T30" s="609"/>
      <c r="U30" s="609"/>
      <c r="V30" s="609"/>
      <c r="W30" s="609"/>
      <c r="X30" s="609"/>
      <c r="Y30" s="609"/>
      <c r="Z30" s="609"/>
      <c r="AA30" s="609"/>
      <c r="AB30" s="609"/>
      <c r="AC30" s="609"/>
      <c r="AD30" s="594"/>
      <c r="AE30" s="594"/>
      <c r="AF30" s="609"/>
      <c r="AG30" s="594"/>
      <c r="AH30" s="577"/>
      <c r="AI30" s="591"/>
      <c r="AJ30" s="609"/>
      <c r="AK30" s="609"/>
      <c r="AL30" s="609"/>
      <c r="AM30" s="609"/>
      <c r="AN30" s="609"/>
      <c r="AO30" s="609"/>
      <c r="AP30" s="609"/>
      <c r="AQ30" s="609"/>
      <c r="AR30" s="611"/>
      <c r="AS30" s="611"/>
      <c r="AT30" s="611"/>
      <c r="AU30" s="611"/>
      <c r="AV30" s="609"/>
      <c r="AW30" s="594"/>
      <c r="AX30" s="577"/>
      <c r="AY30" s="591"/>
      <c r="AZ30" s="577"/>
      <c r="BA30" s="594"/>
      <c r="BB30" s="595"/>
      <c r="BC30" s="595"/>
      <c r="BD30" s="610"/>
      <c r="BE30" s="610"/>
      <c r="BF30" s="610"/>
      <c r="BG30" s="610"/>
      <c r="BH30" s="610"/>
      <c r="BI30" s="610"/>
      <c r="BJ30" s="610"/>
      <c r="BK30" s="610"/>
      <c r="BL30" s="610"/>
      <c r="BM30" s="610"/>
      <c r="BN30" s="610"/>
      <c r="BO30" s="610"/>
      <c r="BP30" s="609"/>
      <c r="BQ30" s="594"/>
      <c r="BR30" s="577"/>
      <c r="BS30" s="591"/>
      <c r="BV30" s="609"/>
      <c r="BW30" s="609"/>
      <c r="BX30" s="609"/>
      <c r="BY30" s="609"/>
      <c r="BZ30" s="609"/>
      <c r="CA30" s="609"/>
      <c r="CB30" s="609"/>
      <c r="CC30" s="609"/>
      <c r="CD30" s="611"/>
      <c r="CE30" s="611"/>
      <c r="CF30" s="611"/>
      <c r="CG30" s="611"/>
      <c r="CH30" s="609"/>
      <c r="CI30" s="594"/>
      <c r="CJ30" s="577"/>
      <c r="CK30" s="591"/>
    </row>
    <row r="31" spans="2:89">
      <c r="B31" s="587"/>
      <c r="C31" s="587"/>
      <c r="D31" s="587" t="s">
        <v>123</v>
      </c>
      <c r="E31" s="607">
        <v>18916.18</v>
      </c>
      <c r="F31" s="607">
        <v>16186.05</v>
      </c>
      <c r="G31" s="607">
        <v>15234.84</v>
      </c>
      <c r="H31" s="607">
        <v>14414.675204000001</v>
      </c>
      <c r="I31" s="607">
        <v>23475.4</v>
      </c>
      <c r="J31" s="607">
        <v>30745.35</v>
      </c>
      <c r="K31" s="607">
        <v>25089.069281</v>
      </c>
      <c r="L31" s="607">
        <v>26650.646388999998</v>
      </c>
      <c r="M31" s="607">
        <v>26263.477942999998</v>
      </c>
      <c r="N31" s="607">
        <v>39827.300062999995</v>
      </c>
      <c r="O31" s="607">
        <v>37886.997170000002</v>
      </c>
      <c r="P31" s="607">
        <v>105288.923117</v>
      </c>
      <c r="Q31" s="607">
        <f>SUM(E31:P31)</f>
        <v>379978.90916699998</v>
      </c>
      <c r="R31" s="590"/>
      <c r="S31" s="591">
        <f>Q31/Q33</f>
        <v>0.25606153916562763</v>
      </c>
      <c r="T31" s="607">
        <v>77466.822935999997</v>
      </c>
      <c r="U31" s="607">
        <v>40033.051403999998</v>
      </c>
      <c r="V31" s="607">
        <v>56685.548096999999</v>
      </c>
      <c r="W31" s="607">
        <v>41539.426081999998</v>
      </c>
      <c r="X31" s="607">
        <v>58004.699079999999</v>
      </c>
      <c r="Y31" s="607">
        <v>69689.392156000016</v>
      </c>
      <c r="Z31" s="607">
        <v>65439.180015999998</v>
      </c>
      <c r="AA31" s="607">
        <v>59642.150227999999</v>
      </c>
      <c r="AB31" s="607">
        <v>55363.149530999995</v>
      </c>
      <c r="AC31" s="607">
        <v>62925.355674999992</v>
      </c>
      <c r="AD31" s="607">
        <v>75801.174855000005</v>
      </c>
      <c r="AE31" s="607">
        <v>166925.28905699999</v>
      </c>
      <c r="AF31" s="607">
        <f>SUM(T31:AE31)</f>
        <v>829515.2391169999</v>
      </c>
      <c r="AG31" s="590"/>
      <c r="AH31" s="591">
        <f>AF31/AF33</f>
        <v>0.32803699199899577</v>
      </c>
      <c r="AI31" s="591">
        <f t="shared" si="36"/>
        <v>2.1830560041752993</v>
      </c>
      <c r="AJ31" s="607">
        <v>101753.900878</v>
      </c>
      <c r="AK31" s="607">
        <v>55579.974864000003</v>
      </c>
      <c r="AL31" s="607">
        <v>64676.650330000004</v>
      </c>
      <c r="AM31" s="607">
        <v>61084.533937</v>
      </c>
      <c r="AN31" s="607">
        <v>93451.786971000009</v>
      </c>
      <c r="AO31" s="607">
        <v>96469.7</v>
      </c>
      <c r="AP31" s="607">
        <v>91404.162938000009</v>
      </c>
      <c r="AQ31" s="607">
        <v>92398.07</v>
      </c>
      <c r="AR31" s="607">
        <v>91548.28</v>
      </c>
      <c r="AS31" s="607">
        <v>104975.725544</v>
      </c>
      <c r="AT31" s="607">
        <v>90064.46</v>
      </c>
      <c r="AU31" s="607">
        <v>132201.73000000001</v>
      </c>
      <c r="AV31" s="607">
        <f>SUM(AJ31:AU31)</f>
        <v>1075608.9754620001</v>
      </c>
      <c r="AW31" s="590"/>
      <c r="AX31" s="591">
        <f>AV31/AV33</f>
        <v>0.38040134220856531</v>
      </c>
      <c r="AY31" s="591">
        <f t="shared" si="38"/>
        <v>1.2966717484382342</v>
      </c>
      <c r="AZ31" s="577"/>
      <c r="BA31" s="590"/>
      <c r="BB31" s="595">
        <f>AX31</f>
        <v>0.38040134220856531</v>
      </c>
      <c r="BC31" s="592">
        <f>AX31</f>
        <v>0.38040134220856531</v>
      </c>
      <c r="BD31" s="608">
        <f>BD33-BD32</f>
        <v>134604.78059114196</v>
      </c>
      <c r="BE31" s="608">
        <f t="shared" ref="BE31:BO31" si="46">BE33-BE32</f>
        <v>120135.92128987762</v>
      </c>
      <c r="BF31" s="608">
        <f t="shared" si="46"/>
        <v>148272.47162896732</v>
      </c>
      <c r="BG31" s="608">
        <f t="shared" si="46"/>
        <v>155686.27453709036</v>
      </c>
      <c r="BH31" s="608">
        <f t="shared" si="46"/>
        <v>168666.31682625558</v>
      </c>
      <c r="BI31" s="608">
        <f t="shared" si="46"/>
        <v>165527.8484034735</v>
      </c>
      <c r="BJ31" s="608">
        <f t="shared" si="46"/>
        <v>178716.25211323047</v>
      </c>
      <c r="BK31" s="608">
        <f t="shared" si="46"/>
        <v>177047.96764106792</v>
      </c>
      <c r="BL31" s="608">
        <f t="shared" si="46"/>
        <v>186795.62127377104</v>
      </c>
      <c r="BM31" s="608">
        <f t="shared" si="46"/>
        <v>200429.41851016547</v>
      </c>
      <c r="BN31" s="608">
        <f t="shared" si="46"/>
        <v>191336.51745796949</v>
      </c>
      <c r="BO31" s="608">
        <f t="shared" si="46"/>
        <v>203789.53087786963</v>
      </c>
      <c r="BP31" s="607">
        <f>SUM(BD31:BO31)</f>
        <v>2031008.9211508804</v>
      </c>
      <c r="BQ31" s="590"/>
      <c r="BR31" s="591">
        <f>BP31/BP33</f>
        <v>0.38040134220856525</v>
      </c>
      <c r="BS31" s="591">
        <f>BP31/AV31</f>
        <v>1.8882409569690628</v>
      </c>
      <c r="BV31" s="607">
        <f>'2018 VN YouTube View'!R26</f>
        <v>134480.26200000002</v>
      </c>
      <c r="BW31" s="607">
        <f>'2018 VN YouTube View'!S26</f>
        <v>114441.33999999997</v>
      </c>
      <c r="BX31" s="607">
        <f>'2018 VN YouTube View'!T26</f>
        <v>153972.35000000003</v>
      </c>
      <c r="BY31" s="607">
        <f>'2018 VN YouTube View'!U26</f>
        <v>164250.47999999998</v>
      </c>
      <c r="BZ31" s="607">
        <f>'2018 VN YouTube View'!V26</f>
        <v>207233.73999999996</v>
      </c>
      <c r="CA31" s="607">
        <f>'2018 VN YouTube View'!W26</f>
        <v>189982.19999999995</v>
      </c>
      <c r="CB31" s="607">
        <f>'2018 VN YouTube View'!X26</f>
        <v>201595.1699999999</v>
      </c>
      <c r="CC31" s="607">
        <f>'2018 VN YouTube View'!Y26</f>
        <v>253866.68900010208</v>
      </c>
      <c r="CD31" s="607">
        <f>'2018 VN YouTube View'!Z26</f>
        <v>208122.49200016231</v>
      </c>
      <c r="CE31" s="607">
        <f>'2018 VN YouTube View'!AA26</f>
        <v>0</v>
      </c>
      <c r="CF31" s="607">
        <f>'2018 VN YouTube View'!AB26</f>
        <v>0</v>
      </c>
      <c r="CG31" s="607">
        <f>'2018 VN YouTube View'!AC26</f>
        <v>0</v>
      </c>
      <c r="CH31" s="607">
        <f>SUM(BV31:CG31)</f>
        <v>1627944.7230002643</v>
      </c>
      <c r="CI31" s="590"/>
      <c r="CJ31" s="591">
        <f>CH31/CH33</f>
        <v>0.43693889107458755</v>
      </c>
      <c r="CK31" s="591">
        <f t="shared" ref="CK31:CK33" si="47">CH31/AV31</f>
        <v>1.5135097978343128</v>
      </c>
    </row>
    <row r="32" spans="2:89">
      <c r="B32" s="587"/>
      <c r="C32" s="587"/>
      <c r="D32" s="587" t="s">
        <v>124</v>
      </c>
      <c r="E32" s="607">
        <v>30414.93</v>
      </c>
      <c r="F32" s="607">
        <v>38404</v>
      </c>
      <c r="G32" s="607">
        <v>58396.913580000008</v>
      </c>
      <c r="H32" s="607">
        <v>51177.131108000001</v>
      </c>
      <c r="I32" s="607">
        <v>91909.079817999998</v>
      </c>
      <c r="J32" s="607">
        <v>108686.45999999999</v>
      </c>
      <c r="K32" s="607">
        <v>73093.125501999995</v>
      </c>
      <c r="L32" s="607">
        <v>61889.903611000002</v>
      </c>
      <c r="M32" s="607">
        <v>85796.89205699999</v>
      </c>
      <c r="N32" s="607">
        <v>107079.419937</v>
      </c>
      <c r="O32" s="607">
        <v>154775.87283000001</v>
      </c>
      <c r="P32" s="607">
        <v>242333.25688299999</v>
      </c>
      <c r="Q32" s="607">
        <f>SUM(E32:P32)</f>
        <v>1103956.985326</v>
      </c>
      <c r="R32" s="590"/>
      <c r="S32" s="591">
        <f>Q32/Q33</f>
        <v>0.74393846083437243</v>
      </c>
      <c r="T32" s="607">
        <v>130683.28706400002</v>
      </c>
      <c r="U32" s="607">
        <v>135174.86859600001</v>
      </c>
      <c r="V32" s="607">
        <v>127957.14190300001</v>
      </c>
      <c r="W32" s="607">
        <v>98581.013918000011</v>
      </c>
      <c r="X32" s="607">
        <v>148933.01092</v>
      </c>
      <c r="Y32" s="607">
        <v>155097.86784399999</v>
      </c>
      <c r="Z32" s="607">
        <v>115616.28454500002</v>
      </c>
      <c r="AA32" s="607">
        <v>119073.38977199999</v>
      </c>
      <c r="AB32" s="607">
        <v>134098.69046899999</v>
      </c>
      <c r="AC32" s="607">
        <v>145112.204325</v>
      </c>
      <c r="AD32" s="607">
        <v>163888.92514500002</v>
      </c>
      <c r="AE32" s="607">
        <v>224992.76094300003</v>
      </c>
      <c r="AF32" s="607">
        <f>SUM(T32:AE32)</f>
        <v>1699209.4454440002</v>
      </c>
      <c r="AG32" s="590"/>
      <c r="AH32" s="591">
        <f>AF32/AF33</f>
        <v>0.67196300800100417</v>
      </c>
      <c r="AI32" s="591">
        <f t="shared" si="36"/>
        <v>1.5391989615811175</v>
      </c>
      <c r="AJ32" s="607">
        <v>116421.83535400001</v>
      </c>
      <c r="AK32" s="607">
        <v>133135.88449799988</v>
      </c>
      <c r="AL32" s="607">
        <v>149830.22170700002</v>
      </c>
      <c r="AM32" s="607">
        <v>111119.51719399985</v>
      </c>
      <c r="AN32" s="607">
        <v>147538.37314500005</v>
      </c>
      <c r="AO32" s="607">
        <v>202205.07079599975</v>
      </c>
      <c r="AP32" s="607">
        <v>168389.13279800001</v>
      </c>
      <c r="AQ32" s="607">
        <v>139770.78</v>
      </c>
      <c r="AR32" s="607">
        <v>161175.54</v>
      </c>
      <c r="AS32" s="607">
        <v>159117.55445600004</v>
      </c>
      <c r="AT32" s="607">
        <v>130079.17</v>
      </c>
      <c r="AU32" s="607">
        <v>133171.50999999998</v>
      </c>
      <c r="AV32" s="607">
        <f>SUM(AJ32:AU32)</f>
        <v>1751954.5899479995</v>
      </c>
      <c r="AW32" s="590"/>
      <c r="AX32" s="591">
        <f>AV32/AV33</f>
        <v>0.61959865779143475</v>
      </c>
      <c r="AY32" s="591">
        <f t="shared" si="38"/>
        <v>1.031040990647399</v>
      </c>
      <c r="AZ32" s="577"/>
      <c r="BA32" s="590"/>
      <c r="BB32" s="595">
        <f>AX32</f>
        <v>0.61959865779143475</v>
      </c>
      <c r="BC32" s="592">
        <f>AX32</f>
        <v>0.61959865779143475</v>
      </c>
      <c r="BD32" s="608">
        <f>BD33*$BC$32</f>
        <v>219244.60335067724</v>
      </c>
      <c r="BE32" s="608">
        <f t="shared" ref="BE32:BO32" si="48">BE33*$BC$32</f>
        <v>195677.68912585499</v>
      </c>
      <c r="BF32" s="608">
        <f t="shared" si="48"/>
        <v>241506.57270382834</v>
      </c>
      <c r="BG32" s="608">
        <f t="shared" si="48"/>
        <v>253582.19342675604</v>
      </c>
      <c r="BH32" s="608">
        <f t="shared" si="48"/>
        <v>274724.11877788522</v>
      </c>
      <c r="BI32" s="608">
        <f t="shared" si="48"/>
        <v>269612.17355974659</v>
      </c>
      <c r="BJ32" s="608">
        <f t="shared" si="48"/>
        <v>291093.47851396713</v>
      </c>
      <c r="BK32" s="608">
        <f t="shared" si="48"/>
        <v>288376.1725923717</v>
      </c>
      <c r="BL32" s="608">
        <f t="shared" si="48"/>
        <v>304253.17521379585</v>
      </c>
      <c r="BM32" s="608">
        <f t="shared" si="48"/>
        <v>326459.93825838837</v>
      </c>
      <c r="BN32" s="608">
        <f t="shared" si="48"/>
        <v>311649.39827800629</v>
      </c>
      <c r="BO32" s="608">
        <f t="shared" si="48"/>
        <v>331932.8976884748</v>
      </c>
      <c r="BP32" s="607">
        <f>SUM(BD32:BO32)</f>
        <v>3308112.4114897531</v>
      </c>
      <c r="BQ32" s="590"/>
      <c r="BR32" s="591">
        <f>BP32/BP33</f>
        <v>0.61959865779143486</v>
      </c>
      <c r="BS32" s="591">
        <f>BP32/AV32</f>
        <v>1.888240956969063</v>
      </c>
      <c r="BV32" s="607">
        <f>'2018 VN YouTube View'!R27</f>
        <v>140411.96299999999</v>
      </c>
      <c r="BW32" s="607">
        <f>'2018 VN YouTube View'!S27</f>
        <v>153299.45000000001</v>
      </c>
      <c r="BX32" s="607">
        <f>'2018 VN YouTube View'!T27</f>
        <v>362161.35</v>
      </c>
      <c r="BY32" s="607">
        <f>'2018 VN YouTube View'!U27</f>
        <v>301583.03000000003</v>
      </c>
      <c r="BZ32" s="607">
        <f>'2018 VN YouTube View'!V27</f>
        <v>276985.04000000004</v>
      </c>
      <c r="CA32" s="607">
        <f>'2018 VN YouTube View'!W27</f>
        <v>284514.69</v>
      </c>
      <c r="CB32" s="607">
        <f>'2018 VN YouTube View'!X27</f>
        <v>168993.31000000006</v>
      </c>
      <c r="CC32" s="607">
        <f>'2018 VN YouTube View'!Y27</f>
        <v>187197.25600010963</v>
      </c>
      <c r="CD32" s="607">
        <f>'2018 VN YouTube View'!Z27</f>
        <v>222704.15900019614</v>
      </c>
      <c r="CE32" s="607">
        <f>'2018 VN YouTube View'!AA27</f>
        <v>0</v>
      </c>
      <c r="CF32" s="607">
        <f>'2018 VN YouTube View'!AB27</f>
        <v>0</v>
      </c>
      <c r="CG32" s="607">
        <f>'2018 VN YouTube View'!AC27</f>
        <v>0</v>
      </c>
      <c r="CH32" s="607">
        <f>SUM(BV32:CG32)</f>
        <v>2097850.2480003061</v>
      </c>
      <c r="CI32" s="590"/>
      <c r="CJ32" s="591">
        <f>CH32/CH33</f>
        <v>0.5630611089254125</v>
      </c>
      <c r="CK32" s="591">
        <f t="shared" si="47"/>
        <v>1.197434145860238</v>
      </c>
    </row>
    <row r="33" spans="1:89">
      <c r="B33" s="577"/>
      <c r="C33" s="577" t="s">
        <v>125</v>
      </c>
      <c r="D33" s="577"/>
      <c r="E33" s="609">
        <f>SUM(E31:E32)</f>
        <v>49331.11</v>
      </c>
      <c r="F33" s="609">
        <f t="shared" ref="F33:P33" si="49">SUM(F31:F32)</f>
        <v>54590.05</v>
      </c>
      <c r="G33" s="609">
        <f t="shared" si="49"/>
        <v>73631.753580000004</v>
      </c>
      <c r="H33" s="609">
        <f t="shared" si="49"/>
        <v>65591.806312000001</v>
      </c>
      <c r="I33" s="609">
        <f t="shared" si="49"/>
        <v>115384.47981799999</v>
      </c>
      <c r="J33" s="609">
        <f t="shared" si="49"/>
        <v>139431.81</v>
      </c>
      <c r="K33" s="609">
        <f t="shared" si="49"/>
        <v>98182.194782999999</v>
      </c>
      <c r="L33" s="609">
        <f t="shared" si="49"/>
        <v>88540.55</v>
      </c>
      <c r="M33" s="609">
        <f t="shared" si="49"/>
        <v>112060.37</v>
      </c>
      <c r="N33" s="609">
        <f t="shared" si="49"/>
        <v>146906.72</v>
      </c>
      <c r="O33" s="609">
        <f t="shared" si="49"/>
        <v>192662.87</v>
      </c>
      <c r="P33" s="609">
        <f t="shared" si="49"/>
        <v>347622.18</v>
      </c>
      <c r="Q33" s="609">
        <f>SUM(E33:P33)</f>
        <v>1483935.8944929999</v>
      </c>
      <c r="R33" s="594">
        <f>Q33/$Q$42</f>
        <v>0.52103754157908688</v>
      </c>
      <c r="S33" s="577"/>
      <c r="T33" s="609">
        <f t="shared" ref="T33:AE33" si="50">SUM(T31:T32)</f>
        <v>208150.11000000002</v>
      </c>
      <c r="U33" s="609">
        <f t="shared" si="50"/>
        <v>175207.92</v>
      </c>
      <c r="V33" s="609">
        <f t="shared" si="50"/>
        <v>184642.69</v>
      </c>
      <c r="W33" s="609">
        <f t="shared" si="50"/>
        <v>140120.44</v>
      </c>
      <c r="X33" s="609">
        <f t="shared" si="50"/>
        <v>206937.71</v>
      </c>
      <c r="Y33" s="609">
        <f t="shared" si="50"/>
        <v>224787.26</v>
      </c>
      <c r="Z33" s="609">
        <f t="shared" si="50"/>
        <v>181055.464561</v>
      </c>
      <c r="AA33" s="609">
        <f t="shared" si="50"/>
        <v>178715.53999999998</v>
      </c>
      <c r="AB33" s="609">
        <f t="shared" si="50"/>
        <v>189461.84</v>
      </c>
      <c r="AC33" s="609">
        <f t="shared" si="50"/>
        <v>208037.56</v>
      </c>
      <c r="AD33" s="609">
        <f t="shared" si="50"/>
        <v>239690.10000000003</v>
      </c>
      <c r="AE33" s="609">
        <f t="shared" si="50"/>
        <v>391918.05000000005</v>
      </c>
      <c r="AF33" s="609">
        <f>SUM(T33:AE33)</f>
        <v>2528724.6845610002</v>
      </c>
      <c r="AG33" s="594">
        <f>AF33/$AF$42</f>
        <v>0.54996196958129051</v>
      </c>
      <c r="AH33" s="577"/>
      <c r="AI33" s="591">
        <f t="shared" si="36"/>
        <v>1.7040659869104129</v>
      </c>
      <c r="AJ33" s="609">
        <f t="shared" ref="AJ33:AU33" si="51">SUM(AJ31:AJ32)</f>
        <v>218175.736232</v>
      </c>
      <c r="AK33" s="609">
        <f t="shared" si="51"/>
        <v>188715.8593619999</v>
      </c>
      <c r="AL33" s="609">
        <f t="shared" si="51"/>
        <v>214506.87203700002</v>
      </c>
      <c r="AM33" s="609">
        <f t="shared" si="51"/>
        <v>172204.05113099987</v>
      </c>
      <c r="AN33" s="609">
        <f t="shared" si="51"/>
        <v>240990.16011600004</v>
      </c>
      <c r="AO33" s="609">
        <f t="shared" si="51"/>
        <v>298674.77079599974</v>
      </c>
      <c r="AP33" s="609">
        <f t="shared" si="51"/>
        <v>259793.295736</v>
      </c>
      <c r="AQ33" s="609">
        <f t="shared" si="51"/>
        <v>232168.85</v>
      </c>
      <c r="AR33" s="609">
        <f t="shared" si="51"/>
        <v>252723.82</v>
      </c>
      <c r="AS33" s="609">
        <f t="shared" si="51"/>
        <v>264093.28000000003</v>
      </c>
      <c r="AT33" s="609">
        <f t="shared" si="51"/>
        <v>220143.63</v>
      </c>
      <c r="AU33" s="609">
        <f t="shared" si="51"/>
        <v>265373.24</v>
      </c>
      <c r="AV33" s="609">
        <f>SUM(AJ33:AU33)</f>
        <v>2827563.5654099993</v>
      </c>
      <c r="AW33" s="594">
        <f>AV33/$AV$42</f>
        <v>0.44390716145362774</v>
      </c>
      <c r="AX33" s="577"/>
      <c r="AY33" s="591">
        <f t="shared" si="38"/>
        <v>1.1181777054155182</v>
      </c>
      <c r="AZ33" s="577"/>
      <c r="BA33" s="594"/>
      <c r="BB33" s="595"/>
      <c r="BC33" s="595"/>
      <c r="BD33" s="610">
        <f>BD56</f>
        <v>353849.38394181919</v>
      </c>
      <c r="BE33" s="610">
        <f t="shared" ref="BE33:BO33" si="52">BE56</f>
        <v>315813.6104157326</v>
      </c>
      <c r="BF33" s="610">
        <f t="shared" si="52"/>
        <v>389779.04433279566</v>
      </c>
      <c r="BG33" s="610">
        <f t="shared" si="52"/>
        <v>409268.4679638464</v>
      </c>
      <c r="BH33" s="610">
        <f t="shared" si="52"/>
        <v>443390.4356041408</v>
      </c>
      <c r="BI33" s="610">
        <f t="shared" si="52"/>
        <v>435140.02196322009</v>
      </c>
      <c r="BJ33" s="610">
        <f t="shared" si="52"/>
        <v>469809.7306271976</v>
      </c>
      <c r="BK33" s="610">
        <f t="shared" si="52"/>
        <v>465424.14023343963</v>
      </c>
      <c r="BL33" s="610">
        <f t="shared" si="52"/>
        <v>491048.7964875669</v>
      </c>
      <c r="BM33" s="610">
        <f t="shared" si="52"/>
        <v>526889.35676855384</v>
      </c>
      <c r="BN33" s="610">
        <f t="shared" si="52"/>
        <v>502985.91573597578</v>
      </c>
      <c r="BO33" s="610">
        <f t="shared" si="52"/>
        <v>535722.42856634443</v>
      </c>
      <c r="BP33" s="609">
        <f>SUM(BD33:BO33)</f>
        <v>5339121.332640633</v>
      </c>
      <c r="BQ33" s="594">
        <f>BP33/$BP$42</f>
        <v>0.44107621987189355</v>
      </c>
      <c r="BR33" s="577"/>
      <c r="BS33" s="591">
        <f>BP33/AV33</f>
        <v>1.888240956969063</v>
      </c>
      <c r="BV33" s="609">
        <f t="shared" ref="BV33:CG33" si="53">SUM(BV31:BV32)</f>
        <v>274892.22499999998</v>
      </c>
      <c r="BW33" s="609">
        <f t="shared" si="53"/>
        <v>267740.78999999998</v>
      </c>
      <c r="BX33" s="609">
        <f t="shared" si="53"/>
        <v>516133.7</v>
      </c>
      <c r="BY33" s="609">
        <f t="shared" si="53"/>
        <v>465833.51</v>
      </c>
      <c r="BZ33" s="609">
        <f t="shared" si="53"/>
        <v>484218.78</v>
      </c>
      <c r="CA33" s="609">
        <f t="shared" si="53"/>
        <v>474496.88999999996</v>
      </c>
      <c r="CB33" s="609">
        <f t="shared" si="53"/>
        <v>370588.48</v>
      </c>
      <c r="CC33" s="609">
        <f t="shared" si="53"/>
        <v>441063.94500021171</v>
      </c>
      <c r="CD33" s="609">
        <f t="shared" si="53"/>
        <v>430826.65100035846</v>
      </c>
      <c r="CE33" s="609">
        <f t="shared" si="53"/>
        <v>0</v>
      </c>
      <c r="CF33" s="609">
        <f t="shared" si="53"/>
        <v>0</v>
      </c>
      <c r="CG33" s="609">
        <f t="shared" si="53"/>
        <v>0</v>
      </c>
      <c r="CH33" s="609">
        <f>SUM(BV33:CG33)</f>
        <v>3725794.9710005703</v>
      </c>
      <c r="CI33" s="594">
        <f>CH33/$AV$42</f>
        <v>0.58492303761710351</v>
      </c>
      <c r="CJ33" s="577"/>
      <c r="CK33" s="591">
        <f t="shared" si="47"/>
        <v>1.3176697481106234</v>
      </c>
    </row>
    <row r="34" spans="1:89">
      <c r="C34" s="569" t="s">
        <v>126</v>
      </c>
      <c r="E34" s="612"/>
      <c r="F34" s="612"/>
      <c r="G34" s="612"/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597"/>
      <c r="T34" s="612"/>
      <c r="U34" s="612"/>
      <c r="V34" s="612"/>
      <c r="W34" s="612"/>
      <c r="X34" s="612"/>
      <c r="Y34" s="612"/>
      <c r="Z34" s="612"/>
      <c r="AA34" s="612"/>
      <c r="AB34" s="612"/>
      <c r="AC34" s="612"/>
      <c r="AD34" s="612"/>
      <c r="AE34" s="612"/>
      <c r="AF34" s="612"/>
      <c r="AG34" s="597"/>
      <c r="AI34" s="591"/>
      <c r="AJ34" s="612"/>
      <c r="AK34" s="612"/>
      <c r="AL34" s="612"/>
      <c r="AM34" s="612"/>
      <c r="AN34" s="612"/>
      <c r="AO34" s="612"/>
      <c r="AP34" s="612"/>
      <c r="AQ34" s="612"/>
      <c r="AR34" s="613"/>
      <c r="AS34" s="613"/>
      <c r="AT34" s="613"/>
      <c r="AU34" s="613"/>
      <c r="AV34" s="612"/>
      <c r="AW34" s="597"/>
      <c r="AY34" s="591"/>
      <c r="AZ34" s="577"/>
      <c r="BA34" s="597"/>
      <c r="BB34" s="595"/>
      <c r="BC34" s="595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2"/>
      <c r="BQ34" s="597"/>
      <c r="BS34" s="591"/>
      <c r="BV34" s="612"/>
      <c r="BW34" s="612"/>
      <c r="BX34" s="612"/>
      <c r="BY34" s="612"/>
      <c r="BZ34" s="612"/>
      <c r="CA34" s="612"/>
      <c r="CB34" s="612"/>
      <c r="CC34" s="612"/>
      <c r="CD34" s="613"/>
      <c r="CE34" s="613"/>
      <c r="CF34" s="613"/>
      <c r="CG34" s="613"/>
      <c r="CH34" s="612"/>
      <c r="CI34" s="597"/>
      <c r="CK34" s="591"/>
    </row>
    <row r="35" spans="1:89">
      <c r="B35" s="587"/>
      <c r="C35" s="587"/>
      <c r="D35" s="587" t="s">
        <v>123</v>
      </c>
      <c r="E35" s="607"/>
      <c r="F35" s="607"/>
      <c r="G35" s="607"/>
      <c r="H35" s="607"/>
      <c r="I35" s="607"/>
      <c r="J35" s="607"/>
      <c r="K35" s="607"/>
      <c r="L35" s="607"/>
      <c r="M35" s="607"/>
      <c r="N35" s="607"/>
      <c r="O35" s="607"/>
      <c r="P35" s="607"/>
      <c r="Q35" s="607">
        <f>SUM(E35:P35)</f>
        <v>0</v>
      </c>
      <c r="R35" s="590"/>
      <c r="S35" s="591" t="e">
        <f>Q35/Q37</f>
        <v>#DIV/0!</v>
      </c>
      <c r="T35" s="607"/>
      <c r="U35" s="607"/>
      <c r="V35" s="607"/>
      <c r="W35" s="607">
        <v>6.0294879999999997</v>
      </c>
      <c r="X35" s="607">
        <v>20913.589498000001</v>
      </c>
      <c r="Y35" s="607">
        <v>41317.813198999989</v>
      </c>
      <c r="Z35" s="607">
        <v>40693.308279999997</v>
      </c>
      <c r="AA35" s="607">
        <v>35884.606585000001</v>
      </c>
      <c r="AB35" s="607">
        <v>42398.665808999998</v>
      </c>
      <c r="AC35" s="607">
        <v>45180.523867999997</v>
      </c>
      <c r="AD35" s="607">
        <v>43541.150437999997</v>
      </c>
      <c r="AE35" s="607">
        <v>66631.719855999996</v>
      </c>
      <c r="AF35" s="607">
        <f>SUM(T35:AE35)</f>
        <v>336567.40702099993</v>
      </c>
      <c r="AG35" s="590"/>
      <c r="AH35" s="591">
        <f>AF35/AF37</f>
        <v>0.87778327941105505</v>
      </c>
      <c r="AI35" s="591" t="e">
        <f t="shared" si="36"/>
        <v>#DIV/0!</v>
      </c>
      <c r="AJ35" s="607">
        <v>37802.617324999999</v>
      </c>
      <c r="AK35" s="607">
        <v>26928.673917</v>
      </c>
      <c r="AL35" s="607">
        <v>24944.528724</v>
      </c>
      <c r="AM35" s="607">
        <v>25417.427377</v>
      </c>
      <c r="AN35" s="607">
        <v>31322.45</v>
      </c>
      <c r="AO35" s="607">
        <v>35498.699999999997</v>
      </c>
      <c r="AP35" s="607">
        <v>39417.872330999999</v>
      </c>
      <c r="AQ35" s="607">
        <v>38460.339999999997</v>
      </c>
      <c r="AR35" s="607">
        <v>62245.521842000002</v>
      </c>
      <c r="AS35" s="607">
        <v>89882.654018999994</v>
      </c>
      <c r="AT35" s="607">
        <v>128822.43</v>
      </c>
      <c r="AU35" s="607">
        <v>192804.4</v>
      </c>
      <c r="AV35" s="607">
        <f>SUM(AJ35:AU35)</f>
        <v>733547.61553499999</v>
      </c>
      <c r="AW35" s="590"/>
      <c r="AX35" s="591">
        <f>AV35/AV37</f>
        <v>0.76007245666157131</v>
      </c>
      <c r="AY35" s="591">
        <f t="shared" si="38"/>
        <v>2.1794968860108033</v>
      </c>
      <c r="AZ35" s="577"/>
      <c r="BA35" s="590"/>
      <c r="BB35" s="595">
        <f>AX35</f>
        <v>0.76007245666157131</v>
      </c>
      <c r="BC35" s="592">
        <f>AX35</f>
        <v>0.76007245666157131</v>
      </c>
      <c r="BD35" s="608">
        <f>BD37-BD36</f>
        <v>117532.35438555437</v>
      </c>
      <c r="BE35" s="608">
        <f t="shared" ref="BE35:BO35" si="54">BE37-BE36</f>
        <v>104898.63445760973</v>
      </c>
      <c r="BF35" s="608">
        <f t="shared" si="54"/>
        <v>129466.52120812313</v>
      </c>
      <c r="BG35" s="608">
        <f t="shared" si="54"/>
        <v>135940.00385053319</v>
      </c>
      <c r="BH35" s="608">
        <f t="shared" si="54"/>
        <v>147273.73897918023</v>
      </c>
      <c r="BI35" s="608">
        <f t="shared" si="54"/>
        <v>144533.33420845566</v>
      </c>
      <c r="BJ35" s="608">
        <f t="shared" si="54"/>
        <v>156049.00350183083</v>
      </c>
      <c r="BK35" s="608">
        <f t="shared" si="54"/>
        <v>154592.3137695865</v>
      </c>
      <c r="BL35" s="608">
        <f t="shared" si="54"/>
        <v>163103.63614725458</v>
      </c>
      <c r="BM35" s="608">
        <f t="shared" si="54"/>
        <v>175008.20804560336</v>
      </c>
      <c r="BN35" s="608">
        <f t="shared" si="54"/>
        <v>167068.59353736643</v>
      </c>
      <c r="BO35" s="608">
        <f t="shared" si="54"/>
        <v>177942.14483330076</v>
      </c>
      <c r="BP35" s="607">
        <f>SUM(BD35:BO35)</f>
        <v>1773408.4869243987</v>
      </c>
      <c r="BQ35" s="590"/>
      <c r="BR35" s="591">
        <f>BP35/BP37</f>
        <v>0.76007245666157097</v>
      </c>
      <c r="BS35" s="591">
        <f>BP35/AV35</f>
        <v>2.4175778768376128</v>
      </c>
      <c r="BV35" s="607">
        <f>'2018 VN YouTube View'!R30</f>
        <v>115656.79299999999</v>
      </c>
      <c r="BW35" s="607">
        <f>'2018 VN YouTube View'!S30</f>
        <v>94450.7</v>
      </c>
      <c r="BX35" s="607">
        <f>'2018 VN YouTube View'!T30</f>
        <v>125455.74999999999</v>
      </c>
      <c r="BY35" s="607">
        <f>'2018 VN YouTube View'!U30</f>
        <v>116613.42000000001</v>
      </c>
      <c r="BZ35" s="607">
        <f>'2018 VN YouTube View'!V30</f>
        <v>122478.54000000001</v>
      </c>
      <c r="CA35" s="607">
        <f>'2018 VN YouTube View'!W30</f>
        <v>123175.16000000003</v>
      </c>
      <c r="CB35" s="607">
        <f>'2018 VN YouTube View'!X30</f>
        <v>121549.84</v>
      </c>
      <c r="CC35" s="607">
        <f>'2018 VN YouTube View'!Y30</f>
        <v>151945.83000000729</v>
      </c>
      <c r="CD35" s="607">
        <f>'2018 VN YouTube View'!Z30</f>
        <v>98883.385000009774</v>
      </c>
      <c r="CE35" s="607">
        <f>'2018 VN YouTube View'!AA30</f>
        <v>0</v>
      </c>
      <c r="CF35" s="607">
        <f>'2018 VN YouTube View'!AB30</f>
        <v>0</v>
      </c>
      <c r="CG35" s="607">
        <f>'2018 VN YouTube View'!AC30</f>
        <v>0</v>
      </c>
      <c r="CH35" s="607">
        <f>SUM(BV35:CG35)</f>
        <v>1070209.4180000171</v>
      </c>
      <c r="CI35" s="590"/>
      <c r="CJ35" s="591">
        <f>CH35/CH37</f>
        <v>0.65895350297276745</v>
      </c>
      <c r="CK35" s="591">
        <f t="shared" ref="CK35:CK37" si="55">CH35/AV35</f>
        <v>1.4589501694712466</v>
      </c>
    </row>
    <row r="36" spans="1:89">
      <c r="B36" s="587"/>
      <c r="C36" s="587"/>
      <c r="D36" s="587" t="s">
        <v>124</v>
      </c>
      <c r="E36" s="607"/>
      <c r="F36" s="607"/>
      <c r="G36" s="607"/>
      <c r="H36" s="607"/>
      <c r="I36" s="607"/>
      <c r="J36" s="607"/>
      <c r="K36" s="607"/>
      <c r="L36" s="607"/>
      <c r="M36" s="607"/>
      <c r="N36" s="607"/>
      <c r="O36" s="607"/>
      <c r="P36" s="607"/>
      <c r="Q36" s="607">
        <f>SUM(E36:P36)</f>
        <v>0</v>
      </c>
      <c r="R36" s="590"/>
      <c r="S36" s="591" t="e">
        <f>Q36/Q37</f>
        <v>#DIV/0!</v>
      </c>
      <c r="T36" s="607"/>
      <c r="U36" s="607"/>
      <c r="V36" s="607"/>
      <c r="W36" s="607">
        <v>3.8305119999999997</v>
      </c>
      <c r="X36" s="607">
        <v>3031.9305020000006</v>
      </c>
      <c r="Y36" s="607">
        <v>6033.9668010000096</v>
      </c>
      <c r="Z36" s="607">
        <v>5000.601698000004</v>
      </c>
      <c r="AA36" s="607">
        <v>5038.2134149999956</v>
      </c>
      <c r="AB36" s="607">
        <v>6936.804191000002</v>
      </c>
      <c r="AC36" s="607">
        <v>5942.1461319999999</v>
      </c>
      <c r="AD36" s="607">
        <v>6474.2895620000036</v>
      </c>
      <c r="AE36" s="607">
        <v>8399.6301440000043</v>
      </c>
      <c r="AF36" s="607">
        <f>SUM(T36:AE36)</f>
        <v>46861.412957000022</v>
      </c>
      <c r="AG36" s="590"/>
      <c r="AH36" s="591">
        <f>AF36/AF37</f>
        <v>0.12221672058894474</v>
      </c>
      <c r="AI36" s="591" t="e">
        <f t="shared" si="36"/>
        <v>#DIV/0!</v>
      </c>
      <c r="AJ36" s="607">
        <v>4809.6312289999996</v>
      </c>
      <c r="AK36" s="607">
        <v>5565.6233539999939</v>
      </c>
      <c r="AL36" s="607">
        <v>7747.4381760000051</v>
      </c>
      <c r="AM36" s="607">
        <v>7663.9250190000084</v>
      </c>
      <c r="AN36" s="607">
        <v>6565.876292999993</v>
      </c>
      <c r="AO36" s="607">
        <v>7317.6815769999876</v>
      </c>
      <c r="AP36" s="607">
        <v>8538.6450070000101</v>
      </c>
      <c r="AQ36" s="607">
        <v>8237.7700000000041</v>
      </c>
      <c r="AR36" s="607">
        <v>12999.158157999991</v>
      </c>
      <c r="AS36" s="607">
        <v>30150.075981000016</v>
      </c>
      <c r="AT36" s="607">
        <v>22419.510000000009</v>
      </c>
      <c r="AU36" s="607">
        <v>109539.26999999999</v>
      </c>
      <c r="AV36" s="607">
        <f>SUM(AJ36:AU36)</f>
        <v>231554.60479400001</v>
      </c>
      <c r="AW36" s="590"/>
      <c r="AX36" s="591">
        <f>AV36/AV37</f>
        <v>0.23992754333842883</v>
      </c>
      <c r="AY36" s="591">
        <f t="shared" si="38"/>
        <v>4.9412638284397072</v>
      </c>
      <c r="AZ36" s="577"/>
      <c r="BA36" s="590"/>
      <c r="BB36" s="595">
        <f>AX36</f>
        <v>0.23992754333842883</v>
      </c>
      <c r="BC36" s="592">
        <f>AX36</f>
        <v>0.23992754333842883</v>
      </c>
      <c r="BD36" s="608">
        <f>BD37*$BC$36</f>
        <v>37100.737966964152</v>
      </c>
      <c r="BE36" s="608">
        <f t="shared" ref="BE36:BO36" si="56">BE37*$BC$36</f>
        <v>33112.726878059293</v>
      </c>
      <c r="BF36" s="608">
        <f t="shared" si="56"/>
        <v>40867.925295533321</v>
      </c>
      <c r="BG36" s="608">
        <f t="shared" si="56"/>
        <v>42911.370987618131</v>
      </c>
      <c r="BH36" s="608">
        <f t="shared" si="56"/>
        <v>46489.023621168984</v>
      </c>
      <c r="BI36" s="608">
        <f t="shared" si="56"/>
        <v>45623.976376488186</v>
      </c>
      <c r="BJ36" s="608">
        <f t="shared" si="56"/>
        <v>49259.059083724744</v>
      </c>
      <c r="BK36" s="608">
        <f t="shared" si="56"/>
        <v>48799.234515947624</v>
      </c>
      <c r="BL36" s="608">
        <f t="shared" si="56"/>
        <v>51485.952934353052</v>
      </c>
      <c r="BM36" s="608">
        <f t="shared" si="56"/>
        <v>55243.798209541441</v>
      </c>
      <c r="BN36" s="608">
        <f t="shared" si="56"/>
        <v>52737.547407634505</v>
      </c>
      <c r="BO36" s="608">
        <f t="shared" si="56"/>
        <v>56169.936552817722</v>
      </c>
      <c r="BP36" s="607">
        <f>SUM(BD36:BO36)</f>
        <v>559801.28982985113</v>
      </c>
      <c r="BQ36" s="590"/>
      <c r="BR36" s="591">
        <f>BP36/BP37</f>
        <v>0.23992754333842878</v>
      </c>
      <c r="BS36" s="591">
        <f>BP36/AV36</f>
        <v>2.4175778768376128</v>
      </c>
      <c r="BV36" s="607">
        <f>'2018 VN YouTube View'!R31</f>
        <v>32712.477000000003</v>
      </c>
      <c r="BW36" s="607">
        <f>'2018 VN YouTube View'!S31</f>
        <v>23762.960000000003</v>
      </c>
      <c r="BX36" s="607">
        <f>'2018 VN YouTube View'!T31</f>
        <v>42691.080000000009</v>
      </c>
      <c r="BY36" s="607">
        <f>'2018 VN YouTube View'!U31</f>
        <v>53677.130000000005</v>
      </c>
      <c r="BZ36" s="607">
        <f>'2018 VN YouTube View'!V31</f>
        <v>84308.000000000015</v>
      </c>
      <c r="CA36" s="607">
        <f>'2018 VN YouTube View'!W31</f>
        <v>108927.82</v>
      </c>
      <c r="CB36" s="607">
        <f>'2018 VN YouTube View'!X31</f>
        <v>83338</v>
      </c>
      <c r="CC36" s="607">
        <f>'2018 VN YouTube View'!Y31</f>
        <v>81360.811000010523</v>
      </c>
      <c r="CD36" s="607">
        <f>'2018 VN YouTube View'!Z31</f>
        <v>43116.907999999341</v>
      </c>
      <c r="CE36" s="607">
        <f>'2018 VN YouTube View'!AA31</f>
        <v>0</v>
      </c>
      <c r="CF36" s="607">
        <f>'2018 VN YouTube View'!AB31</f>
        <v>0</v>
      </c>
      <c r="CG36" s="607">
        <f>'2018 VN YouTube View'!AC31</f>
        <v>0</v>
      </c>
      <c r="CH36" s="607">
        <f>SUM(BV36:CG36)</f>
        <v>553895.18600000988</v>
      </c>
      <c r="CI36" s="590"/>
      <c r="CJ36" s="591">
        <f>CH36/CH37</f>
        <v>0.3410464970272325</v>
      </c>
      <c r="CK36" s="591">
        <f t="shared" si="55"/>
        <v>2.3920715655504954</v>
      </c>
    </row>
    <row r="37" spans="1:89">
      <c r="B37" s="577"/>
      <c r="C37" s="577" t="s">
        <v>127</v>
      </c>
      <c r="D37" s="577"/>
      <c r="E37" s="609">
        <f>SUM(E35:E36)</f>
        <v>0</v>
      </c>
      <c r="F37" s="609">
        <f t="shared" ref="F37:P37" si="57">SUM(F35:F36)</f>
        <v>0</v>
      </c>
      <c r="G37" s="609">
        <f t="shared" si="57"/>
        <v>0</v>
      </c>
      <c r="H37" s="609">
        <f t="shared" si="57"/>
        <v>0</v>
      </c>
      <c r="I37" s="609">
        <f t="shared" si="57"/>
        <v>0</v>
      </c>
      <c r="J37" s="609">
        <f t="shared" si="57"/>
        <v>0</v>
      </c>
      <c r="K37" s="609">
        <f t="shared" si="57"/>
        <v>0</v>
      </c>
      <c r="L37" s="609">
        <f t="shared" si="57"/>
        <v>0</v>
      </c>
      <c r="M37" s="609">
        <f t="shared" si="57"/>
        <v>0</v>
      </c>
      <c r="N37" s="609">
        <f t="shared" si="57"/>
        <v>0</v>
      </c>
      <c r="O37" s="609">
        <f t="shared" si="57"/>
        <v>0</v>
      </c>
      <c r="P37" s="609">
        <f t="shared" si="57"/>
        <v>0</v>
      </c>
      <c r="Q37" s="609">
        <f>SUM(E37:P37)</f>
        <v>0</v>
      </c>
      <c r="R37" s="594">
        <f>Q37/$Q$42</f>
        <v>0</v>
      </c>
      <c r="S37" s="577"/>
      <c r="T37" s="609">
        <f t="shared" ref="T37:AE37" si="58">SUM(T35:T36)</f>
        <v>0</v>
      </c>
      <c r="U37" s="609">
        <f t="shared" si="58"/>
        <v>0</v>
      </c>
      <c r="V37" s="609">
        <f t="shared" si="58"/>
        <v>0</v>
      </c>
      <c r="W37" s="609">
        <f t="shared" si="58"/>
        <v>9.86</v>
      </c>
      <c r="X37" s="609">
        <f t="shared" si="58"/>
        <v>23945.52</v>
      </c>
      <c r="Y37" s="609">
        <f t="shared" si="58"/>
        <v>47351.78</v>
      </c>
      <c r="Z37" s="609">
        <f t="shared" si="58"/>
        <v>45693.909978000003</v>
      </c>
      <c r="AA37" s="609">
        <f t="shared" si="58"/>
        <v>40922.82</v>
      </c>
      <c r="AB37" s="609">
        <f t="shared" si="58"/>
        <v>49335.47</v>
      </c>
      <c r="AC37" s="609">
        <f t="shared" si="58"/>
        <v>51122.67</v>
      </c>
      <c r="AD37" s="609">
        <f t="shared" si="58"/>
        <v>50015.44</v>
      </c>
      <c r="AE37" s="609">
        <f t="shared" si="58"/>
        <v>75031.350000000006</v>
      </c>
      <c r="AF37" s="609">
        <f>SUM(T37:AE37)</f>
        <v>383428.81997800001</v>
      </c>
      <c r="AG37" s="594">
        <f>AF37/$AF$42</f>
        <v>8.3390362864251194E-2</v>
      </c>
      <c r="AH37" s="577"/>
      <c r="AI37" s="591" t="e">
        <f t="shared" si="36"/>
        <v>#DIV/0!</v>
      </c>
      <c r="AJ37" s="609">
        <f t="shared" ref="AJ37:AU37" si="59">SUM(AJ35:AJ36)</f>
        <v>42612.248553999998</v>
      </c>
      <c r="AK37" s="609">
        <f t="shared" si="59"/>
        <v>32494.297270999996</v>
      </c>
      <c r="AL37" s="609">
        <f t="shared" si="59"/>
        <v>32691.966900000007</v>
      </c>
      <c r="AM37" s="609">
        <f t="shared" si="59"/>
        <v>33081.352396000009</v>
      </c>
      <c r="AN37" s="609">
        <f t="shared" si="59"/>
        <v>37888.326292999991</v>
      </c>
      <c r="AO37" s="609">
        <f t="shared" si="59"/>
        <v>42816.381576999986</v>
      </c>
      <c r="AP37" s="609">
        <f t="shared" si="59"/>
        <v>47956.517338000005</v>
      </c>
      <c r="AQ37" s="609">
        <f t="shared" si="59"/>
        <v>46698.11</v>
      </c>
      <c r="AR37" s="609">
        <f t="shared" si="59"/>
        <v>75244.679999999993</v>
      </c>
      <c r="AS37" s="609">
        <f t="shared" si="59"/>
        <v>120032.73000000001</v>
      </c>
      <c r="AT37" s="609">
        <f t="shared" si="59"/>
        <v>151241.94</v>
      </c>
      <c r="AU37" s="609">
        <f t="shared" si="59"/>
        <v>302343.67</v>
      </c>
      <c r="AV37" s="609">
        <f>SUM(AJ37:AU37)</f>
        <v>965102.22032899992</v>
      </c>
      <c r="AW37" s="594">
        <f>AV37/$AV$42</f>
        <v>0.15151411355688454</v>
      </c>
      <c r="AX37" s="577"/>
      <c r="AY37" s="591">
        <f t="shared" si="38"/>
        <v>2.5170309847454204</v>
      </c>
      <c r="AZ37" s="577"/>
      <c r="BA37" s="594"/>
      <c r="BB37" s="595"/>
      <c r="BC37" s="595"/>
      <c r="BD37" s="610">
        <f>BD62</f>
        <v>154633.09235251852</v>
      </c>
      <c r="BE37" s="610">
        <f t="shared" ref="BE37:BO37" si="60">BE62</f>
        <v>138011.36133566903</v>
      </c>
      <c r="BF37" s="610">
        <f t="shared" si="60"/>
        <v>170334.44650365645</v>
      </c>
      <c r="BG37" s="610">
        <f t="shared" si="60"/>
        <v>178851.37483815133</v>
      </c>
      <c r="BH37" s="610">
        <f t="shared" si="60"/>
        <v>193762.7626003492</v>
      </c>
      <c r="BI37" s="610">
        <f t="shared" si="60"/>
        <v>190157.31058494386</v>
      </c>
      <c r="BJ37" s="610">
        <f t="shared" si="60"/>
        <v>205308.06258555557</v>
      </c>
      <c r="BK37" s="610">
        <f t="shared" si="60"/>
        <v>203391.54828553411</v>
      </c>
      <c r="BL37" s="610">
        <f t="shared" si="60"/>
        <v>214589.58908160764</v>
      </c>
      <c r="BM37" s="610">
        <f t="shared" si="60"/>
        <v>230252.00625514481</v>
      </c>
      <c r="BN37" s="610">
        <f t="shared" si="60"/>
        <v>219806.14094500092</v>
      </c>
      <c r="BO37" s="610">
        <f t="shared" si="60"/>
        <v>234112.08138611849</v>
      </c>
      <c r="BP37" s="609">
        <f>SUM(BD37:BO37)</f>
        <v>2333209.7767542503</v>
      </c>
      <c r="BQ37" s="594">
        <f>BP37/$BP$42</f>
        <v>0.19275144436358471</v>
      </c>
      <c r="BR37" s="577"/>
      <c r="BS37" s="591">
        <f>BP37/AV37</f>
        <v>2.4175778768376137</v>
      </c>
      <c r="BV37" s="609">
        <f t="shared" ref="BV37:CG37" si="61">SUM(BV35:BV36)</f>
        <v>148369.26999999999</v>
      </c>
      <c r="BW37" s="609">
        <f t="shared" si="61"/>
        <v>118213.66</v>
      </c>
      <c r="BX37" s="609">
        <f t="shared" si="61"/>
        <v>168146.83</v>
      </c>
      <c r="BY37" s="609">
        <f t="shared" si="61"/>
        <v>170290.55000000002</v>
      </c>
      <c r="BZ37" s="609">
        <f t="shared" si="61"/>
        <v>206786.54000000004</v>
      </c>
      <c r="CA37" s="609">
        <f t="shared" si="61"/>
        <v>232102.98000000004</v>
      </c>
      <c r="CB37" s="609">
        <f t="shared" si="61"/>
        <v>204887.84</v>
      </c>
      <c r="CC37" s="609">
        <f t="shared" si="61"/>
        <v>233306.64100001781</v>
      </c>
      <c r="CD37" s="609">
        <f t="shared" si="61"/>
        <v>142000.29300000911</v>
      </c>
      <c r="CE37" s="609">
        <f t="shared" si="61"/>
        <v>0</v>
      </c>
      <c r="CF37" s="609">
        <f t="shared" si="61"/>
        <v>0</v>
      </c>
      <c r="CG37" s="609">
        <f t="shared" si="61"/>
        <v>0</v>
      </c>
      <c r="CH37" s="609">
        <f>SUM(BV37:CG37)</f>
        <v>1624104.6040000271</v>
      </c>
      <c r="CI37" s="594">
        <f>CH37/$AV$42</f>
        <v>0.25497275233169925</v>
      </c>
      <c r="CJ37" s="577"/>
      <c r="CK37" s="591">
        <f t="shared" si="55"/>
        <v>1.6828316936690659</v>
      </c>
    </row>
    <row r="38" spans="1:89">
      <c r="B38" s="577"/>
      <c r="C38" s="569" t="s">
        <v>128</v>
      </c>
      <c r="D38" s="577"/>
      <c r="E38" s="609"/>
      <c r="F38" s="609"/>
      <c r="G38" s="609"/>
      <c r="H38" s="609"/>
      <c r="I38" s="609"/>
      <c r="J38" s="609"/>
      <c r="K38" s="609"/>
      <c r="L38" s="609"/>
      <c r="M38" s="609"/>
      <c r="N38" s="609"/>
      <c r="O38" s="609"/>
      <c r="P38" s="609"/>
      <c r="Q38" s="609"/>
      <c r="R38" s="594"/>
      <c r="S38" s="577"/>
      <c r="T38" s="609"/>
      <c r="U38" s="609"/>
      <c r="V38" s="609"/>
      <c r="W38" s="609"/>
      <c r="X38" s="609"/>
      <c r="Y38" s="609"/>
      <c r="Z38" s="609"/>
      <c r="AA38" s="609"/>
      <c r="AB38" s="609"/>
      <c r="AC38" s="609"/>
      <c r="AD38" s="609"/>
      <c r="AE38" s="609"/>
      <c r="AF38" s="609"/>
      <c r="AG38" s="594"/>
      <c r="AH38" s="577"/>
      <c r="AI38" s="591"/>
      <c r="AJ38" s="609"/>
      <c r="AK38" s="609"/>
      <c r="AL38" s="609"/>
      <c r="AM38" s="609"/>
      <c r="AN38" s="609"/>
      <c r="AO38" s="609"/>
      <c r="AP38" s="609"/>
      <c r="AQ38" s="609"/>
      <c r="AR38" s="611"/>
      <c r="AS38" s="611"/>
      <c r="AT38" s="611"/>
      <c r="AU38" s="611"/>
      <c r="AV38" s="609"/>
      <c r="AW38" s="594"/>
      <c r="AX38" s="577"/>
      <c r="AY38" s="591"/>
      <c r="AZ38" s="577"/>
      <c r="BA38" s="594"/>
      <c r="BB38" s="595"/>
      <c r="BC38" s="595"/>
      <c r="BD38" s="610"/>
      <c r="BE38" s="610"/>
      <c r="BF38" s="610"/>
      <c r="BG38" s="610"/>
      <c r="BH38" s="610"/>
      <c r="BI38" s="610"/>
      <c r="BJ38" s="610"/>
      <c r="BK38" s="610"/>
      <c r="BL38" s="610"/>
      <c r="BM38" s="610"/>
      <c r="BN38" s="610"/>
      <c r="BO38" s="610"/>
      <c r="BP38" s="609"/>
      <c r="BQ38" s="594"/>
      <c r="BR38" s="577"/>
      <c r="BS38" s="591"/>
      <c r="BV38" s="609"/>
      <c r="BW38" s="609"/>
      <c r="BX38" s="609"/>
      <c r="BY38" s="609"/>
      <c r="BZ38" s="609"/>
      <c r="CA38" s="609"/>
      <c r="CB38" s="609"/>
      <c r="CC38" s="609"/>
      <c r="CD38" s="611"/>
      <c r="CE38" s="611"/>
      <c r="CF38" s="611"/>
      <c r="CG38" s="611"/>
      <c r="CH38" s="609"/>
      <c r="CI38" s="594"/>
      <c r="CJ38" s="577"/>
      <c r="CK38" s="591"/>
    </row>
    <row r="39" spans="1:89">
      <c r="B39" s="587"/>
      <c r="C39" s="587"/>
      <c r="D39" s="587" t="s">
        <v>123</v>
      </c>
      <c r="E39" s="607"/>
      <c r="F39" s="607"/>
      <c r="G39" s="607"/>
      <c r="H39" s="607"/>
      <c r="I39" s="607"/>
      <c r="J39" s="607"/>
      <c r="K39" s="607"/>
      <c r="L39" s="607"/>
      <c r="M39" s="607"/>
      <c r="N39" s="607"/>
      <c r="O39" s="607"/>
      <c r="P39" s="607"/>
      <c r="Q39" s="607">
        <f>SUM(E39:P39)</f>
        <v>0</v>
      </c>
      <c r="R39" s="590"/>
      <c r="S39" s="591" t="e">
        <f>Q39/Q41</f>
        <v>#DIV/0!</v>
      </c>
      <c r="T39" s="607"/>
      <c r="U39" s="607"/>
      <c r="V39" s="607"/>
      <c r="W39" s="607">
        <v>143.760175</v>
      </c>
      <c r="X39" s="607">
        <v>737.38582300000007</v>
      </c>
      <c r="Y39" s="607">
        <v>1799.4152309999999</v>
      </c>
      <c r="Z39" s="607">
        <v>1636.361768</v>
      </c>
      <c r="AA39" s="607">
        <v>1552.5680259999999</v>
      </c>
      <c r="AB39" s="607">
        <v>1632.6815799999999</v>
      </c>
      <c r="AC39" s="607">
        <v>2060.7033240000001</v>
      </c>
      <c r="AD39" s="607">
        <v>1900.9547150000001</v>
      </c>
      <c r="AE39" s="607">
        <v>5012.7736539999996</v>
      </c>
      <c r="AF39" s="607">
        <f>SUM(T39:AE39)</f>
        <v>16476.604295999998</v>
      </c>
      <c r="AG39" s="590"/>
      <c r="AH39" s="591">
        <f>AF39/AF41</f>
        <v>0.35215599570828288</v>
      </c>
      <c r="AI39" s="591" t="e">
        <f t="shared" si="36"/>
        <v>#DIV/0!</v>
      </c>
      <c r="AJ39" s="607">
        <v>3385.6994340000001</v>
      </c>
      <c r="AK39" s="607">
        <v>2870.0342059999998</v>
      </c>
      <c r="AL39" s="607">
        <v>3837.8226330000002</v>
      </c>
      <c r="AM39" s="607">
        <v>4354.6676349999998</v>
      </c>
      <c r="AN39" s="607">
        <v>4913.2052640000002</v>
      </c>
      <c r="AO39" s="607">
        <v>4508.5</v>
      </c>
      <c r="AP39" s="607">
        <v>3893.9221480000001</v>
      </c>
      <c r="AQ39" s="607">
        <v>3520.83</v>
      </c>
      <c r="AR39" s="607">
        <v>3837.338812</v>
      </c>
      <c r="AS39" s="607">
        <v>4974.224158</v>
      </c>
      <c r="AT39" s="607">
        <v>9667.42</v>
      </c>
      <c r="AU39" s="607">
        <v>8233.6299999999992</v>
      </c>
      <c r="AV39" s="607">
        <f>SUM(AJ39:AU39)</f>
        <v>57997.294289999998</v>
      </c>
      <c r="AW39" s="590"/>
      <c r="AX39" s="591">
        <f>AV39/AV41</f>
        <v>0.38794739326829164</v>
      </c>
      <c r="AY39" s="591">
        <f t="shared" si="38"/>
        <v>3.519978585883738</v>
      </c>
      <c r="AZ39" s="577"/>
      <c r="BA39" s="590"/>
      <c r="BB39" s="595">
        <f>AX39</f>
        <v>0.38794739326829164</v>
      </c>
      <c r="BC39" s="592">
        <f>AX39</f>
        <v>0.38794739326829164</v>
      </c>
      <c r="BD39" s="608">
        <f>BD41-BD40</f>
        <v>5380.0943636843185</v>
      </c>
      <c r="BE39" s="608">
        <f t="shared" ref="BE39:BO39" si="62">BE41-BE40</f>
        <v>4801.7803689375633</v>
      </c>
      <c r="BF39" s="608">
        <f t="shared" si="62"/>
        <v>5926.3860124225503</v>
      </c>
      <c r="BG39" s="608">
        <f t="shared" si="62"/>
        <v>6222.712480652639</v>
      </c>
      <c r="BH39" s="608">
        <f t="shared" si="62"/>
        <v>6741.51910886921</v>
      </c>
      <c r="BI39" s="608">
        <f t="shared" si="62"/>
        <v>6616.075895055732</v>
      </c>
      <c r="BJ39" s="608">
        <f t="shared" si="62"/>
        <v>7143.2106383631035</v>
      </c>
      <c r="BK39" s="608">
        <f t="shared" si="62"/>
        <v>7076.5300357404794</v>
      </c>
      <c r="BL39" s="608">
        <f t="shared" si="62"/>
        <v>7466.1394993727372</v>
      </c>
      <c r="BM39" s="608">
        <f t="shared" si="62"/>
        <v>8011.0764276527425</v>
      </c>
      <c r="BN39" s="608">
        <f t="shared" si="62"/>
        <v>7647.6371390508466</v>
      </c>
      <c r="BO39" s="608">
        <f t="shared" si="62"/>
        <v>8145.3786532604754</v>
      </c>
      <c r="BP39" s="607">
        <f>SUM(BD39:BO39)</f>
        <v>81178.540623062392</v>
      </c>
      <c r="BQ39" s="590"/>
      <c r="BR39" s="591">
        <f>BP39/BP41</f>
        <v>0.38794739326829158</v>
      </c>
      <c r="BS39" s="591">
        <f>BP39/AV39</f>
        <v>1.3996953067698428</v>
      </c>
      <c r="BV39" s="607">
        <f>'2018 VN YouTube View'!R34</f>
        <v>8851.1309999999994</v>
      </c>
      <c r="BW39" s="607">
        <f>'2018 VN YouTube View'!S34</f>
        <v>7885.42</v>
      </c>
      <c r="BX39" s="607">
        <f>'2018 VN YouTube View'!T34</f>
        <v>18017.339999999997</v>
      </c>
      <c r="BY39" s="607">
        <f>'2018 VN YouTube View'!U34</f>
        <v>23800.710000000006</v>
      </c>
      <c r="BZ39" s="607">
        <f>'2018 VN YouTube View'!V34</f>
        <v>22565.05</v>
      </c>
      <c r="CA39" s="607">
        <f>'2018 VN YouTube View'!W34</f>
        <v>15439.14</v>
      </c>
      <c r="CB39" s="607">
        <f>'2018 VN YouTube View'!X34</f>
        <v>14448.869999999999</v>
      </c>
      <c r="CC39" s="607">
        <f>'2018 VN YouTube View'!Y34</f>
        <v>13653.256999999603</v>
      </c>
      <c r="CD39" s="607">
        <f>'2018 VN YouTube View'!Z34</f>
        <v>7556.8399999997064</v>
      </c>
      <c r="CE39" s="607">
        <f>'2018 VN YouTube View'!AA34</f>
        <v>0</v>
      </c>
      <c r="CF39" s="607">
        <f>'2018 VN YouTube View'!AB34</f>
        <v>0</v>
      </c>
      <c r="CG39" s="607">
        <f>'2018 VN YouTube View'!AC34</f>
        <v>0</v>
      </c>
      <c r="CH39" s="607">
        <f>SUM(BV39:CG39)</f>
        <v>132217.7579999993</v>
      </c>
      <c r="CI39" s="590"/>
      <c r="CJ39" s="591">
        <f>CH39/CH41</f>
        <v>0.23736942548235776</v>
      </c>
      <c r="CK39" s="591">
        <f t="shared" ref="CK39:CK42" si="63">CH39/AV39</f>
        <v>2.2797228667061549</v>
      </c>
    </row>
    <row r="40" spans="1:89">
      <c r="B40" s="587"/>
      <c r="C40" s="587"/>
      <c r="D40" s="587" t="s">
        <v>124</v>
      </c>
      <c r="E40" s="607"/>
      <c r="F40" s="607"/>
      <c r="G40" s="607"/>
      <c r="H40" s="607"/>
      <c r="I40" s="607"/>
      <c r="J40" s="607"/>
      <c r="K40" s="607"/>
      <c r="L40" s="607"/>
      <c r="M40" s="607"/>
      <c r="N40" s="607"/>
      <c r="O40" s="607"/>
      <c r="P40" s="607"/>
      <c r="Q40" s="607">
        <f>SUM(E40:P40)</f>
        <v>0</v>
      </c>
      <c r="R40" s="590"/>
      <c r="S40" s="591" t="e">
        <f>Q40/Q41</f>
        <v>#DIV/0!</v>
      </c>
      <c r="T40" s="607"/>
      <c r="U40" s="607"/>
      <c r="V40" s="607"/>
      <c r="W40" s="607">
        <v>111.339825</v>
      </c>
      <c r="X40" s="607">
        <v>469.79417699999988</v>
      </c>
      <c r="Y40" s="607">
        <v>977.68476899999996</v>
      </c>
      <c r="Z40" s="607">
        <v>684.53823200000022</v>
      </c>
      <c r="AA40" s="607">
        <v>529.77197399999989</v>
      </c>
      <c r="AB40" s="607">
        <v>788.98841999999991</v>
      </c>
      <c r="AC40" s="607">
        <v>2446.2666759999997</v>
      </c>
      <c r="AD40" s="607">
        <v>15478.305285</v>
      </c>
      <c r="AE40" s="607">
        <v>8824.5063460000019</v>
      </c>
      <c r="AF40" s="607">
        <f>SUM(T40:AE40)</f>
        <v>30311.195704000002</v>
      </c>
      <c r="AG40" s="590"/>
      <c r="AH40" s="591">
        <f>AF40/AF41</f>
        <v>0.64784400429171707</v>
      </c>
      <c r="AI40" s="591" t="e">
        <f t="shared" si="36"/>
        <v>#DIV/0!</v>
      </c>
      <c r="AJ40" s="607">
        <v>4104.4376300000004</v>
      </c>
      <c r="AK40" s="607">
        <v>4945.2703360000032</v>
      </c>
      <c r="AL40" s="607">
        <v>3852.1965309999996</v>
      </c>
      <c r="AM40" s="607">
        <v>3861.5742969999997</v>
      </c>
      <c r="AN40" s="607">
        <v>3899.9346380000006</v>
      </c>
      <c r="AO40" s="607">
        <v>8242.0007900000001</v>
      </c>
      <c r="AP40" s="607">
        <v>6407.8566289999999</v>
      </c>
      <c r="AQ40" s="607">
        <v>15016.390000000001</v>
      </c>
      <c r="AR40" s="607">
        <v>7885.1911880000007</v>
      </c>
      <c r="AS40" s="607">
        <v>9256.4558419999994</v>
      </c>
      <c r="AT40" s="607">
        <v>13190.089999999998</v>
      </c>
      <c r="AU40" s="607">
        <v>10839.140000000001</v>
      </c>
      <c r="AV40" s="607">
        <f>SUM(AJ40:AU40)</f>
        <v>91500.537880999997</v>
      </c>
      <c r="AW40" s="590"/>
      <c r="AX40" s="591">
        <f>AV40/AV41</f>
        <v>0.61205260673170836</v>
      </c>
      <c r="AY40" s="591">
        <f t="shared" si="38"/>
        <v>3.0187043353398684</v>
      </c>
      <c r="AZ40" s="577"/>
      <c r="BA40" s="590"/>
      <c r="BB40" s="595">
        <f>AX40</f>
        <v>0.61205260673170836</v>
      </c>
      <c r="BC40" s="592">
        <f>AX40</f>
        <v>0.61205260673170836</v>
      </c>
      <c r="BD40" s="608">
        <f>BD41*$BC$40</f>
        <v>8488.008520985979</v>
      </c>
      <c r="BE40" s="608">
        <f t="shared" ref="BE40:BO40" si="64">BE41*$BC$40</f>
        <v>7575.620413381419</v>
      </c>
      <c r="BF40" s="608">
        <f t="shared" si="64"/>
        <v>9349.875963448123</v>
      </c>
      <c r="BG40" s="608">
        <f t="shared" si="64"/>
        <v>9817.3810697355584</v>
      </c>
      <c r="BH40" s="608">
        <f t="shared" si="64"/>
        <v>10635.886245178363</v>
      </c>
      <c r="BI40" s="608">
        <f t="shared" si="64"/>
        <v>10437.978365544161</v>
      </c>
      <c r="BJ40" s="608">
        <f t="shared" si="64"/>
        <v>11269.622550654083</v>
      </c>
      <c r="BK40" s="608">
        <f t="shared" si="64"/>
        <v>11164.422625711182</v>
      </c>
      <c r="BL40" s="608">
        <f t="shared" si="64"/>
        <v>11779.097429463647</v>
      </c>
      <c r="BM40" s="608">
        <f t="shared" si="64"/>
        <v>12638.827571347827</v>
      </c>
      <c r="BN40" s="608">
        <f t="shared" si="64"/>
        <v>12065.440643539107</v>
      </c>
      <c r="BO40" s="608">
        <f t="shared" si="64"/>
        <v>12850.712039962458</v>
      </c>
      <c r="BP40" s="607">
        <f>SUM(BD40:BO40)</f>
        <v>128072.87343895189</v>
      </c>
      <c r="BQ40" s="590"/>
      <c r="BR40" s="591">
        <f>BP40/BP41</f>
        <v>0.61205260673170825</v>
      </c>
      <c r="BS40" s="591">
        <f>BP40/AV40</f>
        <v>1.3996953067698426</v>
      </c>
      <c r="BV40" s="607">
        <f>'2018 VN YouTube View'!R35</f>
        <v>8388.6749999999993</v>
      </c>
      <c r="BW40" s="607">
        <f>'2018 VN YouTube View'!S35</f>
        <v>8338.2300000000014</v>
      </c>
      <c r="BX40" s="607">
        <f>'2018 VN YouTube View'!T35</f>
        <v>20182.390000000003</v>
      </c>
      <c r="BY40" s="607">
        <f>'2018 VN YouTube View'!U35</f>
        <v>97815.059999999983</v>
      </c>
      <c r="BZ40" s="607">
        <f>'2018 VN YouTube View'!V35</f>
        <v>153462.91000000003</v>
      </c>
      <c r="CA40" s="607">
        <f>'2018 VN YouTube View'!W35</f>
        <v>36257.089999999997</v>
      </c>
      <c r="CB40" s="607">
        <f>'2018 VN YouTube View'!X35</f>
        <v>25754.969999999994</v>
      </c>
      <c r="CC40" s="607">
        <f>'2018 VN YouTube View'!Y35</f>
        <v>28624.963999997599</v>
      </c>
      <c r="CD40" s="607">
        <f>'2018 VN YouTube View'!Z35</f>
        <v>45970.540999994992</v>
      </c>
      <c r="CE40" s="607">
        <f>'2018 VN YouTube View'!AA35</f>
        <v>0</v>
      </c>
      <c r="CF40" s="607">
        <f>'2018 VN YouTube View'!AB35</f>
        <v>0</v>
      </c>
      <c r="CG40" s="607">
        <f>'2018 VN YouTube View'!AC35</f>
        <v>0</v>
      </c>
      <c r="CH40" s="607">
        <f>SUM(BV40:CG40)</f>
        <v>424794.82999999251</v>
      </c>
      <c r="CI40" s="590"/>
      <c r="CJ40" s="591">
        <f>CH40/CH41</f>
        <v>0.76263057451764216</v>
      </c>
      <c r="CK40" s="591">
        <f t="shared" si="63"/>
        <v>4.6425391570097077</v>
      </c>
    </row>
    <row r="41" spans="1:89">
      <c r="B41" s="577"/>
      <c r="C41" s="577" t="s">
        <v>129</v>
      </c>
      <c r="D41" s="577"/>
      <c r="E41" s="609">
        <f>SUM(E39:E40)</f>
        <v>0</v>
      </c>
      <c r="F41" s="609">
        <f t="shared" ref="F41:P41" si="65">SUM(F39:F40)</f>
        <v>0</v>
      </c>
      <c r="G41" s="609">
        <f t="shared" si="65"/>
        <v>0</v>
      </c>
      <c r="H41" s="609">
        <f t="shared" si="65"/>
        <v>0</v>
      </c>
      <c r="I41" s="609">
        <f t="shared" si="65"/>
        <v>0</v>
      </c>
      <c r="J41" s="609">
        <f t="shared" si="65"/>
        <v>0</v>
      </c>
      <c r="K41" s="609">
        <f t="shared" si="65"/>
        <v>0</v>
      </c>
      <c r="L41" s="609">
        <f t="shared" si="65"/>
        <v>0</v>
      </c>
      <c r="M41" s="609">
        <f t="shared" si="65"/>
        <v>0</v>
      </c>
      <c r="N41" s="609">
        <f t="shared" si="65"/>
        <v>0</v>
      </c>
      <c r="O41" s="609">
        <f t="shared" si="65"/>
        <v>0</v>
      </c>
      <c r="P41" s="609">
        <f t="shared" si="65"/>
        <v>0</v>
      </c>
      <c r="Q41" s="609">
        <f>SUM(E41:P41)</f>
        <v>0</v>
      </c>
      <c r="R41" s="594">
        <f>Q41/$Q$42</f>
        <v>0</v>
      </c>
      <c r="S41" s="577"/>
      <c r="T41" s="609">
        <f t="shared" ref="T41:AE41" si="66">SUM(T39:T40)</f>
        <v>0</v>
      </c>
      <c r="U41" s="609">
        <f t="shared" si="66"/>
        <v>0</v>
      </c>
      <c r="V41" s="609">
        <f t="shared" si="66"/>
        <v>0</v>
      </c>
      <c r="W41" s="609">
        <f t="shared" si="66"/>
        <v>255.10000000000002</v>
      </c>
      <c r="X41" s="609">
        <f t="shared" si="66"/>
        <v>1207.1799999999998</v>
      </c>
      <c r="Y41" s="609">
        <f t="shared" si="66"/>
        <v>2777.1</v>
      </c>
      <c r="Z41" s="609">
        <f t="shared" si="66"/>
        <v>2320.9</v>
      </c>
      <c r="AA41" s="609">
        <f t="shared" si="66"/>
        <v>2082.3399999999997</v>
      </c>
      <c r="AB41" s="609">
        <f t="shared" si="66"/>
        <v>2421.67</v>
      </c>
      <c r="AC41" s="609">
        <f t="shared" si="66"/>
        <v>4506.9699999999993</v>
      </c>
      <c r="AD41" s="609">
        <f t="shared" si="66"/>
        <v>17379.260000000002</v>
      </c>
      <c r="AE41" s="609">
        <f t="shared" si="66"/>
        <v>13837.280000000002</v>
      </c>
      <c r="AF41" s="609">
        <f>SUM(T41:AE41)</f>
        <v>46787.8</v>
      </c>
      <c r="AG41" s="594">
        <f>AF41/$AF$42</f>
        <v>1.0175686897619947E-2</v>
      </c>
      <c r="AH41" s="577"/>
      <c r="AI41" s="591" t="e">
        <f t="shared" si="36"/>
        <v>#DIV/0!</v>
      </c>
      <c r="AJ41" s="609">
        <f t="shared" ref="AJ41:AU41" si="67">SUM(AJ39:AJ40)</f>
        <v>7490.1370640000005</v>
      </c>
      <c r="AK41" s="609">
        <f t="shared" si="67"/>
        <v>7815.3045420000035</v>
      </c>
      <c r="AL41" s="609">
        <f t="shared" si="67"/>
        <v>7690.0191639999994</v>
      </c>
      <c r="AM41" s="609">
        <f t="shared" si="67"/>
        <v>8216.241931999999</v>
      </c>
      <c r="AN41" s="609">
        <f t="shared" si="67"/>
        <v>8813.1399020000008</v>
      </c>
      <c r="AO41" s="609">
        <f t="shared" si="67"/>
        <v>12750.50079</v>
      </c>
      <c r="AP41" s="609">
        <f t="shared" si="67"/>
        <v>10301.778777</v>
      </c>
      <c r="AQ41" s="609">
        <f t="shared" si="67"/>
        <v>18537.22</v>
      </c>
      <c r="AR41" s="609">
        <f t="shared" si="67"/>
        <v>11722.53</v>
      </c>
      <c r="AS41" s="609">
        <f t="shared" si="67"/>
        <v>14230.68</v>
      </c>
      <c r="AT41" s="609">
        <f t="shared" si="67"/>
        <v>22857.51</v>
      </c>
      <c r="AU41" s="609">
        <f t="shared" si="67"/>
        <v>19072.77</v>
      </c>
      <c r="AV41" s="609">
        <f>SUM(AJ41:AU41)</f>
        <v>149497.83217099999</v>
      </c>
      <c r="AW41" s="594">
        <f>AV41/$AV$42</f>
        <v>2.3470085388823687E-2</v>
      </c>
      <c r="AX41" s="577"/>
      <c r="AY41" s="591">
        <f t="shared" si="38"/>
        <v>3.1952310681630678</v>
      </c>
      <c r="AZ41" s="577"/>
      <c r="BA41" s="594"/>
      <c r="BB41" s="595"/>
      <c r="BC41" s="595"/>
      <c r="BD41" s="610">
        <f>BD68</f>
        <v>13868.102884670297</v>
      </c>
      <c r="BE41" s="610">
        <f t="shared" ref="BE41:BO41" si="68">BE68</f>
        <v>12377.400782318982</v>
      </c>
      <c r="BF41" s="610">
        <f t="shared" si="68"/>
        <v>15276.261975870673</v>
      </c>
      <c r="BG41" s="610">
        <f t="shared" si="68"/>
        <v>16040.093550388197</v>
      </c>
      <c r="BH41" s="610">
        <f t="shared" si="68"/>
        <v>17377.405354047572</v>
      </c>
      <c r="BI41" s="610">
        <f t="shared" si="68"/>
        <v>17054.054260599893</v>
      </c>
      <c r="BJ41" s="610">
        <f t="shared" si="68"/>
        <v>18412.833189017187</v>
      </c>
      <c r="BK41" s="610">
        <f t="shared" si="68"/>
        <v>18240.952661451662</v>
      </c>
      <c r="BL41" s="610">
        <f t="shared" si="68"/>
        <v>19245.236928836384</v>
      </c>
      <c r="BM41" s="610">
        <f t="shared" si="68"/>
        <v>20649.903999000569</v>
      </c>
      <c r="BN41" s="610">
        <f t="shared" si="68"/>
        <v>19713.077782589953</v>
      </c>
      <c r="BO41" s="610">
        <f t="shared" si="68"/>
        <v>20996.090693222934</v>
      </c>
      <c r="BP41" s="609">
        <f>SUM(BD41:BO41)</f>
        <v>209251.41406201432</v>
      </c>
      <c r="BQ41" s="594">
        <f>BP41/$BP$42</f>
        <v>1.7286706363661867E-2</v>
      </c>
      <c r="BR41" s="594"/>
      <c r="BS41" s="591">
        <f>BP41/AV41</f>
        <v>1.399695306769843</v>
      </c>
      <c r="BV41" s="609">
        <f t="shared" ref="BV41:CG41" si="69">SUM(BV39:BV40)</f>
        <v>17239.805999999997</v>
      </c>
      <c r="BW41" s="609">
        <f t="shared" si="69"/>
        <v>16223.650000000001</v>
      </c>
      <c r="BX41" s="609">
        <f t="shared" si="69"/>
        <v>38199.729999999996</v>
      </c>
      <c r="BY41" s="609">
        <f t="shared" si="69"/>
        <v>121615.76999999999</v>
      </c>
      <c r="BZ41" s="609">
        <f t="shared" si="69"/>
        <v>176027.96000000002</v>
      </c>
      <c r="CA41" s="609">
        <f t="shared" si="69"/>
        <v>51696.229999999996</v>
      </c>
      <c r="CB41" s="609">
        <f t="shared" si="69"/>
        <v>40203.839999999997</v>
      </c>
      <c r="CC41" s="609">
        <f t="shared" si="69"/>
        <v>42278.220999997204</v>
      </c>
      <c r="CD41" s="609">
        <f t="shared" si="69"/>
        <v>53527.380999994697</v>
      </c>
      <c r="CE41" s="609">
        <f t="shared" si="69"/>
        <v>0</v>
      </c>
      <c r="CF41" s="609">
        <f t="shared" si="69"/>
        <v>0</v>
      </c>
      <c r="CG41" s="609">
        <f t="shared" si="69"/>
        <v>0</v>
      </c>
      <c r="CH41" s="609">
        <f>SUM(BV41:CG41)</f>
        <v>557012.58799999184</v>
      </c>
      <c r="CI41" s="594">
        <f>CH41/$AV$42</f>
        <v>8.7446973733077582E-2</v>
      </c>
      <c r="CJ41" s="577"/>
      <c r="CK41" s="591">
        <f t="shared" si="63"/>
        <v>3.7258907364145895</v>
      </c>
    </row>
    <row r="42" spans="1:89">
      <c r="B42" s="577" t="s">
        <v>77</v>
      </c>
      <c r="C42" s="577"/>
      <c r="D42" s="577"/>
      <c r="E42" s="609">
        <f t="shared" ref="E42:Q42" si="70">SUM(E29+E33+E37+E41)</f>
        <v>96832.959999999992</v>
      </c>
      <c r="F42" s="609">
        <f t="shared" si="70"/>
        <v>123208.99</v>
      </c>
      <c r="G42" s="609">
        <f t="shared" si="70"/>
        <v>176965.87358000001</v>
      </c>
      <c r="H42" s="609">
        <f t="shared" si="70"/>
        <v>162017.994588</v>
      </c>
      <c r="I42" s="609">
        <f t="shared" si="70"/>
        <v>216195.31025699998</v>
      </c>
      <c r="J42" s="609">
        <f t="shared" si="70"/>
        <v>244654.20716200001</v>
      </c>
      <c r="K42" s="609">
        <f t="shared" si="70"/>
        <v>189762.73269400001</v>
      </c>
      <c r="L42" s="609">
        <f t="shared" si="70"/>
        <v>197531.04</v>
      </c>
      <c r="M42" s="609">
        <f t="shared" si="70"/>
        <v>241924.43</v>
      </c>
      <c r="N42" s="609">
        <f t="shared" si="70"/>
        <v>287729.70999999996</v>
      </c>
      <c r="O42" s="609">
        <f t="shared" si="70"/>
        <v>345857.58999999997</v>
      </c>
      <c r="P42" s="609">
        <f t="shared" si="70"/>
        <v>565359.41999999993</v>
      </c>
      <c r="Q42" s="609">
        <f t="shared" si="70"/>
        <v>2848040.258281</v>
      </c>
      <c r="R42" s="577"/>
      <c r="S42" s="577"/>
      <c r="T42" s="609">
        <f t="shared" ref="T42:AF42" si="71">SUM(T29+T33+T37+T41)</f>
        <v>341163.58999999997</v>
      </c>
      <c r="U42" s="609">
        <f t="shared" si="71"/>
        <v>286537.18</v>
      </c>
      <c r="V42" s="609">
        <f t="shared" si="71"/>
        <v>331716.87210700003</v>
      </c>
      <c r="W42" s="609">
        <f t="shared" si="71"/>
        <v>257852.63999999998</v>
      </c>
      <c r="X42" s="609">
        <f t="shared" si="71"/>
        <v>352384.2</v>
      </c>
      <c r="Y42" s="609">
        <f t="shared" si="71"/>
        <v>400190.36</v>
      </c>
      <c r="Z42" s="609">
        <f t="shared" si="71"/>
        <v>341291.29430399998</v>
      </c>
      <c r="AA42" s="609">
        <f t="shared" si="71"/>
        <v>344814.81</v>
      </c>
      <c r="AB42" s="609">
        <f t="shared" si="71"/>
        <v>367204.82</v>
      </c>
      <c r="AC42" s="609">
        <f t="shared" si="71"/>
        <v>406734.42</v>
      </c>
      <c r="AD42" s="609">
        <f t="shared" si="71"/>
        <v>461196.06000000006</v>
      </c>
      <c r="AE42" s="609">
        <f t="shared" si="71"/>
        <v>706912.93248900003</v>
      </c>
      <c r="AF42" s="609">
        <f t="shared" si="71"/>
        <v>4597999.1788999997</v>
      </c>
      <c r="AG42" s="577"/>
      <c r="AH42" s="577"/>
      <c r="AI42" s="591">
        <f t="shared" si="36"/>
        <v>1.614443182651929</v>
      </c>
      <c r="AJ42" s="609">
        <f t="shared" ref="AJ42:AV42" si="72">SUM(AJ29+AJ33+AJ37+AJ41)</f>
        <v>425902.81088900007</v>
      </c>
      <c r="AK42" s="609">
        <f t="shared" si="72"/>
        <v>370859.59012799984</v>
      </c>
      <c r="AL42" s="609">
        <f t="shared" si="72"/>
        <v>438150.24715900008</v>
      </c>
      <c r="AM42" s="609">
        <f t="shared" si="72"/>
        <v>374874.59737999988</v>
      </c>
      <c r="AN42" s="609">
        <f t="shared" si="72"/>
        <v>475694.02267100004</v>
      </c>
      <c r="AO42" s="609">
        <f t="shared" si="72"/>
        <v>565042.72897999967</v>
      </c>
      <c r="AP42" s="609">
        <f t="shared" si="72"/>
        <v>488460.40287600004</v>
      </c>
      <c r="AQ42" s="609">
        <f t="shared" si="72"/>
        <v>477092.16000000003</v>
      </c>
      <c r="AR42" s="609">
        <f t="shared" si="72"/>
        <v>567260.32000000007</v>
      </c>
      <c r="AS42" s="609">
        <f t="shared" si="72"/>
        <v>623908.18000000005</v>
      </c>
      <c r="AT42" s="609">
        <f t="shared" si="72"/>
        <v>649117.21</v>
      </c>
      <c r="AU42" s="609">
        <f t="shared" si="72"/>
        <v>913356.02</v>
      </c>
      <c r="AV42" s="609">
        <f t="shared" si="72"/>
        <v>6369718.2900829986</v>
      </c>
      <c r="AW42" s="577"/>
      <c r="AX42" s="577"/>
      <c r="AY42" s="591">
        <f t="shared" si="38"/>
        <v>1.3853239294416002</v>
      </c>
      <c r="AZ42" s="577"/>
      <c r="BA42" s="603"/>
      <c r="BB42" s="595"/>
      <c r="BC42" s="595"/>
      <c r="BD42" s="609">
        <f t="shared" ref="BD42:BP42" si="73">SUM(BD29+BD33+BD37+BD41)</f>
        <v>802240.90077808197</v>
      </c>
      <c r="BE42" s="609">
        <f t="shared" si="73"/>
        <v>716006.88540283986</v>
      </c>
      <c r="BF42" s="609">
        <f t="shared" si="73"/>
        <v>883699.97468012082</v>
      </c>
      <c r="BG42" s="609">
        <f t="shared" si="73"/>
        <v>927886.04219632293</v>
      </c>
      <c r="BH42" s="609">
        <f t="shared" si="73"/>
        <v>1005246.7479042952</v>
      </c>
      <c r="BI42" s="609">
        <f t="shared" si="73"/>
        <v>986541.55984560342</v>
      </c>
      <c r="BJ42" s="609">
        <f t="shared" si="73"/>
        <v>1065144.0940607714</v>
      </c>
      <c r="BK42" s="609">
        <f t="shared" si="73"/>
        <v>1055201.1631201017</v>
      </c>
      <c r="BL42" s="609">
        <f t="shared" si="73"/>
        <v>1113296.9186826427</v>
      </c>
      <c r="BM42" s="609">
        <f t="shared" si="73"/>
        <v>1194553.9864325128</v>
      </c>
      <c r="BN42" s="609">
        <f t="shared" si="73"/>
        <v>1140360.5387795866</v>
      </c>
      <c r="BO42" s="609">
        <f t="shared" si="73"/>
        <v>1214580.1664890028</v>
      </c>
      <c r="BP42" s="609">
        <f t="shared" si="73"/>
        <v>12104758.978371881</v>
      </c>
      <c r="BQ42" s="582"/>
      <c r="BR42" s="582"/>
      <c r="BS42" s="581"/>
      <c r="BV42" s="609">
        <f t="shared" ref="BV42:CH42" si="74">SUM(BV29+BV33+BV37+BV41)</f>
        <v>651485.32799999998</v>
      </c>
      <c r="BW42" s="609">
        <f t="shared" si="74"/>
        <v>618223.32999999996</v>
      </c>
      <c r="BX42" s="609">
        <f t="shared" si="74"/>
        <v>990127.48999999987</v>
      </c>
      <c r="BY42" s="609">
        <f t="shared" si="74"/>
        <v>1048994.3600000001</v>
      </c>
      <c r="BZ42" s="609">
        <f t="shared" si="74"/>
        <v>1189260.25</v>
      </c>
      <c r="CA42" s="609">
        <f t="shared" si="74"/>
        <v>1058579.74</v>
      </c>
      <c r="CB42" s="609">
        <f t="shared" si="74"/>
        <v>916590.28999999992</v>
      </c>
      <c r="CC42" s="609">
        <f t="shared" si="74"/>
        <v>1055590.4700004035</v>
      </c>
      <c r="CD42" s="609">
        <f t="shared" si="74"/>
        <v>951110.99700065795</v>
      </c>
      <c r="CE42" s="609">
        <f t="shared" si="74"/>
        <v>0</v>
      </c>
      <c r="CF42" s="609">
        <f t="shared" si="74"/>
        <v>0</v>
      </c>
      <c r="CG42" s="609">
        <f t="shared" si="74"/>
        <v>0</v>
      </c>
      <c r="CH42" s="609">
        <f t="shared" si="74"/>
        <v>8479962.2550010607</v>
      </c>
      <c r="CI42" s="577"/>
      <c r="CJ42" s="577"/>
      <c r="CK42" s="591">
        <f t="shared" si="63"/>
        <v>1.3312931386939821</v>
      </c>
    </row>
    <row r="43" spans="1:89">
      <c r="C43" s="577"/>
      <c r="D43" s="577"/>
      <c r="E43" s="577"/>
      <c r="F43" s="577"/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S43" s="577"/>
      <c r="T43" s="578"/>
      <c r="U43" s="578"/>
      <c r="V43" s="578"/>
      <c r="W43" s="578"/>
      <c r="X43" s="578"/>
      <c r="Y43" s="578"/>
      <c r="Z43" s="578"/>
      <c r="AA43" s="578"/>
      <c r="AB43" s="578"/>
      <c r="AC43" s="578"/>
      <c r="AD43" s="578"/>
      <c r="AE43" s="596"/>
      <c r="AF43" s="578"/>
      <c r="AG43" s="577"/>
      <c r="AH43" s="577"/>
      <c r="AI43" s="577"/>
      <c r="AJ43" s="577"/>
      <c r="AK43" s="577"/>
      <c r="AL43" s="577"/>
      <c r="AM43" s="577"/>
      <c r="AN43" s="577"/>
      <c r="AO43" s="577"/>
      <c r="AP43" s="577"/>
      <c r="AQ43" s="577"/>
      <c r="AR43" s="577"/>
      <c r="AS43" s="577"/>
      <c r="AT43" s="577"/>
      <c r="AU43" s="577"/>
      <c r="AV43" s="577"/>
      <c r="AW43" s="577"/>
      <c r="AX43" s="577"/>
      <c r="AY43" s="577"/>
      <c r="AZ43" s="577"/>
      <c r="BA43" s="577"/>
      <c r="BB43" s="595"/>
      <c r="BC43" s="595"/>
      <c r="BD43" s="581"/>
      <c r="BE43" s="581"/>
      <c r="BF43" s="581"/>
      <c r="BG43" s="581"/>
      <c r="BH43" s="581"/>
      <c r="BI43" s="581"/>
      <c r="BJ43" s="581"/>
      <c r="BK43" s="581"/>
      <c r="BL43" s="581"/>
      <c r="BM43" s="581"/>
      <c r="BN43" s="581"/>
      <c r="BO43" s="581"/>
      <c r="BP43" s="581"/>
      <c r="BQ43" s="582"/>
      <c r="BR43" s="582"/>
      <c r="BS43" s="581"/>
      <c r="BV43" s="577"/>
      <c r="BW43" s="577"/>
      <c r="BX43" s="577"/>
      <c r="BY43" s="577"/>
      <c r="BZ43" s="577"/>
      <c r="CA43" s="577"/>
      <c r="CB43" s="577"/>
      <c r="CC43" s="577"/>
      <c r="CD43" s="577"/>
      <c r="CE43" s="577"/>
      <c r="CF43" s="577"/>
      <c r="CG43" s="577"/>
      <c r="CH43" s="577"/>
      <c r="CI43" s="577"/>
      <c r="CJ43" s="577"/>
      <c r="CK43" s="577"/>
    </row>
    <row r="44" spans="1:89">
      <c r="BB44" s="600"/>
      <c r="BC44" s="600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</row>
    <row r="45" spans="1:89">
      <c r="B45" s="577" t="s">
        <v>142</v>
      </c>
    </row>
    <row r="46" spans="1:89">
      <c r="A46" s="569" t="s">
        <v>87</v>
      </c>
      <c r="T46" s="582">
        <v>572710200</v>
      </c>
      <c r="U46" s="582">
        <v>505573856</v>
      </c>
      <c r="V46" s="582">
        <v>593566915</v>
      </c>
      <c r="W46" s="582">
        <v>584902666</v>
      </c>
      <c r="X46" s="582">
        <v>609326708</v>
      </c>
      <c r="Y46" s="582">
        <v>586783225</v>
      </c>
      <c r="Z46" s="582">
        <v>605767356</v>
      </c>
      <c r="AA46" s="582">
        <v>634823196</v>
      </c>
      <c r="AB46" s="582">
        <v>604772671</v>
      </c>
      <c r="AC46" s="582">
        <v>655783517</v>
      </c>
      <c r="AD46" s="582">
        <v>642241377</v>
      </c>
      <c r="AE46" s="582">
        <v>679518942</v>
      </c>
      <c r="AF46" s="582">
        <f>SUM(T46:AE46)</f>
        <v>7275770629</v>
      </c>
      <c r="AJ46" s="582">
        <f>AJ9</f>
        <v>758316767</v>
      </c>
      <c r="AK46" s="582">
        <f t="shared" ref="AK46:AU46" si="75">AK9</f>
        <v>699503571</v>
      </c>
      <c r="AL46" s="582">
        <f t="shared" si="75"/>
        <v>883376760</v>
      </c>
      <c r="AM46" s="582">
        <f t="shared" si="75"/>
        <v>873569076</v>
      </c>
      <c r="AN46" s="582">
        <f t="shared" si="75"/>
        <v>878781716</v>
      </c>
      <c r="AO46" s="582">
        <f t="shared" si="75"/>
        <v>818892935</v>
      </c>
      <c r="AP46" s="582">
        <f t="shared" si="75"/>
        <v>859937713</v>
      </c>
      <c r="AQ46" s="582">
        <f t="shared" si="75"/>
        <v>882124373</v>
      </c>
      <c r="AR46" s="582">
        <f t="shared" si="75"/>
        <v>917811798</v>
      </c>
      <c r="AS46" s="582">
        <f t="shared" si="75"/>
        <v>923955902</v>
      </c>
      <c r="AT46" s="582">
        <f t="shared" si="75"/>
        <v>861280536</v>
      </c>
      <c r="AU46" s="582">
        <f t="shared" si="75"/>
        <v>880642872</v>
      </c>
      <c r="AV46" s="582">
        <f>SUM(AJ46:AU46)</f>
        <v>10238194019</v>
      </c>
      <c r="BD46" s="614">
        <f t="shared" ref="BD46:BO46" si="76">BD9</f>
        <v>1333781049.0077558</v>
      </c>
      <c r="BE46" s="614">
        <f t="shared" si="76"/>
        <v>1190411027.1405241</v>
      </c>
      <c r="BF46" s="614">
        <f t="shared" si="76"/>
        <v>1469212400.0332208</v>
      </c>
      <c r="BG46" s="614">
        <f t="shared" si="76"/>
        <v>1542674796.9592912</v>
      </c>
      <c r="BH46" s="614">
        <f t="shared" si="76"/>
        <v>1671292327.0691183</v>
      </c>
      <c r="BI46" s="614">
        <f t="shared" si="76"/>
        <v>1640193656.6739635</v>
      </c>
      <c r="BJ46" s="614">
        <f t="shared" si="76"/>
        <v>1770875812.667872</v>
      </c>
      <c r="BK46" s="614">
        <f t="shared" si="76"/>
        <v>1754345001.4771237</v>
      </c>
      <c r="BL46" s="614">
        <f t="shared" si="76"/>
        <v>1850933217.9616616</v>
      </c>
      <c r="BM46" s="614">
        <f t="shared" si="76"/>
        <v>1986028719.7711565</v>
      </c>
      <c r="BN46" s="614">
        <f t="shared" si="76"/>
        <v>1895928360.4030895</v>
      </c>
      <c r="BO46" s="614">
        <f t="shared" si="76"/>
        <v>2019323630.8352242</v>
      </c>
      <c r="BP46" s="582">
        <f>SUM(BD46:BO46)</f>
        <v>20125000000</v>
      </c>
      <c r="BS46" s="576"/>
      <c r="BV46" s="582">
        <f>BV9</f>
        <v>864105685</v>
      </c>
      <c r="BW46" s="582">
        <f t="shared" ref="BW46:CG46" si="77">BW9</f>
        <v>833934912</v>
      </c>
      <c r="BX46" s="582">
        <f t="shared" si="77"/>
        <v>1022301334</v>
      </c>
      <c r="BY46" s="582">
        <f t="shared" si="77"/>
        <v>1058616918</v>
      </c>
      <c r="BZ46" s="582">
        <f t="shared" si="77"/>
        <v>1052403518</v>
      </c>
      <c r="CA46" s="582">
        <f t="shared" si="77"/>
        <v>948155811</v>
      </c>
      <c r="CB46" s="582">
        <f t="shared" si="77"/>
        <v>1119435530</v>
      </c>
      <c r="CC46" s="582">
        <f t="shared" si="77"/>
        <v>1169289491</v>
      </c>
      <c r="CD46" s="582">
        <f t="shared" si="77"/>
        <v>1116087537</v>
      </c>
      <c r="CE46" s="582">
        <f t="shared" si="77"/>
        <v>0</v>
      </c>
      <c r="CF46" s="582">
        <f t="shared" si="77"/>
        <v>0</v>
      </c>
      <c r="CG46" s="582">
        <f t="shared" si="77"/>
        <v>0</v>
      </c>
      <c r="CH46" s="582">
        <f>SUM(BV46:CG46)</f>
        <v>9184330736</v>
      </c>
    </row>
    <row r="47" spans="1:89">
      <c r="C47" s="569" t="s">
        <v>131</v>
      </c>
      <c r="T47" s="576">
        <v>0.31643155822962471</v>
      </c>
      <c r="U47" s="576">
        <v>0.25653714775947589</v>
      </c>
      <c r="V47" s="576">
        <v>0.28596798728244482</v>
      </c>
      <c r="W47" s="576">
        <v>0.27244990536596392</v>
      </c>
      <c r="X47" s="576">
        <v>0.2611343092481021</v>
      </c>
      <c r="Y47" s="576">
        <v>0.26123180665240858</v>
      </c>
      <c r="Z47" s="576">
        <v>0.21902901979766037</v>
      </c>
      <c r="AA47" s="576">
        <v>0.21492548139340517</v>
      </c>
      <c r="AB47" s="576">
        <v>0.20564963638947617</v>
      </c>
      <c r="AC47" s="576">
        <v>0.23154093081638261</v>
      </c>
      <c r="AD47" s="576">
        <v>0.25077377626818842</v>
      </c>
      <c r="AE47" s="576">
        <v>0.30898763919545985</v>
      </c>
      <c r="AF47" s="576">
        <f>AVERAGE(T47:AE47)</f>
        <v>0.25705493319988265</v>
      </c>
      <c r="AG47" s="615">
        <f>AVERAGE(T47:AB47)</f>
        <v>0.25481742801317347</v>
      </c>
      <c r="AJ47" s="576">
        <v>0.2283283102634073</v>
      </c>
      <c r="AK47" s="576">
        <v>0.19917807602101861</v>
      </c>
      <c r="AL47" s="576">
        <v>0.19898610011109391</v>
      </c>
      <c r="AM47" s="576">
        <v>0.13523907792874515</v>
      </c>
      <c r="AN47" s="576">
        <v>0.17226956527824658</v>
      </c>
      <c r="AO47" s="576">
        <v>0.16980255196829186</v>
      </c>
      <c r="AP47" s="576">
        <v>0.18924217915009389</v>
      </c>
      <c r="AQ47" s="576">
        <v>0.23585093058731085</v>
      </c>
      <c r="AR47" s="576">
        <v>0.24035352998287599</v>
      </c>
      <c r="AS47" s="576">
        <f>233089661/AS46</f>
        <v>0.25227357766258418</v>
      </c>
      <c r="AT47" s="576">
        <f>253012111/AT46</f>
        <v>0.29376271774937684</v>
      </c>
      <c r="AU47" s="576">
        <f>288038329/AU46</f>
        <v>0.32707734106317732</v>
      </c>
      <c r="AV47" s="576">
        <f>AVERAGE(AJ47:AU47)</f>
        <v>0.22019699648051858</v>
      </c>
      <c r="BA47" s="585">
        <v>-0.06</v>
      </c>
      <c r="BB47" s="615">
        <f>AVERAGE(AJ47:AR47,AC47:AE47)*(100%+BA47)</f>
        <v>0.20057662562640399</v>
      </c>
      <c r="BC47" s="615"/>
      <c r="BD47" s="616">
        <f>BB47</f>
        <v>0.20057662562640399</v>
      </c>
      <c r="BE47" s="616">
        <f>BD47</f>
        <v>0.20057662562640399</v>
      </c>
      <c r="BF47" s="616">
        <f t="shared" ref="BF47:BO48" si="78">BE47</f>
        <v>0.20057662562640399</v>
      </c>
      <c r="BG47" s="616">
        <f t="shared" si="78"/>
        <v>0.20057662562640399</v>
      </c>
      <c r="BH47" s="616">
        <f t="shared" si="78"/>
        <v>0.20057662562640399</v>
      </c>
      <c r="BI47" s="616">
        <f t="shared" si="78"/>
        <v>0.20057662562640399</v>
      </c>
      <c r="BJ47" s="616">
        <f t="shared" si="78"/>
        <v>0.20057662562640399</v>
      </c>
      <c r="BK47" s="616">
        <f t="shared" si="78"/>
        <v>0.20057662562640399</v>
      </c>
      <c r="BL47" s="616">
        <f t="shared" si="78"/>
        <v>0.20057662562640399</v>
      </c>
      <c r="BM47" s="616">
        <f t="shared" si="78"/>
        <v>0.20057662562640399</v>
      </c>
      <c r="BN47" s="616">
        <f t="shared" si="78"/>
        <v>0.20057662562640399</v>
      </c>
      <c r="BO47" s="616">
        <f t="shared" si="78"/>
        <v>0.20057662562640399</v>
      </c>
      <c r="BP47" s="576">
        <f>AVERAGE(BD47:BO47)</f>
        <v>0.20057662562640391</v>
      </c>
      <c r="BQ47" s="576">
        <f>BP47/AV47</f>
        <v>0.91089628302059722</v>
      </c>
      <c r="BR47" s="576"/>
      <c r="BS47" s="576">
        <f>BP47/AF47</f>
        <v>0.78028701153320434</v>
      </c>
      <c r="BV47" s="576">
        <f>236841606/BV46</f>
        <v>0.27408870247161954</v>
      </c>
      <c r="BW47" s="576">
        <f>233554048/BW46</f>
        <v>0.28006268191827421</v>
      </c>
      <c r="BX47" s="576">
        <f>326532662/BX46</f>
        <v>0.31940940615069174</v>
      </c>
      <c r="BY47" s="576">
        <f>382359849/BY46</f>
        <v>0.36118811488708891</v>
      </c>
      <c r="BZ47" s="576">
        <f>464306922/BZ46</f>
        <v>0.44118716258415241</v>
      </c>
      <c r="CA47" s="576">
        <f>365654066/CA46</f>
        <v>0.38564765596316108</v>
      </c>
      <c r="CB47" s="576">
        <f>389722487/CB46</f>
        <v>0.34814196669280273</v>
      </c>
      <c r="CC47" s="576">
        <f>419420269/CC46</f>
        <v>0.35869668908193414</v>
      </c>
      <c r="CD47" s="576"/>
      <c r="CE47" s="576"/>
      <c r="CF47" s="576"/>
      <c r="CG47" s="576"/>
      <c r="CH47" s="576">
        <f>AVERAGE(BV47:CG47)</f>
        <v>0.34605279746871559</v>
      </c>
    </row>
    <row r="48" spans="1:89">
      <c r="C48" s="569" t="s">
        <v>132</v>
      </c>
      <c r="T48" s="617">
        <v>1.8169999999999999</v>
      </c>
      <c r="U48" s="617">
        <v>2.0760000000000001</v>
      </c>
      <c r="V48" s="617">
        <v>2.1469999999999998</v>
      </c>
      <c r="W48" s="617">
        <v>1.794</v>
      </c>
      <c r="X48" s="617">
        <v>1.843</v>
      </c>
      <c r="Y48" s="617">
        <v>1.9890000000000001</v>
      </c>
      <c r="Z48" s="617">
        <v>2.0750000000000002</v>
      </c>
      <c r="AA48" s="617">
        <v>2.2000000000000002</v>
      </c>
      <c r="AB48" s="617">
        <v>2.4740000000000002</v>
      </c>
      <c r="AC48" s="617">
        <v>2.2709999999999999</v>
      </c>
      <c r="AD48" s="617">
        <v>2.3090000000000002</v>
      </c>
      <c r="AE48" s="617">
        <v>2.5720000000000001</v>
      </c>
      <c r="AF48" s="617">
        <f>AVERAGE(T48:AE48)</f>
        <v>2.1305833333333335</v>
      </c>
      <c r="AJ48" s="617">
        <v>2.133</v>
      </c>
      <c r="AK48" s="617">
        <v>2.3359999999999999</v>
      </c>
      <c r="AL48" s="617">
        <v>2.3809999999999998</v>
      </c>
      <c r="AM48" s="617">
        <v>3.0619999999999998</v>
      </c>
      <c r="AN48" s="617">
        <v>2.798</v>
      </c>
      <c r="AO48" s="617">
        <v>3.3820000000000001</v>
      </c>
      <c r="AP48" s="617">
        <v>2.3050000000000002</v>
      </c>
      <c r="AQ48" s="617">
        <v>1.89</v>
      </c>
      <c r="AR48" s="617">
        <v>2.2410000000000001</v>
      </c>
      <c r="AS48" s="617">
        <v>2.11</v>
      </c>
      <c r="AT48" s="617">
        <v>2.23</v>
      </c>
      <c r="AU48" s="617">
        <v>2.5099999999999998</v>
      </c>
      <c r="AV48" s="617">
        <f>AVERAGE(AJ48:AU48)</f>
        <v>2.4481666666666668</v>
      </c>
      <c r="BA48" s="585">
        <v>-0.06</v>
      </c>
      <c r="BB48" s="617">
        <f>AVERAGE(AJ48:AR48,AC48:AE48)*(100%+BA48)</f>
        <v>2.3249333333333331</v>
      </c>
      <c r="BC48" s="617"/>
      <c r="BD48" s="617">
        <f>BB48</f>
        <v>2.3249333333333331</v>
      </c>
      <c r="BE48" s="617">
        <f>BD48</f>
        <v>2.3249333333333331</v>
      </c>
      <c r="BF48" s="617">
        <f t="shared" si="78"/>
        <v>2.3249333333333331</v>
      </c>
      <c r="BG48" s="617">
        <f t="shared" si="78"/>
        <v>2.3249333333333331</v>
      </c>
      <c r="BH48" s="617">
        <f t="shared" si="78"/>
        <v>2.3249333333333331</v>
      </c>
      <c r="BI48" s="617">
        <f t="shared" si="78"/>
        <v>2.3249333333333331</v>
      </c>
      <c r="BJ48" s="617">
        <f t="shared" si="78"/>
        <v>2.3249333333333331</v>
      </c>
      <c r="BK48" s="617">
        <f t="shared" si="78"/>
        <v>2.3249333333333331</v>
      </c>
      <c r="BL48" s="617">
        <f t="shared" si="78"/>
        <v>2.3249333333333331</v>
      </c>
      <c r="BM48" s="617">
        <f t="shared" si="78"/>
        <v>2.3249333333333331</v>
      </c>
      <c r="BN48" s="617">
        <f t="shared" si="78"/>
        <v>2.3249333333333331</v>
      </c>
      <c r="BO48" s="617">
        <f t="shared" si="78"/>
        <v>2.3249333333333331</v>
      </c>
      <c r="BP48" s="617">
        <f>AVERAGE(BD48:BO48)</f>
        <v>2.3249333333333335</v>
      </c>
      <c r="BQ48" s="576">
        <f>BP48/AV48</f>
        <v>0.94966301313908363</v>
      </c>
      <c r="BR48" s="576"/>
      <c r="BS48" s="576">
        <f>BP48/AF48</f>
        <v>1.0912191496851411</v>
      </c>
      <c r="BV48" s="617">
        <v>1.94</v>
      </c>
      <c r="BW48" s="617">
        <v>1.99</v>
      </c>
      <c r="BX48" s="617">
        <v>1.78</v>
      </c>
      <c r="BY48" s="617">
        <v>1.71</v>
      </c>
      <c r="BZ48" s="617">
        <v>1.59</v>
      </c>
      <c r="CA48" s="617">
        <v>1.94</v>
      </c>
      <c r="CB48" s="617">
        <v>1.79</v>
      </c>
      <c r="CC48" s="617">
        <v>1.89</v>
      </c>
      <c r="CD48" s="617"/>
      <c r="CE48" s="617"/>
      <c r="CF48" s="617"/>
      <c r="CG48" s="617"/>
      <c r="CH48" s="617">
        <f>AVERAGE(BV48:CG48)</f>
        <v>1.8287499999999999</v>
      </c>
    </row>
    <row r="49" spans="1:86">
      <c r="C49" s="569" t="s">
        <v>133</v>
      </c>
      <c r="D49" s="585"/>
      <c r="E49" s="585"/>
      <c r="F49" s="585"/>
      <c r="G49" s="585"/>
      <c r="H49" s="585"/>
      <c r="I49" s="585"/>
      <c r="J49" s="585"/>
      <c r="K49" s="585"/>
      <c r="L49" s="585"/>
      <c r="M49" s="585"/>
      <c r="N49" s="585"/>
      <c r="O49" s="585"/>
      <c r="P49" s="585"/>
      <c r="Q49" s="585"/>
      <c r="R49" s="585"/>
      <c r="S49" s="585"/>
      <c r="T49" s="617">
        <f>T46*T47*T48/1000</f>
        <v>329283.24667699996</v>
      </c>
      <c r="U49" s="617">
        <f t="shared" ref="U49:AE49" si="79">U46*U47*U48/1000</f>
        <v>269254.03409999999</v>
      </c>
      <c r="V49" s="617">
        <f t="shared" si="79"/>
        <v>364434.21899199998</v>
      </c>
      <c r="W49" s="617">
        <f t="shared" si="79"/>
        <v>285885.87674400001</v>
      </c>
      <c r="X49" s="617">
        <f t="shared" si="79"/>
        <v>293250.98888700001</v>
      </c>
      <c r="Y49" s="617">
        <f t="shared" si="79"/>
        <v>304886.7330983727</v>
      </c>
      <c r="Z49" s="617">
        <f t="shared" si="79"/>
        <v>275312.30768595834</v>
      </c>
      <c r="AA49" s="617">
        <f t="shared" si="79"/>
        <v>300167.29820000002</v>
      </c>
      <c r="AB49" s="617">
        <f t="shared" si="79"/>
        <v>307694.54644648026</v>
      </c>
      <c r="AC49" s="617">
        <f t="shared" si="79"/>
        <v>344830.28861024202</v>
      </c>
      <c r="AD49" s="617">
        <f t="shared" si="79"/>
        <v>371881.29504620767</v>
      </c>
      <c r="AE49" s="617">
        <f t="shared" si="79"/>
        <v>540024.71685769816</v>
      </c>
      <c r="AF49" s="617">
        <f>SUM(T49:AE49)</f>
        <v>3986905.5513449591</v>
      </c>
      <c r="AJ49" s="617">
        <f t="shared" ref="AJ49:AU49" si="80">AJ46*AJ47*AJ48/1000</f>
        <v>369318.68185215798</v>
      </c>
      <c r="AK49" s="617">
        <f t="shared" si="80"/>
        <v>325465.01143160561</v>
      </c>
      <c r="AL49" s="617">
        <f t="shared" si="80"/>
        <v>418531.45713119471</v>
      </c>
      <c r="AM49" s="617">
        <f t="shared" si="80"/>
        <v>361746.75096932659</v>
      </c>
      <c r="AN49" s="617">
        <f t="shared" si="80"/>
        <v>423581.78904303681</v>
      </c>
      <c r="AO49" s="617">
        <f t="shared" si="80"/>
        <v>470267.47253340296</v>
      </c>
      <c r="AP49" s="617">
        <f t="shared" si="80"/>
        <v>375107.60193908383</v>
      </c>
      <c r="AQ49" s="617">
        <f t="shared" si="80"/>
        <v>393214.22456235846</v>
      </c>
      <c r="AR49" s="617">
        <f t="shared" si="80"/>
        <v>494363.04364618514</v>
      </c>
      <c r="AS49" s="617">
        <f t="shared" si="80"/>
        <v>491819.18471000006</v>
      </c>
      <c r="AT49" s="617">
        <f t="shared" si="80"/>
        <v>564217.00752999994</v>
      </c>
      <c r="AU49" s="617">
        <f t="shared" si="80"/>
        <v>722976.20578999992</v>
      </c>
      <c r="AV49" s="617">
        <f>SUM(AJ49:AU49)</f>
        <v>5410608.4311383525</v>
      </c>
      <c r="BD49" s="612">
        <f t="shared" ref="BD49:BO49" si="81">BD46*BD47*BD48/1000</f>
        <v>621978.49244238646</v>
      </c>
      <c r="BE49" s="612">
        <f t="shared" si="81"/>
        <v>555121.13970915379</v>
      </c>
      <c r="BF49" s="612">
        <f t="shared" si="81"/>
        <v>685133.82637288433</v>
      </c>
      <c r="BG49" s="612">
        <f t="shared" si="81"/>
        <v>719391.34631986008</v>
      </c>
      <c r="BH49" s="612">
        <f t="shared" si="81"/>
        <v>779369.20965723926</v>
      </c>
      <c r="BI49" s="612">
        <f t="shared" si="81"/>
        <v>764867.05119297665</v>
      </c>
      <c r="BJ49" s="612">
        <f t="shared" si="81"/>
        <v>825807.70590889105</v>
      </c>
      <c r="BK49" s="612">
        <f t="shared" si="81"/>
        <v>818098.93764372484</v>
      </c>
      <c r="BL49" s="612">
        <f t="shared" si="81"/>
        <v>863140.65818807052</v>
      </c>
      <c r="BM49" s="612">
        <f t="shared" si="81"/>
        <v>926139.37646625238</v>
      </c>
      <c r="BN49" s="612">
        <f t="shared" si="81"/>
        <v>884123.12070226623</v>
      </c>
      <c r="BO49" s="612">
        <f t="shared" si="81"/>
        <v>941665.70187403797</v>
      </c>
      <c r="BP49" s="612">
        <f>SUM(BD49:BO49)</f>
        <v>9384836.5664777439</v>
      </c>
      <c r="BV49" s="617">
        <f t="shared" ref="BV49:CG49" si="82">BV46*BV47*BV48/1000</f>
        <v>459472.71564000001</v>
      </c>
      <c r="BW49" s="617">
        <f t="shared" si="82"/>
        <v>464772.55551999999</v>
      </c>
      <c r="BX49" s="617">
        <f t="shared" si="82"/>
        <v>581228.13835999998</v>
      </c>
      <c r="BY49" s="617">
        <f t="shared" si="82"/>
        <v>653835.34178999998</v>
      </c>
      <c r="BZ49" s="617">
        <f t="shared" si="82"/>
        <v>738248.00598000002</v>
      </c>
      <c r="CA49" s="617">
        <f t="shared" si="82"/>
        <v>709368.88803999999</v>
      </c>
      <c r="CB49" s="617">
        <f t="shared" si="82"/>
        <v>697603.2517299999</v>
      </c>
      <c r="CC49" s="617">
        <f t="shared" si="82"/>
        <v>792704.30840999994</v>
      </c>
      <c r="CD49" s="617">
        <f t="shared" si="82"/>
        <v>0</v>
      </c>
      <c r="CE49" s="617">
        <f t="shared" si="82"/>
        <v>0</v>
      </c>
      <c r="CF49" s="617">
        <f t="shared" si="82"/>
        <v>0</v>
      </c>
      <c r="CG49" s="617">
        <f t="shared" si="82"/>
        <v>0</v>
      </c>
      <c r="CH49" s="617">
        <f>SUM(BV49:CG49)</f>
        <v>5097233.2054700004</v>
      </c>
    </row>
    <row r="50" spans="1:86" s="577" customFormat="1" ht="12.75">
      <c r="C50" s="577" t="s">
        <v>134</v>
      </c>
      <c r="D50" s="579">
        <v>0.45</v>
      </c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  <c r="P50" s="579"/>
      <c r="Q50" s="579"/>
      <c r="R50" s="579"/>
      <c r="S50" s="579"/>
      <c r="T50" s="619">
        <f>T49*$D$50</f>
        <v>148177.46100464999</v>
      </c>
      <c r="U50" s="619">
        <f t="shared" ref="U50:AE50" si="83">U49*$D$50</f>
        <v>121164.315345</v>
      </c>
      <c r="V50" s="619">
        <f t="shared" si="83"/>
        <v>163995.39854639999</v>
      </c>
      <c r="W50" s="619">
        <f t="shared" si="83"/>
        <v>128648.64453480001</v>
      </c>
      <c r="X50" s="619">
        <f t="shared" si="83"/>
        <v>131962.94499915</v>
      </c>
      <c r="Y50" s="619">
        <f t="shared" si="83"/>
        <v>137199.02989426773</v>
      </c>
      <c r="Z50" s="619">
        <f t="shared" si="83"/>
        <v>123890.53845868126</v>
      </c>
      <c r="AA50" s="619">
        <f t="shared" si="83"/>
        <v>135075.28419000001</v>
      </c>
      <c r="AB50" s="619">
        <f t="shared" si="83"/>
        <v>138462.54590091613</v>
      </c>
      <c r="AC50" s="619">
        <f t="shared" si="83"/>
        <v>155173.62987460892</v>
      </c>
      <c r="AD50" s="619">
        <f t="shared" si="83"/>
        <v>167346.58277079347</v>
      </c>
      <c r="AE50" s="619">
        <f t="shared" si="83"/>
        <v>243011.12258596419</v>
      </c>
      <c r="AF50" s="619">
        <f>SUM(T50:AE50)</f>
        <v>1794107.4981052317</v>
      </c>
      <c r="AH50" s="579">
        <v>0.45</v>
      </c>
      <c r="AI50" s="579"/>
      <c r="AJ50" s="619">
        <f>AJ49*$AH$50</f>
        <v>166193.40683347109</v>
      </c>
      <c r="AK50" s="619">
        <f t="shared" ref="AK50:AU50" si="84">AK49*$AH$50</f>
        <v>146459.25514422252</v>
      </c>
      <c r="AL50" s="619">
        <f t="shared" si="84"/>
        <v>188339.15570903762</v>
      </c>
      <c r="AM50" s="619">
        <f t="shared" si="84"/>
        <v>162786.03793619698</v>
      </c>
      <c r="AN50" s="619">
        <f t="shared" si="84"/>
        <v>190611.80506936656</v>
      </c>
      <c r="AO50" s="619">
        <f t="shared" si="84"/>
        <v>211620.36264003135</v>
      </c>
      <c r="AP50" s="619">
        <f t="shared" si="84"/>
        <v>168798.42087258774</v>
      </c>
      <c r="AQ50" s="619">
        <f t="shared" si="84"/>
        <v>176946.4010530613</v>
      </c>
      <c r="AR50" s="619">
        <f t="shared" si="84"/>
        <v>222463.36964078332</v>
      </c>
      <c r="AS50" s="619">
        <f t="shared" si="84"/>
        <v>221318.63311950004</v>
      </c>
      <c r="AT50" s="619">
        <f t="shared" si="84"/>
        <v>253897.65338849998</v>
      </c>
      <c r="AU50" s="619">
        <f t="shared" si="84"/>
        <v>325339.29260549997</v>
      </c>
      <c r="AV50" s="619">
        <f>SUM(AJ50:AU50)</f>
        <v>2434773.7940122588</v>
      </c>
      <c r="BB50" s="579">
        <v>0.45</v>
      </c>
      <c r="BC50" s="579"/>
      <c r="BD50" s="610">
        <f>BD49*$BB$50</f>
        <v>279890.32159907394</v>
      </c>
      <c r="BE50" s="610">
        <f t="shared" ref="BE50:BO50" si="85">BE49*$BB$50</f>
        <v>249804.51286911921</v>
      </c>
      <c r="BF50" s="610">
        <f t="shared" si="85"/>
        <v>308310.22186779795</v>
      </c>
      <c r="BG50" s="610">
        <f t="shared" si="85"/>
        <v>323726.10584393702</v>
      </c>
      <c r="BH50" s="610">
        <f t="shared" si="85"/>
        <v>350716.14434575767</v>
      </c>
      <c r="BI50" s="610">
        <f t="shared" si="85"/>
        <v>344190.17303683952</v>
      </c>
      <c r="BJ50" s="610">
        <f t="shared" si="85"/>
        <v>371613.46765900101</v>
      </c>
      <c r="BK50" s="610">
        <f t="shared" si="85"/>
        <v>368144.5219396762</v>
      </c>
      <c r="BL50" s="610">
        <f t="shared" si="85"/>
        <v>388413.29618463176</v>
      </c>
      <c r="BM50" s="610">
        <f t="shared" si="85"/>
        <v>416762.71940981358</v>
      </c>
      <c r="BN50" s="610">
        <f t="shared" si="85"/>
        <v>397855.40431601979</v>
      </c>
      <c r="BO50" s="610">
        <f t="shared" si="85"/>
        <v>423749.56584331708</v>
      </c>
      <c r="BP50" s="609">
        <f>SUM(BD50:BO50)</f>
        <v>4223176.4549149843</v>
      </c>
      <c r="BU50" s="579">
        <f>D50</f>
        <v>0.45</v>
      </c>
      <c r="BV50" s="619">
        <f>BV49*$BU$50</f>
        <v>206762.72203800001</v>
      </c>
      <c r="BW50" s="619">
        <f>BW49*$BU$50</f>
        <v>209147.64998399999</v>
      </c>
      <c r="BX50" s="619">
        <f t="shared" ref="BX50:CG50" si="86">BX49*$AH$50</f>
        <v>261552.662262</v>
      </c>
      <c r="BY50" s="619">
        <f t="shared" si="86"/>
        <v>294225.90380550001</v>
      </c>
      <c r="BZ50" s="619">
        <f t="shared" si="86"/>
        <v>332211.60269100004</v>
      </c>
      <c r="CA50" s="619">
        <f t="shared" si="86"/>
        <v>319215.999618</v>
      </c>
      <c r="CB50" s="619">
        <f t="shared" si="86"/>
        <v>313921.46327849996</v>
      </c>
      <c r="CC50" s="619">
        <f t="shared" si="86"/>
        <v>356716.9387845</v>
      </c>
      <c r="CD50" s="619">
        <f t="shared" si="86"/>
        <v>0</v>
      </c>
      <c r="CE50" s="619">
        <f t="shared" si="86"/>
        <v>0</v>
      </c>
      <c r="CF50" s="619">
        <f t="shared" si="86"/>
        <v>0</v>
      </c>
      <c r="CG50" s="619">
        <f t="shared" si="86"/>
        <v>0</v>
      </c>
      <c r="CH50" s="619">
        <f>SUM(BV50:CG50)</f>
        <v>2293754.9424614999</v>
      </c>
    </row>
    <row r="51" spans="1:86" s="577" customFormat="1" ht="12.75">
      <c r="D51" s="579"/>
      <c r="E51" s="579"/>
      <c r="F51" s="579"/>
      <c r="G51" s="579"/>
      <c r="H51" s="579"/>
      <c r="I51" s="579"/>
      <c r="J51" s="579"/>
      <c r="K51" s="579"/>
      <c r="L51" s="579"/>
      <c r="M51" s="579"/>
      <c r="N51" s="579"/>
      <c r="O51" s="579"/>
      <c r="P51" s="579"/>
      <c r="Q51" s="579"/>
      <c r="R51" s="579"/>
      <c r="S51" s="579"/>
      <c r="T51" s="619"/>
      <c r="U51" s="619"/>
      <c r="V51" s="619"/>
      <c r="W51" s="619"/>
      <c r="X51" s="619"/>
      <c r="Y51" s="619"/>
      <c r="Z51" s="619"/>
      <c r="AA51" s="619"/>
      <c r="AB51" s="619"/>
      <c r="AC51" s="619"/>
      <c r="AD51" s="619"/>
      <c r="AE51" s="619"/>
      <c r="AF51" s="619"/>
      <c r="AH51" s="579"/>
      <c r="AI51" s="579"/>
      <c r="AJ51" s="619"/>
      <c r="AK51" s="619"/>
      <c r="AL51" s="619"/>
      <c r="AM51" s="619"/>
      <c r="AN51" s="619"/>
      <c r="AO51" s="619"/>
      <c r="AP51" s="619"/>
      <c r="AQ51" s="619"/>
      <c r="AR51" s="619"/>
      <c r="AV51" s="619"/>
      <c r="BB51" s="579"/>
      <c r="BC51" s="579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19"/>
      <c r="BV51" s="619"/>
      <c r="BW51" s="619"/>
      <c r="BX51" s="619"/>
      <c r="BY51" s="619"/>
      <c r="BZ51" s="619"/>
      <c r="CA51" s="619"/>
      <c r="CB51" s="619"/>
      <c r="CC51" s="619"/>
      <c r="CD51" s="619"/>
      <c r="CH51" s="619"/>
    </row>
    <row r="52" spans="1:86">
      <c r="A52" s="569" t="s">
        <v>88</v>
      </c>
      <c r="T52" s="582">
        <v>426424726</v>
      </c>
      <c r="U52" s="582">
        <v>347497986</v>
      </c>
      <c r="V52" s="582">
        <v>353661744</v>
      </c>
      <c r="W52" s="582">
        <v>363638036</v>
      </c>
      <c r="X52" s="582">
        <v>487912650</v>
      </c>
      <c r="Y52" s="582">
        <v>462818582</v>
      </c>
      <c r="Z52" s="582">
        <v>514999358</v>
      </c>
      <c r="AA52" s="582">
        <v>508903695</v>
      </c>
      <c r="AB52" s="582">
        <v>471847508</v>
      </c>
      <c r="AC52" s="582">
        <v>551823183</v>
      </c>
      <c r="AD52" s="582">
        <v>620617348</v>
      </c>
      <c r="AE52" s="582">
        <v>740699520</v>
      </c>
      <c r="AF52" s="582">
        <f>SUM(T52:AE52)</f>
        <v>5850844336</v>
      </c>
      <c r="AJ52" s="582">
        <f>AJ13</f>
        <v>747476787</v>
      </c>
      <c r="AK52" s="582">
        <f t="shared" ref="AK52:AU52" si="87">AK13</f>
        <v>633829590</v>
      </c>
      <c r="AL52" s="582">
        <f t="shared" si="87"/>
        <v>774763080</v>
      </c>
      <c r="AM52" s="582">
        <f t="shared" si="87"/>
        <v>825400855</v>
      </c>
      <c r="AN52" s="582">
        <f t="shared" si="87"/>
        <v>975131974</v>
      </c>
      <c r="AO52" s="582">
        <f t="shared" si="87"/>
        <v>988416606</v>
      </c>
      <c r="AP52" s="582">
        <f t="shared" si="87"/>
        <v>1056730406</v>
      </c>
      <c r="AQ52" s="582">
        <f t="shared" si="87"/>
        <v>996054452</v>
      </c>
      <c r="AR52" s="582">
        <f t="shared" si="87"/>
        <v>1006429189</v>
      </c>
      <c r="AS52" s="582">
        <f t="shared" si="87"/>
        <v>1027879481</v>
      </c>
      <c r="AT52" s="582">
        <f t="shared" si="87"/>
        <v>911225766</v>
      </c>
      <c r="AU52" s="582">
        <f t="shared" si="87"/>
        <v>875492724</v>
      </c>
      <c r="AV52" s="582">
        <f>SUM(AJ52:AU52)</f>
        <v>10818830910</v>
      </c>
      <c r="BD52" s="614">
        <f t="shared" ref="BD52:BO52" si="88">BD13</f>
        <v>1317212340.3244298</v>
      </c>
      <c r="BE52" s="614">
        <f t="shared" si="88"/>
        <v>1175623312.5176604</v>
      </c>
      <c r="BF52" s="614">
        <f t="shared" si="88"/>
        <v>1450961314.3185225</v>
      </c>
      <c r="BG52" s="614">
        <f t="shared" si="88"/>
        <v>1523511134.8852627</v>
      </c>
      <c r="BH52" s="614">
        <f t="shared" si="88"/>
        <v>1650530931.7017999</v>
      </c>
      <c r="BI52" s="614">
        <f t="shared" si="88"/>
        <v>1619818580.1935415</v>
      </c>
      <c r="BJ52" s="614">
        <f t="shared" si="88"/>
        <v>1748877355.36765</v>
      </c>
      <c r="BK52" s="614">
        <f t="shared" si="88"/>
        <v>1732551895.8687122</v>
      </c>
      <c r="BL52" s="614">
        <f t="shared" si="88"/>
        <v>1827940258.7323244</v>
      </c>
      <c r="BM52" s="614">
        <f t="shared" si="88"/>
        <v>1961357555.5503967</v>
      </c>
      <c r="BN52" s="614">
        <f t="shared" si="88"/>
        <v>1872376455.3049145</v>
      </c>
      <c r="BO52" s="614">
        <f t="shared" si="88"/>
        <v>1994238865.2347865</v>
      </c>
      <c r="BP52" s="582">
        <f>SUM(BD52:BO52)</f>
        <v>19875000000</v>
      </c>
      <c r="BV52" s="582">
        <f>BV13</f>
        <v>1147271340</v>
      </c>
      <c r="BW52" s="582">
        <f t="shared" ref="BW52:CG52" si="89">BW13</f>
        <v>1266919294</v>
      </c>
      <c r="BX52" s="582">
        <f t="shared" si="89"/>
        <v>1702385218</v>
      </c>
      <c r="BY52" s="582">
        <f t="shared" si="89"/>
        <v>1691880706</v>
      </c>
      <c r="BZ52" s="582">
        <f t="shared" si="89"/>
        <v>1566549832</v>
      </c>
      <c r="CA52" s="582">
        <f t="shared" si="89"/>
        <v>1633168605</v>
      </c>
      <c r="CB52" s="582">
        <f t="shared" si="89"/>
        <v>1579239144</v>
      </c>
      <c r="CC52" s="582">
        <f t="shared" si="89"/>
        <v>1631049134</v>
      </c>
      <c r="CD52" s="582">
        <f t="shared" si="89"/>
        <v>1323587099</v>
      </c>
      <c r="CE52" s="582">
        <f t="shared" si="89"/>
        <v>0</v>
      </c>
      <c r="CF52" s="582">
        <f t="shared" si="89"/>
        <v>0</v>
      </c>
      <c r="CG52" s="582">
        <f t="shared" si="89"/>
        <v>0</v>
      </c>
      <c r="CH52" s="582">
        <f>SUM(BV52:CG52)</f>
        <v>13542050372</v>
      </c>
    </row>
    <row r="53" spans="1:86">
      <c r="C53" s="569" t="s">
        <v>131</v>
      </c>
      <c r="T53" s="576">
        <v>0.26856745403642474</v>
      </c>
      <c r="U53" s="576">
        <v>0.23227209725468739</v>
      </c>
      <c r="V53" s="576">
        <v>0.24045678234284792</v>
      </c>
      <c r="W53" s="576">
        <v>0.22447928411977233</v>
      </c>
      <c r="X53" s="576">
        <v>0.20901684889754402</v>
      </c>
      <c r="Y53" s="576">
        <v>0.22008193532842063</v>
      </c>
      <c r="Z53" s="576">
        <v>0.18589998872158156</v>
      </c>
      <c r="AA53" s="576">
        <v>0.18641957285392002</v>
      </c>
      <c r="AB53" s="576">
        <v>0.17866581199706108</v>
      </c>
      <c r="AC53" s="576">
        <v>0.20710229203980363</v>
      </c>
      <c r="AD53" s="576">
        <v>0.22316720314565361</v>
      </c>
      <c r="AE53" s="576">
        <v>0.27554263867835582</v>
      </c>
      <c r="AF53" s="576">
        <f>AVERAGE(T53:AE53)</f>
        <v>0.22097265911800604</v>
      </c>
      <c r="AG53" s="615">
        <f>AVERAGE(T53:AB53)</f>
        <v>0.21620664172802884</v>
      </c>
      <c r="AJ53" s="576">
        <v>0.21592918562849742</v>
      </c>
      <c r="AK53" s="576">
        <v>0.16996729041173414</v>
      </c>
      <c r="AL53" s="576">
        <v>0.16148764363576973</v>
      </c>
      <c r="AM53" s="576">
        <v>0.10998320538070802</v>
      </c>
      <c r="AN53" s="576">
        <v>0.14668241494158624</v>
      </c>
      <c r="AO53" s="576">
        <v>0.13587044299350828</v>
      </c>
      <c r="AP53" s="576">
        <v>0.16067600095204665</v>
      </c>
      <c r="AQ53" s="576">
        <v>0.17788074858926795</v>
      </c>
      <c r="AR53" s="576">
        <v>0.18420309524951206</v>
      </c>
      <c r="AS53" s="576">
        <f>203565348/AS52</f>
        <v>0.19804398449705019</v>
      </c>
      <c r="AT53" s="576">
        <f>177832782/AT52</f>
        <v>0.19515776291163392</v>
      </c>
      <c r="AU53" s="576">
        <f>193774170/AU52</f>
        <v>0.2213315595755882</v>
      </c>
      <c r="AV53" s="576">
        <f>AVERAGE(AJ53:AU53)</f>
        <v>0.17310111123057526</v>
      </c>
      <c r="BA53" s="585">
        <v>-0.06</v>
      </c>
      <c r="BB53" s="615">
        <f>AVERAGE(AJ53:AR53,AC53:AE53)*(100%+BA53)</f>
        <v>0.16986521932897139</v>
      </c>
      <c r="BC53" s="615"/>
      <c r="BD53" s="616">
        <f>BB53</f>
        <v>0.16986521932897139</v>
      </c>
      <c r="BE53" s="616">
        <f>BD53</f>
        <v>0.16986521932897139</v>
      </c>
      <c r="BF53" s="616">
        <f t="shared" ref="BF53:BO54" si="90">BE53</f>
        <v>0.16986521932897139</v>
      </c>
      <c r="BG53" s="616">
        <f t="shared" si="90"/>
        <v>0.16986521932897139</v>
      </c>
      <c r="BH53" s="616">
        <f t="shared" si="90"/>
        <v>0.16986521932897139</v>
      </c>
      <c r="BI53" s="616">
        <f t="shared" si="90"/>
        <v>0.16986521932897139</v>
      </c>
      <c r="BJ53" s="616">
        <f t="shared" si="90"/>
        <v>0.16986521932897139</v>
      </c>
      <c r="BK53" s="616">
        <f t="shared" si="90"/>
        <v>0.16986521932897139</v>
      </c>
      <c r="BL53" s="616">
        <f t="shared" si="90"/>
        <v>0.16986521932897139</v>
      </c>
      <c r="BM53" s="616">
        <f t="shared" si="90"/>
        <v>0.16986521932897139</v>
      </c>
      <c r="BN53" s="616">
        <f t="shared" si="90"/>
        <v>0.16986521932897139</v>
      </c>
      <c r="BO53" s="616">
        <f t="shared" si="90"/>
        <v>0.16986521932897139</v>
      </c>
      <c r="BP53" s="576">
        <f>AVERAGE(BD53:BO53)</f>
        <v>0.16986521932897139</v>
      </c>
      <c r="BQ53" s="576">
        <f>BP53/AV53</f>
        <v>0.98130634818806239</v>
      </c>
      <c r="BR53" s="576"/>
      <c r="BS53" s="576">
        <f>BP53/AF53</f>
        <v>0.76871600317873834</v>
      </c>
      <c r="BV53" s="576">
        <f>269162972/BV52</f>
        <v>0.23461143202618484</v>
      </c>
      <c r="BW53" s="576">
        <f>274826942/BW52</f>
        <v>0.21692537425355526</v>
      </c>
      <c r="BX53" s="576">
        <f>458766901/BX52</f>
        <v>0.26948477709350033</v>
      </c>
      <c r="BY53" s="576">
        <f>472083042/BY52</f>
        <v>0.27902856290389072</v>
      </c>
      <c r="BZ53" s="576">
        <f>626399036/BZ52</f>
        <v>0.39985899152680132</v>
      </c>
      <c r="CA53" s="576">
        <f>519651728/CA52</f>
        <v>0.31818620956162696</v>
      </c>
      <c r="CB53" s="576">
        <f>432066730/CB52</f>
        <v>0.27359170499385749</v>
      </c>
      <c r="CC53" s="576">
        <f>441232502/CC52</f>
        <v>0.2705206684472572</v>
      </c>
      <c r="CD53" s="576"/>
      <c r="CE53" s="576"/>
      <c r="CF53" s="576"/>
      <c r="CG53" s="576"/>
      <c r="CH53" s="576">
        <f>AVERAGE(BV53:CG53)</f>
        <v>0.28277596510083425</v>
      </c>
    </row>
    <row r="54" spans="1:86">
      <c r="C54" s="569" t="s">
        <v>132</v>
      </c>
      <c r="T54" s="617">
        <v>3.274</v>
      </c>
      <c r="U54" s="617">
        <v>3.923</v>
      </c>
      <c r="V54" s="617">
        <v>3.96</v>
      </c>
      <c r="W54" s="617">
        <v>3.125</v>
      </c>
      <c r="X54" s="617">
        <v>3.0030000000000001</v>
      </c>
      <c r="Y54" s="617">
        <v>3.2810000000000001</v>
      </c>
      <c r="Z54" s="617">
        <v>2.8820000000000001</v>
      </c>
      <c r="AA54" s="617">
        <v>2.87</v>
      </c>
      <c r="AB54" s="617">
        <v>3.984</v>
      </c>
      <c r="AC54" s="617">
        <v>3.331</v>
      </c>
      <c r="AD54" s="617">
        <v>3.181</v>
      </c>
      <c r="AE54" s="617">
        <v>3.2749999999999999</v>
      </c>
      <c r="AF54" s="617">
        <f>AVERAGE(T54:AE54)</f>
        <v>3.3407499999999999</v>
      </c>
      <c r="AJ54" s="617">
        <v>2.4689999999999999</v>
      </c>
      <c r="AK54" s="617">
        <v>3.1859999999999999</v>
      </c>
      <c r="AL54" s="617">
        <v>3.13</v>
      </c>
      <c r="AM54" s="617">
        <v>3.45</v>
      </c>
      <c r="AN54" s="617">
        <v>3.0590000000000002</v>
      </c>
      <c r="AO54" s="617">
        <v>4.0359999999999996</v>
      </c>
      <c r="AP54" s="617">
        <v>2.7690000000000001</v>
      </c>
      <c r="AQ54" s="617">
        <v>2.347</v>
      </c>
      <c r="AR54" s="617">
        <v>2.4740000000000002</v>
      </c>
      <c r="AS54" s="617">
        <v>2.35</v>
      </c>
      <c r="AT54" s="617">
        <v>2.25</v>
      </c>
      <c r="AU54" s="617">
        <v>2.4900000000000002</v>
      </c>
      <c r="AV54" s="617">
        <f>AVERAGE(AJ54:AU54)</f>
        <v>2.8341666666666665</v>
      </c>
      <c r="BA54" s="585">
        <v>-0.06</v>
      </c>
      <c r="BB54" s="617">
        <f>AVERAGE(AJ54:AR54,AC54:AE54)*(100%+BA54)</f>
        <v>2.8753816666666663</v>
      </c>
      <c r="BC54" s="617"/>
      <c r="BD54" s="617">
        <f>BB54</f>
        <v>2.8753816666666663</v>
      </c>
      <c r="BE54" s="617">
        <f>BD54</f>
        <v>2.8753816666666663</v>
      </c>
      <c r="BF54" s="617">
        <f t="shared" si="90"/>
        <v>2.8753816666666663</v>
      </c>
      <c r="BG54" s="617">
        <f t="shared" si="90"/>
        <v>2.8753816666666663</v>
      </c>
      <c r="BH54" s="617">
        <f t="shared" si="90"/>
        <v>2.8753816666666663</v>
      </c>
      <c r="BI54" s="617">
        <f t="shared" si="90"/>
        <v>2.8753816666666663</v>
      </c>
      <c r="BJ54" s="617">
        <f t="shared" si="90"/>
        <v>2.8753816666666663</v>
      </c>
      <c r="BK54" s="617">
        <f t="shared" si="90"/>
        <v>2.8753816666666663</v>
      </c>
      <c r="BL54" s="617">
        <f t="shared" si="90"/>
        <v>2.8753816666666663</v>
      </c>
      <c r="BM54" s="617">
        <f t="shared" si="90"/>
        <v>2.8753816666666663</v>
      </c>
      <c r="BN54" s="617">
        <f t="shared" si="90"/>
        <v>2.8753816666666663</v>
      </c>
      <c r="BO54" s="617">
        <f t="shared" si="90"/>
        <v>2.8753816666666663</v>
      </c>
      <c r="BP54" s="617">
        <f>AVERAGE(BD54:BO54)</f>
        <v>2.8753816666666663</v>
      </c>
      <c r="BQ54" s="576">
        <f>BP54/AV54</f>
        <v>1.0145421934725081</v>
      </c>
      <c r="BR54" s="576"/>
      <c r="BS54" s="576">
        <f>BP54/AF54</f>
        <v>0.86069944373768359</v>
      </c>
      <c r="BV54" s="617">
        <v>1.85</v>
      </c>
      <c r="BW54" s="617">
        <v>1.77</v>
      </c>
      <c r="BX54" s="617">
        <v>2.0299999999999998</v>
      </c>
      <c r="BY54" s="617">
        <v>1.79</v>
      </c>
      <c r="BZ54" s="617">
        <v>1.41</v>
      </c>
      <c r="CA54" s="617">
        <v>1.66</v>
      </c>
      <c r="CB54" s="617">
        <v>1.55</v>
      </c>
      <c r="CC54" s="617">
        <v>1.8</v>
      </c>
      <c r="CD54" s="617"/>
      <c r="CE54" s="617"/>
      <c r="CF54" s="617"/>
      <c r="CG54" s="617"/>
      <c r="CH54" s="617">
        <f>AVERAGE(BV54:CG54)</f>
        <v>1.7325000000000002</v>
      </c>
    </row>
    <row r="55" spans="1:86">
      <c r="C55" s="569" t="s">
        <v>133</v>
      </c>
      <c r="D55" s="585"/>
      <c r="E55" s="585"/>
      <c r="F55" s="585"/>
      <c r="G55" s="585"/>
      <c r="H55" s="585"/>
      <c r="I55" s="585"/>
      <c r="J55" s="585"/>
      <c r="K55" s="585"/>
      <c r="L55" s="585"/>
      <c r="M55" s="585"/>
      <c r="N55" s="585"/>
      <c r="O55" s="585"/>
      <c r="P55" s="585"/>
      <c r="Q55" s="585"/>
      <c r="R55" s="585"/>
      <c r="S55" s="585"/>
      <c r="T55" s="617">
        <f>T52*T53*T54/1000</f>
        <v>374950.93102200009</v>
      </c>
      <c r="U55" s="617">
        <f t="shared" ref="U55:AE55" si="91">U52*U53*U54/1000</f>
        <v>316641.35937800002</v>
      </c>
      <c r="V55" s="617">
        <f t="shared" si="91"/>
        <v>336759.84539999999</v>
      </c>
      <c r="W55" s="617">
        <f t="shared" si="91"/>
        <v>255091.26874999999</v>
      </c>
      <c r="X55" s="617">
        <f t="shared" si="91"/>
        <v>306251.83981467155</v>
      </c>
      <c r="Y55" s="617">
        <f t="shared" si="91"/>
        <v>334196.12829188281</v>
      </c>
      <c r="Z55" s="617">
        <f t="shared" si="91"/>
        <v>275917.99629989429</v>
      </c>
      <c r="AA55" s="617">
        <f t="shared" si="91"/>
        <v>272275.77910910617</v>
      </c>
      <c r="AB55" s="617">
        <f t="shared" si="91"/>
        <v>335863.22433194937</v>
      </c>
      <c r="AC55" s="617">
        <f t="shared" si="91"/>
        <v>380679.491026</v>
      </c>
      <c r="AD55" s="617">
        <f t="shared" si="91"/>
        <v>440573.07356810512</v>
      </c>
      <c r="AE55" s="617">
        <f t="shared" si="91"/>
        <v>668408.83318313747</v>
      </c>
      <c r="AF55" s="617">
        <f>SUM(T55:AE55)</f>
        <v>4297609.7701747473</v>
      </c>
      <c r="AJ55" s="617">
        <f t="shared" ref="AJ55:AU55" si="92">AJ52*AJ53*AJ54/1000</f>
        <v>398501.67106210289</v>
      </c>
      <c r="AK55" s="617">
        <f t="shared" si="92"/>
        <v>343228.72941232612</v>
      </c>
      <c r="AL55" s="617">
        <f t="shared" si="92"/>
        <v>391608.89883704897</v>
      </c>
      <c r="AM55" s="617">
        <f t="shared" si="92"/>
        <v>313191.79956122569</v>
      </c>
      <c r="AN55" s="617">
        <f t="shared" si="92"/>
        <v>437543.18655637978</v>
      </c>
      <c r="AO55" s="617">
        <f t="shared" si="92"/>
        <v>542021.08615373669</v>
      </c>
      <c r="AP55" s="617">
        <f t="shared" si="92"/>
        <v>470151.87633009948</v>
      </c>
      <c r="AQ55" s="617">
        <f t="shared" si="92"/>
        <v>415838.90542529541</v>
      </c>
      <c r="AR55" s="617">
        <f t="shared" si="92"/>
        <v>458648.35774229578</v>
      </c>
      <c r="AS55" s="617">
        <f t="shared" si="92"/>
        <v>478378.56780000002</v>
      </c>
      <c r="AT55" s="617">
        <f t="shared" si="92"/>
        <v>400123.75949999999</v>
      </c>
      <c r="AU55" s="617">
        <f t="shared" si="92"/>
        <v>482497.68330000003</v>
      </c>
      <c r="AV55" s="617">
        <f>SUM(AJ55:AU55)</f>
        <v>5131734.5216805097</v>
      </c>
      <c r="BD55" s="612">
        <f>BD52*BD53*BD54/1000</f>
        <v>643362.51625785301</v>
      </c>
      <c r="BE55" s="612">
        <f t="shared" ref="BE55:BO55" si="93">BE52*BE53*BE54/1000</f>
        <v>574206.56439224107</v>
      </c>
      <c r="BF55" s="612">
        <f t="shared" si="93"/>
        <v>708689.17151417385</v>
      </c>
      <c r="BG55" s="612">
        <f t="shared" si="93"/>
        <v>744124.48720699339</v>
      </c>
      <c r="BH55" s="612">
        <f t="shared" si="93"/>
        <v>806164.42837116506</v>
      </c>
      <c r="BI55" s="612">
        <f t="shared" si="93"/>
        <v>791163.6762967637</v>
      </c>
      <c r="BJ55" s="612">
        <f t="shared" si="93"/>
        <v>854199.51023126824</v>
      </c>
      <c r="BK55" s="612">
        <f t="shared" si="93"/>
        <v>846225.7095153447</v>
      </c>
      <c r="BL55" s="612">
        <f t="shared" si="93"/>
        <v>892815.99361375789</v>
      </c>
      <c r="BM55" s="612">
        <f t="shared" si="93"/>
        <v>957980.64867009781</v>
      </c>
      <c r="BN55" s="612">
        <f t="shared" si="93"/>
        <v>914519.84679268312</v>
      </c>
      <c r="BO55" s="612">
        <f t="shared" si="93"/>
        <v>974040.77921153535</v>
      </c>
      <c r="BP55" s="612">
        <f>SUM(BD55:BO55)</f>
        <v>9707493.3320738785</v>
      </c>
      <c r="BV55" s="617">
        <f t="shared" ref="BV55:CG55" si="94">BV52*BV53*BV54/1000</f>
        <v>497951.49820000003</v>
      </c>
      <c r="BW55" s="617">
        <f t="shared" si="94"/>
        <v>486443.68734000006</v>
      </c>
      <c r="BX55" s="617">
        <f t="shared" si="94"/>
        <v>931296.80902999977</v>
      </c>
      <c r="BY55" s="617">
        <f t="shared" si="94"/>
        <v>845028.64518000011</v>
      </c>
      <c r="BZ55" s="617">
        <f t="shared" si="94"/>
        <v>883222.64075999998</v>
      </c>
      <c r="CA55" s="617">
        <f t="shared" si="94"/>
        <v>862621.86847999995</v>
      </c>
      <c r="CB55" s="617">
        <f t="shared" si="94"/>
        <v>669703.43149999995</v>
      </c>
      <c r="CC55" s="617">
        <f t="shared" si="94"/>
        <v>794218.50360000005</v>
      </c>
      <c r="CD55" s="617">
        <f t="shared" si="94"/>
        <v>0</v>
      </c>
      <c r="CE55" s="617">
        <f t="shared" si="94"/>
        <v>0</v>
      </c>
      <c r="CF55" s="617">
        <f t="shared" si="94"/>
        <v>0</v>
      </c>
      <c r="CG55" s="617">
        <f t="shared" si="94"/>
        <v>0</v>
      </c>
      <c r="CH55" s="617">
        <f>SUM(BV55:CG55)</f>
        <v>5970487.08409</v>
      </c>
    </row>
    <row r="56" spans="1:86" s="577" customFormat="1" ht="12.75">
      <c r="C56" s="577" t="s">
        <v>134</v>
      </c>
      <c r="D56" s="579">
        <v>0.55000000000000004</v>
      </c>
      <c r="E56" s="579"/>
      <c r="F56" s="579"/>
      <c r="G56" s="579"/>
      <c r="H56" s="579"/>
      <c r="I56" s="579"/>
      <c r="J56" s="579"/>
      <c r="K56" s="579"/>
      <c r="L56" s="579"/>
      <c r="M56" s="579"/>
      <c r="N56" s="579"/>
      <c r="O56" s="579"/>
      <c r="P56" s="579"/>
      <c r="Q56" s="579"/>
      <c r="R56" s="579"/>
      <c r="S56" s="579"/>
      <c r="T56" s="619">
        <f>T55*$D$56</f>
        <v>206223.01206210005</v>
      </c>
      <c r="U56" s="619">
        <f t="shared" ref="U56:AE56" si="95">U55*$D$56</f>
        <v>174152.74765790004</v>
      </c>
      <c r="V56" s="619">
        <f t="shared" si="95"/>
        <v>185217.91497000001</v>
      </c>
      <c r="W56" s="619">
        <f t="shared" si="95"/>
        <v>140300.1978125</v>
      </c>
      <c r="X56" s="619">
        <f t="shared" si="95"/>
        <v>168438.51189806935</v>
      </c>
      <c r="Y56" s="619">
        <f t="shared" si="95"/>
        <v>183807.87056053555</v>
      </c>
      <c r="Z56" s="619">
        <f t="shared" si="95"/>
        <v>151754.89796494186</v>
      </c>
      <c r="AA56" s="619">
        <f t="shared" si="95"/>
        <v>149751.67851000841</v>
      </c>
      <c r="AB56" s="619">
        <f t="shared" si="95"/>
        <v>184724.77338257217</v>
      </c>
      <c r="AC56" s="619">
        <f t="shared" si="95"/>
        <v>209373.72006430003</v>
      </c>
      <c r="AD56" s="619">
        <f t="shared" si="95"/>
        <v>242315.19046245783</v>
      </c>
      <c r="AE56" s="619">
        <f t="shared" si="95"/>
        <v>367624.85825072567</v>
      </c>
      <c r="AF56" s="619">
        <f>SUM(T56:AE56)</f>
        <v>2363685.3735961108</v>
      </c>
      <c r="AH56" s="579">
        <v>0.55000000000000004</v>
      </c>
      <c r="AI56" s="579"/>
      <c r="AJ56" s="619">
        <f>AJ55*$AH$56</f>
        <v>219175.9190841566</v>
      </c>
      <c r="AK56" s="619">
        <f t="shared" ref="AK56:AU56" si="96">AK55*$AH$56</f>
        <v>188775.80117677938</v>
      </c>
      <c r="AL56" s="619">
        <f t="shared" si="96"/>
        <v>215384.89436037696</v>
      </c>
      <c r="AM56" s="619">
        <f t="shared" si="96"/>
        <v>172255.48975867414</v>
      </c>
      <c r="AN56" s="619">
        <f t="shared" si="96"/>
        <v>240648.7526060089</v>
      </c>
      <c r="AO56" s="619">
        <f t="shared" si="96"/>
        <v>298111.59738455521</v>
      </c>
      <c r="AP56" s="619">
        <f t="shared" si="96"/>
        <v>258583.53198155473</v>
      </c>
      <c r="AQ56" s="619">
        <f t="shared" si="96"/>
        <v>228711.39798391249</v>
      </c>
      <c r="AR56" s="619">
        <f t="shared" si="96"/>
        <v>252256.59675826269</v>
      </c>
      <c r="AS56" s="619">
        <f t="shared" si="96"/>
        <v>263108.21229000005</v>
      </c>
      <c r="AT56" s="619">
        <f t="shared" si="96"/>
        <v>220068.067725</v>
      </c>
      <c r="AU56" s="619">
        <f t="shared" si="96"/>
        <v>265373.72581500001</v>
      </c>
      <c r="AV56" s="619">
        <f>SUM(AJ56:AU56)</f>
        <v>2822453.9869242813</v>
      </c>
      <c r="BB56" s="579">
        <v>0.55000000000000004</v>
      </c>
      <c r="BC56" s="579"/>
      <c r="BD56" s="610">
        <f>BD55*$BB$56</f>
        <v>353849.38394181919</v>
      </c>
      <c r="BE56" s="610">
        <f t="shared" ref="BE56:BO56" si="97">BE55*$BB$56</f>
        <v>315813.6104157326</v>
      </c>
      <c r="BF56" s="610">
        <f t="shared" si="97"/>
        <v>389779.04433279566</v>
      </c>
      <c r="BG56" s="610">
        <f t="shared" si="97"/>
        <v>409268.4679638464</v>
      </c>
      <c r="BH56" s="610">
        <f t="shared" si="97"/>
        <v>443390.4356041408</v>
      </c>
      <c r="BI56" s="610">
        <f t="shared" si="97"/>
        <v>435140.02196322009</v>
      </c>
      <c r="BJ56" s="610">
        <f t="shared" si="97"/>
        <v>469809.7306271976</v>
      </c>
      <c r="BK56" s="610">
        <f t="shared" si="97"/>
        <v>465424.14023343963</v>
      </c>
      <c r="BL56" s="610">
        <f t="shared" si="97"/>
        <v>491048.7964875669</v>
      </c>
      <c r="BM56" s="610">
        <f t="shared" si="97"/>
        <v>526889.35676855384</v>
      </c>
      <c r="BN56" s="610">
        <f t="shared" si="97"/>
        <v>502985.91573597578</v>
      </c>
      <c r="BO56" s="610">
        <f t="shared" si="97"/>
        <v>535722.42856634443</v>
      </c>
      <c r="BP56" s="609">
        <f>SUM(BD56:BO56)</f>
        <v>5339121.332640633</v>
      </c>
      <c r="BU56" s="579">
        <f>D56</f>
        <v>0.55000000000000004</v>
      </c>
      <c r="BV56" s="619">
        <f>BV55*$BU$56</f>
        <v>273873.32401000004</v>
      </c>
      <c r="BW56" s="619">
        <f>BW55*$BU$56</f>
        <v>267544.02803700004</v>
      </c>
      <c r="BX56" s="619">
        <f t="shared" ref="BX56:CG56" si="98">BX55*$AH$56</f>
        <v>512213.24496649991</v>
      </c>
      <c r="BY56" s="619">
        <f t="shared" si="98"/>
        <v>464765.75484900008</v>
      </c>
      <c r="BZ56" s="619">
        <f t="shared" si="98"/>
        <v>485772.45241800003</v>
      </c>
      <c r="CA56" s="619">
        <f t="shared" si="98"/>
        <v>474442.02766399999</v>
      </c>
      <c r="CB56" s="619">
        <f t="shared" si="98"/>
        <v>368336.88732500002</v>
      </c>
      <c r="CC56" s="619">
        <f t="shared" si="98"/>
        <v>436820.17698000005</v>
      </c>
      <c r="CD56" s="619">
        <f t="shared" si="98"/>
        <v>0</v>
      </c>
      <c r="CE56" s="619">
        <f t="shared" si="98"/>
        <v>0</v>
      </c>
      <c r="CF56" s="619">
        <f t="shared" si="98"/>
        <v>0</v>
      </c>
      <c r="CG56" s="619">
        <f t="shared" si="98"/>
        <v>0</v>
      </c>
      <c r="CH56" s="619">
        <f>SUM(BV56:CG56)</f>
        <v>3283767.8962495001</v>
      </c>
    </row>
    <row r="58" spans="1:86">
      <c r="A58" s="569" t="s">
        <v>89</v>
      </c>
      <c r="T58" s="582">
        <v>0</v>
      </c>
      <c r="U58" s="582">
        <v>0</v>
      </c>
      <c r="V58" s="582">
        <v>0</v>
      </c>
      <c r="W58" s="582">
        <v>86578</v>
      </c>
      <c r="X58" s="582">
        <v>89365210</v>
      </c>
      <c r="Y58" s="582">
        <v>161797166</v>
      </c>
      <c r="Z58" s="582">
        <v>155807609</v>
      </c>
      <c r="AA58" s="582">
        <v>155675208</v>
      </c>
      <c r="AB58" s="582">
        <v>155332773</v>
      </c>
      <c r="AC58" s="582">
        <v>171530898</v>
      </c>
      <c r="AD58" s="582">
        <v>179747828</v>
      </c>
      <c r="AE58" s="582">
        <v>192908953</v>
      </c>
      <c r="AF58" s="582">
        <f>SUM(T58:AE58)</f>
        <v>1262252223</v>
      </c>
      <c r="AJ58" s="582">
        <f>AJ17</f>
        <v>199821673</v>
      </c>
      <c r="AK58" s="582">
        <f t="shared" ref="AK58:AU58" si="99">AK17</f>
        <v>180432964</v>
      </c>
      <c r="AL58" s="582">
        <f t="shared" si="99"/>
        <v>213199294</v>
      </c>
      <c r="AM58" s="582">
        <f t="shared" si="99"/>
        <v>247646617</v>
      </c>
      <c r="AN58" s="582">
        <f t="shared" si="99"/>
        <v>259872566</v>
      </c>
      <c r="AO58" s="582">
        <f t="shared" si="99"/>
        <v>262823780</v>
      </c>
      <c r="AP58" s="582">
        <f t="shared" si="99"/>
        <v>324125360</v>
      </c>
      <c r="AQ58" s="582">
        <f t="shared" si="99"/>
        <v>319402886</v>
      </c>
      <c r="AR58" s="582">
        <f t="shared" si="99"/>
        <v>423005943</v>
      </c>
      <c r="AS58" s="582">
        <f t="shared" si="99"/>
        <v>564195619</v>
      </c>
      <c r="AT58" s="582">
        <f t="shared" si="99"/>
        <v>607896560</v>
      </c>
      <c r="AU58" s="582">
        <f t="shared" si="99"/>
        <v>790265528</v>
      </c>
      <c r="AV58" s="582">
        <f>SUM(AJ58:AU58)</f>
        <v>4392688790</v>
      </c>
      <c r="BD58" s="614">
        <f t="shared" ref="BD58:BO58" si="100">BD17</f>
        <v>729023182.06635094</v>
      </c>
      <c r="BE58" s="614">
        <f t="shared" si="100"/>
        <v>650659443.40600073</v>
      </c>
      <c r="BF58" s="614">
        <f t="shared" si="100"/>
        <v>803047771.4467293</v>
      </c>
      <c r="BG58" s="614">
        <f t="shared" si="100"/>
        <v>843201131.25725234</v>
      </c>
      <c r="BH58" s="614">
        <f t="shared" si="100"/>
        <v>913501396.16200244</v>
      </c>
      <c r="BI58" s="614">
        <f t="shared" si="100"/>
        <v>896503365.13856387</v>
      </c>
      <c r="BJ58" s="614">
        <f t="shared" si="100"/>
        <v>967932121.20976841</v>
      </c>
      <c r="BK58" s="614">
        <f t="shared" si="100"/>
        <v>958896646.77010489</v>
      </c>
      <c r="BL58" s="614">
        <f t="shared" si="100"/>
        <v>1011690206.0908461</v>
      </c>
      <c r="BM58" s="614">
        <f t="shared" si="100"/>
        <v>1085531225.7134271</v>
      </c>
      <c r="BN58" s="614">
        <f t="shared" si="100"/>
        <v>1036283824.3197011</v>
      </c>
      <c r="BO58" s="614">
        <f t="shared" si="100"/>
        <v>1103729686.4192529</v>
      </c>
      <c r="BP58" s="582">
        <f>SUM(BD58:BO58)</f>
        <v>10999999999.999998</v>
      </c>
      <c r="BU58" s="604"/>
      <c r="BV58" s="582">
        <f>BV17</f>
        <v>712243496</v>
      </c>
      <c r="BW58" s="582">
        <f t="shared" ref="BW58:CG58" si="101">BW17</f>
        <v>640353919</v>
      </c>
      <c r="BX58" s="582">
        <f t="shared" si="101"/>
        <v>663392460</v>
      </c>
      <c r="BY58" s="582">
        <f t="shared" si="101"/>
        <v>693831478</v>
      </c>
      <c r="BZ58" s="582">
        <f t="shared" si="101"/>
        <v>796396532</v>
      </c>
      <c r="CA58" s="582">
        <f t="shared" si="101"/>
        <v>913021074</v>
      </c>
      <c r="CB58" s="582">
        <f t="shared" si="101"/>
        <v>907602165</v>
      </c>
      <c r="CC58" s="582">
        <f t="shared" si="101"/>
        <v>810832920</v>
      </c>
      <c r="CD58" s="582">
        <f t="shared" si="101"/>
        <v>571225224</v>
      </c>
      <c r="CE58" s="582">
        <f t="shared" si="101"/>
        <v>0</v>
      </c>
      <c r="CF58" s="582">
        <f t="shared" si="101"/>
        <v>0</v>
      </c>
      <c r="CG58" s="582">
        <f t="shared" si="101"/>
        <v>0</v>
      </c>
      <c r="CH58" s="582">
        <f>SUM(BV58:CG58)</f>
        <v>6708899268</v>
      </c>
    </row>
    <row r="59" spans="1:86">
      <c r="C59" s="569" t="s">
        <v>131</v>
      </c>
      <c r="T59" s="576"/>
      <c r="U59" s="576"/>
      <c r="V59" s="576"/>
      <c r="W59" s="576">
        <v>0.27120053593291599</v>
      </c>
      <c r="X59" s="576">
        <v>0.28423989604008093</v>
      </c>
      <c r="Y59" s="576">
        <v>0.2940446126231902</v>
      </c>
      <c r="Z59" s="576">
        <v>0.3065690135839258</v>
      </c>
      <c r="AA59" s="576">
        <v>0.31538538878971661</v>
      </c>
      <c r="AB59" s="576">
        <v>0.29297909042596509</v>
      </c>
      <c r="AC59" s="576">
        <v>0.33256532592746058</v>
      </c>
      <c r="AD59" s="576">
        <v>0.33955481231183499</v>
      </c>
      <c r="AE59" s="576">
        <v>0.42386310685676121</v>
      </c>
      <c r="AF59" s="576">
        <f>AVERAGE(T59:AE59)</f>
        <v>0.31782242027687235</v>
      </c>
      <c r="AG59" s="615">
        <f>AVERAGE(T59:AB59)</f>
        <v>0.29406975623263243</v>
      </c>
      <c r="AJ59" s="576">
        <v>0.29061138428162392</v>
      </c>
      <c r="AK59" s="576">
        <v>0.24041750862324537</v>
      </c>
      <c r="AL59" s="576">
        <v>0.23957395582723651</v>
      </c>
      <c r="AM59" s="576">
        <v>0.20004740988080358</v>
      </c>
      <c r="AN59" s="576">
        <v>0.21859457955282294</v>
      </c>
      <c r="AO59" s="576">
        <v>0.20276847520544919</v>
      </c>
      <c r="AP59" s="576">
        <v>0.21734704772887697</v>
      </c>
      <c r="AQ59" s="576">
        <v>0.23374020804913453</v>
      </c>
      <c r="AR59" s="576">
        <v>0.28616009216749971</v>
      </c>
      <c r="AS59" s="576">
        <f>178329828/AS58</f>
        <v>0.31607800910627065</v>
      </c>
      <c r="AT59" s="576">
        <f>199045706/AT58</f>
        <v>0.32743351270156884</v>
      </c>
      <c r="AU59" s="576">
        <f>331144549/AU58</f>
        <v>0.41902947460970358</v>
      </c>
      <c r="AV59" s="576">
        <f>AVERAGE(AJ59:AU59)</f>
        <v>0.26598347147785301</v>
      </c>
      <c r="BA59" s="585">
        <v>0.02</v>
      </c>
      <c r="BB59" s="615">
        <f>AVERAGE(AJ59:AR59,AC59:AE59)*(100%+BA59)</f>
        <v>0.27414573204508369</v>
      </c>
      <c r="BC59" s="615"/>
      <c r="BD59" s="616">
        <f>BB59</f>
        <v>0.27414573204508369</v>
      </c>
      <c r="BE59" s="616">
        <f>BD59</f>
        <v>0.27414573204508369</v>
      </c>
      <c r="BF59" s="616">
        <f t="shared" ref="BF59:BO60" si="102">BE59</f>
        <v>0.27414573204508369</v>
      </c>
      <c r="BG59" s="616">
        <f t="shared" si="102"/>
        <v>0.27414573204508369</v>
      </c>
      <c r="BH59" s="616">
        <f t="shared" si="102"/>
        <v>0.27414573204508369</v>
      </c>
      <c r="BI59" s="616">
        <f t="shared" si="102"/>
        <v>0.27414573204508369</v>
      </c>
      <c r="BJ59" s="616">
        <f t="shared" si="102"/>
        <v>0.27414573204508369</v>
      </c>
      <c r="BK59" s="616">
        <f t="shared" si="102"/>
        <v>0.27414573204508369</v>
      </c>
      <c r="BL59" s="616">
        <f t="shared" si="102"/>
        <v>0.27414573204508369</v>
      </c>
      <c r="BM59" s="616">
        <f t="shared" si="102"/>
        <v>0.27414573204508369</v>
      </c>
      <c r="BN59" s="616">
        <f t="shared" si="102"/>
        <v>0.27414573204508369</v>
      </c>
      <c r="BO59" s="616">
        <f t="shared" si="102"/>
        <v>0.27414573204508369</v>
      </c>
      <c r="BP59" s="576">
        <f>AVERAGE(BD59:BO59)</f>
        <v>0.27414573204508363</v>
      </c>
      <c r="BQ59" s="576">
        <f>BP59/AV59</f>
        <v>1.030687096915758</v>
      </c>
      <c r="BR59" s="576"/>
      <c r="BS59" s="576">
        <f>BP59/AF59</f>
        <v>0.86257518209779038</v>
      </c>
      <c r="BV59" s="576">
        <f>211401438/BV58</f>
        <v>0.29681062612328862</v>
      </c>
      <c r="BW59" s="576">
        <f>201042041/BW58</f>
        <v>0.31395457267436511</v>
      </c>
      <c r="BX59" s="576">
        <f>249592267/BX58</f>
        <v>0.37623621317613409</v>
      </c>
      <c r="BY59" s="576">
        <f>288344463/BY58</f>
        <v>0.41558284993232897</v>
      </c>
      <c r="BZ59" s="576">
        <f>435482888/BZ58</f>
        <v>0.54681665539949886</v>
      </c>
      <c r="CA59" s="576">
        <f>371666896/CA58</f>
        <v>0.40707373201333136</v>
      </c>
      <c r="CB59" s="576">
        <f>342145979/CB58</f>
        <v>0.37697792292066645</v>
      </c>
      <c r="CC59" s="576">
        <f>317383669/CC58</f>
        <v>0.39142918494231832</v>
      </c>
      <c r="CD59" s="576"/>
      <c r="CE59" s="576"/>
      <c r="CF59" s="576"/>
      <c r="CG59" s="576"/>
      <c r="CH59" s="576">
        <f>AVERAGE(BV59:CG59)</f>
        <v>0.39061021964774151</v>
      </c>
    </row>
    <row r="60" spans="1:86">
      <c r="C60" s="569" t="s">
        <v>132</v>
      </c>
      <c r="T60" s="617"/>
      <c r="U60" s="617"/>
      <c r="V60" s="617"/>
      <c r="W60" s="617">
        <v>0.95599999999999996</v>
      </c>
      <c r="X60" s="617">
        <v>1.847</v>
      </c>
      <c r="Y60" s="617">
        <v>1.9650000000000001</v>
      </c>
      <c r="Z60" s="617">
        <v>1.869</v>
      </c>
      <c r="AA60" s="617">
        <v>1.641</v>
      </c>
      <c r="AB60" s="617">
        <v>2.12</v>
      </c>
      <c r="AC60" s="617">
        <v>1.752</v>
      </c>
      <c r="AD60" s="617">
        <v>1.6120000000000001</v>
      </c>
      <c r="AE60" s="617">
        <v>1.784</v>
      </c>
      <c r="AF60" s="617">
        <f>AVERAGE(T60:AE60)</f>
        <v>1.7273333333333334</v>
      </c>
      <c r="AJ60" s="617">
        <v>1.4370000000000001</v>
      </c>
      <c r="AK60" s="617">
        <v>1.472</v>
      </c>
      <c r="AL60" s="617">
        <v>1.2490000000000001</v>
      </c>
      <c r="AM60" s="617">
        <v>1.2490000000000001</v>
      </c>
      <c r="AN60" s="617">
        <v>1.2549999999999999</v>
      </c>
      <c r="AO60" s="617">
        <v>1.502</v>
      </c>
      <c r="AP60" s="617">
        <v>1.262</v>
      </c>
      <c r="AQ60" s="617">
        <v>1.1619999999999999</v>
      </c>
      <c r="AR60" s="617">
        <v>1.145</v>
      </c>
      <c r="AS60" s="617">
        <v>1.23</v>
      </c>
      <c r="AT60" s="617">
        <v>1.39</v>
      </c>
      <c r="AU60" s="617">
        <v>1.66</v>
      </c>
      <c r="AV60" s="617">
        <f>AVERAGE(AJ60:AU60)</f>
        <v>1.3344166666666668</v>
      </c>
      <c r="BA60" s="585"/>
      <c r="BB60" s="617">
        <f>AVERAGE(AJ60:AR60,AC60:AE60)*(100%+BA60)</f>
        <v>1.4067499999999999</v>
      </c>
      <c r="BC60" s="617"/>
      <c r="BD60" s="617">
        <f>BB60</f>
        <v>1.4067499999999999</v>
      </c>
      <c r="BE60" s="617">
        <f>BD60</f>
        <v>1.4067499999999999</v>
      </c>
      <c r="BF60" s="617">
        <f t="shared" si="102"/>
        <v>1.4067499999999999</v>
      </c>
      <c r="BG60" s="617">
        <f t="shared" si="102"/>
        <v>1.4067499999999999</v>
      </c>
      <c r="BH60" s="617">
        <f t="shared" si="102"/>
        <v>1.4067499999999999</v>
      </c>
      <c r="BI60" s="617">
        <f t="shared" si="102"/>
        <v>1.4067499999999999</v>
      </c>
      <c r="BJ60" s="617">
        <f t="shared" si="102"/>
        <v>1.4067499999999999</v>
      </c>
      <c r="BK60" s="617">
        <f t="shared" si="102"/>
        <v>1.4067499999999999</v>
      </c>
      <c r="BL60" s="617">
        <f t="shared" si="102"/>
        <v>1.4067499999999999</v>
      </c>
      <c r="BM60" s="617">
        <f t="shared" si="102"/>
        <v>1.4067499999999999</v>
      </c>
      <c r="BN60" s="617">
        <f t="shared" si="102"/>
        <v>1.4067499999999999</v>
      </c>
      <c r="BO60" s="617">
        <f t="shared" si="102"/>
        <v>1.4067499999999999</v>
      </c>
      <c r="BP60" s="617">
        <f>AVERAGE(BD60:BO60)</f>
        <v>1.4067500000000004</v>
      </c>
      <c r="BQ60" s="576">
        <f>BP60/AV60</f>
        <v>1.0542059576594018</v>
      </c>
      <c r="BR60" s="576"/>
      <c r="BS60" s="576">
        <f>BP60/AF60</f>
        <v>0.81440563489000406</v>
      </c>
      <c r="BV60" s="617">
        <v>1.27</v>
      </c>
      <c r="BW60" s="617">
        <v>1.06</v>
      </c>
      <c r="BX60" s="617">
        <v>1.21</v>
      </c>
      <c r="BY60" s="617">
        <v>1.06</v>
      </c>
      <c r="BZ60" s="617">
        <v>0.86</v>
      </c>
      <c r="CA60" s="617">
        <v>1.1299999999999999</v>
      </c>
      <c r="CB60" s="617">
        <v>1.08</v>
      </c>
      <c r="CC60" s="617">
        <v>1.33</v>
      </c>
      <c r="CD60" s="617"/>
      <c r="CE60" s="617"/>
      <c r="CF60" s="617"/>
      <c r="CG60" s="617"/>
      <c r="CH60" s="617">
        <f>AVERAGE(BV60:CG60)</f>
        <v>1.125</v>
      </c>
    </row>
    <row r="61" spans="1:86">
      <c r="C61" s="569" t="s">
        <v>133</v>
      </c>
      <c r="D61" s="585"/>
      <c r="E61" s="585"/>
      <c r="F61" s="585"/>
      <c r="G61" s="585"/>
      <c r="H61" s="585"/>
      <c r="I61" s="585"/>
      <c r="J61" s="585"/>
      <c r="K61" s="585"/>
      <c r="L61" s="585"/>
      <c r="M61" s="585"/>
      <c r="N61" s="585"/>
      <c r="O61" s="585"/>
      <c r="P61" s="585"/>
      <c r="Q61" s="585"/>
      <c r="R61" s="585"/>
      <c r="S61" s="585"/>
      <c r="T61" s="617">
        <f>T58*T59*T60/1000</f>
        <v>0</v>
      </c>
      <c r="U61" s="617">
        <f t="shared" ref="U61:AE61" si="103">U58*U59*U60/1000</f>
        <v>0</v>
      </c>
      <c r="V61" s="617">
        <f t="shared" si="103"/>
        <v>0</v>
      </c>
      <c r="W61" s="617">
        <f t="shared" si="103"/>
        <v>22.446879999999997</v>
      </c>
      <c r="X61" s="617">
        <f t="shared" si="103"/>
        <v>46915.938825999998</v>
      </c>
      <c r="Y61" s="617">
        <f t="shared" si="103"/>
        <v>93486.024525000001</v>
      </c>
      <c r="Z61" s="617">
        <f t="shared" si="103"/>
        <v>89274.252165000013</v>
      </c>
      <c r="AA61" s="617">
        <f t="shared" si="103"/>
        <v>80569.302725999994</v>
      </c>
      <c r="AB61" s="617">
        <f t="shared" si="103"/>
        <v>96479.619639391778</v>
      </c>
      <c r="AC61" s="617">
        <f t="shared" si="103"/>
        <v>99943.241207999992</v>
      </c>
      <c r="AD61" s="617">
        <f t="shared" si="103"/>
        <v>98387.19488000001</v>
      </c>
      <c r="AE61" s="617">
        <f t="shared" si="103"/>
        <v>145872.30687577181</v>
      </c>
      <c r="AF61" s="617">
        <f>SUM(T61:AE61)</f>
        <v>750950.32772516354</v>
      </c>
      <c r="AJ61" s="617">
        <f t="shared" ref="AJ61:AU61" si="104">AJ58*AJ59*AJ60/1000</f>
        <v>83447.240960999989</v>
      </c>
      <c r="AK61" s="617">
        <f t="shared" si="104"/>
        <v>63854.246694586735</v>
      </c>
      <c r="AL61" s="617">
        <f t="shared" si="104"/>
        <v>63795.170805699367</v>
      </c>
      <c r="AM61" s="617">
        <f t="shared" si="104"/>
        <v>61876.789306445142</v>
      </c>
      <c r="AN61" s="617">
        <f t="shared" si="104"/>
        <v>71292.451549114456</v>
      </c>
      <c r="AO61" s="617">
        <f t="shared" si="104"/>
        <v>80045.15043173531</v>
      </c>
      <c r="AP61" s="617">
        <f t="shared" si="104"/>
        <v>88904.984893654997</v>
      </c>
      <c r="AQ61" s="617">
        <f t="shared" si="104"/>
        <v>86751.779143205698</v>
      </c>
      <c r="AR61" s="617">
        <f t="shared" si="104"/>
        <v>138599.29548354074</v>
      </c>
      <c r="AS61" s="617">
        <f t="shared" si="104"/>
        <v>219345.68844</v>
      </c>
      <c r="AT61" s="617">
        <f t="shared" si="104"/>
        <v>276673.53133999999</v>
      </c>
      <c r="AU61" s="617">
        <f t="shared" si="104"/>
        <v>549699.95133999991</v>
      </c>
      <c r="AV61" s="617">
        <f>SUM(AJ61:AU61)</f>
        <v>1784286.2803889823</v>
      </c>
      <c r="BD61" s="612">
        <f t="shared" ref="BD61:BO61" si="105">BD58*BD59*BD60/1000</f>
        <v>281151.07700457913</v>
      </c>
      <c r="BE61" s="612">
        <f t="shared" si="105"/>
        <v>250929.74788303461</v>
      </c>
      <c r="BF61" s="612">
        <f t="shared" si="105"/>
        <v>309698.99364301172</v>
      </c>
      <c r="BG61" s="612">
        <f t="shared" si="105"/>
        <v>325184.31788754783</v>
      </c>
      <c r="BH61" s="612">
        <f t="shared" si="105"/>
        <v>352295.9320006349</v>
      </c>
      <c r="BI61" s="612">
        <f t="shared" si="105"/>
        <v>345740.56469989789</v>
      </c>
      <c r="BJ61" s="612">
        <f t="shared" si="105"/>
        <v>373287.3865191919</v>
      </c>
      <c r="BK61" s="612">
        <f t="shared" si="105"/>
        <v>369802.81506460742</v>
      </c>
      <c r="BL61" s="612">
        <f t="shared" si="105"/>
        <v>390162.8892392866</v>
      </c>
      <c r="BM61" s="612">
        <f t="shared" si="105"/>
        <v>418640.0113729905</v>
      </c>
      <c r="BN61" s="612">
        <f t="shared" si="105"/>
        <v>399647.52899091074</v>
      </c>
      <c r="BO61" s="612">
        <f t="shared" si="105"/>
        <v>425658.32979294268</v>
      </c>
      <c r="BP61" s="612">
        <f>SUM(BD61:BO61)</f>
        <v>4242199.5940986359</v>
      </c>
      <c r="BV61" s="617">
        <f t="shared" ref="BV61:CG61" si="106">BV58*BV59*BV60/1000</f>
        <v>268479.82626000006</v>
      </c>
      <c r="BW61" s="617">
        <f t="shared" si="106"/>
        <v>213104.56346</v>
      </c>
      <c r="BX61" s="617">
        <f t="shared" si="106"/>
        <v>302006.64306999999</v>
      </c>
      <c r="BY61" s="617">
        <f t="shared" si="106"/>
        <v>305645.13078000001</v>
      </c>
      <c r="BZ61" s="617">
        <f t="shared" si="106"/>
        <v>374515.28367999993</v>
      </c>
      <c r="CA61" s="617">
        <f t="shared" si="106"/>
        <v>419983.59247999993</v>
      </c>
      <c r="CB61" s="617">
        <f t="shared" si="106"/>
        <v>369517.65732000006</v>
      </c>
      <c r="CC61" s="617">
        <f t="shared" si="106"/>
        <v>422120.27977000002</v>
      </c>
      <c r="CD61" s="617">
        <f t="shared" si="106"/>
        <v>0</v>
      </c>
      <c r="CE61" s="617">
        <f t="shared" si="106"/>
        <v>0</v>
      </c>
      <c r="CF61" s="617">
        <f t="shared" si="106"/>
        <v>0</v>
      </c>
      <c r="CG61" s="617">
        <f t="shared" si="106"/>
        <v>0</v>
      </c>
      <c r="CH61" s="617">
        <f>SUM(BV61:CG61)</f>
        <v>2675372.97682</v>
      </c>
    </row>
    <row r="62" spans="1:86" s="577" customFormat="1" ht="12.75">
      <c r="C62" s="577" t="s">
        <v>134</v>
      </c>
      <c r="D62" s="579">
        <v>0.55000000000000004</v>
      </c>
      <c r="E62" s="579"/>
      <c r="F62" s="579"/>
      <c r="G62" s="579"/>
      <c r="H62" s="579"/>
      <c r="I62" s="579"/>
      <c r="J62" s="579"/>
      <c r="K62" s="579"/>
      <c r="L62" s="579"/>
      <c r="M62" s="579"/>
      <c r="N62" s="579"/>
      <c r="O62" s="579"/>
      <c r="P62" s="579"/>
      <c r="Q62" s="579"/>
      <c r="R62" s="579"/>
      <c r="S62" s="579"/>
      <c r="T62" s="619">
        <f>T61*$D$62</f>
        <v>0</v>
      </c>
      <c r="U62" s="619">
        <f t="shared" ref="U62:AE62" si="107">U61*$D$62</f>
        <v>0</v>
      </c>
      <c r="V62" s="619">
        <f t="shared" si="107"/>
        <v>0</v>
      </c>
      <c r="W62" s="619">
        <f t="shared" si="107"/>
        <v>12.345783999999998</v>
      </c>
      <c r="X62" s="619">
        <f t="shared" si="107"/>
        <v>25803.766354300002</v>
      </c>
      <c r="Y62" s="619">
        <f t="shared" si="107"/>
        <v>51417.313488750005</v>
      </c>
      <c r="Z62" s="619">
        <f t="shared" si="107"/>
        <v>49100.83869075001</v>
      </c>
      <c r="AA62" s="619">
        <f t="shared" si="107"/>
        <v>44313.116499299998</v>
      </c>
      <c r="AB62" s="619">
        <f t="shared" si="107"/>
        <v>53063.790801665484</v>
      </c>
      <c r="AC62" s="619">
        <f t="shared" si="107"/>
        <v>54968.782664400002</v>
      </c>
      <c r="AD62" s="619">
        <f t="shared" si="107"/>
        <v>54112.957184000014</v>
      </c>
      <c r="AE62" s="619">
        <f t="shared" si="107"/>
        <v>80229.768781674502</v>
      </c>
      <c r="AF62" s="619">
        <f>SUM(T62:AE62)</f>
        <v>413022.68024884001</v>
      </c>
      <c r="AH62" s="579">
        <v>0.55000000000000004</v>
      </c>
      <c r="AI62" s="579"/>
      <c r="AJ62" s="619">
        <f>AJ61*$AH$62</f>
        <v>45895.982528549997</v>
      </c>
      <c r="AK62" s="619">
        <f t="shared" ref="AK62:AU62" si="108">AK61*$AH$62</f>
        <v>35119.835682022705</v>
      </c>
      <c r="AL62" s="619">
        <f t="shared" si="108"/>
        <v>35087.343943134656</v>
      </c>
      <c r="AM62" s="619">
        <f t="shared" si="108"/>
        <v>34032.234118544831</v>
      </c>
      <c r="AN62" s="619">
        <f t="shared" si="108"/>
        <v>39210.848352012952</v>
      </c>
      <c r="AO62" s="619">
        <f t="shared" si="108"/>
        <v>44024.832737454424</v>
      </c>
      <c r="AP62" s="619">
        <f t="shared" si="108"/>
        <v>48897.741691510251</v>
      </c>
      <c r="AQ62" s="619">
        <f t="shared" si="108"/>
        <v>47713.478528763138</v>
      </c>
      <c r="AR62" s="619">
        <f t="shared" si="108"/>
        <v>76229.612515947418</v>
      </c>
      <c r="AS62" s="619">
        <f t="shared" si="108"/>
        <v>120640.12864200001</v>
      </c>
      <c r="AT62" s="619">
        <f t="shared" si="108"/>
        <v>152170.44223700001</v>
      </c>
      <c r="AU62" s="619">
        <f t="shared" si="108"/>
        <v>302334.973237</v>
      </c>
      <c r="AV62" s="619">
        <f>SUM(AJ62:AU62)</f>
        <v>981357.45421394031</v>
      </c>
      <c r="BB62" s="579">
        <v>0.55000000000000004</v>
      </c>
      <c r="BC62" s="579"/>
      <c r="BD62" s="610">
        <f>BD61*$BB$62</f>
        <v>154633.09235251852</v>
      </c>
      <c r="BE62" s="610">
        <f t="shared" ref="BE62:BO62" si="109">BE61*$BB$62</f>
        <v>138011.36133566903</v>
      </c>
      <c r="BF62" s="610">
        <f t="shared" si="109"/>
        <v>170334.44650365645</v>
      </c>
      <c r="BG62" s="610">
        <f t="shared" si="109"/>
        <v>178851.37483815133</v>
      </c>
      <c r="BH62" s="610">
        <f t="shared" si="109"/>
        <v>193762.7626003492</v>
      </c>
      <c r="BI62" s="610">
        <f t="shared" si="109"/>
        <v>190157.31058494386</v>
      </c>
      <c r="BJ62" s="610">
        <f t="shared" si="109"/>
        <v>205308.06258555557</v>
      </c>
      <c r="BK62" s="610">
        <f t="shared" si="109"/>
        <v>203391.54828553411</v>
      </c>
      <c r="BL62" s="610">
        <f t="shared" si="109"/>
        <v>214589.58908160764</v>
      </c>
      <c r="BM62" s="610">
        <f t="shared" si="109"/>
        <v>230252.00625514481</v>
      </c>
      <c r="BN62" s="610">
        <f t="shared" si="109"/>
        <v>219806.14094500092</v>
      </c>
      <c r="BO62" s="610">
        <f t="shared" si="109"/>
        <v>234112.08138611849</v>
      </c>
      <c r="BP62" s="609">
        <f>SUM(BD62:BO62)</f>
        <v>2333209.7767542503</v>
      </c>
      <c r="BU62" s="579">
        <f>D62</f>
        <v>0.55000000000000004</v>
      </c>
      <c r="BV62" s="619">
        <f>BV61*$BU$62</f>
        <v>147663.90444300004</v>
      </c>
      <c r="BW62" s="619">
        <f>BW61*$BU$62</f>
        <v>117207.50990300001</v>
      </c>
      <c r="BX62" s="619">
        <f t="shared" ref="BX62:CG62" si="110">BX61*$AH$62</f>
        <v>166103.6536885</v>
      </c>
      <c r="BY62" s="619">
        <f t="shared" si="110"/>
        <v>168104.82192900003</v>
      </c>
      <c r="BZ62" s="619">
        <f t="shared" si="110"/>
        <v>205983.40602399997</v>
      </c>
      <c r="CA62" s="619">
        <f t="shared" si="110"/>
        <v>230990.97586399998</v>
      </c>
      <c r="CB62" s="619">
        <f t="shared" si="110"/>
        <v>203234.71152600006</v>
      </c>
      <c r="CC62" s="619">
        <f t="shared" si="110"/>
        <v>232166.15387350004</v>
      </c>
      <c r="CD62" s="619">
        <f t="shared" si="110"/>
        <v>0</v>
      </c>
      <c r="CE62" s="619">
        <f t="shared" si="110"/>
        <v>0</v>
      </c>
      <c r="CF62" s="619">
        <f t="shared" si="110"/>
        <v>0</v>
      </c>
      <c r="CG62" s="619">
        <f t="shared" si="110"/>
        <v>0</v>
      </c>
      <c r="CH62" s="619">
        <f>SUM(BV62:CG62)</f>
        <v>1471455.1372509999</v>
      </c>
    </row>
    <row r="64" spans="1:86">
      <c r="A64" s="569" t="s">
        <v>90</v>
      </c>
      <c r="T64" s="582">
        <v>0</v>
      </c>
      <c r="U64" s="582">
        <v>0</v>
      </c>
      <c r="V64" s="582">
        <v>0</v>
      </c>
      <c r="W64" s="582">
        <v>6240999</v>
      </c>
      <c r="X64" s="582">
        <v>18333170</v>
      </c>
      <c r="Y64" s="582">
        <v>33517850</v>
      </c>
      <c r="Z64" s="582">
        <v>36429467</v>
      </c>
      <c r="AA64" s="582">
        <v>33560453</v>
      </c>
      <c r="AB64" s="582">
        <v>35448297</v>
      </c>
      <c r="AC64" s="582">
        <v>35831765</v>
      </c>
      <c r="AD64" s="582">
        <v>53237176</v>
      </c>
      <c r="AE64" s="582">
        <v>40980258</v>
      </c>
      <c r="AF64" s="582">
        <f>SUM(T64:AE64)</f>
        <v>293579435</v>
      </c>
      <c r="AJ64" s="582">
        <f>AJ21</f>
        <v>46914018</v>
      </c>
      <c r="AK64" s="582">
        <f t="shared" ref="AK64:AU64" si="111">AK21</f>
        <v>50381259</v>
      </c>
      <c r="AL64" s="582">
        <f t="shared" si="111"/>
        <v>59140910</v>
      </c>
      <c r="AM64" s="582">
        <f t="shared" si="111"/>
        <v>80389833</v>
      </c>
      <c r="AN64" s="582">
        <f t="shared" si="111"/>
        <v>82217865</v>
      </c>
      <c r="AO64" s="582">
        <f t="shared" si="111"/>
        <v>85008524</v>
      </c>
      <c r="AP64" s="582">
        <f t="shared" si="111"/>
        <v>86058933</v>
      </c>
      <c r="AQ64" s="582">
        <f t="shared" si="111"/>
        <v>107549947</v>
      </c>
      <c r="AR64" s="582">
        <f t="shared" si="111"/>
        <v>84797368</v>
      </c>
      <c r="AS64" s="582">
        <f t="shared" si="111"/>
        <v>93522804</v>
      </c>
      <c r="AT64" s="582">
        <f t="shared" si="111"/>
        <v>110763061</v>
      </c>
      <c r="AU64" s="582">
        <f t="shared" si="111"/>
        <v>106900721</v>
      </c>
      <c r="AV64" s="582">
        <f>SUM(AJ64:AU64)</f>
        <v>993645243</v>
      </c>
      <c r="BD64" s="614">
        <f t="shared" ref="BD64:BO64" si="112">BD21</f>
        <v>82843543.416630805</v>
      </c>
      <c r="BE64" s="614">
        <f t="shared" si="112"/>
        <v>73938573.114318267</v>
      </c>
      <c r="BF64" s="614">
        <f t="shared" si="112"/>
        <v>91255428.573491976</v>
      </c>
      <c r="BG64" s="614">
        <f t="shared" si="112"/>
        <v>95818310.370142311</v>
      </c>
      <c r="BH64" s="614">
        <f t="shared" si="112"/>
        <v>103806976.83659118</v>
      </c>
      <c r="BI64" s="614">
        <f t="shared" si="112"/>
        <v>101875382.40210953</v>
      </c>
      <c r="BJ64" s="614">
        <f t="shared" si="112"/>
        <v>109992286.50111006</v>
      </c>
      <c r="BK64" s="614">
        <f t="shared" si="112"/>
        <v>108965528.04205738</v>
      </c>
      <c r="BL64" s="614">
        <f t="shared" si="112"/>
        <v>114964796.14668706</v>
      </c>
      <c r="BM64" s="614">
        <f t="shared" si="112"/>
        <v>123355821.10379854</v>
      </c>
      <c r="BN64" s="614">
        <f t="shared" si="112"/>
        <v>117759525.49087512</v>
      </c>
      <c r="BO64" s="614">
        <f t="shared" si="112"/>
        <v>125423828.00218783</v>
      </c>
      <c r="BP64" s="582">
        <f>SUM(BD64:BO64)</f>
        <v>1250000000</v>
      </c>
      <c r="BV64" s="582">
        <f>BV21</f>
        <v>125989099</v>
      </c>
      <c r="BW64" s="582">
        <f t="shared" ref="BW64:CG64" si="113">BW21</f>
        <v>100703382</v>
      </c>
      <c r="BX64" s="582">
        <f t="shared" si="113"/>
        <v>169816435</v>
      </c>
      <c r="BY64" s="582">
        <f t="shared" si="113"/>
        <v>358703577</v>
      </c>
      <c r="BZ64" s="582">
        <f t="shared" si="113"/>
        <v>401198859</v>
      </c>
      <c r="CA64" s="582">
        <f t="shared" si="113"/>
        <v>164515860</v>
      </c>
      <c r="CB64" s="582">
        <f>CB21</f>
        <v>214738755</v>
      </c>
      <c r="CC64" s="582">
        <f t="shared" si="113"/>
        <v>192008896</v>
      </c>
      <c r="CD64" s="582">
        <f t="shared" si="113"/>
        <v>164611396</v>
      </c>
      <c r="CE64" s="582">
        <f t="shared" si="113"/>
        <v>0</v>
      </c>
      <c r="CF64" s="582">
        <f t="shared" si="113"/>
        <v>0</v>
      </c>
      <c r="CG64" s="582">
        <f t="shared" si="113"/>
        <v>0</v>
      </c>
      <c r="CH64" s="582">
        <f>SUM(BV64:CG64)</f>
        <v>1892286259</v>
      </c>
    </row>
    <row r="65" spans="1:86">
      <c r="C65" s="569" t="s">
        <v>131</v>
      </c>
      <c r="T65" s="576"/>
      <c r="U65" s="576"/>
      <c r="V65" s="576">
        <v>0.13322742397206164</v>
      </c>
      <c r="W65" s="576">
        <v>9.2353308692273761E-2</v>
      </c>
      <c r="X65" s="576">
        <v>0.14259699768234299</v>
      </c>
      <c r="Y65" s="576">
        <v>0.1709116485693444</v>
      </c>
      <c r="Z65" s="576">
        <v>0.14784487513912845</v>
      </c>
      <c r="AA65" s="576">
        <v>0.14861149222270628</v>
      </c>
      <c r="AB65" s="576">
        <v>0.14889646179617599</v>
      </c>
      <c r="AC65" s="576">
        <v>0.15532888206874543</v>
      </c>
      <c r="AD65" s="576">
        <v>0.22358347858271069</v>
      </c>
      <c r="AE65" s="576">
        <v>0.21961516833472441</v>
      </c>
      <c r="AF65" s="576">
        <f>AVERAGE(T65:AE65)</f>
        <v>0.15829697370602142</v>
      </c>
      <c r="AG65" s="615">
        <f>AVERAGE(T65:AB65)</f>
        <v>0.14063460115343338</v>
      </c>
      <c r="AJ65" s="576">
        <v>0.16722990983206767</v>
      </c>
      <c r="AK65" s="576">
        <v>0.14466200598305476</v>
      </c>
      <c r="AL65" s="576">
        <v>0.13125655548988652</v>
      </c>
      <c r="AM65" s="576">
        <v>7.2620468099156441E-2</v>
      </c>
      <c r="AN65" s="576">
        <v>8.4964654275649837E-2</v>
      </c>
      <c r="AO65" s="576">
        <v>9.6838730626620045E-2</v>
      </c>
      <c r="AP65" s="576">
        <v>0.1204862218748972</v>
      </c>
      <c r="AQ65" s="576">
        <v>0.15117516426604477</v>
      </c>
      <c r="AR65" s="576">
        <v>0.14042567373504788</v>
      </c>
      <c r="AS65" s="576">
        <f>12606864/AS64</f>
        <v>0.13479989329661246</v>
      </c>
      <c r="AT65" s="576">
        <f>18636809/AT64</f>
        <v>0.16825834201169287</v>
      </c>
      <c r="AU65" s="576">
        <f>16884219/AU64</f>
        <v>0.1579429852489021</v>
      </c>
      <c r="AV65" s="576">
        <f>AVERAGE(AJ65:AU65)</f>
        <v>0.13088838372830272</v>
      </c>
      <c r="BA65" s="585"/>
      <c r="BB65" s="615">
        <f>AVERAGE(AJ65:AR65,AC65:AE65)*(100%+BA65)</f>
        <v>0.14234890943071715</v>
      </c>
      <c r="BC65" s="615"/>
      <c r="BD65" s="616">
        <f>BB65</f>
        <v>0.14234890943071715</v>
      </c>
      <c r="BE65" s="616">
        <f>BD65</f>
        <v>0.14234890943071715</v>
      </c>
      <c r="BF65" s="616">
        <f t="shared" ref="BF65:BO66" si="114">BE65</f>
        <v>0.14234890943071715</v>
      </c>
      <c r="BG65" s="616">
        <f t="shared" si="114"/>
        <v>0.14234890943071715</v>
      </c>
      <c r="BH65" s="616">
        <f t="shared" si="114"/>
        <v>0.14234890943071715</v>
      </c>
      <c r="BI65" s="616">
        <f t="shared" si="114"/>
        <v>0.14234890943071715</v>
      </c>
      <c r="BJ65" s="616">
        <f t="shared" si="114"/>
        <v>0.14234890943071715</v>
      </c>
      <c r="BK65" s="616">
        <f t="shared" si="114"/>
        <v>0.14234890943071715</v>
      </c>
      <c r="BL65" s="616">
        <f t="shared" si="114"/>
        <v>0.14234890943071715</v>
      </c>
      <c r="BM65" s="616">
        <f t="shared" si="114"/>
        <v>0.14234890943071715</v>
      </c>
      <c r="BN65" s="616">
        <f t="shared" si="114"/>
        <v>0.14234890943071715</v>
      </c>
      <c r="BO65" s="616">
        <f t="shared" si="114"/>
        <v>0.14234890943071715</v>
      </c>
      <c r="BP65" s="576">
        <f>AVERAGE(BD65:BO65)</f>
        <v>0.14234890943071712</v>
      </c>
      <c r="BQ65" s="576">
        <f>BP65/AV65</f>
        <v>1.0875595326030161</v>
      </c>
      <c r="BR65" s="576"/>
      <c r="BS65" s="576">
        <f>BP65/AF65</f>
        <v>0.8992522478356284</v>
      </c>
      <c r="BV65" s="576">
        <f>18531445/BV64</f>
        <v>0.14708768573700173</v>
      </c>
      <c r="BW65" s="576">
        <f>16660208/BW64</f>
        <v>0.16543841596104489</v>
      </c>
      <c r="BX65" s="576">
        <f>37382355/BX64</f>
        <v>0.22013390517825909</v>
      </c>
      <c r="BY65" s="576">
        <f>115861072/BY64</f>
        <v>0.3229994887951731</v>
      </c>
      <c r="BZ65" s="576">
        <f>188685775/BZ64</f>
        <v>0.47030486445127201</v>
      </c>
      <c r="CA65" s="576">
        <f>45675343/CA64</f>
        <v>0.27763489185784274</v>
      </c>
      <c r="CB65" s="576">
        <f>47996650/CB64</f>
        <v>0.22351182021149374</v>
      </c>
      <c r="CC65" s="576">
        <f>43117034/CC64</f>
        <v>0.22455748092005071</v>
      </c>
      <c r="CD65" s="576"/>
      <c r="CE65" s="576"/>
      <c r="CF65" s="576"/>
      <c r="CG65" s="576"/>
      <c r="CH65" s="576">
        <f>AVERAGE(BV65:CG65)</f>
        <v>0.25645856913901721</v>
      </c>
    </row>
    <row r="66" spans="1:86">
      <c r="C66" s="569" t="s">
        <v>132</v>
      </c>
      <c r="T66" s="617"/>
      <c r="U66" s="617"/>
      <c r="V66" s="617">
        <v>0.623</v>
      </c>
      <c r="W66" s="617">
        <v>0.75600000000000001</v>
      </c>
      <c r="X66" s="617">
        <v>0.89400000000000002</v>
      </c>
      <c r="Y66" s="617">
        <v>0.89</v>
      </c>
      <c r="Z66" s="617">
        <v>0.80100000000000005</v>
      </c>
      <c r="AA66" s="617">
        <v>0.79400000000000004</v>
      </c>
      <c r="AB66" s="617">
        <v>0.85399999999999998</v>
      </c>
      <c r="AC66" s="617">
        <v>1.4850000000000001</v>
      </c>
      <c r="AD66" s="617">
        <v>2.6240000000000001</v>
      </c>
      <c r="AE66" s="617">
        <v>2.8250000000000002</v>
      </c>
      <c r="AF66" s="617">
        <f>AVERAGE(T66:AE66)</f>
        <v>1.2546000000000004</v>
      </c>
      <c r="AJ66" s="617">
        <v>1.724</v>
      </c>
      <c r="AK66" s="617">
        <v>1.9330000000000001</v>
      </c>
      <c r="AL66" s="617">
        <v>1.7989999999999999</v>
      </c>
      <c r="AM66" s="617">
        <v>2.5339999999999998</v>
      </c>
      <c r="AN66" s="617">
        <v>2.2989999999999999</v>
      </c>
      <c r="AO66" s="617">
        <v>2.851</v>
      </c>
      <c r="AP66" s="617">
        <v>1.7789999999999999</v>
      </c>
      <c r="AQ66" s="617">
        <v>2.048</v>
      </c>
      <c r="AR66" s="617">
        <v>1.7569999999999999</v>
      </c>
      <c r="AS66" s="617">
        <v>2.0099999999999998</v>
      </c>
      <c r="AT66" s="617">
        <v>2.2000000000000002</v>
      </c>
      <c r="AU66" s="617">
        <v>2.0099999999999998</v>
      </c>
      <c r="AV66" s="617">
        <f>AVERAGE(AJ66:AU66)</f>
        <v>2.0786666666666669</v>
      </c>
      <c r="BA66" s="585"/>
      <c r="BB66" s="617">
        <f>AVERAGE(AJ66:AR66,AC66:AE66)*(100%+BA66)</f>
        <v>2.1381666666666663</v>
      </c>
      <c r="BC66" s="617"/>
      <c r="BD66" s="617">
        <f>BB66</f>
        <v>2.1381666666666663</v>
      </c>
      <c r="BE66" s="617">
        <f>BD66</f>
        <v>2.1381666666666663</v>
      </c>
      <c r="BF66" s="617">
        <f t="shared" si="114"/>
        <v>2.1381666666666663</v>
      </c>
      <c r="BG66" s="617">
        <f t="shared" si="114"/>
        <v>2.1381666666666663</v>
      </c>
      <c r="BH66" s="617">
        <f t="shared" si="114"/>
        <v>2.1381666666666663</v>
      </c>
      <c r="BI66" s="617">
        <f t="shared" si="114"/>
        <v>2.1381666666666663</v>
      </c>
      <c r="BJ66" s="617">
        <f t="shared" si="114"/>
        <v>2.1381666666666663</v>
      </c>
      <c r="BK66" s="617">
        <f t="shared" si="114"/>
        <v>2.1381666666666663</v>
      </c>
      <c r="BL66" s="617">
        <f t="shared" si="114"/>
        <v>2.1381666666666663</v>
      </c>
      <c r="BM66" s="617">
        <f t="shared" si="114"/>
        <v>2.1381666666666663</v>
      </c>
      <c r="BN66" s="617">
        <f t="shared" si="114"/>
        <v>2.1381666666666663</v>
      </c>
      <c r="BO66" s="617">
        <f t="shared" si="114"/>
        <v>2.1381666666666663</v>
      </c>
      <c r="BP66" s="617">
        <f>AVERAGE(BD66:BO66)</f>
        <v>2.1381666666666663</v>
      </c>
      <c r="BQ66" s="576">
        <f>BP66/AV66</f>
        <v>1.0286241180243743</v>
      </c>
      <c r="BR66" s="576"/>
      <c r="BS66" s="576">
        <f>BP66/AF66</f>
        <v>1.7042616504596411</v>
      </c>
      <c r="BV66" s="617">
        <v>1.48</v>
      </c>
      <c r="BW66" s="617">
        <v>1.71</v>
      </c>
      <c r="BX66" s="617">
        <v>1.77</v>
      </c>
      <c r="BY66" s="617">
        <v>2.02</v>
      </c>
      <c r="BZ66" s="617">
        <v>1.72</v>
      </c>
      <c r="CA66" s="617">
        <v>2.06</v>
      </c>
      <c r="CB66" s="617">
        <v>1.51</v>
      </c>
      <c r="CC66" s="617">
        <v>1.79</v>
      </c>
      <c r="CD66" s="617"/>
      <c r="CE66" s="617"/>
      <c r="CF66" s="617"/>
      <c r="CG66" s="617"/>
      <c r="CH66" s="617">
        <f>AVERAGE(BV66:CG66)</f>
        <v>1.7575000000000003</v>
      </c>
    </row>
    <row r="67" spans="1:86">
      <c r="C67" s="569" t="s">
        <v>133</v>
      </c>
      <c r="D67" s="585"/>
      <c r="E67" s="585"/>
      <c r="F67" s="585"/>
      <c r="G67" s="585"/>
      <c r="H67" s="585"/>
      <c r="I67" s="585"/>
      <c r="J67" s="585"/>
      <c r="K67" s="585"/>
      <c r="L67" s="585"/>
      <c r="M67" s="585"/>
      <c r="N67" s="585"/>
      <c r="O67" s="585"/>
      <c r="P67" s="585"/>
      <c r="Q67" s="585"/>
      <c r="R67" s="585"/>
      <c r="S67" s="585"/>
      <c r="T67" s="617">
        <f t="shared" ref="T67:AE67" si="115">T64*T65*T66/1000</f>
        <v>0</v>
      </c>
      <c r="U67" s="617">
        <f t="shared" si="115"/>
        <v>0</v>
      </c>
      <c r="V67" s="617">
        <f t="shared" si="115"/>
        <v>0</v>
      </c>
      <c r="W67" s="617">
        <f t="shared" si="115"/>
        <v>435.74094183954986</v>
      </c>
      <c r="X67" s="617">
        <f t="shared" si="115"/>
        <v>2337.1439700000001</v>
      </c>
      <c r="Y67" s="617">
        <f t="shared" si="115"/>
        <v>5098.4459900000002</v>
      </c>
      <c r="Z67" s="617">
        <f t="shared" si="115"/>
        <v>4314.11391</v>
      </c>
      <c r="AA67" s="617">
        <f t="shared" si="115"/>
        <v>3960.0503860000003</v>
      </c>
      <c r="AB67" s="617">
        <f t="shared" si="115"/>
        <v>4507.5196040000001</v>
      </c>
      <c r="AC67" s="617">
        <f t="shared" si="115"/>
        <v>8265.0763800000004</v>
      </c>
      <c r="AD67" s="617">
        <f t="shared" si="115"/>
        <v>31233.348672000004</v>
      </c>
      <c r="AE67" s="617">
        <f t="shared" si="115"/>
        <v>25424.678681873989</v>
      </c>
      <c r="AF67" s="617">
        <f>SUM(T67:AE67)</f>
        <v>85576.118535713555</v>
      </c>
      <c r="AJ67" s="617">
        <f t="shared" ref="AJ67:AU67" si="116">AJ64*AJ65*AJ66/1000</f>
        <v>13525.516148000001</v>
      </c>
      <c r="AK67" s="617">
        <f t="shared" si="116"/>
        <v>14088.19496439391</v>
      </c>
      <c r="AL67" s="617">
        <f t="shared" si="116"/>
        <v>13964.975211112154</v>
      </c>
      <c r="AM67" s="617">
        <f t="shared" si="116"/>
        <v>14793.358465480216</v>
      </c>
      <c r="AN67" s="617">
        <f t="shared" si="116"/>
        <v>16059.92308004121</v>
      </c>
      <c r="AO67" s="617">
        <f t="shared" si="116"/>
        <v>23469.767153873912</v>
      </c>
      <c r="AP67" s="617">
        <f t="shared" si="116"/>
        <v>18446.301022747986</v>
      </c>
      <c r="AQ67" s="617">
        <f t="shared" si="116"/>
        <v>33298.18809247623</v>
      </c>
      <c r="AR67" s="617">
        <f t="shared" si="116"/>
        <v>20921.877274354392</v>
      </c>
      <c r="AS67" s="617">
        <f t="shared" si="116"/>
        <v>25339.79664</v>
      </c>
      <c r="AT67" s="617">
        <f t="shared" si="116"/>
        <v>41000.979800000001</v>
      </c>
      <c r="AU67" s="617">
        <f t="shared" si="116"/>
        <v>33937.280189999998</v>
      </c>
      <c r="AV67" s="617">
        <f>SUM(AJ67:AU67)</f>
        <v>268846.15804248</v>
      </c>
      <c r="BD67" s="612">
        <f t="shared" ref="BD67:BO67" si="117">BD64*BD65*BD66/1000</f>
        <v>25214.732517582357</v>
      </c>
      <c r="BE67" s="612">
        <f t="shared" si="117"/>
        <v>22504.365058761785</v>
      </c>
      <c r="BF67" s="612">
        <f t="shared" si="117"/>
        <v>27775.021774310313</v>
      </c>
      <c r="BG67" s="612">
        <f t="shared" si="117"/>
        <v>29163.806455251266</v>
      </c>
      <c r="BH67" s="612">
        <f t="shared" si="117"/>
        <v>31595.282461904677</v>
      </c>
      <c r="BI67" s="612">
        <f t="shared" si="117"/>
        <v>31007.371382908892</v>
      </c>
      <c r="BJ67" s="612">
        <f t="shared" si="117"/>
        <v>33477.878525485794</v>
      </c>
      <c r="BK67" s="612">
        <f t="shared" si="117"/>
        <v>33165.368475366653</v>
      </c>
      <c r="BL67" s="612">
        <f t="shared" si="117"/>
        <v>34991.339870611606</v>
      </c>
      <c r="BM67" s="612">
        <f t="shared" si="117"/>
        <v>37545.27999818285</v>
      </c>
      <c r="BN67" s="612">
        <f t="shared" si="117"/>
        <v>35841.959604709002</v>
      </c>
      <c r="BO67" s="612">
        <f t="shared" si="117"/>
        <v>38174.710351314425</v>
      </c>
      <c r="BP67" s="612">
        <f>SUM(BD67:BO67)</f>
        <v>380457.11647638958</v>
      </c>
      <c r="BV67" s="617">
        <f t="shared" ref="BV67:CG67" si="118">BV64*BV65*BV66/1000</f>
        <v>27426.5386</v>
      </c>
      <c r="BW67" s="617">
        <f t="shared" si="118"/>
        <v>28488.955679999999</v>
      </c>
      <c r="BX67" s="617">
        <f t="shared" si="118"/>
        <v>66166.768349999998</v>
      </c>
      <c r="BY67" s="617">
        <f t="shared" si="118"/>
        <v>234039.36544000002</v>
      </c>
      <c r="BZ67" s="617">
        <f t="shared" si="118"/>
        <v>324539.533</v>
      </c>
      <c r="CA67" s="617">
        <f t="shared" si="118"/>
        <v>94091.206579999984</v>
      </c>
      <c r="CB67" s="617">
        <f t="shared" si="118"/>
        <v>72474.941500000001</v>
      </c>
      <c r="CC67" s="617">
        <f t="shared" si="118"/>
        <v>77179.490860000005</v>
      </c>
      <c r="CD67" s="617">
        <f t="shared" si="118"/>
        <v>0</v>
      </c>
      <c r="CE67" s="617">
        <f t="shared" si="118"/>
        <v>0</v>
      </c>
      <c r="CF67" s="617">
        <f t="shared" si="118"/>
        <v>0</v>
      </c>
      <c r="CG67" s="617">
        <f t="shared" si="118"/>
        <v>0</v>
      </c>
      <c r="CH67" s="617">
        <f>SUM(BV67:CG67)</f>
        <v>924406.80001000001</v>
      </c>
    </row>
    <row r="68" spans="1:86" s="577" customFormat="1" ht="12.75">
      <c r="C68" s="577" t="s">
        <v>134</v>
      </c>
      <c r="D68" s="579">
        <v>0.55000000000000004</v>
      </c>
      <c r="E68" s="579"/>
      <c r="F68" s="579"/>
      <c r="G68" s="579"/>
      <c r="H68" s="579"/>
      <c r="I68" s="579"/>
      <c r="J68" s="579"/>
      <c r="K68" s="579"/>
      <c r="L68" s="579"/>
      <c r="M68" s="579"/>
      <c r="N68" s="579"/>
      <c r="O68" s="579"/>
      <c r="P68" s="579"/>
      <c r="Q68" s="579"/>
      <c r="R68" s="579"/>
      <c r="S68" s="579"/>
      <c r="T68" s="619">
        <f>T67*$D$68</f>
        <v>0</v>
      </c>
      <c r="U68" s="619">
        <f t="shared" ref="U68:AE68" si="119">U67*$D$68</f>
        <v>0</v>
      </c>
      <c r="V68" s="619">
        <f t="shared" si="119"/>
        <v>0</v>
      </c>
      <c r="W68" s="619">
        <f t="shared" si="119"/>
        <v>239.65751801175244</v>
      </c>
      <c r="X68" s="619">
        <f t="shared" si="119"/>
        <v>1285.4291835000001</v>
      </c>
      <c r="Y68" s="619">
        <f t="shared" si="119"/>
        <v>2804.1452945000001</v>
      </c>
      <c r="Z68" s="619">
        <f t="shared" si="119"/>
        <v>2372.7626505000003</v>
      </c>
      <c r="AA68" s="619">
        <f t="shared" si="119"/>
        <v>2178.0277123000005</v>
      </c>
      <c r="AB68" s="619">
        <f t="shared" si="119"/>
        <v>2479.1357822000004</v>
      </c>
      <c r="AC68" s="619">
        <f t="shared" si="119"/>
        <v>4545.7920090000007</v>
      </c>
      <c r="AD68" s="619">
        <f t="shared" si="119"/>
        <v>17178.341769600003</v>
      </c>
      <c r="AE68" s="619">
        <f t="shared" si="119"/>
        <v>13983.573275030696</v>
      </c>
      <c r="AF68" s="619">
        <f>SUM(T68:AE68)</f>
        <v>47066.865194642451</v>
      </c>
      <c r="AH68" s="579">
        <v>0.55000000000000004</v>
      </c>
      <c r="AI68" s="579"/>
      <c r="AJ68" s="619">
        <f>AJ67*$AH$68</f>
        <v>7439.0338814000006</v>
      </c>
      <c r="AK68" s="619">
        <f t="shared" ref="AK68:AU68" si="120">AK67*$AH$68</f>
        <v>7748.5072304166506</v>
      </c>
      <c r="AL68" s="619">
        <f t="shared" si="120"/>
        <v>7680.7363661116851</v>
      </c>
      <c r="AM68" s="619">
        <f t="shared" si="120"/>
        <v>8136.3471560141197</v>
      </c>
      <c r="AN68" s="619">
        <f t="shared" si="120"/>
        <v>8832.9576940226652</v>
      </c>
      <c r="AO68" s="619">
        <f t="shared" si="120"/>
        <v>12908.371934630653</v>
      </c>
      <c r="AP68" s="619">
        <f t="shared" si="120"/>
        <v>10145.465562511394</v>
      </c>
      <c r="AQ68" s="619">
        <f t="shared" si="120"/>
        <v>18314.003450861928</v>
      </c>
      <c r="AR68" s="619">
        <f t="shared" si="120"/>
        <v>11507.032500894917</v>
      </c>
      <c r="AS68" s="619">
        <f t="shared" si="120"/>
        <v>13936.888152000001</v>
      </c>
      <c r="AT68" s="619">
        <f t="shared" si="120"/>
        <v>22550.538890000003</v>
      </c>
      <c r="AU68" s="619">
        <f t="shared" si="120"/>
        <v>18665.5041045</v>
      </c>
      <c r="AV68" s="619">
        <f>SUM(AJ68:AU68)</f>
        <v>147865.38692336401</v>
      </c>
      <c r="BB68" s="579">
        <v>0.55000000000000004</v>
      </c>
      <c r="BC68" s="579"/>
      <c r="BD68" s="610">
        <f>BD67*$BB$68</f>
        <v>13868.102884670297</v>
      </c>
      <c r="BE68" s="610">
        <f t="shared" ref="BE68:BO68" si="121">BE67*$BB$68</f>
        <v>12377.400782318982</v>
      </c>
      <c r="BF68" s="610">
        <f t="shared" si="121"/>
        <v>15276.261975870673</v>
      </c>
      <c r="BG68" s="610">
        <f t="shared" si="121"/>
        <v>16040.093550388197</v>
      </c>
      <c r="BH68" s="610">
        <f t="shared" si="121"/>
        <v>17377.405354047572</v>
      </c>
      <c r="BI68" s="610">
        <f t="shared" si="121"/>
        <v>17054.054260599893</v>
      </c>
      <c r="BJ68" s="610">
        <f t="shared" si="121"/>
        <v>18412.833189017187</v>
      </c>
      <c r="BK68" s="610">
        <f t="shared" si="121"/>
        <v>18240.952661451662</v>
      </c>
      <c r="BL68" s="610">
        <f t="shared" si="121"/>
        <v>19245.236928836384</v>
      </c>
      <c r="BM68" s="610">
        <f t="shared" si="121"/>
        <v>20649.903999000569</v>
      </c>
      <c r="BN68" s="610">
        <f t="shared" si="121"/>
        <v>19713.077782589953</v>
      </c>
      <c r="BO68" s="610">
        <f t="shared" si="121"/>
        <v>20996.090693222934</v>
      </c>
      <c r="BP68" s="609">
        <f>SUM(BD68:BO68)</f>
        <v>209251.41406201432</v>
      </c>
      <c r="BU68" s="579">
        <f>D68</f>
        <v>0.55000000000000004</v>
      </c>
      <c r="BV68" s="619">
        <f>BV67*$BU$68</f>
        <v>15084.596230000001</v>
      </c>
      <c r="BW68" s="619">
        <f>BW67*$BU$68</f>
        <v>15668.925624000001</v>
      </c>
      <c r="BX68" s="619">
        <f t="shared" ref="BX68:CG68" si="122">BX67*$AH$68</f>
        <v>36391.722592500002</v>
      </c>
      <c r="BY68" s="619">
        <f t="shared" si="122"/>
        <v>128721.65099200002</v>
      </c>
      <c r="BZ68" s="619">
        <f t="shared" si="122"/>
        <v>178496.74315000002</v>
      </c>
      <c r="CA68" s="619">
        <f t="shared" si="122"/>
        <v>51750.163618999992</v>
      </c>
      <c r="CB68" s="619">
        <f t="shared" si="122"/>
        <v>39861.217825000007</v>
      </c>
      <c r="CC68" s="619">
        <f t="shared" si="122"/>
        <v>42448.719973000007</v>
      </c>
      <c r="CD68" s="619">
        <f t="shared" si="122"/>
        <v>0</v>
      </c>
      <c r="CE68" s="619">
        <f t="shared" si="122"/>
        <v>0</v>
      </c>
      <c r="CF68" s="619">
        <f t="shared" si="122"/>
        <v>0</v>
      </c>
      <c r="CG68" s="619">
        <f t="shared" si="122"/>
        <v>0</v>
      </c>
      <c r="CH68" s="619">
        <f>SUM(BV68:CG68)</f>
        <v>508423.74000550009</v>
      </c>
    </row>
    <row r="69" spans="1:86">
      <c r="T69" s="617"/>
      <c r="U69" s="617"/>
      <c r="V69" s="617"/>
      <c r="W69" s="617"/>
      <c r="X69" s="617"/>
      <c r="Y69" s="617"/>
      <c r="Z69" s="617"/>
      <c r="AA69" s="617"/>
      <c r="AB69" s="617"/>
      <c r="AC69" s="617"/>
      <c r="AD69" s="617"/>
      <c r="AE69" s="617"/>
      <c r="AJ69" s="617"/>
      <c r="AK69" s="617"/>
      <c r="AL69" s="617"/>
      <c r="AM69" s="617"/>
      <c r="AN69" s="617"/>
      <c r="AO69" s="617"/>
      <c r="AP69" s="617"/>
      <c r="AQ69" s="617"/>
      <c r="AR69" s="617"/>
      <c r="BV69" s="617"/>
      <c r="BW69" s="617"/>
      <c r="BX69" s="617"/>
      <c r="BY69" s="617"/>
      <c r="BZ69" s="617"/>
      <c r="CA69" s="617"/>
      <c r="CB69" s="617"/>
      <c r="CC69" s="617"/>
      <c r="CD69" s="617"/>
    </row>
    <row r="70" spans="1:86" s="577" customFormat="1" ht="12.75">
      <c r="A70" s="577" t="s">
        <v>130</v>
      </c>
      <c r="T70" s="578">
        <f t="shared" ref="T70:AE70" si="123">SUM(T46,T52,T58,T64)</f>
        <v>999134926</v>
      </c>
      <c r="U70" s="578">
        <f t="shared" si="123"/>
        <v>853071842</v>
      </c>
      <c r="V70" s="578">
        <f t="shared" si="123"/>
        <v>947228659</v>
      </c>
      <c r="W70" s="578">
        <f t="shared" si="123"/>
        <v>954868279</v>
      </c>
      <c r="X70" s="578">
        <f t="shared" si="123"/>
        <v>1204937738</v>
      </c>
      <c r="Y70" s="578">
        <f t="shared" si="123"/>
        <v>1244916823</v>
      </c>
      <c r="Z70" s="578">
        <f t="shared" si="123"/>
        <v>1313003790</v>
      </c>
      <c r="AA70" s="578">
        <f t="shared" si="123"/>
        <v>1332962552</v>
      </c>
      <c r="AB70" s="578">
        <f t="shared" si="123"/>
        <v>1267401249</v>
      </c>
      <c r="AC70" s="578">
        <f t="shared" si="123"/>
        <v>1414969363</v>
      </c>
      <c r="AD70" s="578">
        <f t="shared" si="123"/>
        <v>1495843729</v>
      </c>
      <c r="AE70" s="578">
        <f t="shared" si="123"/>
        <v>1654107673</v>
      </c>
      <c r="AF70" s="578">
        <f>SUM(T70:AE70)</f>
        <v>14682446623</v>
      </c>
      <c r="AJ70" s="578">
        <f t="shared" ref="AJ70:AR70" si="124">SUM(AJ46,AJ52,AJ58,AJ64)</f>
        <v>1752529245</v>
      </c>
      <c r="AK70" s="578">
        <f t="shared" si="124"/>
        <v>1564147384</v>
      </c>
      <c r="AL70" s="578">
        <f t="shared" si="124"/>
        <v>1930480044</v>
      </c>
      <c r="AM70" s="578">
        <f t="shared" si="124"/>
        <v>2027006381</v>
      </c>
      <c r="AN70" s="578">
        <f t="shared" si="124"/>
        <v>2196004121</v>
      </c>
      <c r="AO70" s="578">
        <f t="shared" si="124"/>
        <v>2155141845</v>
      </c>
      <c r="AP70" s="578">
        <f t="shared" si="124"/>
        <v>2326852412</v>
      </c>
      <c r="AQ70" s="578">
        <f t="shared" si="124"/>
        <v>2305131658</v>
      </c>
      <c r="AR70" s="578">
        <f t="shared" si="124"/>
        <v>2432044298</v>
      </c>
      <c r="AS70" s="578">
        <f t="shared" ref="AS70:AU70" si="125">SUM(AS46,AS52,AS58,AS64)</f>
        <v>2609553806</v>
      </c>
      <c r="AT70" s="578">
        <f t="shared" si="125"/>
        <v>2491165923</v>
      </c>
      <c r="AU70" s="578">
        <f t="shared" si="125"/>
        <v>2653301845</v>
      </c>
      <c r="AV70" s="578">
        <f>SUM(AJ70:AU70)</f>
        <v>26443358962</v>
      </c>
      <c r="BD70" s="578">
        <f t="shared" ref="BD70:BO70" si="126">SUM(BD46,BD52,BD58,BD64)</f>
        <v>3462860114.8151674</v>
      </c>
      <c r="BE70" s="578">
        <f t="shared" si="126"/>
        <v>3090632356.1785035</v>
      </c>
      <c r="BF70" s="578">
        <f t="shared" si="126"/>
        <v>3814476914.3719645</v>
      </c>
      <c r="BG70" s="578">
        <f t="shared" si="126"/>
        <v>4005205373.4719486</v>
      </c>
      <c r="BH70" s="578">
        <f t="shared" si="126"/>
        <v>4339131631.7695112</v>
      </c>
      <c r="BI70" s="578">
        <f t="shared" si="126"/>
        <v>4258390984.4081788</v>
      </c>
      <c r="BJ70" s="578">
        <f t="shared" si="126"/>
        <v>4597677575.7464008</v>
      </c>
      <c r="BK70" s="578">
        <f t="shared" si="126"/>
        <v>4554759072.1579971</v>
      </c>
      <c r="BL70" s="578">
        <f t="shared" si="126"/>
        <v>4805528478.9315195</v>
      </c>
      <c r="BM70" s="578">
        <f t="shared" si="126"/>
        <v>5156273322.1387796</v>
      </c>
      <c r="BN70" s="578">
        <f t="shared" si="126"/>
        <v>4922348165.5185804</v>
      </c>
      <c r="BO70" s="578">
        <f t="shared" si="126"/>
        <v>5242716010.4914513</v>
      </c>
      <c r="BP70" s="578">
        <f>SUM(BD70:BO70)</f>
        <v>52250000000</v>
      </c>
      <c r="BV70" s="578">
        <f t="shared" ref="BV70:CG70" si="127">SUM(BV46,BV52,BV58,BV64)</f>
        <v>2849609620</v>
      </c>
      <c r="BW70" s="578">
        <f t="shared" si="127"/>
        <v>2841911507</v>
      </c>
      <c r="BX70" s="578">
        <f t="shared" si="127"/>
        <v>3557895447</v>
      </c>
      <c r="BY70" s="578">
        <f t="shared" si="127"/>
        <v>3803032679</v>
      </c>
      <c r="BZ70" s="578">
        <f t="shared" si="127"/>
        <v>3816548741</v>
      </c>
      <c r="CA70" s="578">
        <f t="shared" si="127"/>
        <v>3658861350</v>
      </c>
      <c r="CB70" s="578">
        <f t="shared" si="127"/>
        <v>3821015594</v>
      </c>
      <c r="CC70" s="578">
        <f t="shared" si="127"/>
        <v>3803180441</v>
      </c>
      <c r="CD70" s="578">
        <f t="shared" si="127"/>
        <v>3175511256</v>
      </c>
      <c r="CE70" s="578">
        <f t="shared" si="127"/>
        <v>0</v>
      </c>
      <c r="CF70" s="578">
        <f t="shared" si="127"/>
        <v>0</v>
      </c>
      <c r="CG70" s="578">
        <f t="shared" si="127"/>
        <v>0</v>
      </c>
      <c r="CH70" s="578">
        <f>SUM(BV70:CG70)</f>
        <v>31327566635</v>
      </c>
    </row>
    <row r="71" spans="1:86" s="577" customFormat="1" ht="12.75">
      <c r="A71" s="577" t="s">
        <v>135</v>
      </c>
      <c r="D71" s="579"/>
      <c r="E71" s="579"/>
      <c r="F71" s="579"/>
      <c r="G71" s="579"/>
      <c r="H71" s="579"/>
      <c r="I71" s="579"/>
      <c r="J71" s="579"/>
      <c r="K71" s="579"/>
      <c r="L71" s="579"/>
      <c r="M71" s="579"/>
      <c r="N71" s="579"/>
      <c r="O71" s="579"/>
      <c r="P71" s="579"/>
      <c r="Q71" s="579"/>
      <c r="R71" s="579"/>
      <c r="S71" s="579"/>
      <c r="T71" s="619">
        <f t="shared" ref="T71:AE71" si="128">SUM(T50,T56,T62,T68)</f>
        <v>354400.47306675004</v>
      </c>
      <c r="U71" s="619">
        <f t="shared" si="128"/>
        <v>295317.06300290005</v>
      </c>
      <c r="V71" s="619">
        <f t="shared" si="128"/>
        <v>349213.3135164</v>
      </c>
      <c r="W71" s="619">
        <f t="shared" si="128"/>
        <v>269200.84564931178</v>
      </c>
      <c r="X71" s="619">
        <f t="shared" si="128"/>
        <v>327490.65243501938</v>
      </c>
      <c r="Y71" s="619">
        <f t="shared" si="128"/>
        <v>375228.35923805326</v>
      </c>
      <c r="Z71" s="619">
        <f t="shared" si="128"/>
        <v>327119.03776487312</v>
      </c>
      <c r="AA71" s="619">
        <f t="shared" si="128"/>
        <v>331318.10691160843</v>
      </c>
      <c r="AB71" s="619">
        <f t="shared" si="128"/>
        <v>378730.24586735386</v>
      </c>
      <c r="AC71" s="619">
        <f t="shared" si="128"/>
        <v>424061.92461230897</v>
      </c>
      <c r="AD71" s="619">
        <f t="shared" si="128"/>
        <v>480953.07218685129</v>
      </c>
      <c r="AE71" s="619">
        <f t="shared" si="128"/>
        <v>704849.32289339497</v>
      </c>
      <c r="AF71" s="619">
        <f>SUM(T71:AE71)</f>
        <v>4617882.4171448248</v>
      </c>
      <c r="AH71" s="579"/>
      <c r="AI71" s="579"/>
      <c r="AJ71" s="619">
        <f t="shared" ref="AJ71:AR71" si="129">SUM(AJ50,AJ56,AJ62,AJ68)</f>
        <v>438704.34232757764</v>
      </c>
      <c r="AK71" s="619">
        <f t="shared" si="129"/>
        <v>378103.39923344122</v>
      </c>
      <c r="AL71" s="619">
        <f t="shared" si="129"/>
        <v>446492.13037866086</v>
      </c>
      <c r="AM71" s="619">
        <f t="shared" si="129"/>
        <v>377210.10896943009</v>
      </c>
      <c r="AN71" s="619">
        <f t="shared" si="129"/>
        <v>479304.36372141109</v>
      </c>
      <c r="AO71" s="619">
        <f t="shared" si="129"/>
        <v>566665.16469667165</v>
      </c>
      <c r="AP71" s="619">
        <f t="shared" si="129"/>
        <v>486425.16010816413</v>
      </c>
      <c r="AQ71" s="619">
        <f t="shared" si="129"/>
        <v>471685.2810165988</v>
      </c>
      <c r="AR71" s="619">
        <f t="shared" si="129"/>
        <v>562456.61141588842</v>
      </c>
      <c r="AS71" s="619">
        <f t="shared" ref="AS71:AU71" si="130">SUM(AS50,AS56,AS62,AS68)</f>
        <v>619003.86220350012</v>
      </c>
      <c r="AT71" s="619">
        <f t="shared" si="130"/>
        <v>648686.7022404999</v>
      </c>
      <c r="AU71" s="619">
        <f t="shared" si="130"/>
        <v>911713.49576199998</v>
      </c>
      <c r="AV71" s="619">
        <f>SUM(AJ71:AU71)</f>
        <v>6386450.6220738431</v>
      </c>
      <c r="BB71" s="579"/>
      <c r="BC71" s="579"/>
      <c r="BD71" s="610">
        <f t="shared" ref="BD71:BO71" si="131">SUM(BD50,BD56,BD62,BD68)</f>
        <v>802240.90077808197</v>
      </c>
      <c r="BE71" s="610">
        <f t="shared" si="131"/>
        <v>716006.88540283986</v>
      </c>
      <c r="BF71" s="610">
        <f t="shared" si="131"/>
        <v>883699.97468012082</v>
      </c>
      <c r="BG71" s="610">
        <f t="shared" si="131"/>
        <v>927886.04219632293</v>
      </c>
      <c r="BH71" s="610">
        <f t="shared" si="131"/>
        <v>1005246.7479042952</v>
      </c>
      <c r="BI71" s="610">
        <f t="shared" si="131"/>
        <v>986541.55984560342</v>
      </c>
      <c r="BJ71" s="610">
        <f t="shared" si="131"/>
        <v>1065144.0940607714</v>
      </c>
      <c r="BK71" s="610">
        <f t="shared" si="131"/>
        <v>1055201.1631201017</v>
      </c>
      <c r="BL71" s="610">
        <f t="shared" si="131"/>
        <v>1113296.9186826427</v>
      </c>
      <c r="BM71" s="610">
        <f t="shared" si="131"/>
        <v>1194553.9864325128</v>
      </c>
      <c r="BN71" s="610">
        <f t="shared" si="131"/>
        <v>1140360.5387795866</v>
      </c>
      <c r="BO71" s="610">
        <f t="shared" si="131"/>
        <v>1214580.1664890028</v>
      </c>
      <c r="BP71" s="609">
        <f>SUM(BD71:BO71)</f>
        <v>12104758.978371883</v>
      </c>
      <c r="BV71" s="619">
        <f t="shared" ref="BV71:CG71" si="132">SUM(BV50,BV56,BV62,BV68)</f>
        <v>643384.54672100011</v>
      </c>
      <c r="BW71" s="619">
        <f t="shared" si="132"/>
        <v>609568.11354799999</v>
      </c>
      <c r="BX71" s="619">
        <f t="shared" si="132"/>
        <v>976261.28350949986</v>
      </c>
      <c r="BY71" s="619">
        <f t="shared" si="132"/>
        <v>1055818.1315755001</v>
      </c>
      <c r="BZ71" s="619">
        <f t="shared" si="132"/>
        <v>1202464.204283</v>
      </c>
      <c r="CA71" s="619">
        <f t="shared" si="132"/>
        <v>1076399.166765</v>
      </c>
      <c r="CB71" s="619">
        <f t="shared" si="132"/>
        <v>925354.27995450003</v>
      </c>
      <c r="CC71" s="619">
        <f t="shared" si="132"/>
        <v>1068151.9896110003</v>
      </c>
      <c r="CD71" s="619">
        <f t="shared" si="132"/>
        <v>0</v>
      </c>
      <c r="CE71" s="619">
        <f t="shared" si="132"/>
        <v>0</v>
      </c>
      <c r="CF71" s="619">
        <f t="shared" si="132"/>
        <v>0</v>
      </c>
      <c r="CG71" s="619">
        <f t="shared" si="132"/>
        <v>0</v>
      </c>
      <c r="CH71" s="619">
        <f>SUM(BV71:CG71)</f>
        <v>7557401.7159674987</v>
      </c>
    </row>
    <row r="72" spans="1:86">
      <c r="AQ72" s="617">
        <f t="shared" ref="AQ72:AU72" si="133">SUM(AQ49,AQ55,AQ61,AQ67)</f>
        <v>929103.09722333576</v>
      </c>
      <c r="AR72" s="617">
        <f t="shared" si="133"/>
        <v>1112532.574146376</v>
      </c>
      <c r="AS72" s="617">
        <f t="shared" si="133"/>
        <v>1214883.23759</v>
      </c>
      <c r="AT72" s="617">
        <f t="shared" si="133"/>
        <v>1282015.2781700001</v>
      </c>
      <c r="AU72" s="617">
        <f t="shared" si="133"/>
        <v>1789111.1206199999</v>
      </c>
      <c r="AV72" s="617">
        <f>SUM(AV49,AV55,AV61,AV67)</f>
        <v>12595475.391250325</v>
      </c>
      <c r="AW72" s="629"/>
      <c r="BP72" s="612"/>
    </row>
    <row r="73" spans="1:86">
      <c r="AQ73" s="629">
        <f t="shared" ref="AQ73:AU73" si="134">AQ71/AQ72</f>
        <v>0.50767808483929333</v>
      </c>
      <c r="AR73" s="629">
        <f t="shared" si="134"/>
        <v>0.50556417356808647</v>
      </c>
      <c r="AS73" s="629">
        <f t="shared" si="134"/>
        <v>0.50951716432554994</v>
      </c>
      <c r="AT73" s="629">
        <f t="shared" si="134"/>
        <v>0.50598983747405979</v>
      </c>
      <c r="AU73" s="629">
        <f t="shared" si="134"/>
        <v>0.50959020110838849</v>
      </c>
      <c r="AV73" s="629">
        <f>AV71/AV72</f>
        <v>0.50704323764629844</v>
      </c>
    </row>
    <row r="74" spans="1:86">
      <c r="A74" s="605" t="s">
        <v>136</v>
      </c>
      <c r="B74" s="605"/>
    </row>
    <row r="75" spans="1:86">
      <c r="A75" s="864" t="s">
        <v>29</v>
      </c>
      <c r="B75" s="621"/>
      <c r="C75" s="569" t="s">
        <v>87</v>
      </c>
      <c r="T75" s="617">
        <v>133013.47999999998</v>
      </c>
      <c r="U75" s="617">
        <v>111329.26</v>
      </c>
      <c r="V75" s="617">
        <v>147074.18210700003</v>
      </c>
      <c r="W75" s="617">
        <v>117467.23999999999</v>
      </c>
      <c r="X75" s="617">
        <v>120293.79</v>
      </c>
      <c r="Y75" s="617">
        <v>125274.22</v>
      </c>
      <c r="Z75" s="617">
        <v>112221.019765</v>
      </c>
      <c r="AA75" s="617">
        <v>123094.10999999999</v>
      </c>
      <c r="AB75" s="617">
        <v>125985.84</v>
      </c>
      <c r="AC75" s="617">
        <v>143067.22</v>
      </c>
      <c r="AD75" s="617">
        <v>154111.26</v>
      </c>
      <c r="AE75" s="617">
        <v>226126.25248899998</v>
      </c>
      <c r="AF75" s="617">
        <f>SUM(T75:AE75)</f>
        <v>1639057.874361</v>
      </c>
      <c r="AJ75" s="617">
        <f>AJ29</f>
        <v>157624.68903900008</v>
      </c>
      <c r="AK75" s="617">
        <f t="shared" ref="AK75:AU75" si="135">AK29</f>
        <v>141834.12895299998</v>
      </c>
      <c r="AL75" s="617">
        <f t="shared" si="135"/>
        <v>183261.38905800003</v>
      </c>
      <c r="AM75" s="617">
        <f t="shared" si="135"/>
        <v>161372.95192100003</v>
      </c>
      <c r="AN75" s="617">
        <f t="shared" si="135"/>
        <v>188002.39635999996</v>
      </c>
      <c r="AO75" s="617">
        <f t="shared" si="135"/>
        <v>210801.07581699995</v>
      </c>
      <c r="AP75" s="617">
        <f t="shared" si="135"/>
        <v>170408.811025</v>
      </c>
      <c r="AQ75" s="617">
        <f t="shared" si="135"/>
        <v>179687.98</v>
      </c>
      <c r="AR75" s="617">
        <f t="shared" si="135"/>
        <v>227569.29</v>
      </c>
      <c r="AS75" s="617">
        <f t="shared" si="135"/>
        <v>225551.49</v>
      </c>
      <c r="AT75" s="617">
        <f t="shared" si="135"/>
        <v>254874.13</v>
      </c>
      <c r="AU75" s="617">
        <f t="shared" si="135"/>
        <v>326566.34000000003</v>
      </c>
      <c r="AV75" s="617">
        <f>SUM(AJ75:AU75)</f>
        <v>2427554.6721729999</v>
      </c>
      <c r="BV75" s="617">
        <f>BV29</f>
        <v>210984.02700000003</v>
      </c>
      <c r="BW75" s="617">
        <f t="shared" ref="BW75:CG75" si="136">BW29</f>
        <v>216045.22999999998</v>
      </c>
      <c r="BX75" s="617">
        <f t="shared" si="136"/>
        <v>267647.23</v>
      </c>
      <c r="BY75" s="617">
        <f t="shared" si="136"/>
        <v>291254.53000000003</v>
      </c>
      <c r="BZ75" s="617">
        <f t="shared" si="136"/>
        <v>322226.96999999997</v>
      </c>
      <c r="CA75" s="617">
        <f t="shared" si="136"/>
        <v>300283.64</v>
      </c>
      <c r="CB75" s="617">
        <f t="shared" si="136"/>
        <v>300910.13</v>
      </c>
      <c r="CC75" s="617">
        <f t="shared" si="136"/>
        <v>338941.66300017689</v>
      </c>
      <c r="CD75" s="617">
        <f t="shared" si="136"/>
        <v>324756.67200029572</v>
      </c>
      <c r="CE75" s="617">
        <f t="shared" si="136"/>
        <v>0</v>
      </c>
      <c r="CF75" s="617">
        <f t="shared" si="136"/>
        <v>0</v>
      </c>
      <c r="CG75" s="617">
        <f t="shared" si="136"/>
        <v>0</v>
      </c>
      <c r="CH75" s="617">
        <f>SUM(BV75:CG75)</f>
        <v>2573050.0920004724</v>
      </c>
    </row>
    <row r="76" spans="1:86">
      <c r="A76" s="864"/>
      <c r="B76" s="621"/>
      <c r="C76" s="569" t="s">
        <v>137</v>
      </c>
      <c r="T76" s="617">
        <v>208150.11000000002</v>
      </c>
      <c r="U76" s="617">
        <v>175207.92</v>
      </c>
      <c r="V76" s="617">
        <v>184642.69</v>
      </c>
      <c r="W76" s="617">
        <v>140120.44</v>
      </c>
      <c r="X76" s="617">
        <v>206937.71</v>
      </c>
      <c r="Y76" s="617">
        <v>224787.26</v>
      </c>
      <c r="Z76" s="617">
        <v>181055.464561</v>
      </c>
      <c r="AA76" s="617">
        <v>178715.53999999998</v>
      </c>
      <c r="AB76" s="617">
        <v>189461.84</v>
      </c>
      <c r="AC76" s="617">
        <v>208037.56</v>
      </c>
      <c r="AD76" s="617">
        <v>239690.10000000003</v>
      </c>
      <c r="AE76" s="617">
        <v>391918.05000000005</v>
      </c>
      <c r="AF76" s="617">
        <f>SUM(T76:AE76)</f>
        <v>2528724.6845610002</v>
      </c>
      <c r="AJ76" s="617">
        <f>AJ33</f>
        <v>218175.736232</v>
      </c>
      <c r="AK76" s="617">
        <f t="shared" ref="AK76:AU76" si="137">AK33</f>
        <v>188715.8593619999</v>
      </c>
      <c r="AL76" s="617">
        <f t="shared" si="137"/>
        <v>214506.87203700002</v>
      </c>
      <c r="AM76" s="617">
        <f t="shared" si="137"/>
        <v>172204.05113099987</v>
      </c>
      <c r="AN76" s="617">
        <f t="shared" si="137"/>
        <v>240990.16011600004</v>
      </c>
      <c r="AO76" s="617">
        <f t="shared" si="137"/>
        <v>298674.77079599974</v>
      </c>
      <c r="AP76" s="617">
        <f t="shared" si="137"/>
        <v>259793.295736</v>
      </c>
      <c r="AQ76" s="617">
        <f t="shared" si="137"/>
        <v>232168.85</v>
      </c>
      <c r="AR76" s="617">
        <f t="shared" si="137"/>
        <v>252723.82</v>
      </c>
      <c r="AS76" s="617">
        <f t="shared" si="137"/>
        <v>264093.28000000003</v>
      </c>
      <c r="AT76" s="617">
        <f t="shared" si="137"/>
        <v>220143.63</v>
      </c>
      <c r="AU76" s="617">
        <f t="shared" si="137"/>
        <v>265373.24</v>
      </c>
      <c r="AV76" s="617">
        <f>SUM(AJ76:AU76)</f>
        <v>2827563.5654099993</v>
      </c>
      <c r="BV76" s="617">
        <f>BV33</f>
        <v>274892.22499999998</v>
      </c>
      <c r="BW76" s="617">
        <f t="shared" ref="BW76:CG76" si="138">BW33</f>
        <v>267740.78999999998</v>
      </c>
      <c r="BX76" s="617">
        <f t="shared" si="138"/>
        <v>516133.7</v>
      </c>
      <c r="BY76" s="617">
        <f t="shared" si="138"/>
        <v>465833.51</v>
      </c>
      <c r="BZ76" s="617">
        <f t="shared" si="138"/>
        <v>484218.78</v>
      </c>
      <c r="CA76" s="617">
        <f t="shared" si="138"/>
        <v>474496.88999999996</v>
      </c>
      <c r="CB76" s="617">
        <f t="shared" si="138"/>
        <v>370588.48</v>
      </c>
      <c r="CC76" s="617">
        <f t="shared" si="138"/>
        <v>441063.94500021171</v>
      </c>
      <c r="CD76" s="617">
        <f t="shared" si="138"/>
        <v>430826.65100035846</v>
      </c>
      <c r="CE76" s="617">
        <f t="shared" si="138"/>
        <v>0</v>
      </c>
      <c r="CF76" s="617">
        <f t="shared" si="138"/>
        <v>0</v>
      </c>
      <c r="CG76" s="617">
        <f t="shared" si="138"/>
        <v>0</v>
      </c>
      <c r="CH76" s="617">
        <f>SUM(BV76:CG76)</f>
        <v>3725794.9710005703</v>
      </c>
    </row>
    <row r="77" spans="1:86">
      <c r="A77" s="864"/>
      <c r="B77" s="621"/>
      <c r="C77" s="569" t="s">
        <v>89</v>
      </c>
      <c r="T77" s="617">
        <v>0</v>
      </c>
      <c r="U77" s="617">
        <v>0</v>
      </c>
      <c r="V77" s="617">
        <v>0</v>
      </c>
      <c r="W77" s="617">
        <v>9.86</v>
      </c>
      <c r="X77" s="617">
        <v>23945.52</v>
      </c>
      <c r="Y77" s="617">
        <v>47351.78</v>
      </c>
      <c r="Z77" s="617">
        <v>45693.909978000003</v>
      </c>
      <c r="AA77" s="617">
        <v>40922.82</v>
      </c>
      <c r="AB77" s="617">
        <v>49335.47</v>
      </c>
      <c r="AC77" s="617">
        <v>51122.67</v>
      </c>
      <c r="AD77" s="617">
        <v>50015.44</v>
      </c>
      <c r="AE77" s="617">
        <v>75031.350000000006</v>
      </c>
      <c r="AF77" s="617">
        <f>SUM(T77:AE77)</f>
        <v>383428.81997800001</v>
      </c>
      <c r="AJ77" s="617">
        <f>AJ37</f>
        <v>42612.248553999998</v>
      </c>
      <c r="AK77" s="617">
        <f t="shared" ref="AK77:AU77" si="139">AK37</f>
        <v>32494.297270999996</v>
      </c>
      <c r="AL77" s="617">
        <f t="shared" si="139"/>
        <v>32691.966900000007</v>
      </c>
      <c r="AM77" s="617">
        <f t="shared" si="139"/>
        <v>33081.352396000009</v>
      </c>
      <c r="AN77" s="617">
        <f t="shared" si="139"/>
        <v>37888.326292999991</v>
      </c>
      <c r="AO77" s="617">
        <f t="shared" si="139"/>
        <v>42816.381576999986</v>
      </c>
      <c r="AP77" s="617">
        <f t="shared" si="139"/>
        <v>47956.517338000005</v>
      </c>
      <c r="AQ77" s="617">
        <f t="shared" si="139"/>
        <v>46698.11</v>
      </c>
      <c r="AR77" s="617">
        <f t="shared" si="139"/>
        <v>75244.679999999993</v>
      </c>
      <c r="AS77" s="617">
        <f t="shared" si="139"/>
        <v>120032.73000000001</v>
      </c>
      <c r="AT77" s="617">
        <f t="shared" si="139"/>
        <v>151241.94</v>
      </c>
      <c r="AU77" s="617">
        <f t="shared" si="139"/>
        <v>302343.67</v>
      </c>
      <c r="AV77" s="617">
        <f>SUM(AJ77:AU77)</f>
        <v>965102.22032899992</v>
      </c>
      <c r="BV77" s="617">
        <f>BV37</f>
        <v>148369.26999999999</v>
      </c>
      <c r="BW77" s="617">
        <f t="shared" ref="BW77:CG77" si="140">BW37</f>
        <v>118213.66</v>
      </c>
      <c r="BX77" s="617">
        <f t="shared" si="140"/>
        <v>168146.83</v>
      </c>
      <c r="BY77" s="617">
        <f t="shared" si="140"/>
        <v>170290.55000000002</v>
      </c>
      <c r="BZ77" s="617">
        <f t="shared" si="140"/>
        <v>206786.54000000004</v>
      </c>
      <c r="CA77" s="617">
        <f t="shared" si="140"/>
        <v>232102.98000000004</v>
      </c>
      <c r="CB77" s="617">
        <f t="shared" si="140"/>
        <v>204887.84</v>
      </c>
      <c r="CC77" s="617">
        <f t="shared" si="140"/>
        <v>233306.64100001781</v>
      </c>
      <c r="CD77" s="617">
        <f t="shared" si="140"/>
        <v>142000.29300000911</v>
      </c>
      <c r="CE77" s="617">
        <f t="shared" si="140"/>
        <v>0</v>
      </c>
      <c r="CF77" s="617">
        <f t="shared" si="140"/>
        <v>0</v>
      </c>
      <c r="CG77" s="617">
        <f t="shared" si="140"/>
        <v>0</v>
      </c>
      <c r="CH77" s="617">
        <f>SUM(BV77:CG77)</f>
        <v>1624104.6040000271</v>
      </c>
    </row>
    <row r="78" spans="1:86">
      <c r="A78" s="864"/>
      <c r="B78" s="621"/>
      <c r="C78" s="569" t="s">
        <v>138</v>
      </c>
      <c r="T78" s="617">
        <v>0</v>
      </c>
      <c r="U78" s="617">
        <v>0</v>
      </c>
      <c r="V78" s="617">
        <v>0</v>
      </c>
      <c r="W78" s="617">
        <v>255.10000000000002</v>
      </c>
      <c r="X78" s="617">
        <v>1207.1799999999998</v>
      </c>
      <c r="Y78" s="617">
        <v>2777.1</v>
      </c>
      <c r="Z78" s="617">
        <v>2320.9</v>
      </c>
      <c r="AA78" s="617">
        <v>2082.3399999999997</v>
      </c>
      <c r="AB78" s="617">
        <v>2421.67</v>
      </c>
      <c r="AC78" s="617">
        <v>4506.9699999999993</v>
      </c>
      <c r="AD78" s="617">
        <v>17379.260000000002</v>
      </c>
      <c r="AE78" s="617">
        <v>13837.280000000002</v>
      </c>
      <c r="AF78" s="617">
        <f>SUM(T78:AE78)</f>
        <v>46787.8</v>
      </c>
      <c r="AJ78" s="617">
        <f>AJ41</f>
        <v>7490.1370640000005</v>
      </c>
      <c r="AK78" s="617">
        <f t="shared" ref="AK78:AU78" si="141">AK41</f>
        <v>7815.3045420000035</v>
      </c>
      <c r="AL78" s="617">
        <f t="shared" si="141"/>
        <v>7690.0191639999994</v>
      </c>
      <c r="AM78" s="617">
        <f t="shared" si="141"/>
        <v>8216.241931999999</v>
      </c>
      <c r="AN78" s="617">
        <f t="shared" si="141"/>
        <v>8813.1399020000008</v>
      </c>
      <c r="AO78" s="617">
        <f t="shared" si="141"/>
        <v>12750.50079</v>
      </c>
      <c r="AP78" s="617">
        <f t="shared" si="141"/>
        <v>10301.778777</v>
      </c>
      <c r="AQ78" s="617">
        <f t="shared" si="141"/>
        <v>18537.22</v>
      </c>
      <c r="AR78" s="617">
        <f t="shared" si="141"/>
        <v>11722.53</v>
      </c>
      <c r="AS78" s="617">
        <f t="shared" si="141"/>
        <v>14230.68</v>
      </c>
      <c r="AT78" s="617">
        <f t="shared" si="141"/>
        <v>22857.51</v>
      </c>
      <c r="AU78" s="617">
        <f t="shared" si="141"/>
        <v>19072.77</v>
      </c>
      <c r="AV78" s="617">
        <f>SUM(AJ78:AU78)</f>
        <v>149497.83217099999</v>
      </c>
      <c r="BV78" s="617">
        <f>BV41</f>
        <v>17239.805999999997</v>
      </c>
      <c r="BW78" s="617">
        <f t="shared" ref="BW78:CG78" si="142">BW41</f>
        <v>16223.650000000001</v>
      </c>
      <c r="BX78" s="617">
        <f t="shared" si="142"/>
        <v>38199.729999999996</v>
      </c>
      <c r="BY78" s="617">
        <f t="shared" si="142"/>
        <v>121615.76999999999</v>
      </c>
      <c r="BZ78" s="617">
        <f t="shared" si="142"/>
        <v>176027.96000000002</v>
      </c>
      <c r="CA78" s="617">
        <f t="shared" si="142"/>
        <v>51696.229999999996</v>
      </c>
      <c r="CB78" s="617">
        <f t="shared" si="142"/>
        <v>40203.839999999997</v>
      </c>
      <c r="CC78" s="617">
        <f t="shared" si="142"/>
        <v>42278.220999997204</v>
      </c>
      <c r="CD78" s="617">
        <f t="shared" si="142"/>
        <v>53527.380999994697</v>
      </c>
      <c r="CE78" s="617">
        <f t="shared" si="142"/>
        <v>0</v>
      </c>
      <c r="CF78" s="617">
        <f t="shared" si="142"/>
        <v>0</v>
      </c>
      <c r="CG78" s="617">
        <f t="shared" si="142"/>
        <v>0</v>
      </c>
      <c r="CH78" s="617">
        <f>SUM(BV78:CG78)</f>
        <v>557012.58799999184</v>
      </c>
    </row>
    <row r="79" spans="1:86">
      <c r="A79" s="864"/>
      <c r="B79" s="621"/>
      <c r="C79" s="569" t="s">
        <v>47</v>
      </c>
      <c r="T79" s="617">
        <f>SUM(T75:T78)</f>
        <v>341163.58999999997</v>
      </c>
      <c r="U79" s="617">
        <f t="shared" ref="U79:AF79" si="143">SUM(U75:U78)</f>
        <v>286537.18</v>
      </c>
      <c r="V79" s="617">
        <f t="shared" si="143"/>
        <v>331716.87210700003</v>
      </c>
      <c r="W79" s="617">
        <f t="shared" si="143"/>
        <v>257852.63999999998</v>
      </c>
      <c r="X79" s="617">
        <f t="shared" si="143"/>
        <v>352384.2</v>
      </c>
      <c r="Y79" s="617">
        <f t="shared" si="143"/>
        <v>400190.36</v>
      </c>
      <c r="Z79" s="617">
        <f t="shared" si="143"/>
        <v>341291.29430399998</v>
      </c>
      <c r="AA79" s="617">
        <f t="shared" si="143"/>
        <v>344814.81</v>
      </c>
      <c r="AB79" s="617">
        <f t="shared" si="143"/>
        <v>367204.82</v>
      </c>
      <c r="AC79" s="617">
        <f t="shared" si="143"/>
        <v>406734.42</v>
      </c>
      <c r="AD79" s="617">
        <f t="shared" si="143"/>
        <v>461196.06000000006</v>
      </c>
      <c r="AE79" s="617">
        <f t="shared" si="143"/>
        <v>706912.93248900003</v>
      </c>
      <c r="AF79" s="617">
        <f t="shared" si="143"/>
        <v>4597999.1788999997</v>
      </c>
      <c r="AJ79" s="617">
        <f t="shared" ref="AJ79:AV79" si="144">SUM(AJ75:AJ78)</f>
        <v>425902.81088900007</v>
      </c>
      <c r="AK79" s="617">
        <f t="shared" si="144"/>
        <v>370859.59012799984</v>
      </c>
      <c r="AL79" s="617">
        <f t="shared" si="144"/>
        <v>438150.24715900008</v>
      </c>
      <c r="AM79" s="617">
        <f t="shared" si="144"/>
        <v>374874.59737999988</v>
      </c>
      <c r="AN79" s="617">
        <f t="shared" si="144"/>
        <v>475694.02267100004</v>
      </c>
      <c r="AO79" s="617">
        <f t="shared" si="144"/>
        <v>565042.72897999967</v>
      </c>
      <c r="AP79" s="617">
        <f t="shared" si="144"/>
        <v>488460.40287600004</v>
      </c>
      <c r="AQ79" s="617">
        <f t="shared" si="144"/>
        <v>477092.16000000003</v>
      </c>
      <c r="AR79" s="617">
        <f t="shared" si="144"/>
        <v>567260.32000000007</v>
      </c>
      <c r="AS79" s="617">
        <f t="shared" si="144"/>
        <v>623908.18000000005</v>
      </c>
      <c r="AT79" s="617">
        <f t="shared" si="144"/>
        <v>649117.21</v>
      </c>
      <c r="AU79" s="617">
        <f t="shared" si="144"/>
        <v>913356.02</v>
      </c>
      <c r="AV79" s="617">
        <f t="shared" si="144"/>
        <v>6369718.2900829986</v>
      </c>
      <c r="BV79" s="617">
        <f t="shared" ref="BV79:CH79" si="145">SUM(BV75:BV78)</f>
        <v>651485.32799999998</v>
      </c>
      <c r="BW79" s="617">
        <f t="shared" si="145"/>
        <v>618223.32999999996</v>
      </c>
      <c r="BX79" s="617">
        <f t="shared" si="145"/>
        <v>990127.48999999987</v>
      </c>
      <c r="BY79" s="617">
        <f t="shared" si="145"/>
        <v>1048994.3600000001</v>
      </c>
      <c r="BZ79" s="617">
        <f t="shared" si="145"/>
        <v>1189260.25</v>
      </c>
      <c r="CA79" s="617">
        <f t="shared" si="145"/>
        <v>1058579.74</v>
      </c>
      <c r="CB79" s="617">
        <f t="shared" si="145"/>
        <v>916590.28999999992</v>
      </c>
      <c r="CC79" s="617">
        <f t="shared" si="145"/>
        <v>1055590.4700004035</v>
      </c>
      <c r="CD79" s="617">
        <f t="shared" si="145"/>
        <v>951110.99700065795</v>
      </c>
      <c r="CE79" s="617">
        <f t="shared" si="145"/>
        <v>0</v>
      </c>
      <c r="CF79" s="617">
        <f t="shared" si="145"/>
        <v>0</v>
      </c>
      <c r="CG79" s="617">
        <f t="shared" si="145"/>
        <v>0</v>
      </c>
      <c r="CH79" s="617">
        <f t="shared" si="145"/>
        <v>8479962.2550010607</v>
      </c>
    </row>
    <row r="82" spans="1:89">
      <c r="A82" s="865" t="s">
        <v>81</v>
      </c>
      <c r="B82" s="622"/>
      <c r="C82" s="569" t="s">
        <v>87</v>
      </c>
      <c r="T82" s="623">
        <f t="shared" ref="T82:AE82" si="146">T50-T75</f>
        <v>15163.981004650006</v>
      </c>
      <c r="U82" s="623">
        <f t="shared" si="146"/>
        <v>9835.0553450000007</v>
      </c>
      <c r="V82" s="623">
        <f t="shared" si="146"/>
        <v>16921.216439399956</v>
      </c>
      <c r="W82" s="623">
        <f t="shared" si="146"/>
        <v>11181.404534800022</v>
      </c>
      <c r="X82" s="623">
        <f t="shared" si="146"/>
        <v>11669.154999150007</v>
      </c>
      <c r="Y82" s="623">
        <f t="shared" si="146"/>
        <v>11924.809894267732</v>
      </c>
      <c r="Z82" s="623">
        <f t="shared" si="146"/>
        <v>11669.518693681253</v>
      </c>
      <c r="AA82" s="623">
        <f t="shared" si="146"/>
        <v>11981.17419000002</v>
      </c>
      <c r="AB82" s="623">
        <f t="shared" si="146"/>
        <v>12476.705900916131</v>
      </c>
      <c r="AC82" s="623">
        <f t="shared" si="146"/>
        <v>12106.409874608915</v>
      </c>
      <c r="AD82" s="623">
        <f t="shared" si="146"/>
        <v>13235.322770793457</v>
      </c>
      <c r="AE82" s="623">
        <f t="shared" si="146"/>
        <v>16884.870096964209</v>
      </c>
      <c r="AF82" s="623">
        <f>SUM(T82:AE82)</f>
        <v>155049.62374423171</v>
      </c>
      <c r="AG82" s="623"/>
      <c r="AH82" s="623"/>
      <c r="AI82" s="623"/>
      <c r="AJ82" s="623">
        <f t="shared" ref="AJ82" si="147">AJ50-AJ75</f>
        <v>8568.7177944710129</v>
      </c>
      <c r="AK82" s="623">
        <f t="shared" ref="AK82:AU82" si="148">AK50-AK75</f>
        <v>4625.1261912225455</v>
      </c>
      <c r="AL82" s="623">
        <f t="shared" si="148"/>
        <v>5077.7666510375857</v>
      </c>
      <c r="AM82" s="623">
        <f t="shared" si="148"/>
        <v>1413.0860151969537</v>
      </c>
      <c r="AN82" s="623">
        <f t="shared" si="148"/>
        <v>2609.4087093666021</v>
      </c>
      <c r="AO82" s="623">
        <f t="shared" si="148"/>
        <v>819.28682303140522</v>
      </c>
      <c r="AP82" s="623">
        <f t="shared" si="148"/>
        <v>-1610.390152412263</v>
      </c>
      <c r="AQ82" s="623">
        <f t="shared" si="148"/>
        <v>-2741.5789469387091</v>
      </c>
      <c r="AR82" s="623">
        <f t="shared" si="148"/>
        <v>-5105.9203592166887</v>
      </c>
      <c r="AS82" s="623">
        <f t="shared" si="148"/>
        <v>-4232.8568804999522</v>
      </c>
      <c r="AT82" s="623">
        <f t="shared" si="148"/>
        <v>-976.47661150002386</v>
      </c>
      <c r="AU82" s="623">
        <f t="shared" si="148"/>
        <v>-1227.0473945000558</v>
      </c>
      <c r="AV82" s="623">
        <f>SUM(AJ82:AU82)</f>
        <v>7219.1218392584124</v>
      </c>
      <c r="BV82" s="623">
        <f t="shared" ref="BV82:CG82" si="149">BV50-BV75</f>
        <v>-4221.3049620000238</v>
      </c>
      <c r="BW82" s="623">
        <f t="shared" si="149"/>
        <v>-6897.5800159999926</v>
      </c>
      <c r="BX82" s="623">
        <f t="shared" si="149"/>
        <v>-6094.5677379999834</v>
      </c>
      <c r="BY82" s="623">
        <f t="shared" si="149"/>
        <v>2971.3738054999849</v>
      </c>
      <c r="BZ82" s="623">
        <f t="shared" si="149"/>
        <v>9984.6326910000644</v>
      </c>
      <c r="CA82" s="623">
        <f t="shared" si="149"/>
        <v>18932.359617999988</v>
      </c>
      <c r="CB82" s="623">
        <f t="shared" si="149"/>
        <v>13011.333278499951</v>
      </c>
      <c r="CC82" s="623">
        <f t="shared" si="149"/>
        <v>17775.275784323108</v>
      </c>
      <c r="CD82" s="623">
        <f t="shared" si="149"/>
        <v>-324756.67200029572</v>
      </c>
      <c r="CE82" s="623">
        <f t="shared" si="149"/>
        <v>0</v>
      </c>
      <c r="CF82" s="623">
        <f t="shared" si="149"/>
        <v>0</v>
      </c>
      <c r="CG82" s="623">
        <f t="shared" si="149"/>
        <v>0</v>
      </c>
      <c r="CH82" s="623">
        <f>SUM(BV82:CG82)</f>
        <v>-279295.14953897265</v>
      </c>
    </row>
    <row r="83" spans="1:89">
      <c r="A83" s="865"/>
      <c r="B83" s="622"/>
      <c r="C83" s="569" t="s">
        <v>137</v>
      </c>
      <c r="T83" s="623">
        <f t="shared" ref="T83:AE83" si="150">T56-T76</f>
        <v>-1927.0979378999618</v>
      </c>
      <c r="U83" s="623">
        <f t="shared" si="150"/>
        <v>-1055.172342099977</v>
      </c>
      <c r="V83" s="623">
        <f t="shared" si="150"/>
        <v>575.22497000001022</v>
      </c>
      <c r="W83" s="623">
        <f t="shared" si="150"/>
        <v>179.7578125</v>
      </c>
      <c r="X83" s="623">
        <f t="shared" si="150"/>
        <v>-38499.19810193064</v>
      </c>
      <c r="Y83" s="623">
        <f t="shared" si="150"/>
        <v>-40979.389439464459</v>
      </c>
      <c r="Z83" s="623">
        <f t="shared" si="150"/>
        <v>-29300.566596058139</v>
      </c>
      <c r="AA83" s="623">
        <f t="shared" si="150"/>
        <v>-28963.86148999157</v>
      </c>
      <c r="AB83" s="623">
        <f t="shared" si="150"/>
        <v>-4737.0666174278304</v>
      </c>
      <c r="AC83" s="623">
        <f t="shared" si="150"/>
        <v>1336.1600643000274</v>
      </c>
      <c r="AD83" s="623">
        <f t="shared" si="150"/>
        <v>2625.0904624577961</v>
      </c>
      <c r="AE83" s="623">
        <f t="shared" si="150"/>
        <v>-24293.191749274381</v>
      </c>
      <c r="AF83" s="623">
        <f>SUM(T83:AE83)</f>
        <v>-165039.31096488913</v>
      </c>
      <c r="AG83" s="623"/>
      <c r="AH83" s="623"/>
      <c r="AI83" s="623"/>
      <c r="AJ83" s="623">
        <f>AJ56-AJ76</f>
        <v>1000.1828521566058</v>
      </c>
      <c r="AK83" s="623">
        <f t="shared" ref="AK83:AU83" si="151">AK56-AK76</f>
        <v>59.941814779478591</v>
      </c>
      <c r="AL83" s="623">
        <f t="shared" si="151"/>
        <v>878.02232337693567</v>
      </c>
      <c r="AM83" s="623">
        <f t="shared" si="151"/>
        <v>51.438627674273448</v>
      </c>
      <c r="AN83" s="623">
        <f t="shared" si="151"/>
        <v>-341.40750999114243</v>
      </c>
      <c r="AO83" s="623">
        <f t="shared" si="151"/>
        <v>-563.17341144452803</v>
      </c>
      <c r="AP83" s="623">
        <f t="shared" si="151"/>
        <v>-1209.7637544452737</v>
      </c>
      <c r="AQ83" s="623">
        <f t="shared" si="151"/>
        <v>-3457.4520160875109</v>
      </c>
      <c r="AR83" s="623">
        <f t="shared" si="151"/>
        <v>-467.22324173731613</v>
      </c>
      <c r="AS83" s="623">
        <f t="shared" si="151"/>
        <v>-985.06770999997389</v>
      </c>
      <c r="AT83" s="623">
        <f t="shared" si="151"/>
        <v>-75.562275000003865</v>
      </c>
      <c r="AU83" s="623">
        <f t="shared" si="151"/>
        <v>0.4858150000218302</v>
      </c>
      <c r="AV83" s="623">
        <f>SUM(AJ83:AU83)</f>
        <v>-5109.5784857184335</v>
      </c>
      <c r="BV83" s="623">
        <f>BV56-BV76</f>
        <v>-1018.9009899999364</v>
      </c>
      <c r="BW83" s="623">
        <f t="shared" ref="BW83:CG83" si="152">BW56-BW76</f>
        <v>-196.76196299993899</v>
      </c>
      <c r="BX83" s="623">
        <f t="shared" si="152"/>
        <v>-3920.4550335000968</v>
      </c>
      <c r="BY83" s="623">
        <f t="shared" si="152"/>
        <v>-1067.7551509999321</v>
      </c>
      <c r="BZ83" s="623">
        <f t="shared" si="152"/>
        <v>1553.6724180000019</v>
      </c>
      <c r="CA83" s="623">
        <f t="shared" si="152"/>
        <v>-54.862335999961942</v>
      </c>
      <c r="CB83" s="623">
        <f t="shared" si="152"/>
        <v>-2251.5926749999635</v>
      </c>
      <c r="CC83" s="623">
        <f t="shared" si="152"/>
        <v>-4243.7680202116608</v>
      </c>
      <c r="CD83" s="623">
        <f t="shared" si="152"/>
        <v>-430826.65100035846</v>
      </c>
      <c r="CE83" s="623">
        <f t="shared" si="152"/>
        <v>0</v>
      </c>
      <c r="CF83" s="623">
        <f t="shared" si="152"/>
        <v>0</v>
      </c>
      <c r="CG83" s="623">
        <f t="shared" si="152"/>
        <v>0</v>
      </c>
      <c r="CH83" s="623">
        <f>SUM(BV83:CG83)</f>
        <v>-442027.07475106994</v>
      </c>
    </row>
    <row r="84" spans="1:89">
      <c r="A84" s="865"/>
      <c r="B84" s="622"/>
      <c r="C84" s="569" t="s">
        <v>89</v>
      </c>
      <c r="T84" s="623">
        <f t="shared" ref="T84:AE84" si="153">T62-T77</f>
        <v>0</v>
      </c>
      <c r="U84" s="623">
        <f t="shared" si="153"/>
        <v>0</v>
      </c>
      <c r="V84" s="623">
        <f t="shared" si="153"/>
        <v>0</v>
      </c>
      <c r="W84" s="623">
        <f t="shared" si="153"/>
        <v>2.4857839999999989</v>
      </c>
      <c r="X84" s="623">
        <f t="shared" si="153"/>
        <v>1858.2463543000013</v>
      </c>
      <c r="Y84" s="623">
        <f t="shared" si="153"/>
        <v>4065.5334887500067</v>
      </c>
      <c r="Z84" s="623">
        <f t="shared" si="153"/>
        <v>3406.9287127500065</v>
      </c>
      <c r="AA84" s="623">
        <f t="shared" si="153"/>
        <v>3390.2964992999987</v>
      </c>
      <c r="AB84" s="623">
        <f t="shared" si="153"/>
        <v>3728.3208016654826</v>
      </c>
      <c r="AC84" s="623">
        <f t="shared" si="153"/>
        <v>3846.1126644000033</v>
      </c>
      <c r="AD84" s="623">
        <f t="shared" si="153"/>
        <v>4097.5171840000112</v>
      </c>
      <c r="AE84" s="623">
        <f t="shared" si="153"/>
        <v>5198.4187816744961</v>
      </c>
      <c r="AF84" s="623">
        <f>SUM(T84:AE84)</f>
        <v>29593.860270840007</v>
      </c>
      <c r="AG84" s="623"/>
      <c r="AH84" s="623"/>
      <c r="AI84" s="623"/>
      <c r="AJ84" s="623">
        <f>AJ62-AJ77</f>
        <v>3283.7339745499994</v>
      </c>
      <c r="AK84" s="623">
        <f t="shared" ref="AK84:AU84" si="154">AK62-AK77</f>
        <v>2625.5384110227096</v>
      </c>
      <c r="AL84" s="623">
        <f t="shared" si="154"/>
        <v>2395.3770431346493</v>
      </c>
      <c r="AM84" s="623">
        <f t="shared" si="154"/>
        <v>950.88172254482197</v>
      </c>
      <c r="AN84" s="623">
        <f t="shared" si="154"/>
        <v>1322.5220590129611</v>
      </c>
      <c r="AO84" s="623">
        <f t="shared" si="154"/>
        <v>1208.4511604544387</v>
      </c>
      <c r="AP84" s="623">
        <f t="shared" si="154"/>
        <v>941.22435351024615</v>
      </c>
      <c r="AQ84" s="623">
        <f t="shared" si="154"/>
        <v>1015.3685287631379</v>
      </c>
      <c r="AR84" s="623">
        <f t="shared" si="154"/>
        <v>984.93251594742469</v>
      </c>
      <c r="AS84" s="623">
        <f t="shared" si="154"/>
        <v>607.39864200000011</v>
      </c>
      <c r="AT84" s="623">
        <f t="shared" si="154"/>
        <v>928.50223700000788</v>
      </c>
      <c r="AU84" s="623">
        <f t="shared" si="154"/>
        <v>-8.6967629999853671</v>
      </c>
      <c r="AV84" s="623">
        <f>SUM(AJ84:AU84)</f>
        <v>16255.233884940411</v>
      </c>
      <c r="BV84" s="623">
        <f>BV62-BV77</f>
        <v>-705.3655569999537</v>
      </c>
      <c r="BW84" s="623">
        <f t="shared" ref="BW84:CG84" si="155">BW62-BW77</f>
        <v>-1006.1500969999906</v>
      </c>
      <c r="BX84" s="623">
        <f t="shared" si="155"/>
        <v>-2043.1763114999922</v>
      </c>
      <c r="BY84" s="623">
        <f t="shared" si="155"/>
        <v>-2185.7280709999905</v>
      </c>
      <c r="BZ84" s="623">
        <f t="shared" si="155"/>
        <v>-803.13397600007011</v>
      </c>
      <c r="CA84" s="623">
        <f t="shared" si="155"/>
        <v>-1112.0041360000614</v>
      </c>
      <c r="CB84" s="623">
        <f t="shared" si="155"/>
        <v>-1653.1284739999392</v>
      </c>
      <c r="CC84" s="623">
        <f t="shared" si="155"/>
        <v>-1140.487126517779</v>
      </c>
      <c r="CD84" s="623">
        <f t="shared" si="155"/>
        <v>-142000.29300000911</v>
      </c>
      <c r="CE84" s="623">
        <f t="shared" si="155"/>
        <v>0</v>
      </c>
      <c r="CF84" s="623">
        <f t="shared" si="155"/>
        <v>0</v>
      </c>
      <c r="CG84" s="623">
        <f t="shared" si="155"/>
        <v>0</v>
      </c>
      <c r="CH84" s="623">
        <f>SUM(BV84:CG84)</f>
        <v>-152649.46674902691</v>
      </c>
    </row>
    <row r="85" spans="1:89">
      <c r="A85" s="865"/>
      <c r="B85" s="622"/>
      <c r="C85" s="569" t="s">
        <v>138</v>
      </c>
      <c r="T85" s="623">
        <f t="shared" ref="T85:AE85" si="156">T68-T78</f>
        <v>0</v>
      </c>
      <c r="U85" s="623">
        <f t="shared" si="156"/>
        <v>0</v>
      </c>
      <c r="V85" s="623">
        <f t="shared" si="156"/>
        <v>0</v>
      </c>
      <c r="W85" s="623">
        <f t="shared" si="156"/>
        <v>-15.442481988247579</v>
      </c>
      <c r="X85" s="623">
        <f t="shared" si="156"/>
        <v>78.249183500000299</v>
      </c>
      <c r="Y85" s="623">
        <f t="shared" si="156"/>
        <v>27.045294500000182</v>
      </c>
      <c r="Z85" s="623">
        <f t="shared" si="156"/>
        <v>51.8626505000002</v>
      </c>
      <c r="AA85" s="623">
        <f t="shared" si="156"/>
        <v>95.68771230000084</v>
      </c>
      <c r="AB85" s="623">
        <f t="shared" si="156"/>
        <v>57.465782200000376</v>
      </c>
      <c r="AC85" s="623">
        <f t="shared" si="156"/>
        <v>38.822009000001344</v>
      </c>
      <c r="AD85" s="623">
        <f t="shared" si="156"/>
        <v>-200.91823039999872</v>
      </c>
      <c r="AE85" s="623">
        <f t="shared" si="156"/>
        <v>146.29327503069362</v>
      </c>
      <c r="AF85" s="623">
        <f>SUM(T85:AE85)</f>
        <v>279.06519464245059</v>
      </c>
      <c r="AG85" s="623"/>
      <c r="AH85" s="623"/>
      <c r="AI85" s="623"/>
      <c r="AJ85" s="623">
        <f>AJ68-AJ78</f>
        <v>-51.103182599999855</v>
      </c>
      <c r="AK85" s="623">
        <f t="shared" ref="AK85:AU85" si="157">AK68-AK78</f>
        <v>-66.797311583352894</v>
      </c>
      <c r="AL85" s="623">
        <f t="shared" si="157"/>
        <v>-9.282797888314235</v>
      </c>
      <c r="AM85" s="623">
        <f t="shared" si="157"/>
        <v>-79.894775985879278</v>
      </c>
      <c r="AN85" s="623">
        <f t="shared" si="157"/>
        <v>19.817792022664435</v>
      </c>
      <c r="AO85" s="623">
        <f t="shared" si="157"/>
        <v>157.87114463065336</v>
      </c>
      <c r="AP85" s="623">
        <f t="shared" si="157"/>
        <v>-156.31321448860581</v>
      </c>
      <c r="AQ85" s="623">
        <f t="shared" si="157"/>
        <v>-223.21654913807288</v>
      </c>
      <c r="AR85" s="623">
        <f t="shared" si="157"/>
        <v>-215.49749910508399</v>
      </c>
      <c r="AS85" s="623">
        <f t="shared" si="157"/>
        <v>-293.79184799999894</v>
      </c>
      <c r="AT85" s="623">
        <f t="shared" si="157"/>
        <v>-306.97110999999495</v>
      </c>
      <c r="AU85" s="623">
        <f t="shared" si="157"/>
        <v>-407.26589550000062</v>
      </c>
      <c r="AV85" s="623">
        <f>SUM(AJ85:AU85)</f>
        <v>-1632.4452476359857</v>
      </c>
      <c r="BV85" s="623">
        <f>BV68-BV78</f>
        <v>-2155.2097699999958</v>
      </c>
      <c r="BW85" s="623">
        <f t="shared" ref="BW85:CG85" si="158">BW68-BW78</f>
        <v>-554.72437600000012</v>
      </c>
      <c r="BX85" s="623">
        <f t="shared" si="158"/>
        <v>-1808.0074074999939</v>
      </c>
      <c r="BY85" s="623">
        <f t="shared" si="158"/>
        <v>7105.8809920000349</v>
      </c>
      <c r="BZ85" s="623">
        <f t="shared" si="158"/>
        <v>2468.7831500000029</v>
      </c>
      <c r="CA85" s="623">
        <f t="shared" si="158"/>
        <v>53.933618999995815</v>
      </c>
      <c r="CB85" s="623">
        <f t="shared" si="158"/>
        <v>-342.62217499998951</v>
      </c>
      <c r="CC85" s="623">
        <f t="shared" si="158"/>
        <v>170.49897300280281</v>
      </c>
      <c r="CD85" s="623">
        <f t="shared" si="158"/>
        <v>-53527.380999994697</v>
      </c>
      <c r="CE85" s="623">
        <f t="shared" si="158"/>
        <v>0</v>
      </c>
      <c r="CF85" s="623">
        <f t="shared" si="158"/>
        <v>0</v>
      </c>
      <c r="CG85" s="623">
        <f t="shared" si="158"/>
        <v>0</v>
      </c>
      <c r="CH85" s="623">
        <f>SUM(BV85:CG85)</f>
        <v>-48588.847994491836</v>
      </c>
    </row>
    <row r="86" spans="1:89" s="577" customFormat="1">
      <c r="A86" s="865"/>
      <c r="B86" s="622"/>
      <c r="C86" s="577" t="s">
        <v>47</v>
      </c>
      <c r="T86" s="624">
        <f t="shared" ref="T86:AF86" si="159">SUM(T82:T85)</f>
        <v>13236.883066750044</v>
      </c>
      <c r="U86" s="624">
        <f t="shared" si="159"/>
        <v>8779.8830029000237</v>
      </c>
      <c r="V86" s="624">
        <f t="shared" si="159"/>
        <v>17496.441409399966</v>
      </c>
      <c r="W86" s="624">
        <f t="shared" si="159"/>
        <v>11348.205649311774</v>
      </c>
      <c r="X86" s="624">
        <f t="shared" si="159"/>
        <v>-24893.547564980632</v>
      </c>
      <c r="Y86" s="624">
        <f t="shared" si="159"/>
        <v>-24962.000761946721</v>
      </c>
      <c r="Z86" s="624">
        <f t="shared" si="159"/>
        <v>-14172.25653912688</v>
      </c>
      <c r="AA86" s="624">
        <f t="shared" si="159"/>
        <v>-13496.70308839155</v>
      </c>
      <c r="AB86" s="624">
        <f t="shared" si="159"/>
        <v>11525.425867353784</v>
      </c>
      <c r="AC86" s="624">
        <f t="shared" si="159"/>
        <v>17327.504612308949</v>
      </c>
      <c r="AD86" s="624">
        <f t="shared" si="159"/>
        <v>19757.012186851265</v>
      </c>
      <c r="AE86" s="624">
        <f t="shared" si="159"/>
        <v>-2063.609595604983</v>
      </c>
      <c r="AF86" s="624">
        <f t="shared" si="159"/>
        <v>19883.238244825039</v>
      </c>
      <c r="AG86" s="624"/>
      <c r="AH86" s="624"/>
      <c r="AI86" s="624"/>
      <c r="AJ86" s="624">
        <f t="shared" ref="AJ86:AV86" si="160">SUM(AJ82:AJ85)</f>
        <v>12801.531438577618</v>
      </c>
      <c r="AK86" s="624">
        <f t="shared" si="160"/>
        <v>7243.8091054413808</v>
      </c>
      <c r="AL86" s="624">
        <f t="shared" si="160"/>
        <v>8341.8832196608564</v>
      </c>
      <c r="AM86" s="624">
        <f t="shared" si="160"/>
        <v>2335.5115894301698</v>
      </c>
      <c r="AN86" s="624">
        <f t="shared" si="160"/>
        <v>3610.3410504110852</v>
      </c>
      <c r="AO86" s="624">
        <f t="shared" si="160"/>
        <v>1622.4357166719692</v>
      </c>
      <c r="AP86" s="624">
        <f t="shared" si="160"/>
        <v>-2035.2427678358963</v>
      </c>
      <c r="AQ86" s="624">
        <f t="shared" si="160"/>
        <v>-5406.878983401155</v>
      </c>
      <c r="AR86" s="624">
        <f t="shared" si="160"/>
        <v>-4803.7085841116641</v>
      </c>
      <c r="AS86" s="624">
        <f t="shared" si="160"/>
        <v>-4904.317796499925</v>
      </c>
      <c r="AT86" s="624">
        <f t="shared" si="160"/>
        <v>-430.5077595000148</v>
      </c>
      <c r="AU86" s="624">
        <f t="shared" si="160"/>
        <v>-1642.52423800002</v>
      </c>
      <c r="AV86" s="624">
        <f t="shared" si="160"/>
        <v>16732.331990844403</v>
      </c>
      <c r="AW86" s="576">
        <f>AV86/AV79</f>
        <v>2.6268558873152894E-3</v>
      </c>
      <c r="AX86" s="576"/>
      <c r="AY86" s="576"/>
      <c r="AZ86" s="576"/>
      <c r="BD86" s="625"/>
      <c r="BE86" s="625"/>
      <c r="BF86" s="625"/>
      <c r="BG86" s="625"/>
      <c r="BH86" s="625"/>
      <c r="BI86" s="625"/>
      <c r="BJ86" s="625"/>
      <c r="BK86" s="625"/>
      <c r="BL86" s="625"/>
      <c r="BM86" s="625"/>
      <c r="BN86" s="625"/>
      <c r="BO86" s="625"/>
      <c r="BV86" s="624">
        <f t="shared" ref="BV86:CH86" si="161">SUM(BV82:BV85)</f>
        <v>-8100.7812789999098</v>
      </c>
      <c r="BW86" s="624">
        <f t="shared" si="161"/>
        <v>-8655.2164519999224</v>
      </c>
      <c r="BX86" s="624">
        <f t="shared" si="161"/>
        <v>-13866.206490500066</v>
      </c>
      <c r="BY86" s="624">
        <f t="shared" si="161"/>
        <v>6823.7715755000972</v>
      </c>
      <c r="BZ86" s="624">
        <f t="shared" si="161"/>
        <v>13203.954282999999</v>
      </c>
      <c r="CA86" s="624">
        <f t="shared" si="161"/>
        <v>17819.42676499996</v>
      </c>
      <c r="CB86" s="624">
        <f t="shared" si="161"/>
        <v>8763.989954500059</v>
      </c>
      <c r="CC86" s="624">
        <f t="shared" si="161"/>
        <v>12561.519610596471</v>
      </c>
      <c r="CD86" s="624">
        <f t="shared" si="161"/>
        <v>-951110.99700065795</v>
      </c>
      <c r="CE86" s="624">
        <f t="shared" si="161"/>
        <v>0</v>
      </c>
      <c r="CF86" s="624">
        <f t="shared" si="161"/>
        <v>0</v>
      </c>
      <c r="CG86" s="624">
        <f t="shared" si="161"/>
        <v>0</v>
      </c>
      <c r="CH86" s="624">
        <f t="shared" si="161"/>
        <v>-922560.53903356136</v>
      </c>
      <c r="CI86" s="576">
        <f>CH86/CH79</f>
        <v>-0.10879300063977065</v>
      </c>
      <c r="CJ86" s="576"/>
      <c r="CK86" s="576"/>
    </row>
    <row r="87" spans="1:89">
      <c r="BV87" s="576">
        <f>BV86/BV79</f>
        <v>-1.2434326501056537E-2</v>
      </c>
      <c r="BW87" s="576">
        <f>BW86/BW79</f>
        <v>-1.4000145306712904E-2</v>
      </c>
    </row>
    <row r="88" spans="1:89">
      <c r="U88" s="576"/>
      <c r="V88" s="576"/>
      <c r="W88" s="576"/>
      <c r="X88" s="576"/>
      <c r="Y88" s="576"/>
      <c r="Z88" s="576"/>
      <c r="AA88" s="576"/>
      <c r="AB88" s="576"/>
      <c r="AC88" s="576"/>
      <c r="AD88" s="576"/>
      <c r="AE88" s="576"/>
      <c r="AJ88" s="576"/>
      <c r="AK88" s="576"/>
      <c r="AL88" s="576"/>
      <c r="AM88" s="576"/>
      <c r="AN88" s="576"/>
      <c r="AO88" s="576"/>
      <c r="AP88" s="576"/>
      <c r="AQ88" s="576"/>
      <c r="AR88" s="576"/>
      <c r="AS88" s="576"/>
      <c r="AT88" s="576"/>
      <c r="AU88" s="576"/>
      <c r="AV88" s="576"/>
      <c r="BD88" s="582"/>
      <c r="BE88" s="582"/>
      <c r="BF88" s="582"/>
      <c r="BG88" s="582"/>
      <c r="BH88" s="582"/>
      <c r="BI88" s="582"/>
      <c r="BJ88" s="582"/>
      <c r="BK88" s="582"/>
      <c r="BL88" s="582"/>
      <c r="BM88" s="582"/>
      <c r="BN88" s="582"/>
      <c r="BO88" s="582"/>
      <c r="BP88" s="582"/>
      <c r="BQ88" s="576"/>
      <c r="BR88" s="576"/>
      <c r="BV88" s="576"/>
      <c r="BW88" s="576"/>
      <c r="BX88" s="576"/>
      <c r="BY88" s="576"/>
      <c r="BZ88" s="576"/>
      <c r="CA88" s="576"/>
      <c r="CB88" s="576"/>
      <c r="CC88" s="576"/>
      <c r="CD88" s="576"/>
      <c r="CE88" s="576"/>
      <c r="CF88" s="576"/>
      <c r="CG88" s="576"/>
      <c r="CH88" s="576"/>
    </row>
    <row r="89" spans="1:89">
      <c r="B89" s="569" t="s">
        <v>139</v>
      </c>
      <c r="U89" s="576"/>
      <c r="V89" s="576"/>
      <c r="W89" s="576"/>
      <c r="X89" s="576"/>
      <c r="Y89" s="576"/>
      <c r="Z89" s="576"/>
      <c r="AA89" s="576"/>
      <c r="AB89" s="576"/>
      <c r="AC89" s="576"/>
      <c r="AD89" s="576"/>
      <c r="AE89" s="576"/>
      <c r="AJ89" s="576"/>
      <c r="AK89" s="576"/>
      <c r="AL89" s="576"/>
      <c r="AM89" s="576"/>
      <c r="AN89" s="576"/>
      <c r="AO89" s="576"/>
      <c r="AP89" s="576"/>
      <c r="AQ89" s="576"/>
      <c r="AR89" s="576"/>
      <c r="AS89" s="576"/>
      <c r="AT89" s="576"/>
      <c r="AU89" s="576"/>
      <c r="AV89" s="576"/>
      <c r="BD89" s="582"/>
      <c r="BE89" s="582"/>
      <c r="BF89" s="582"/>
      <c r="BG89" s="582"/>
      <c r="BH89" s="582"/>
      <c r="BI89" s="582"/>
      <c r="BJ89" s="582"/>
      <c r="BK89" s="582"/>
      <c r="BL89" s="582"/>
      <c r="BM89" s="582"/>
      <c r="BN89" s="582"/>
      <c r="BO89" s="582"/>
      <c r="BP89" s="582" t="s">
        <v>140</v>
      </c>
      <c r="BQ89" s="582" t="s">
        <v>141</v>
      </c>
      <c r="BR89" s="576"/>
      <c r="BS89" s="569">
        <v>2016</v>
      </c>
      <c r="BV89" s="576"/>
      <c r="BW89" s="576"/>
      <c r="BX89" s="576"/>
      <c r="BY89" s="576"/>
      <c r="BZ89" s="576"/>
      <c r="CA89" s="576"/>
      <c r="CB89" s="576"/>
      <c r="CC89" s="576"/>
      <c r="CD89" s="576"/>
      <c r="CE89" s="576"/>
      <c r="CF89" s="576"/>
      <c r="CG89" s="576"/>
      <c r="CH89" s="576"/>
    </row>
    <row r="90" spans="1:89">
      <c r="C90" s="569" t="s">
        <v>119</v>
      </c>
      <c r="U90" s="576"/>
      <c r="V90" s="576"/>
      <c r="W90" s="576"/>
      <c r="X90" s="576"/>
      <c r="Y90" s="576"/>
      <c r="Z90" s="576"/>
      <c r="AA90" s="576"/>
      <c r="AB90" s="576"/>
      <c r="AC90" s="576"/>
      <c r="AD90" s="576"/>
      <c r="AE90" s="576"/>
      <c r="AJ90" s="576"/>
      <c r="AK90" s="576"/>
      <c r="AL90" s="576"/>
      <c r="AM90" s="576"/>
      <c r="AN90" s="576"/>
      <c r="AO90" s="576"/>
      <c r="AP90" s="576"/>
      <c r="AQ90" s="576"/>
      <c r="AR90" s="576"/>
      <c r="AS90" s="576"/>
      <c r="AT90" s="576"/>
      <c r="AU90" s="576"/>
      <c r="AV90" s="576"/>
      <c r="BD90" s="582"/>
      <c r="BE90" s="582"/>
      <c r="BF90" s="582"/>
      <c r="BG90" s="582"/>
      <c r="BH90" s="582"/>
      <c r="BI90" s="582"/>
      <c r="BJ90" s="582"/>
      <c r="BK90" s="582"/>
      <c r="BL90" s="582"/>
      <c r="BM90" s="582"/>
      <c r="BN90" s="582"/>
      <c r="BO90" s="582"/>
      <c r="BP90" s="582"/>
      <c r="BQ90" s="576"/>
      <c r="BR90" s="576"/>
      <c r="BV90" s="576"/>
      <c r="BW90" s="576"/>
      <c r="BX90" s="576"/>
      <c r="BY90" s="576"/>
      <c r="BZ90" s="576"/>
      <c r="CA90" s="576"/>
      <c r="CB90" s="576"/>
      <c r="CC90" s="576"/>
      <c r="CD90" s="576"/>
      <c r="CE90" s="576"/>
      <c r="CF90" s="576"/>
      <c r="CG90" s="576"/>
      <c r="CH90" s="576"/>
    </row>
    <row r="91" spans="1:89">
      <c r="C91" s="587"/>
      <c r="D91" s="587" t="s">
        <v>86</v>
      </c>
      <c r="U91" s="576"/>
      <c r="V91" s="576"/>
      <c r="W91" s="576"/>
      <c r="X91" s="576"/>
      <c r="Y91" s="576"/>
      <c r="Z91" s="576"/>
      <c r="AA91" s="576"/>
      <c r="AB91" s="576"/>
      <c r="AC91" s="576"/>
      <c r="AD91" s="576"/>
      <c r="AE91" s="576"/>
      <c r="AJ91" s="576"/>
      <c r="AK91" s="576"/>
      <c r="AL91" s="576"/>
      <c r="AM91" s="576"/>
      <c r="AN91" s="576"/>
      <c r="AO91" s="576"/>
      <c r="AP91" s="576"/>
      <c r="AQ91" s="576"/>
      <c r="AR91" s="576"/>
      <c r="AS91" s="626">
        <f t="shared" ref="AS91:AU92" si="162">AS27/AS7*1000</f>
        <v>0.10575420066780077</v>
      </c>
      <c r="AT91" s="626">
        <f t="shared" si="162"/>
        <v>0.13919241598843524</v>
      </c>
      <c r="AU91" s="626">
        <f t="shared" si="162"/>
        <v>0.18369656498784184</v>
      </c>
      <c r="AV91" s="576"/>
      <c r="BD91" s="613">
        <f>BD27/BD7</f>
        <v>9.5377835715406876E-5</v>
      </c>
      <c r="BE91" s="613">
        <f t="shared" ref="BE91:BO92" si="163">BE27/BE7</f>
        <v>9.5377835715406876E-5</v>
      </c>
      <c r="BF91" s="613">
        <f t="shared" si="163"/>
        <v>9.5377835715406889E-5</v>
      </c>
      <c r="BG91" s="613">
        <f t="shared" si="163"/>
        <v>9.5377835715406862E-5</v>
      </c>
      <c r="BH91" s="613">
        <f t="shared" si="163"/>
        <v>9.5377835715406862E-5</v>
      </c>
      <c r="BI91" s="613">
        <f t="shared" si="163"/>
        <v>9.5377835715406903E-5</v>
      </c>
      <c r="BJ91" s="613">
        <f t="shared" si="163"/>
        <v>9.5377835715406889E-5</v>
      </c>
      <c r="BK91" s="613">
        <f t="shared" si="163"/>
        <v>9.5377835715406889E-5</v>
      </c>
      <c r="BL91" s="613">
        <f t="shared" si="163"/>
        <v>9.5377835715406889E-5</v>
      </c>
      <c r="BM91" s="613">
        <f t="shared" si="163"/>
        <v>9.5377835715406889E-5</v>
      </c>
      <c r="BN91" s="613">
        <f t="shared" si="163"/>
        <v>9.5377835715406876E-5</v>
      </c>
      <c r="BO91" s="613">
        <f t="shared" si="163"/>
        <v>9.5377835715406862E-5</v>
      </c>
      <c r="BP91" s="627">
        <f>BO91/BS91</f>
        <v>0.8499584994785746</v>
      </c>
      <c r="BQ91" s="627" t="e">
        <f>BO91/#REF!</f>
        <v>#REF!</v>
      </c>
      <c r="BR91" s="576"/>
      <c r="BS91" s="613">
        <v>1.1221469727512397E-4</v>
      </c>
      <c r="BV91" s="626">
        <f t="shared" ref="BV91:BX91" si="164">BV27/BV7*1000</f>
        <v>0.14092219040651593</v>
      </c>
      <c r="BW91" s="626">
        <f t="shared" si="164"/>
        <v>0.12859231796906354</v>
      </c>
      <c r="BX91" s="626">
        <f t="shared" si="164"/>
        <v>0.13639739244562157</v>
      </c>
      <c r="BY91" s="626">
        <f t="shared" ref="BY91" si="165">BY27/BY7*1000</f>
        <v>0.17793695855117289</v>
      </c>
      <c r="BZ91" s="626">
        <f t="shared" ref="BZ91:CG91" si="166">BZ27/BZ7*1000</f>
        <v>0.1934079548929192</v>
      </c>
      <c r="CA91" s="626">
        <f t="shared" si="166"/>
        <v>0.18740504718284404</v>
      </c>
      <c r="CB91" s="626">
        <f t="shared" si="166"/>
        <v>0.1790712850324859</v>
      </c>
      <c r="CC91" s="626">
        <f t="shared" si="166"/>
        <v>0.20620535839277729</v>
      </c>
      <c r="CD91" s="626">
        <f t="shared" si="166"/>
        <v>0.18124363255194065</v>
      </c>
      <c r="CE91" s="626" t="e">
        <f t="shared" si="166"/>
        <v>#DIV/0!</v>
      </c>
      <c r="CF91" s="626" t="e">
        <f t="shared" si="166"/>
        <v>#DIV/0!</v>
      </c>
      <c r="CG91" s="626" t="e">
        <f t="shared" si="166"/>
        <v>#DIV/0!</v>
      </c>
      <c r="CH91" s="576"/>
    </row>
    <row r="92" spans="1:89">
      <c r="C92" s="587"/>
      <c r="D92" s="587" t="s">
        <v>120</v>
      </c>
      <c r="AS92" s="626">
        <f t="shared" si="162"/>
        <v>1.86790803649416</v>
      </c>
      <c r="AT92" s="626">
        <f t="shared" si="162"/>
        <v>2.2178469510069747</v>
      </c>
      <c r="AU92" s="626">
        <f t="shared" si="162"/>
        <v>2.6922274425416153</v>
      </c>
      <c r="BD92" s="613">
        <f>BD28/BD8</f>
        <v>1.4420771480383419E-3</v>
      </c>
      <c r="BE92" s="613">
        <f t="shared" si="163"/>
        <v>1.4420771480383419E-3</v>
      </c>
      <c r="BF92" s="613">
        <f t="shared" si="163"/>
        <v>1.4420771480383422E-3</v>
      </c>
      <c r="BG92" s="613">
        <f t="shared" si="163"/>
        <v>1.4420771480383419E-3</v>
      </c>
      <c r="BH92" s="613">
        <f t="shared" si="163"/>
        <v>1.4420771480383419E-3</v>
      </c>
      <c r="BI92" s="613">
        <f t="shared" si="163"/>
        <v>1.4420771480383422E-3</v>
      </c>
      <c r="BJ92" s="613">
        <f t="shared" si="163"/>
        <v>1.4420771480383419E-3</v>
      </c>
      <c r="BK92" s="613">
        <f t="shared" si="163"/>
        <v>1.4420771480383422E-3</v>
      </c>
      <c r="BL92" s="613">
        <f t="shared" si="163"/>
        <v>1.4420771480383419E-3</v>
      </c>
      <c r="BM92" s="613">
        <f t="shared" si="163"/>
        <v>1.4420771480383422E-3</v>
      </c>
      <c r="BN92" s="613">
        <f t="shared" si="163"/>
        <v>1.4420771480383419E-3</v>
      </c>
      <c r="BO92" s="613">
        <f t="shared" si="163"/>
        <v>1.4420771480383419E-3</v>
      </c>
      <c r="BP92" s="627">
        <f>BO92/BS92</f>
        <v>0.86392040412828575</v>
      </c>
      <c r="BQ92" s="627" t="e">
        <f>BO92/#REF!</f>
        <v>#REF!</v>
      </c>
      <c r="BS92" s="613">
        <v>1.6692245502563732E-3</v>
      </c>
      <c r="BV92" s="626">
        <f t="shared" ref="BV92:BX92" si="167">BV28/BV8*1000</f>
        <v>1.4335840633977288</v>
      </c>
      <c r="BW92" s="626">
        <f t="shared" si="167"/>
        <v>2.0324686915157768</v>
      </c>
      <c r="BX92" s="626">
        <f t="shared" si="167"/>
        <v>1.9922823450119649</v>
      </c>
      <c r="BY92" s="626">
        <f t="shared" ref="BY92" si="168">BY28/BY8*1000</f>
        <v>1.6038770897628576</v>
      </c>
      <c r="BZ92" s="626">
        <f t="shared" ref="BZ92:CG92" si="169">BZ28/BZ8*1000</f>
        <v>1.726996120886493</v>
      </c>
      <c r="CA92" s="626">
        <f t="shared" si="169"/>
        <v>1.7833037132774074</v>
      </c>
      <c r="CB92" s="626">
        <f t="shared" si="169"/>
        <v>1.1991084316673291</v>
      </c>
      <c r="CC92" s="626">
        <f t="shared" si="169"/>
        <v>1.0804803991798706</v>
      </c>
      <c r="CD92" s="626">
        <f t="shared" si="169"/>
        <v>1.3405150097997234</v>
      </c>
      <c r="CE92" s="626" t="e">
        <f t="shared" si="169"/>
        <v>#DIV/0!</v>
      </c>
      <c r="CF92" s="626" t="e">
        <f t="shared" si="169"/>
        <v>#DIV/0!</v>
      </c>
      <c r="CG92" s="626" t="e">
        <f t="shared" si="169"/>
        <v>#DIV/0!</v>
      </c>
    </row>
    <row r="93" spans="1:89">
      <c r="C93" s="577" t="s">
        <v>121</v>
      </c>
      <c r="D93" s="577"/>
      <c r="AS93" s="570"/>
      <c r="AT93" s="570"/>
      <c r="AU93" s="570"/>
      <c r="BS93" s="571"/>
      <c r="BV93" s="570"/>
      <c r="BW93" s="570"/>
      <c r="BX93" s="570"/>
      <c r="BY93" s="570"/>
      <c r="BZ93" s="570"/>
      <c r="CA93" s="570"/>
      <c r="CB93" s="570"/>
      <c r="CC93" s="570"/>
      <c r="CD93" s="570"/>
      <c r="CE93" s="570"/>
      <c r="CF93" s="570"/>
      <c r="CG93" s="570"/>
    </row>
    <row r="94" spans="1:89">
      <c r="C94" s="569" t="s">
        <v>122</v>
      </c>
      <c r="D94" s="577"/>
      <c r="AS94" s="570"/>
      <c r="AT94" s="570"/>
      <c r="AU94" s="570"/>
      <c r="BS94" s="571"/>
      <c r="BV94" s="570"/>
      <c r="BW94" s="570"/>
      <c r="BX94" s="570"/>
      <c r="BY94" s="570"/>
      <c r="BZ94" s="570"/>
      <c r="CA94" s="570"/>
      <c r="CB94" s="570"/>
      <c r="CC94" s="570"/>
      <c r="CD94" s="570"/>
      <c r="CE94" s="570"/>
      <c r="CF94" s="570"/>
      <c r="CG94" s="570"/>
    </row>
    <row r="95" spans="1:89">
      <c r="C95" s="587"/>
      <c r="D95" s="587" t="s">
        <v>123</v>
      </c>
      <c r="AS95" s="617">
        <f t="shared" ref="AS95:AU96" si="170">AS31/AS11*1000</f>
        <v>0.111930840932563</v>
      </c>
      <c r="AT95" s="617">
        <f t="shared" si="170"/>
        <v>0.12528679392292266</v>
      </c>
      <c r="AU95" s="617">
        <f t="shared" si="170"/>
        <v>0.17075286310637175</v>
      </c>
      <c r="BD95" s="613">
        <f>BD31/BD11</f>
        <v>1.116821072220988E-4</v>
      </c>
      <c r="BE95" s="613">
        <f t="shared" ref="BE95:BO96" si="171">BE31/BE11</f>
        <v>1.1168210722209879E-4</v>
      </c>
      <c r="BF95" s="613">
        <f t="shared" si="171"/>
        <v>1.1168210722209879E-4</v>
      </c>
      <c r="BG95" s="613">
        <f t="shared" si="171"/>
        <v>1.116821072220988E-4</v>
      </c>
      <c r="BH95" s="613">
        <f t="shared" si="171"/>
        <v>1.1168210722209879E-4</v>
      </c>
      <c r="BI95" s="613">
        <f t="shared" si="171"/>
        <v>1.116821072220988E-4</v>
      </c>
      <c r="BJ95" s="613">
        <f t="shared" si="171"/>
        <v>1.1168210722209879E-4</v>
      </c>
      <c r="BK95" s="613">
        <f t="shared" si="171"/>
        <v>1.1168210722209879E-4</v>
      </c>
      <c r="BL95" s="613">
        <f t="shared" si="171"/>
        <v>1.116821072220988E-4</v>
      </c>
      <c r="BM95" s="613">
        <f t="shared" si="171"/>
        <v>1.1168210722209879E-4</v>
      </c>
      <c r="BN95" s="613">
        <f t="shared" si="171"/>
        <v>1.1168210722209879E-4</v>
      </c>
      <c r="BO95" s="613">
        <f t="shared" si="171"/>
        <v>1.1168210722209877E-4</v>
      </c>
      <c r="BP95" s="627">
        <f t="shared" ref="BP95:BP96" si="172">BO95/BS95</f>
        <v>0.7240018798122122</v>
      </c>
      <c r="BQ95" s="627" t="e">
        <f>BO95/#REF!</f>
        <v>#REF!</v>
      </c>
      <c r="BS95" s="613">
        <v>1.5425665365822848E-4</v>
      </c>
      <c r="BV95" s="617">
        <f t="shared" ref="BV95:BX95" si="173">BV31/BV11*1000</f>
        <v>0.15484803865110056</v>
      </c>
      <c r="BW95" s="617">
        <f t="shared" si="173"/>
        <v>0.13393871221446815</v>
      </c>
      <c r="BX95" s="617">
        <f t="shared" si="173"/>
        <v>0.15330398448667409</v>
      </c>
      <c r="BY95" s="617">
        <f t="shared" ref="BY95:CG95" si="174">BY31/BY11*1000</f>
        <v>0.16727920227503856</v>
      </c>
      <c r="BZ95" s="617">
        <f t="shared" si="174"/>
        <v>0.18417968566156501</v>
      </c>
      <c r="CA95" s="617">
        <f t="shared" si="174"/>
        <v>0.15927625827074079</v>
      </c>
      <c r="CB95" s="617">
        <f t="shared" si="174"/>
        <v>0.16435703263868159</v>
      </c>
      <c r="CC95" s="617">
        <f t="shared" si="174"/>
        <v>0.20895740854503553</v>
      </c>
      <c r="CD95" s="617">
        <f t="shared" si="174"/>
        <v>0.20592872281366351</v>
      </c>
      <c r="CE95" s="617" t="e">
        <f t="shared" si="174"/>
        <v>#DIV/0!</v>
      </c>
      <c r="CF95" s="617" t="e">
        <f t="shared" si="174"/>
        <v>#DIV/0!</v>
      </c>
      <c r="CG95" s="617" t="e">
        <f t="shared" si="174"/>
        <v>#DIV/0!</v>
      </c>
    </row>
    <row r="96" spans="1:89">
      <c r="C96" s="587"/>
      <c r="D96" s="587" t="s">
        <v>124</v>
      </c>
      <c r="AS96" s="617">
        <f t="shared" si="170"/>
        <v>1.767637074446804</v>
      </c>
      <c r="AT96" s="617">
        <f t="shared" si="170"/>
        <v>0.67622979603733258</v>
      </c>
      <c r="AU96" s="617">
        <f t="shared" si="170"/>
        <v>1.3150891901210298</v>
      </c>
      <c r="BD96" s="613">
        <f>BD32/BD12</f>
        <v>1.9581871470157617E-3</v>
      </c>
      <c r="BE96" s="613">
        <f t="shared" si="171"/>
        <v>1.9581871470157612E-3</v>
      </c>
      <c r="BF96" s="613">
        <f t="shared" si="171"/>
        <v>1.9581871470157617E-3</v>
      </c>
      <c r="BG96" s="613">
        <f t="shared" si="171"/>
        <v>1.9581871470157617E-3</v>
      </c>
      <c r="BH96" s="613">
        <f t="shared" si="171"/>
        <v>1.9581871470157612E-3</v>
      </c>
      <c r="BI96" s="613">
        <f t="shared" si="171"/>
        <v>1.9581871470157617E-3</v>
      </c>
      <c r="BJ96" s="613">
        <f t="shared" si="171"/>
        <v>1.9581871470157617E-3</v>
      </c>
      <c r="BK96" s="613">
        <f t="shared" si="171"/>
        <v>1.9581871470157612E-3</v>
      </c>
      <c r="BL96" s="613">
        <f t="shared" si="171"/>
        <v>1.9581871470157621E-3</v>
      </c>
      <c r="BM96" s="613">
        <f t="shared" si="171"/>
        <v>1.9581871470157617E-3</v>
      </c>
      <c r="BN96" s="613">
        <f t="shared" si="171"/>
        <v>1.9581871470157612E-3</v>
      </c>
      <c r="BO96" s="613">
        <f t="shared" si="171"/>
        <v>1.9581871470157617E-3</v>
      </c>
      <c r="BP96" s="627">
        <f t="shared" si="172"/>
        <v>0.54548644967879101</v>
      </c>
      <c r="BQ96" s="627" t="e">
        <f>BO96/#REF!</f>
        <v>#REF!</v>
      </c>
      <c r="BS96" s="613">
        <v>3.5897997982696685E-3</v>
      </c>
      <c r="BV96" s="617">
        <f t="shared" ref="BV96:BX96" si="175">BV32/BV12*1000</f>
        <v>0.50362012479059481</v>
      </c>
      <c r="BW96" s="617">
        <f t="shared" si="175"/>
        <v>0.37164525527758102</v>
      </c>
      <c r="BX96" s="617">
        <f t="shared" si="175"/>
        <v>0.51883686400340812</v>
      </c>
      <c r="BY96" s="617">
        <f t="shared" ref="BY96:CG96" si="176">BY32/BY12*1000</f>
        <v>0.42477290944872725</v>
      </c>
      <c r="BZ96" s="617">
        <f t="shared" si="176"/>
        <v>0.62754567485018731</v>
      </c>
      <c r="CA96" s="617">
        <f t="shared" si="176"/>
        <v>0.64605982711032794</v>
      </c>
      <c r="CB96" s="617">
        <f t="shared" si="176"/>
        <v>0.47918176627476372</v>
      </c>
      <c r="CC96" s="617">
        <f t="shared" si="176"/>
        <v>0.44985455883214859</v>
      </c>
      <c r="CD96" s="617">
        <f t="shared" si="176"/>
        <v>0.71166483936000524</v>
      </c>
      <c r="CE96" s="617" t="e">
        <f t="shared" si="176"/>
        <v>#DIV/0!</v>
      </c>
      <c r="CF96" s="617" t="e">
        <f t="shared" si="176"/>
        <v>#DIV/0!</v>
      </c>
      <c r="CG96" s="617" t="e">
        <f t="shared" si="176"/>
        <v>#DIV/0!</v>
      </c>
    </row>
    <row r="97" spans="3:85">
      <c r="C97" s="577" t="s">
        <v>125</v>
      </c>
      <c r="D97" s="577"/>
      <c r="AS97" s="570"/>
      <c r="AT97" s="570"/>
      <c r="AU97" s="570"/>
      <c r="BD97" s="613"/>
      <c r="BE97" s="613"/>
      <c r="BF97" s="613"/>
      <c r="BG97" s="613"/>
      <c r="BH97" s="613"/>
      <c r="BI97" s="613"/>
      <c r="BJ97" s="613"/>
      <c r="BK97" s="613"/>
      <c r="BL97" s="613"/>
      <c r="BM97" s="613"/>
      <c r="BN97" s="613"/>
      <c r="BO97" s="613"/>
      <c r="BS97" s="613"/>
      <c r="BV97" s="570"/>
      <c r="BW97" s="570"/>
      <c r="BX97" s="570"/>
      <c r="BY97" s="570"/>
      <c r="BZ97" s="570"/>
      <c r="CA97" s="570"/>
      <c r="CB97" s="570"/>
      <c r="CC97" s="570"/>
      <c r="CD97" s="570"/>
      <c r="CE97" s="570"/>
      <c r="CF97" s="570"/>
      <c r="CG97" s="570"/>
    </row>
    <row r="98" spans="3:85">
      <c r="C98" s="569" t="s">
        <v>126</v>
      </c>
      <c r="AS98" s="570"/>
      <c r="AT98" s="570"/>
      <c r="AU98" s="570"/>
      <c r="BD98" s="613"/>
      <c r="BE98" s="613"/>
      <c r="BF98" s="613"/>
      <c r="BG98" s="613"/>
      <c r="BH98" s="613"/>
      <c r="BI98" s="613"/>
      <c r="BJ98" s="613"/>
      <c r="BK98" s="613"/>
      <c r="BL98" s="613"/>
      <c r="BM98" s="613"/>
      <c r="BN98" s="613"/>
      <c r="BO98" s="613"/>
      <c r="BS98" s="613"/>
      <c r="BV98" s="570"/>
      <c r="BW98" s="570"/>
      <c r="BX98" s="570"/>
      <c r="BY98" s="570"/>
      <c r="BZ98" s="570"/>
      <c r="CA98" s="570"/>
      <c r="CB98" s="570"/>
      <c r="CC98" s="570"/>
      <c r="CD98" s="570"/>
      <c r="CE98" s="570"/>
      <c r="CF98" s="570"/>
      <c r="CG98" s="570"/>
    </row>
    <row r="99" spans="3:85">
      <c r="C99" s="587"/>
      <c r="D99" s="587" t="s">
        <v>123</v>
      </c>
      <c r="AS99" s="617">
        <f t="shared" ref="AS99:AU100" si="177">AS35/AS15*1000</f>
        <v>0.1758900388983777</v>
      </c>
      <c r="AT99" s="617">
        <f t="shared" si="177"/>
        <v>0.23952828833550885</v>
      </c>
      <c r="AU99" s="617">
        <f t="shared" si="177"/>
        <v>0.29364757797085184</v>
      </c>
      <c r="BD99" s="613">
        <f>BD35/BD15</f>
        <v>1.7478682789118293E-4</v>
      </c>
      <c r="BE99" s="613">
        <f t="shared" ref="BE99:BO100" si="178">BE35/BE15</f>
        <v>1.747868278911829E-4</v>
      </c>
      <c r="BF99" s="613">
        <f t="shared" si="178"/>
        <v>1.747868278911829E-4</v>
      </c>
      <c r="BG99" s="613">
        <f t="shared" si="178"/>
        <v>1.747868278911829E-4</v>
      </c>
      <c r="BH99" s="613">
        <f t="shared" si="178"/>
        <v>1.747868278911829E-4</v>
      </c>
      <c r="BI99" s="613">
        <f t="shared" si="178"/>
        <v>1.747868278911829E-4</v>
      </c>
      <c r="BJ99" s="613">
        <f t="shared" si="178"/>
        <v>1.747868278911829E-4</v>
      </c>
      <c r="BK99" s="613">
        <f t="shared" si="178"/>
        <v>1.7478682789118293E-4</v>
      </c>
      <c r="BL99" s="613">
        <f t="shared" si="178"/>
        <v>1.747868278911829E-4</v>
      </c>
      <c r="BM99" s="613">
        <f t="shared" si="178"/>
        <v>1.7478682789118293E-4</v>
      </c>
      <c r="BN99" s="613">
        <f t="shared" si="178"/>
        <v>1.7478682789118293E-4</v>
      </c>
      <c r="BO99" s="613">
        <f t="shared" si="178"/>
        <v>1.7478682789118293E-4</v>
      </c>
      <c r="BP99" s="627">
        <f t="shared" ref="BP99:BP100" si="179">BO99/BS99</f>
        <v>0.63377519545296868</v>
      </c>
      <c r="BQ99" s="627" t="e">
        <f>BO99/#REF!</f>
        <v>#REF!</v>
      </c>
      <c r="BS99" s="613">
        <v>2.7578679182333751E-4</v>
      </c>
      <c r="BV99" s="617">
        <f t="shared" ref="BV99:BX99" si="180">BV35/BV15*1000</f>
        <v>0.19271916338608014</v>
      </c>
      <c r="BW99" s="617">
        <f t="shared" si="180"/>
        <v>0.16871166583865785</v>
      </c>
      <c r="BX99" s="617">
        <f t="shared" si="180"/>
        <v>0.22733137532162853</v>
      </c>
      <c r="BY99" s="617">
        <f t="shared" ref="BY99:CG99" si="181">BY35/BY15*1000</f>
        <v>0.21281263206471984</v>
      </c>
      <c r="BZ99" s="617">
        <f t="shared" si="181"/>
        <v>0.21120000493311708</v>
      </c>
      <c r="CA99" s="617">
        <f t="shared" si="181"/>
        <v>0.17995667180769137</v>
      </c>
      <c r="CB99" s="617">
        <f t="shared" si="181"/>
        <v>0.17864254528916715</v>
      </c>
      <c r="CC99" s="617">
        <f t="shared" si="181"/>
        <v>0.24553827143304791</v>
      </c>
      <c r="CD99" s="617">
        <f t="shared" si="181"/>
        <v>0.20750180821837669</v>
      </c>
      <c r="CE99" s="617" t="e">
        <f t="shared" si="181"/>
        <v>#DIV/0!</v>
      </c>
      <c r="CF99" s="617" t="e">
        <f t="shared" si="181"/>
        <v>#DIV/0!</v>
      </c>
      <c r="CG99" s="617" t="e">
        <f t="shared" si="181"/>
        <v>#DIV/0!</v>
      </c>
    </row>
    <row r="100" spans="3:85">
      <c r="C100" s="587"/>
      <c r="D100" s="587" t="s">
        <v>124</v>
      </c>
      <c r="AS100" s="617">
        <f t="shared" si="177"/>
        <v>0.5669497625107025</v>
      </c>
      <c r="AT100" s="617">
        <f t="shared" si="177"/>
        <v>0.31991595701183073</v>
      </c>
      <c r="AU100" s="617">
        <f t="shared" si="177"/>
        <v>0.92424720221824841</v>
      </c>
      <c r="BD100" s="613">
        <f>BD36/BD16</f>
        <v>6.5559871157104511E-4</v>
      </c>
      <c r="BE100" s="613">
        <f t="shared" si="178"/>
        <v>6.5559871157104511E-4</v>
      </c>
      <c r="BF100" s="613">
        <f t="shared" si="178"/>
        <v>6.5559871157104511E-4</v>
      </c>
      <c r="BG100" s="613">
        <f t="shared" si="178"/>
        <v>6.5559871157104511E-4</v>
      </c>
      <c r="BH100" s="613">
        <f t="shared" si="178"/>
        <v>6.5559871157104522E-4</v>
      </c>
      <c r="BI100" s="613">
        <f t="shared" si="178"/>
        <v>6.5559871157104511E-4</v>
      </c>
      <c r="BJ100" s="613">
        <f t="shared" si="178"/>
        <v>6.5559871157104511E-4</v>
      </c>
      <c r="BK100" s="613">
        <f t="shared" si="178"/>
        <v>6.5559871157104511E-4</v>
      </c>
      <c r="BL100" s="613">
        <f t="shared" si="178"/>
        <v>6.5559871157104511E-4</v>
      </c>
      <c r="BM100" s="613">
        <f t="shared" si="178"/>
        <v>6.5559871157104522E-4</v>
      </c>
      <c r="BN100" s="613">
        <f t="shared" si="178"/>
        <v>6.5559871157104511E-4</v>
      </c>
      <c r="BO100" s="613">
        <f t="shared" si="178"/>
        <v>6.5559871157104511E-4</v>
      </c>
      <c r="BP100" s="627">
        <f t="shared" si="179"/>
        <v>0.58566105796501888</v>
      </c>
      <c r="BQ100" s="627" t="e">
        <f>BO100/#REF!</f>
        <v>#REF!</v>
      </c>
      <c r="BS100" s="613">
        <v>1.1194166022392487E-3</v>
      </c>
      <c r="BV100" s="617">
        <f t="shared" ref="BV100:BX100" si="182">BV36/BV16*1000</f>
        <v>0.29178327116334657</v>
      </c>
      <c r="BW100" s="617">
        <f t="shared" si="182"/>
        <v>0.29512278932005181</v>
      </c>
      <c r="BX100" s="617">
        <f t="shared" si="182"/>
        <v>0.38277813124159038</v>
      </c>
      <c r="BY100" s="617">
        <f t="shared" ref="BY100:CG100" si="183">BY36/BY16*1000</f>
        <v>0.36798273207660837</v>
      </c>
      <c r="BZ100" s="617">
        <f t="shared" si="183"/>
        <v>0.38945078219425927</v>
      </c>
      <c r="CA100" s="617">
        <f t="shared" si="183"/>
        <v>0.47660416729444727</v>
      </c>
      <c r="CB100" s="617">
        <f t="shared" si="183"/>
        <v>0.36681420633770506</v>
      </c>
      <c r="CC100" s="617">
        <f t="shared" si="183"/>
        <v>0.42374222013580837</v>
      </c>
      <c r="CD100" s="617">
        <f t="shared" si="183"/>
        <v>0.45538200053624589</v>
      </c>
      <c r="CE100" s="617" t="e">
        <f t="shared" si="183"/>
        <v>#DIV/0!</v>
      </c>
      <c r="CF100" s="617" t="e">
        <f t="shared" si="183"/>
        <v>#DIV/0!</v>
      </c>
      <c r="CG100" s="617" t="e">
        <f t="shared" si="183"/>
        <v>#DIV/0!</v>
      </c>
    </row>
    <row r="101" spans="3:85">
      <c r="C101" s="577" t="s">
        <v>127</v>
      </c>
      <c r="D101" s="577"/>
      <c r="AS101" s="570"/>
      <c r="AT101" s="570"/>
      <c r="AU101" s="570"/>
      <c r="BD101" s="613"/>
      <c r="BE101" s="613"/>
      <c r="BF101" s="613"/>
      <c r="BG101" s="613"/>
      <c r="BH101" s="613"/>
      <c r="BI101" s="613"/>
      <c r="BJ101" s="613"/>
      <c r="BK101" s="613"/>
      <c r="BL101" s="613"/>
      <c r="BM101" s="613"/>
      <c r="BN101" s="613"/>
      <c r="BO101" s="613"/>
      <c r="BS101" s="613"/>
      <c r="BV101" s="570"/>
      <c r="BW101" s="570"/>
      <c r="BX101" s="570"/>
      <c r="BY101" s="570"/>
      <c r="BZ101" s="570"/>
      <c r="CA101" s="570"/>
      <c r="CB101" s="570"/>
      <c r="CC101" s="570"/>
      <c r="CD101" s="570"/>
      <c r="CE101" s="570"/>
      <c r="CF101" s="570"/>
      <c r="CG101" s="570"/>
    </row>
    <row r="102" spans="3:85">
      <c r="C102" s="569" t="s">
        <v>128</v>
      </c>
      <c r="D102" s="577"/>
      <c r="AS102" s="570"/>
      <c r="AT102" s="570"/>
      <c r="AU102" s="570"/>
      <c r="BD102" s="613"/>
      <c r="BE102" s="613"/>
      <c r="BF102" s="613"/>
      <c r="BG102" s="613"/>
      <c r="BH102" s="613"/>
      <c r="BI102" s="613"/>
      <c r="BJ102" s="613"/>
      <c r="BK102" s="613"/>
      <c r="BL102" s="613"/>
      <c r="BM102" s="613"/>
      <c r="BN102" s="613"/>
      <c r="BO102" s="613"/>
      <c r="BS102" s="613"/>
      <c r="BV102" s="570"/>
      <c r="BW102" s="570"/>
      <c r="BX102" s="570"/>
      <c r="BY102" s="570"/>
      <c r="BZ102" s="570"/>
      <c r="CA102" s="570"/>
      <c r="CB102" s="570"/>
      <c r="CC102" s="570"/>
      <c r="CD102" s="570"/>
      <c r="CE102" s="570"/>
      <c r="CF102" s="570"/>
      <c r="CG102" s="570"/>
    </row>
    <row r="103" spans="3:85">
      <c r="C103" s="587"/>
      <c r="D103" s="587" t="s">
        <v>123</v>
      </c>
      <c r="AS103" s="618">
        <f t="shared" ref="AS103:AU104" si="184">AS39/AS19*1000</f>
        <v>5.8767138689029434E-2</v>
      </c>
      <c r="AT103" s="618">
        <f t="shared" si="184"/>
        <v>0.10861675321811042</v>
      </c>
      <c r="AU103" s="618">
        <f t="shared" si="184"/>
        <v>0.10211186094343941</v>
      </c>
      <c r="BD103" s="613">
        <f>BD39/BD19</f>
        <v>7.4914339417660679E-5</v>
      </c>
      <c r="BE103" s="613">
        <f t="shared" ref="BE103:BO104" si="185">BE39/BE19</f>
        <v>7.4914339417660666E-5</v>
      </c>
      <c r="BF103" s="613">
        <f t="shared" si="185"/>
        <v>7.4914339417660679E-5</v>
      </c>
      <c r="BG103" s="613">
        <f t="shared" si="185"/>
        <v>7.4914339417660679E-5</v>
      </c>
      <c r="BH103" s="613">
        <f t="shared" si="185"/>
        <v>7.4914339417660652E-5</v>
      </c>
      <c r="BI103" s="613">
        <f t="shared" si="185"/>
        <v>7.4914339417660666E-5</v>
      </c>
      <c r="BJ103" s="613">
        <f t="shared" si="185"/>
        <v>7.4914339417660666E-5</v>
      </c>
      <c r="BK103" s="613">
        <f t="shared" si="185"/>
        <v>7.4914339417660679E-5</v>
      </c>
      <c r="BL103" s="613">
        <f t="shared" si="185"/>
        <v>7.4914339417660666E-5</v>
      </c>
      <c r="BM103" s="613">
        <f t="shared" si="185"/>
        <v>7.4914339417660679E-5</v>
      </c>
      <c r="BN103" s="613">
        <f t="shared" si="185"/>
        <v>7.4914339417660679E-5</v>
      </c>
      <c r="BO103" s="613">
        <f t="shared" si="185"/>
        <v>7.4914339417660666E-5</v>
      </c>
      <c r="BP103" s="627">
        <f t="shared" ref="BP103:BP104" si="186">BO103/BS103</f>
        <v>1.1490419728170143</v>
      </c>
      <c r="BQ103" s="627" t="e">
        <f>BO103/#REF!</f>
        <v>#REF!</v>
      </c>
      <c r="BS103" s="613">
        <v>6.5197217499374E-5</v>
      </c>
      <c r="BV103" s="618">
        <f t="shared" ref="BV103:BX103" si="187">BV39/BV19*1000</f>
        <v>8.7903661872718919E-2</v>
      </c>
      <c r="BW103" s="618">
        <f t="shared" si="187"/>
        <v>8.9887832571540802E-2</v>
      </c>
      <c r="BX103" s="618">
        <f t="shared" si="187"/>
        <v>0.11728003459816153</v>
      </c>
      <c r="BY103" s="618">
        <f t="shared" ref="BY103:CG103" si="188">BY39/BY19*1000</f>
        <v>0.12885129777050489</v>
      </c>
      <c r="BZ103" s="618">
        <f t="shared" si="188"/>
        <v>0.1439468790561321</v>
      </c>
      <c r="CA103" s="618">
        <f t="shared" si="188"/>
        <v>0.12555853584834473</v>
      </c>
      <c r="CB103" s="618">
        <f t="shared" si="188"/>
        <v>9.4165052913135081E-2</v>
      </c>
      <c r="CC103" s="618">
        <f t="shared" si="188"/>
        <v>0.10841008968075988</v>
      </c>
      <c r="CD103" s="618">
        <f t="shared" si="188"/>
        <v>7.8165696808461332E-2</v>
      </c>
      <c r="CE103" s="618" t="e">
        <f t="shared" si="188"/>
        <v>#DIV/0!</v>
      </c>
      <c r="CF103" s="618" t="e">
        <f t="shared" si="188"/>
        <v>#DIV/0!</v>
      </c>
      <c r="CG103" s="618" t="e">
        <f t="shared" si="188"/>
        <v>#DIV/0!</v>
      </c>
    </row>
    <row r="104" spans="3:85">
      <c r="C104" s="587"/>
      <c r="D104" s="587" t="s">
        <v>124</v>
      </c>
      <c r="AS104" s="618">
        <f t="shared" si="184"/>
        <v>1.0424111668089926</v>
      </c>
      <c r="AT104" s="618">
        <f t="shared" si="184"/>
        <v>0.60621262126065534</v>
      </c>
      <c r="AU104" s="618">
        <f t="shared" si="184"/>
        <v>0.41264786881111865</v>
      </c>
      <c r="BD104" s="613">
        <f>BD40/BD20</f>
        <v>7.6975283986546272E-4</v>
      </c>
      <c r="BE104" s="613">
        <f t="shared" si="185"/>
        <v>7.6975283986546262E-4</v>
      </c>
      <c r="BF104" s="613">
        <f t="shared" si="185"/>
        <v>7.6975283986546283E-4</v>
      </c>
      <c r="BG104" s="613">
        <f t="shared" si="185"/>
        <v>7.6975283986546272E-4</v>
      </c>
      <c r="BH104" s="613">
        <f t="shared" si="185"/>
        <v>7.6975283986546272E-4</v>
      </c>
      <c r="BI104" s="613">
        <f t="shared" si="185"/>
        <v>7.6975283986546272E-4</v>
      </c>
      <c r="BJ104" s="613">
        <f t="shared" si="185"/>
        <v>7.6975283986546262E-4</v>
      </c>
      <c r="BK104" s="613">
        <f t="shared" si="185"/>
        <v>7.6975283986546262E-4</v>
      </c>
      <c r="BL104" s="613">
        <f t="shared" si="185"/>
        <v>7.6975283986546283E-4</v>
      </c>
      <c r="BM104" s="613">
        <f t="shared" si="185"/>
        <v>7.6975283986546283E-4</v>
      </c>
      <c r="BN104" s="613">
        <f t="shared" si="185"/>
        <v>7.6975283986546294E-4</v>
      </c>
      <c r="BO104" s="613">
        <f t="shared" si="185"/>
        <v>7.6975283986546272E-4</v>
      </c>
      <c r="BP104" s="627">
        <f t="shared" si="186"/>
        <v>1.0376396066747062</v>
      </c>
      <c r="BQ104" s="627" t="e">
        <f>BO104/#REF!</f>
        <v>#REF!</v>
      </c>
      <c r="BS104" s="613">
        <v>7.4183062685152074E-4</v>
      </c>
      <c r="BV104" s="618">
        <f t="shared" ref="BV104:BX104" si="189">BV40/BV20*1000</f>
        <v>0.33159658378644519</v>
      </c>
      <c r="BW104" s="618">
        <f t="shared" si="189"/>
        <v>0.64247613241577928</v>
      </c>
      <c r="BX104" s="618">
        <f t="shared" si="189"/>
        <v>1.2466133717114662</v>
      </c>
      <c r="BY104" s="618">
        <f t="shared" ref="BY104:CG104" si="190">BY40/BY20*1000</f>
        <v>0.56219098373809473</v>
      </c>
      <c r="BZ104" s="618">
        <f t="shared" si="190"/>
        <v>0.62781603915197037</v>
      </c>
      <c r="CA104" s="618">
        <f t="shared" si="190"/>
        <v>0.87256775980714552</v>
      </c>
      <c r="CB104" s="618">
        <f t="shared" si="190"/>
        <v>0.42016827697916609</v>
      </c>
      <c r="CC104" s="618">
        <f t="shared" si="190"/>
        <v>0.43326476818304177</v>
      </c>
      <c r="CD104" s="618">
        <f t="shared" si="190"/>
        <v>0.67669211702698207</v>
      </c>
      <c r="CE104" s="618" t="e">
        <f t="shared" si="190"/>
        <v>#DIV/0!</v>
      </c>
      <c r="CF104" s="618" t="e">
        <f t="shared" si="190"/>
        <v>#DIV/0!</v>
      </c>
      <c r="CG104" s="618" t="e">
        <f t="shared" si="190"/>
        <v>#DIV/0!</v>
      </c>
    </row>
    <row r="105" spans="3:85">
      <c r="C105" s="577" t="s">
        <v>129</v>
      </c>
      <c r="D105" s="577"/>
      <c r="CE105" s="576"/>
      <c r="CF105" s="576"/>
      <c r="CG105" s="576"/>
    </row>
    <row r="108" spans="3:85">
      <c r="BY108" s="819">
        <v>868000000</v>
      </c>
    </row>
    <row r="109" spans="3:85">
      <c r="BY109" s="585">
        <v>0.3</v>
      </c>
      <c r="BZ109" s="569" t="s">
        <v>204</v>
      </c>
    </row>
    <row r="110" spans="3:85">
      <c r="BY110" s="819">
        <f>BY108*BY109</f>
        <v>260400000</v>
      </c>
    </row>
    <row r="111" spans="3:85">
      <c r="BY111" s="617">
        <v>1.8</v>
      </c>
      <c r="BZ111" s="569" t="s">
        <v>205</v>
      </c>
    </row>
    <row r="112" spans="3:85">
      <c r="BY112" s="820">
        <f>BY110*BY111/1000</f>
        <v>468720</v>
      </c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2578125" defaultRowHeight="15"/>
  <cols>
    <col min="1" max="1" width="2.85546875" customWidth="1"/>
    <col min="2" max="2" width="17" customWidth="1"/>
    <col min="3" max="3" width="20.140625" customWidth="1"/>
    <col min="4" max="4" width="12.7109375" bestFit="1" customWidth="1"/>
    <col min="5" max="17" width="12.140625" customWidth="1"/>
    <col min="18" max="18" width="1.42578125" customWidth="1"/>
    <col min="19" max="22" width="12.140625" customWidth="1"/>
  </cols>
  <sheetData>
    <row r="1" spans="2:22">
      <c r="E1" s="742" t="s">
        <v>11</v>
      </c>
    </row>
    <row r="2" spans="2:22">
      <c r="E2" s="756">
        <v>42736</v>
      </c>
      <c r="F2" s="757">
        <v>42767</v>
      </c>
      <c r="G2" s="757">
        <v>42795</v>
      </c>
      <c r="H2" s="757">
        <v>42826</v>
      </c>
      <c r="I2" s="757">
        <v>42856</v>
      </c>
      <c r="J2" s="757">
        <v>42887</v>
      </c>
      <c r="K2" s="757">
        <v>42917</v>
      </c>
      <c r="L2" s="757">
        <v>42948</v>
      </c>
      <c r="M2" s="757">
        <v>42979</v>
      </c>
      <c r="N2" s="757">
        <v>43009</v>
      </c>
      <c r="O2" s="757">
        <v>43040</v>
      </c>
      <c r="P2" s="757">
        <v>43070</v>
      </c>
      <c r="Q2" s="757" t="s">
        <v>0</v>
      </c>
      <c r="S2" s="757" t="s">
        <v>208</v>
      </c>
      <c r="T2" s="757" t="s">
        <v>209</v>
      </c>
      <c r="U2" s="757" t="s">
        <v>210</v>
      </c>
      <c r="V2" s="757" t="s">
        <v>211</v>
      </c>
    </row>
    <row r="3" spans="2:22">
      <c r="B3" s="551" t="s">
        <v>153</v>
      </c>
      <c r="C3" s="750" t="s">
        <v>160</v>
      </c>
      <c r="D3" s="751"/>
      <c r="E3" s="758">
        <f>SUBTOTAL(9,E4:E7)</f>
        <v>424874.42088900006</v>
      </c>
      <c r="F3" s="759">
        <f t="shared" ref="F3:G3" si="0">SUBTOTAL(9,F4:F7)</f>
        <v>369419.37012799986</v>
      </c>
      <c r="G3" s="759">
        <f t="shared" si="0"/>
        <v>436341.73715900007</v>
      </c>
      <c r="H3" s="759">
        <f>SUBTOTAL(9,H4:H7)</f>
        <v>372310.0057969999</v>
      </c>
      <c r="I3" s="759">
        <f t="shared" ref="I3:J3" si="1">SUBTOTAL(9,I4:I7)</f>
        <v>475694.02267100004</v>
      </c>
      <c r="J3" s="759">
        <f t="shared" si="1"/>
        <v>565042.72897999967</v>
      </c>
      <c r="K3" s="759">
        <f>SUBTOTAL(9,K4:K7)</f>
        <v>488460.40287600004</v>
      </c>
      <c r="L3" s="759">
        <f t="shared" ref="L3:M3" si="2">SUBTOTAL(9,L4:L7)</f>
        <v>478003.33</v>
      </c>
      <c r="M3" s="759">
        <f t="shared" si="2"/>
        <v>567260.32000000007</v>
      </c>
      <c r="N3" s="759">
        <f>SUBTOTAL(9,N4:N7)</f>
        <v>623908.18000000005</v>
      </c>
      <c r="O3" s="759">
        <f t="shared" ref="O3:Q3" si="3">SUBTOTAL(9,O4:O7)</f>
        <v>650862.96</v>
      </c>
      <c r="P3" s="759">
        <f t="shared" si="3"/>
        <v>914695.80712499993</v>
      </c>
      <c r="Q3" s="759">
        <f t="shared" si="3"/>
        <v>6366873.2856249996</v>
      </c>
      <c r="S3" s="759">
        <f t="shared" ref="S3:V3" si="4">SUBTOTAL(9,S4:S7)</f>
        <v>1230635.5281759999</v>
      </c>
      <c r="T3" s="759">
        <f t="shared" si="4"/>
        <v>1413046.7574479997</v>
      </c>
      <c r="U3" s="759">
        <f t="shared" si="4"/>
        <v>1533724.0528759998</v>
      </c>
      <c r="V3" s="759">
        <f t="shared" si="4"/>
        <v>2189466.9471249999</v>
      </c>
    </row>
    <row r="4" spans="2:22">
      <c r="C4" s="752" t="s">
        <v>176</v>
      </c>
      <c r="D4" s="753" t="s">
        <v>87</v>
      </c>
      <c r="E4" s="760">
        <v>157624.68903900008</v>
      </c>
      <c r="F4" s="761">
        <v>141834.12895299998</v>
      </c>
      <c r="G4" s="761">
        <v>183261.38905800003</v>
      </c>
      <c r="H4" s="761">
        <v>161372.95192100003</v>
      </c>
      <c r="I4" s="761">
        <v>188002.39635999996</v>
      </c>
      <c r="J4" s="761">
        <v>210801.07581699995</v>
      </c>
      <c r="K4" s="761">
        <v>170408.811025</v>
      </c>
      <c r="L4" s="761">
        <v>180724.69</v>
      </c>
      <c r="M4" s="761">
        <v>227569.29</v>
      </c>
      <c r="N4" s="761">
        <v>225551.49</v>
      </c>
      <c r="O4" s="761">
        <v>256619.88</v>
      </c>
      <c r="P4" s="761">
        <v>327906.127782</v>
      </c>
      <c r="Q4" s="762">
        <f>SUM(E4:P4)</f>
        <v>2431676.9199550003</v>
      </c>
      <c r="R4" s="677"/>
      <c r="S4" s="761">
        <f>SUM(E4:G4)</f>
        <v>482720.20705000008</v>
      </c>
      <c r="T4" s="761">
        <f>SUM(H4:J4)</f>
        <v>560176.42409799993</v>
      </c>
      <c r="U4" s="761">
        <f>SUM(K4:M4)</f>
        <v>578702.79102500004</v>
      </c>
      <c r="V4" s="761">
        <f>SUM(N4:P4)</f>
        <v>810077.49778199999</v>
      </c>
    </row>
    <row r="5" spans="2:22">
      <c r="C5" s="752" t="s">
        <v>176</v>
      </c>
      <c r="D5" s="753" t="s">
        <v>88</v>
      </c>
      <c r="E5" s="760">
        <v>218175.736232</v>
      </c>
      <c r="F5" s="761">
        <v>188715.8593619999</v>
      </c>
      <c r="G5" s="761">
        <v>214506.87203700002</v>
      </c>
      <c r="H5" s="761">
        <v>172204.05113099987</v>
      </c>
      <c r="I5" s="761">
        <v>240990.16011600004</v>
      </c>
      <c r="J5" s="761">
        <v>298674.77079599974</v>
      </c>
      <c r="K5" s="761">
        <v>259793.295736</v>
      </c>
      <c r="L5" s="761">
        <v>232086.25</v>
      </c>
      <c r="M5" s="761">
        <v>252723.82</v>
      </c>
      <c r="N5" s="761">
        <v>264093.28000000003</v>
      </c>
      <c r="O5" s="761">
        <v>220143.63</v>
      </c>
      <c r="P5" s="761">
        <v>265373.23967399995</v>
      </c>
      <c r="Q5" s="762">
        <f t="shared" ref="Q5:Q7" si="5">SUM(E5:P5)</f>
        <v>2827480.9650839996</v>
      </c>
      <c r="R5" s="677"/>
      <c r="S5" s="761">
        <f t="shared" ref="S5:S7" si="6">SUM(E5:G5)</f>
        <v>621398.46763099986</v>
      </c>
      <c r="T5" s="761">
        <f t="shared" ref="T5:T7" si="7">SUM(H5:J5)</f>
        <v>711868.98204299971</v>
      </c>
      <c r="U5" s="761">
        <f>SUM(K5:M5)</f>
        <v>744603.36573600001</v>
      </c>
      <c r="V5" s="761">
        <f t="shared" ref="V5:V7" si="8">SUM(N5:P5)</f>
        <v>749610.14967399999</v>
      </c>
    </row>
    <row r="6" spans="2:22">
      <c r="C6" s="752" t="s">
        <v>176</v>
      </c>
      <c r="D6" s="753" t="s">
        <v>89</v>
      </c>
      <c r="E6" s="760">
        <v>41583.858553999999</v>
      </c>
      <c r="F6" s="761">
        <v>31054.077270999995</v>
      </c>
      <c r="G6" s="761">
        <v>30883.456900000005</v>
      </c>
      <c r="H6" s="761">
        <v>30516.760813000008</v>
      </c>
      <c r="I6" s="761">
        <v>37888.326292999991</v>
      </c>
      <c r="J6" s="761">
        <v>42816.381576999986</v>
      </c>
      <c r="K6" s="761">
        <v>47956.517338000005</v>
      </c>
      <c r="L6" s="761">
        <v>46660.800000000003</v>
      </c>
      <c r="M6" s="761">
        <v>75244.679999999993</v>
      </c>
      <c r="N6" s="761">
        <v>120032.73000000001</v>
      </c>
      <c r="O6" s="761">
        <v>151241.94</v>
      </c>
      <c r="P6" s="761">
        <v>302343.66956000001</v>
      </c>
      <c r="Q6" s="762">
        <f t="shared" si="5"/>
        <v>958223.19830600009</v>
      </c>
      <c r="R6" s="677"/>
      <c r="S6" s="761">
        <f t="shared" si="6"/>
        <v>103521.392725</v>
      </c>
      <c r="T6" s="761">
        <f t="shared" si="7"/>
        <v>111221.46868299998</v>
      </c>
      <c r="U6" s="761">
        <f t="shared" ref="U6:U7" si="9">SUM(K6:M6)</f>
        <v>169861.99733799999</v>
      </c>
      <c r="V6" s="761">
        <f t="shared" si="8"/>
        <v>573618.33955999999</v>
      </c>
    </row>
    <row r="7" spans="2:22">
      <c r="C7" s="754" t="s">
        <v>176</v>
      </c>
      <c r="D7" s="755" t="s">
        <v>90</v>
      </c>
      <c r="E7" s="763">
        <v>7490.1370640000005</v>
      </c>
      <c r="F7" s="764">
        <v>7815.3045420000035</v>
      </c>
      <c r="G7" s="764">
        <v>7690.0191639999994</v>
      </c>
      <c r="H7" s="765">
        <v>8216.241931999999</v>
      </c>
      <c r="I7" s="765">
        <v>8813.1399020000008</v>
      </c>
      <c r="J7" s="765">
        <v>12750.50079</v>
      </c>
      <c r="K7" s="765">
        <v>10301.778777</v>
      </c>
      <c r="L7" s="765">
        <v>18531.59</v>
      </c>
      <c r="M7" s="765">
        <v>11722.53</v>
      </c>
      <c r="N7" s="765">
        <v>14230.68</v>
      </c>
      <c r="O7" s="765">
        <v>22857.51</v>
      </c>
      <c r="P7" s="765">
        <v>19072.770109000001</v>
      </c>
      <c r="Q7" s="766">
        <f t="shared" si="5"/>
        <v>149492.20228</v>
      </c>
      <c r="R7" s="677"/>
      <c r="S7" s="765">
        <f t="shared" si="6"/>
        <v>22995.460770000005</v>
      </c>
      <c r="T7" s="765">
        <f t="shared" si="7"/>
        <v>29779.882623999998</v>
      </c>
      <c r="U7" s="765">
        <f t="shared" si="9"/>
        <v>40555.898777000002</v>
      </c>
      <c r="V7" s="765">
        <f t="shared" si="8"/>
        <v>56160.960109000007</v>
      </c>
    </row>
    <row r="8" spans="2:22">
      <c r="E8" s="809">
        <f>IF(MONTH(E2)&lt;='Current month'!$B$2,1,0)</f>
        <v>1</v>
      </c>
      <c r="F8" s="809">
        <f>IF(MONTH(F2)&lt;='Current month'!$B$2,1,0)</f>
        <v>1</v>
      </c>
      <c r="G8" s="809">
        <f>IF(MONTH(G2)&lt;='Current month'!$B$2,1,0)</f>
        <v>1</v>
      </c>
      <c r="H8" s="809">
        <f>IF(MONTH(H2)&lt;='Current month'!$B$2,1,0)</f>
        <v>1</v>
      </c>
      <c r="I8" s="809">
        <f>IF(MONTH(I2)&lt;='Current month'!$B$2,1,0)</f>
        <v>1</v>
      </c>
      <c r="J8" s="809">
        <f>IF(MONTH(J2)&lt;='Current month'!$B$2,1,0)</f>
        <v>1</v>
      </c>
      <c r="K8" s="809">
        <f>IF(MONTH(K2)&lt;='Current month'!$B$2,1,0)</f>
        <v>1</v>
      </c>
      <c r="L8" s="809">
        <f>IF(MONTH(L2)&lt;='Current month'!$B$2,1,0)</f>
        <v>1</v>
      </c>
      <c r="M8" s="809">
        <f>IF(MONTH(M2)&lt;='Current month'!$B$2,1,0)</f>
        <v>0</v>
      </c>
      <c r="N8" s="809">
        <f>IF(MONTH(N2)&lt;='Current month'!$B$2,1,0)</f>
        <v>0</v>
      </c>
      <c r="O8" s="809">
        <f>IF(MONTH(O2)&lt;='Current month'!$B$2,1,0)</f>
        <v>0</v>
      </c>
      <c r="P8" s="809">
        <f>IF(MONTH(P2)&lt;='Current month'!$B$2,1,0)</f>
        <v>0</v>
      </c>
    </row>
    <row r="9" spans="2:22">
      <c r="B9" s="551"/>
      <c r="C9" s="750" t="s">
        <v>162</v>
      </c>
      <c r="D9" s="751"/>
      <c r="E9" s="767">
        <f>SUBTOTAL(9,E10:E10)</f>
        <v>14171.75</v>
      </c>
      <c r="F9" s="767">
        <f t="shared" ref="F9:G9" si="10">SUBTOTAL(9,F10:F10)</f>
        <v>14977.11025100022</v>
      </c>
      <c r="G9" s="767">
        <f t="shared" si="10"/>
        <v>13172.71828099971</v>
      </c>
      <c r="H9" s="767">
        <f>SUBTOTAL(9,H10:H10)</f>
        <v>14275.880187999857</v>
      </c>
      <c r="I9" s="767">
        <f t="shared" ref="I9:J9" si="11">SUBTOTAL(9,I10:I10)</f>
        <v>15610.55</v>
      </c>
      <c r="J9" s="767">
        <f t="shared" si="11"/>
        <v>15270.220000000001</v>
      </c>
      <c r="K9" s="767">
        <f>SUBTOTAL(9,K10:K10)</f>
        <v>15950.780000000002</v>
      </c>
      <c r="L9" s="767">
        <f t="shared" ref="L9:M9" si="12">SUBTOTAL(9,L10:L10)</f>
        <v>16804.21</v>
      </c>
      <c r="M9" s="767">
        <f t="shared" si="12"/>
        <v>16071.047662000015</v>
      </c>
      <c r="N9" s="767">
        <f>SUBTOTAL(9,N10:N10)</f>
        <v>17098.930871226974</v>
      </c>
      <c r="O9" s="767">
        <f t="shared" ref="O9:Q9" si="13">SUBTOTAL(9,O10:O10)</f>
        <v>17027.90694800008</v>
      </c>
      <c r="P9" s="767">
        <f t="shared" si="13"/>
        <v>15361.686948000079</v>
      </c>
      <c r="Q9" s="767">
        <f t="shared" si="13"/>
        <v>185792.79114922692</v>
      </c>
      <c r="S9" s="767">
        <f t="shared" ref="S9:V9" si="14">SUBTOTAL(9,S10:S10)</f>
        <v>42321.578531999927</v>
      </c>
      <c r="T9" s="767">
        <f t="shared" si="14"/>
        <v>45156.650187999854</v>
      </c>
      <c r="U9" s="767">
        <f t="shared" si="14"/>
        <v>48826.037662000017</v>
      </c>
      <c r="V9" s="767">
        <f t="shared" si="14"/>
        <v>49488.524767227136</v>
      </c>
    </row>
    <row r="10" spans="2:22" s="677" customFormat="1">
      <c r="C10" s="754" t="s">
        <v>161</v>
      </c>
      <c r="D10" s="755" t="s">
        <v>87</v>
      </c>
      <c r="E10" s="800">
        <v>14171.75</v>
      </c>
      <c r="F10" s="800">
        <v>14977.11025100022</v>
      </c>
      <c r="G10" s="800">
        <v>13172.71828099971</v>
      </c>
      <c r="H10" s="800">
        <v>14275.880187999857</v>
      </c>
      <c r="I10" s="800">
        <v>15610.55</v>
      </c>
      <c r="J10" s="800">
        <v>15270.220000000001</v>
      </c>
      <c r="K10" s="800">
        <v>15950.780000000002</v>
      </c>
      <c r="L10" s="800">
        <v>16804.21</v>
      </c>
      <c r="M10" s="800">
        <v>16071.047662000015</v>
      </c>
      <c r="N10" s="800">
        <v>17098.930871226974</v>
      </c>
      <c r="O10" s="800">
        <v>17027.90694800008</v>
      </c>
      <c r="P10" s="800">
        <v>15361.686948000079</v>
      </c>
      <c r="Q10" s="766">
        <f>SUM(E10:P10)</f>
        <v>185792.79114922692</v>
      </c>
      <c r="S10" s="765">
        <f t="shared" ref="S10" si="15">SUM(E10:G10)</f>
        <v>42321.578531999927</v>
      </c>
      <c r="T10" s="765">
        <f>SUM(H10:J10)</f>
        <v>45156.650187999854</v>
      </c>
      <c r="U10" s="765">
        <f>SUM(K10:M10)</f>
        <v>48826.037662000017</v>
      </c>
      <c r="V10" s="765">
        <f>SUM(N10:P10)</f>
        <v>49488.524767227136</v>
      </c>
    </row>
    <row r="12" spans="2:22">
      <c r="B12" s="551"/>
      <c r="C12" s="750" t="s">
        <v>163</v>
      </c>
      <c r="D12" s="751"/>
      <c r="E12" s="767">
        <f>SUBTOTAL(9,E13:E16)</f>
        <v>-3065.84</v>
      </c>
      <c r="F12" s="767">
        <f t="shared" ref="F12:G12" si="16">SUBTOTAL(9,F13:F16)</f>
        <v>17485.16</v>
      </c>
      <c r="G12" s="767">
        <f t="shared" si="16"/>
        <v>66418.62</v>
      </c>
      <c r="H12" s="767">
        <f>SUBTOTAL(9,H13:H16)</f>
        <v>750</v>
      </c>
      <c r="I12" s="767">
        <f t="shared" ref="I12:J12" si="17">SUBTOTAL(9,I13:I16)</f>
        <v>34939.57</v>
      </c>
      <c r="J12" s="767">
        <f t="shared" si="17"/>
        <v>39637.850000000006</v>
      </c>
      <c r="K12" s="767">
        <f>SUBTOTAL(9,K13:K16)</f>
        <v>29681.520000000004</v>
      </c>
      <c r="L12" s="767">
        <f t="shared" ref="L12:M12" si="18">SUBTOTAL(9,L13:L16)</f>
        <v>84340.74000000002</v>
      </c>
      <c r="M12" s="767">
        <f t="shared" si="18"/>
        <v>63316.71</v>
      </c>
      <c r="N12" s="767">
        <f>SUBTOTAL(9,N13:N16)</f>
        <v>148807.47999999998</v>
      </c>
      <c r="O12" s="767">
        <f t="shared" ref="O12:Q12" si="19">SUBTOTAL(9,O13:O16)</f>
        <v>85457.64</v>
      </c>
      <c r="P12" s="767">
        <f t="shared" si="19"/>
        <v>207777.75999999995</v>
      </c>
      <c r="Q12" s="767">
        <f t="shared" si="19"/>
        <v>775547.21</v>
      </c>
      <c r="S12" s="767">
        <f t="shared" ref="S12:V12" si="20">SUBTOTAL(9,S13:S16)</f>
        <v>80837.94</v>
      </c>
      <c r="T12" s="767">
        <f t="shared" si="20"/>
        <v>75327.420000000013</v>
      </c>
      <c r="U12" s="767">
        <f t="shared" si="20"/>
        <v>177338.97000000003</v>
      </c>
      <c r="V12" s="767">
        <f t="shared" si="20"/>
        <v>442042.87999999995</v>
      </c>
    </row>
    <row r="13" spans="2:22">
      <c r="C13" s="752" t="s">
        <v>161</v>
      </c>
      <c r="D13" s="753" t="s">
        <v>87</v>
      </c>
      <c r="E13" s="761">
        <v>0</v>
      </c>
      <c r="F13" s="761">
        <v>0</v>
      </c>
      <c r="G13" s="761">
        <v>0</v>
      </c>
      <c r="H13" s="761">
        <v>0</v>
      </c>
      <c r="I13" s="761">
        <v>0</v>
      </c>
      <c r="J13" s="761">
        <v>0</v>
      </c>
      <c r="K13" s="761">
        <v>0</v>
      </c>
      <c r="L13" s="761">
        <v>0</v>
      </c>
      <c r="M13" s="761">
        <v>0</v>
      </c>
      <c r="N13" s="761">
        <v>0</v>
      </c>
      <c r="O13" s="761">
        <v>0</v>
      </c>
      <c r="P13" s="761">
        <v>0</v>
      </c>
      <c r="Q13" s="762">
        <f>SUM(E13:P13)</f>
        <v>0</v>
      </c>
      <c r="R13" s="677"/>
      <c r="S13" s="761">
        <f t="shared" ref="S13:S16" si="21">SUM(E13:G13)</f>
        <v>0</v>
      </c>
      <c r="T13" s="761">
        <f t="shared" ref="T13:T16" si="22">SUM(H13:J13)</f>
        <v>0</v>
      </c>
      <c r="U13" s="761">
        <f t="shared" ref="U13:U16" si="23">SUM(K13:M13)</f>
        <v>0</v>
      </c>
      <c r="V13" s="761">
        <f t="shared" ref="V13:V16" si="24">SUM(N13:P13)</f>
        <v>0</v>
      </c>
    </row>
    <row r="14" spans="2:22">
      <c r="C14" s="752" t="s">
        <v>161</v>
      </c>
      <c r="D14" s="753" t="s">
        <v>88</v>
      </c>
      <c r="E14" s="761">
        <v>0</v>
      </c>
      <c r="F14" s="761">
        <v>0</v>
      </c>
      <c r="G14" s="761">
        <v>0</v>
      </c>
      <c r="H14" s="761">
        <v>0</v>
      </c>
      <c r="I14" s="761">
        <v>0</v>
      </c>
      <c r="J14" s="761">
        <v>0</v>
      </c>
      <c r="K14" s="761">
        <v>0</v>
      </c>
      <c r="L14" s="761">
        <v>0</v>
      </c>
      <c r="M14" s="761">
        <v>0</v>
      </c>
      <c r="N14" s="761">
        <v>0</v>
      </c>
      <c r="O14" s="761">
        <v>0</v>
      </c>
      <c r="P14" s="761">
        <v>0</v>
      </c>
      <c r="Q14" s="762">
        <f t="shared" ref="Q14:Q16" si="25">SUM(E14:P14)</f>
        <v>0</v>
      </c>
      <c r="R14" s="677"/>
      <c r="S14" s="761">
        <f t="shared" si="21"/>
        <v>0</v>
      </c>
      <c r="T14" s="761">
        <f t="shared" si="22"/>
        <v>0</v>
      </c>
      <c r="U14" s="761">
        <f t="shared" si="23"/>
        <v>0</v>
      </c>
      <c r="V14" s="761">
        <f t="shared" si="24"/>
        <v>0</v>
      </c>
    </row>
    <row r="15" spans="2:22">
      <c r="C15" s="752" t="s">
        <v>161</v>
      </c>
      <c r="D15" s="753" t="s">
        <v>89</v>
      </c>
      <c r="E15" s="761">
        <v>0</v>
      </c>
      <c r="F15" s="761">
        <v>0</v>
      </c>
      <c r="G15" s="761">
        <v>0</v>
      </c>
      <c r="H15" s="761">
        <v>0</v>
      </c>
      <c r="I15" s="761">
        <v>0</v>
      </c>
      <c r="J15" s="761">
        <v>0</v>
      </c>
      <c r="K15" s="761">
        <v>0</v>
      </c>
      <c r="L15" s="761">
        <v>0</v>
      </c>
      <c r="M15" s="761">
        <v>0</v>
      </c>
      <c r="N15" s="761">
        <v>0</v>
      </c>
      <c r="O15" s="761">
        <v>0</v>
      </c>
      <c r="P15" s="761">
        <v>0</v>
      </c>
      <c r="Q15" s="762">
        <f t="shared" si="25"/>
        <v>0</v>
      </c>
      <c r="R15" s="677"/>
      <c r="S15" s="761">
        <f t="shared" si="21"/>
        <v>0</v>
      </c>
      <c r="T15" s="761">
        <f t="shared" si="22"/>
        <v>0</v>
      </c>
      <c r="U15" s="761">
        <f t="shared" si="23"/>
        <v>0</v>
      </c>
      <c r="V15" s="761">
        <f t="shared" si="24"/>
        <v>0</v>
      </c>
    </row>
    <row r="16" spans="2:22">
      <c r="C16" s="754" t="s">
        <v>161</v>
      </c>
      <c r="D16" s="755" t="s">
        <v>147</v>
      </c>
      <c r="E16" s="764">
        <v>-3065.84</v>
      </c>
      <c r="F16" s="764">
        <v>17485.16</v>
      </c>
      <c r="G16" s="764">
        <v>66418.62</v>
      </c>
      <c r="H16" s="765">
        <v>750</v>
      </c>
      <c r="I16" s="765">
        <v>34939.57</v>
      </c>
      <c r="J16" s="765">
        <v>39637.850000000006</v>
      </c>
      <c r="K16" s="765">
        <v>29681.520000000004</v>
      </c>
      <c r="L16" s="765">
        <v>84340.74000000002</v>
      </c>
      <c r="M16" s="765">
        <v>63316.71</v>
      </c>
      <c r="N16" s="765">
        <v>148807.47999999998</v>
      </c>
      <c r="O16" s="765">
        <v>85457.64</v>
      </c>
      <c r="P16" s="765">
        <v>207777.75999999995</v>
      </c>
      <c r="Q16" s="766">
        <f t="shared" si="25"/>
        <v>775547.21</v>
      </c>
      <c r="R16" s="677"/>
      <c r="S16" s="765">
        <f t="shared" si="21"/>
        <v>80837.94</v>
      </c>
      <c r="T16" s="765">
        <f t="shared" si="22"/>
        <v>75327.420000000013</v>
      </c>
      <c r="U16" s="765">
        <f t="shared" si="23"/>
        <v>177338.97000000003</v>
      </c>
      <c r="V16" s="765">
        <f t="shared" si="24"/>
        <v>442042.87999999995</v>
      </c>
    </row>
    <row r="18" spans="1:22">
      <c r="B18" s="551"/>
      <c r="C18" s="750" t="s">
        <v>164</v>
      </c>
      <c r="D18" s="751"/>
      <c r="E18" s="767">
        <f>SUBTOTAL(9,E19:E19)</f>
        <v>0</v>
      </c>
      <c r="F18" s="767">
        <f t="shared" ref="F18:G18" si="26">SUBTOTAL(9,F19:F19)</f>
        <v>0</v>
      </c>
      <c r="G18" s="767">
        <f t="shared" si="26"/>
        <v>0</v>
      </c>
      <c r="H18" s="767">
        <f>SUBTOTAL(9,H19:H19)</f>
        <v>0</v>
      </c>
      <c r="I18" s="767">
        <f t="shared" ref="I18:J18" si="27">SUBTOTAL(9,I19:I19)</f>
        <v>0</v>
      </c>
      <c r="J18" s="767">
        <f t="shared" si="27"/>
        <v>0</v>
      </c>
      <c r="K18" s="767">
        <f>SUBTOTAL(9,K19:K19)</f>
        <v>0</v>
      </c>
      <c r="L18" s="767">
        <f t="shared" ref="L18:M18" si="28">SUBTOTAL(9,L19:L19)</f>
        <v>0</v>
      </c>
      <c r="M18" s="767">
        <f t="shared" si="28"/>
        <v>0</v>
      </c>
      <c r="N18" s="767">
        <f>SUBTOTAL(9,N19:N19)</f>
        <v>0</v>
      </c>
      <c r="O18" s="767">
        <f t="shared" ref="O18:Q18" si="29">SUBTOTAL(9,O19:O19)</f>
        <v>0</v>
      </c>
      <c r="P18" s="767">
        <f t="shared" si="29"/>
        <v>1186.74</v>
      </c>
      <c r="Q18" s="767">
        <f t="shared" si="29"/>
        <v>1186.74</v>
      </c>
      <c r="S18" s="767">
        <f t="shared" ref="S18:V18" si="30">SUBTOTAL(9,S19:S19)</f>
        <v>0</v>
      </c>
      <c r="T18" s="767">
        <f t="shared" si="30"/>
        <v>0</v>
      </c>
      <c r="U18" s="767">
        <f t="shared" si="30"/>
        <v>0</v>
      </c>
      <c r="V18" s="767">
        <f t="shared" si="30"/>
        <v>1186.74</v>
      </c>
    </row>
    <row r="19" spans="1:22" s="677" customFormat="1">
      <c r="C19" s="754" t="s">
        <v>161</v>
      </c>
      <c r="D19" s="755" t="s">
        <v>89</v>
      </c>
      <c r="E19" s="765">
        <v>0</v>
      </c>
      <c r="F19" s="765">
        <v>0</v>
      </c>
      <c r="G19" s="765">
        <v>0</v>
      </c>
      <c r="H19" s="765">
        <v>0</v>
      </c>
      <c r="I19" s="765">
        <v>0</v>
      </c>
      <c r="J19" s="765">
        <v>0</v>
      </c>
      <c r="K19" s="765">
        <v>0</v>
      </c>
      <c r="L19" s="765">
        <v>0</v>
      </c>
      <c r="M19" s="765">
        <v>0</v>
      </c>
      <c r="N19" s="765">
        <v>0</v>
      </c>
      <c r="O19" s="765">
        <v>0</v>
      </c>
      <c r="P19" s="765">
        <v>1186.74</v>
      </c>
      <c r="Q19" s="766">
        <f>SUM(E19:P19)</f>
        <v>1186.74</v>
      </c>
      <c r="S19" s="765">
        <f t="shared" ref="S19" si="31">SUM(E19:G19)</f>
        <v>0</v>
      </c>
      <c r="T19" s="765">
        <f>SUM(H19:J19)</f>
        <v>0</v>
      </c>
      <c r="U19" s="765">
        <f>SUM(K19:M19)</f>
        <v>0</v>
      </c>
      <c r="V19" s="765">
        <f>SUM(N19:P19)</f>
        <v>1186.74</v>
      </c>
    </row>
    <row r="21" spans="1:22">
      <c r="C21" s="678" t="s">
        <v>166</v>
      </c>
      <c r="D21" s="715"/>
      <c r="E21" s="684">
        <f>E18+E12+E9+E3</f>
        <v>435980.33088900003</v>
      </c>
      <c r="F21" s="684">
        <f t="shared" ref="F21:G21" si="32">F18+F12+F9+F3</f>
        <v>401881.64037900011</v>
      </c>
      <c r="G21" s="684">
        <f t="shared" si="32"/>
        <v>515933.07543999981</v>
      </c>
      <c r="H21" s="684">
        <f>H18+H12+H9+H3</f>
        <v>387335.88598499977</v>
      </c>
      <c r="I21" s="684">
        <f t="shared" ref="I21:J21" si="33">I18+I12+I9+I3</f>
        <v>526244.14267099998</v>
      </c>
      <c r="J21" s="684">
        <f t="shared" si="33"/>
        <v>619950.79897999973</v>
      </c>
      <c r="K21" s="684">
        <f>K18+K12+K9+K3</f>
        <v>534092.70287600008</v>
      </c>
      <c r="L21" s="684">
        <f t="shared" ref="L21:M21" si="34">L18+L12+L9+L3</f>
        <v>579148.28</v>
      </c>
      <c r="M21" s="684">
        <f t="shared" si="34"/>
        <v>646648.07766200008</v>
      </c>
      <c r="N21" s="684">
        <f>N18+N12+N9+N3</f>
        <v>789814.59087122697</v>
      </c>
      <c r="O21" s="684">
        <f t="shared" ref="O21:Q21" si="35">O18+O12+O9+O3</f>
        <v>753348.50694800005</v>
      </c>
      <c r="P21" s="684">
        <f t="shared" si="35"/>
        <v>1139021.994073</v>
      </c>
      <c r="Q21" s="684">
        <f t="shared" si="35"/>
        <v>7329400.0267742267</v>
      </c>
      <c r="S21" s="684">
        <f t="shared" ref="S21:V21" si="36">S18+S12+S9+S3</f>
        <v>1353795.0467079999</v>
      </c>
      <c r="T21" s="684">
        <f t="shared" si="36"/>
        <v>1533530.8276359995</v>
      </c>
      <c r="U21" s="684">
        <f t="shared" si="36"/>
        <v>1759889.060538</v>
      </c>
      <c r="V21" s="684">
        <f t="shared" si="36"/>
        <v>2682185.0918922271</v>
      </c>
    </row>
    <row r="22" spans="1:22">
      <c r="C22" s="680" t="s">
        <v>161</v>
      </c>
      <c r="D22" s="719" t="s">
        <v>87</v>
      </c>
      <c r="E22" s="738">
        <f t="shared" ref="E22:P26" si="37">SUMIF($D$4:$D$19,$D22,E$4:E$19)</f>
        <v>171796.43903900008</v>
      </c>
      <c r="F22" s="738">
        <f t="shared" si="37"/>
        <v>156811.23920400019</v>
      </c>
      <c r="G22" s="738">
        <f t="shared" si="37"/>
        <v>196434.10733899975</v>
      </c>
      <c r="H22" s="738">
        <f t="shared" si="37"/>
        <v>175648.83210899989</v>
      </c>
      <c r="I22" s="738">
        <f t="shared" si="37"/>
        <v>203612.94635999994</v>
      </c>
      <c r="J22" s="738">
        <f t="shared" si="37"/>
        <v>226071.29581699995</v>
      </c>
      <c r="K22" s="738">
        <f t="shared" si="37"/>
        <v>186359.591025</v>
      </c>
      <c r="L22" s="738">
        <f t="shared" si="37"/>
        <v>197528.9</v>
      </c>
      <c r="M22" s="738">
        <f t="shared" si="37"/>
        <v>243640.33766200003</v>
      </c>
      <c r="N22" s="738">
        <f t="shared" si="37"/>
        <v>242650.42087122696</v>
      </c>
      <c r="O22" s="738">
        <f t="shared" si="37"/>
        <v>273647.78694800008</v>
      </c>
      <c r="P22" s="738">
        <f t="shared" si="37"/>
        <v>343267.8147300001</v>
      </c>
      <c r="Q22" s="739">
        <f>SUM(E22:P22)</f>
        <v>2617469.7111042268</v>
      </c>
      <c r="S22" s="738">
        <f t="shared" ref="S22:V26" si="38">SUMIF($D$4:$D$19,$D22,S$4:S$19)</f>
        <v>525041.78558200004</v>
      </c>
      <c r="T22" s="738">
        <f t="shared" si="38"/>
        <v>605333.07428599976</v>
      </c>
      <c r="U22" s="738">
        <f t="shared" si="38"/>
        <v>627528.82868700009</v>
      </c>
      <c r="V22" s="738">
        <f t="shared" si="38"/>
        <v>859566.02254922711</v>
      </c>
    </row>
    <row r="23" spans="1:22">
      <c r="C23" s="680" t="s">
        <v>161</v>
      </c>
      <c r="D23" s="719" t="s">
        <v>88</v>
      </c>
      <c r="E23" s="738">
        <f t="shared" si="37"/>
        <v>218175.736232</v>
      </c>
      <c r="F23" s="738">
        <f t="shared" si="37"/>
        <v>188715.8593619999</v>
      </c>
      <c r="G23" s="738">
        <f t="shared" si="37"/>
        <v>214506.87203700002</v>
      </c>
      <c r="H23" s="738">
        <f t="shared" si="37"/>
        <v>172204.05113099987</v>
      </c>
      <c r="I23" s="738">
        <f t="shared" si="37"/>
        <v>240990.16011600004</v>
      </c>
      <c r="J23" s="738">
        <f t="shared" si="37"/>
        <v>298674.77079599974</v>
      </c>
      <c r="K23" s="738">
        <f t="shared" si="37"/>
        <v>259793.295736</v>
      </c>
      <c r="L23" s="738">
        <f t="shared" si="37"/>
        <v>232086.25</v>
      </c>
      <c r="M23" s="738">
        <f t="shared" si="37"/>
        <v>252723.82</v>
      </c>
      <c r="N23" s="738">
        <f t="shared" si="37"/>
        <v>264093.28000000003</v>
      </c>
      <c r="O23" s="738">
        <f t="shared" si="37"/>
        <v>220143.63</v>
      </c>
      <c r="P23" s="738">
        <f t="shared" si="37"/>
        <v>265373.23967399995</v>
      </c>
      <c r="Q23" s="739">
        <f t="shared" ref="Q23:Q26" si="39">SUM(E23:P23)</f>
        <v>2827480.9650839996</v>
      </c>
      <c r="S23" s="738">
        <f t="shared" si="38"/>
        <v>621398.46763099986</v>
      </c>
      <c r="T23" s="738">
        <f t="shared" si="38"/>
        <v>711868.98204299971</v>
      </c>
      <c r="U23" s="738">
        <f t="shared" si="38"/>
        <v>744603.36573600001</v>
      </c>
      <c r="V23" s="738">
        <f t="shared" si="38"/>
        <v>749610.14967399999</v>
      </c>
    </row>
    <row r="24" spans="1:22">
      <c r="C24" s="680" t="s">
        <v>161</v>
      </c>
      <c r="D24" s="719" t="s">
        <v>89</v>
      </c>
      <c r="E24" s="738">
        <f t="shared" si="37"/>
        <v>41583.858553999999</v>
      </c>
      <c r="F24" s="738">
        <f t="shared" si="37"/>
        <v>31054.077270999995</v>
      </c>
      <c r="G24" s="738">
        <f t="shared" si="37"/>
        <v>30883.456900000005</v>
      </c>
      <c r="H24" s="738">
        <f t="shared" si="37"/>
        <v>30516.760813000008</v>
      </c>
      <c r="I24" s="738">
        <f t="shared" si="37"/>
        <v>37888.326292999991</v>
      </c>
      <c r="J24" s="738">
        <f t="shared" si="37"/>
        <v>42816.381576999986</v>
      </c>
      <c r="K24" s="738">
        <f t="shared" si="37"/>
        <v>47956.517338000005</v>
      </c>
      <c r="L24" s="738">
        <f t="shared" si="37"/>
        <v>46660.800000000003</v>
      </c>
      <c r="M24" s="738">
        <f t="shared" si="37"/>
        <v>75244.679999999993</v>
      </c>
      <c r="N24" s="738">
        <f t="shared" si="37"/>
        <v>120032.73000000001</v>
      </c>
      <c r="O24" s="738">
        <f t="shared" si="37"/>
        <v>151241.94</v>
      </c>
      <c r="P24" s="738">
        <f t="shared" si="37"/>
        <v>303530.40956</v>
      </c>
      <c r="Q24" s="739">
        <f t="shared" si="39"/>
        <v>959409.93830600008</v>
      </c>
      <c r="S24" s="738">
        <f t="shared" si="38"/>
        <v>103521.392725</v>
      </c>
      <c r="T24" s="738">
        <f t="shared" si="38"/>
        <v>111221.46868299998</v>
      </c>
      <c r="U24" s="738">
        <f t="shared" si="38"/>
        <v>169861.99733799999</v>
      </c>
      <c r="V24" s="738">
        <f t="shared" si="38"/>
        <v>574805.07955999998</v>
      </c>
    </row>
    <row r="25" spans="1:22">
      <c r="C25" s="680" t="s">
        <v>161</v>
      </c>
      <c r="D25" s="719" t="s">
        <v>90</v>
      </c>
      <c r="E25" s="738">
        <f t="shared" si="37"/>
        <v>7490.1370640000005</v>
      </c>
      <c r="F25" s="738">
        <f t="shared" si="37"/>
        <v>7815.3045420000035</v>
      </c>
      <c r="G25" s="738">
        <f t="shared" si="37"/>
        <v>7690.0191639999994</v>
      </c>
      <c r="H25" s="738">
        <f t="shared" si="37"/>
        <v>8216.241931999999</v>
      </c>
      <c r="I25" s="738">
        <f t="shared" si="37"/>
        <v>8813.1399020000008</v>
      </c>
      <c r="J25" s="738">
        <f t="shared" si="37"/>
        <v>12750.50079</v>
      </c>
      <c r="K25" s="738">
        <f t="shared" si="37"/>
        <v>10301.778777</v>
      </c>
      <c r="L25" s="738">
        <f t="shared" si="37"/>
        <v>18531.59</v>
      </c>
      <c r="M25" s="738">
        <f t="shared" si="37"/>
        <v>11722.53</v>
      </c>
      <c r="N25" s="738">
        <f t="shared" si="37"/>
        <v>14230.68</v>
      </c>
      <c r="O25" s="738">
        <f t="shared" si="37"/>
        <v>22857.51</v>
      </c>
      <c r="P25" s="738">
        <f t="shared" si="37"/>
        <v>19072.770109000001</v>
      </c>
      <c r="Q25" s="739">
        <f t="shared" si="39"/>
        <v>149492.20228</v>
      </c>
      <c r="S25" s="738">
        <f t="shared" si="38"/>
        <v>22995.460770000005</v>
      </c>
      <c r="T25" s="738">
        <f t="shared" si="38"/>
        <v>29779.882623999998</v>
      </c>
      <c r="U25" s="738">
        <f t="shared" si="38"/>
        <v>40555.898777000002</v>
      </c>
      <c r="V25" s="738">
        <f t="shared" si="38"/>
        <v>56160.960109000007</v>
      </c>
    </row>
    <row r="26" spans="1:22">
      <c r="C26" s="682" t="s">
        <v>161</v>
      </c>
      <c r="D26" s="720" t="s">
        <v>147</v>
      </c>
      <c r="E26" s="740">
        <f t="shared" si="37"/>
        <v>-3065.84</v>
      </c>
      <c r="F26" s="740">
        <f t="shared" si="37"/>
        <v>17485.16</v>
      </c>
      <c r="G26" s="740">
        <f t="shared" si="37"/>
        <v>66418.62</v>
      </c>
      <c r="H26" s="740">
        <f t="shared" si="37"/>
        <v>750</v>
      </c>
      <c r="I26" s="740">
        <f t="shared" si="37"/>
        <v>34939.57</v>
      </c>
      <c r="J26" s="740">
        <f t="shared" si="37"/>
        <v>39637.850000000006</v>
      </c>
      <c r="K26" s="740">
        <f t="shared" si="37"/>
        <v>29681.520000000004</v>
      </c>
      <c r="L26" s="740">
        <f t="shared" si="37"/>
        <v>84340.74000000002</v>
      </c>
      <c r="M26" s="740">
        <f t="shared" si="37"/>
        <v>63316.71</v>
      </c>
      <c r="N26" s="740">
        <f t="shared" si="37"/>
        <v>148807.47999999998</v>
      </c>
      <c r="O26" s="740">
        <f t="shared" si="37"/>
        <v>85457.64</v>
      </c>
      <c r="P26" s="740">
        <f t="shared" si="37"/>
        <v>207777.75999999995</v>
      </c>
      <c r="Q26" s="741">
        <f t="shared" si="39"/>
        <v>775547.21</v>
      </c>
      <c r="S26" s="740">
        <f t="shared" si="38"/>
        <v>80837.94</v>
      </c>
      <c r="T26" s="740">
        <f t="shared" si="38"/>
        <v>75327.420000000013</v>
      </c>
      <c r="U26" s="740">
        <f t="shared" si="38"/>
        <v>177338.97000000003</v>
      </c>
      <c r="V26" s="740">
        <f t="shared" si="38"/>
        <v>442042.87999999995</v>
      </c>
    </row>
    <row r="27" spans="1:22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</row>
    <row r="28" spans="1:22" ht="2.4500000000000002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</row>
    <row r="30" spans="1:22">
      <c r="B30" s="551" t="s">
        <v>151</v>
      </c>
      <c r="C30" s="750" t="s">
        <v>160</v>
      </c>
      <c r="D30" s="751"/>
      <c r="E30" s="758">
        <f>SUBTOTAL(9,E31:E34)</f>
        <v>1713.5351389999998</v>
      </c>
      <c r="F30" s="759">
        <f t="shared" ref="F30:G30" si="40">SUBTOTAL(9,F31:F34)</f>
        <v>2340.3678440000003</v>
      </c>
      <c r="G30" s="759">
        <f t="shared" si="40"/>
        <v>3200.2898249999994</v>
      </c>
      <c r="H30" s="759">
        <f>SUBTOTAL(9,H31:H34)</f>
        <v>3547.2373989999996</v>
      </c>
      <c r="I30" s="759">
        <f t="shared" ref="I30:J30" si="41">SUBTOTAL(9,I31:I34)</f>
        <v>3386.3619510000003</v>
      </c>
      <c r="J30" s="759">
        <f t="shared" si="41"/>
        <v>5765.5085340000014</v>
      </c>
      <c r="K30" s="759">
        <f>SUBTOTAL(9,K31:K34)</f>
        <v>6117.6383050000004</v>
      </c>
      <c r="L30" s="759">
        <f t="shared" ref="L30:M30" si="42">SUBTOTAL(9,L31:L34)</f>
        <v>8091.4200000000019</v>
      </c>
      <c r="M30" s="759">
        <f t="shared" si="42"/>
        <v>14663.02</v>
      </c>
      <c r="N30" s="759">
        <f>SUBTOTAL(9,N31:N34)</f>
        <v>5872.7700000000013</v>
      </c>
      <c r="O30" s="759">
        <f t="shared" ref="O30:Q30" si="43">SUBTOTAL(9,O31:O34)</f>
        <v>16716.46</v>
      </c>
      <c r="P30" s="759">
        <f t="shared" si="43"/>
        <v>39887.53</v>
      </c>
      <c r="Q30" s="759">
        <f t="shared" si="43"/>
        <v>111302.13899700002</v>
      </c>
      <c r="S30" s="759">
        <f t="shared" ref="S30:V30" si="44">SUBTOTAL(9,S31:S34)</f>
        <v>7254.1928080000007</v>
      </c>
      <c r="T30" s="759">
        <f t="shared" si="44"/>
        <v>12699.107883999999</v>
      </c>
      <c r="U30" s="759">
        <f t="shared" si="44"/>
        <v>28872.078305000003</v>
      </c>
      <c r="V30" s="759">
        <f t="shared" si="44"/>
        <v>62476.759999999995</v>
      </c>
    </row>
    <row r="31" spans="1:22">
      <c r="C31" s="752" t="s">
        <v>176</v>
      </c>
      <c r="D31" s="753" t="s">
        <v>87</v>
      </c>
      <c r="E31" s="760">
        <v>2.600498</v>
      </c>
      <c r="F31" s="761">
        <v>0.96180299999999996</v>
      </c>
      <c r="G31" s="761">
        <v>2.0670600000000001</v>
      </c>
      <c r="H31" s="761">
        <v>0.651667</v>
      </c>
      <c r="I31" s="761">
        <v>0.52739099999999994</v>
      </c>
      <c r="J31" s="761">
        <v>0.54320899999999994</v>
      </c>
      <c r="K31" s="761">
        <v>1.275371</v>
      </c>
      <c r="L31" s="761">
        <v>0.55000000000000004</v>
      </c>
      <c r="M31" s="761">
        <v>0.66</v>
      </c>
      <c r="N31" s="761">
        <v>0.38</v>
      </c>
      <c r="O31" s="761">
        <v>1.39</v>
      </c>
      <c r="P31" s="761">
        <v>1.2200000000000002</v>
      </c>
      <c r="Q31" s="762">
        <f>SUM(E31:P31)</f>
        <v>12.826999000000002</v>
      </c>
      <c r="R31" s="677"/>
      <c r="S31" s="761">
        <f>SUM(E31:G31)</f>
        <v>5.6293609999999994</v>
      </c>
      <c r="T31" s="761">
        <f>SUM(H31:J31)</f>
        <v>1.722267</v>
      </c>
      <c r="U31" s="761">
        <f>SUM(K31:M31)</f>
        <v>2.4853710000000002</v>
      </c>
      <c r="V31" s="761">
        <f>SUM(N31:P31)</f>
        <v>2.99</v>
      </c>
    </row>
    <row r="32" spans="1:22">
      <c r="C32" s="752" t="s">
        <v>176</v>
      </c>
      <c r="D32" s="753" t="s">
        <v>88</v>
      </c>
      <c r="E32" s="760">
        <v>1710.7046409999998</v>
      </c>
      <c r="F32" s="761">
        <v>2327.606041</v>
      </c>
      <c r="G32" s="761">
        <v>3179.5317569999997</v>
      </c>
      <c r="H32" s="761">
        <v>3525.6549589999995</v>
      </c>
      <c r="I32" s="761">
        <v>3367.0453520000001</v>
      </c>
      <c r="J32" s="761">
        <v>5724.2826330000007</v>
      </c>
      <c r="K32" s="761">
        <v>6056.337144000001</v>
      </c>
      <c r="L32" s="761">
        <v>7824.3900000000012</v>
      </c>
      <c r="M32" s="761">
        <v>13842.04</v>
      </c>
      <c r="N32" s="761">
        <v>5498.6200000000008</v>
      </c>
      <c r="O32" s="761">
        <v>15920.329999999998</v>
      </c>
      <c r="P32" s="761">
        <v>21269.29</v>
      </c>
      <c r="Q32" s="762">
        <f t="shared" ref="Q32:Q34" si="45">SUM(E32:P32)</f>
        <v>90245.83252700002</v>
      </c>
      <c r="R32" s="677"/>
      <c r="S32" s="761">
        <f t="shared" ref="S32:S34" si="46">SUM(E32:G32)</f>
        <v>7217.842439</v>
      </c>
      <c r="T32" s="761">
        <f t="shared" ref="T32:T34" si="47">SUM(H32:J32)</f>
        <v>12616.982943999999</v>
      </c>
      <c r="U32" s="761">
        <f>SUM(K32:M32)</f>
        <v>27722.767144000005</v>
      </c>
      <c r="V32" s="761">
        <f t="shared" ref="V32:V34" si="48">SUM(N32:P32)</f>
        <v>42688.24</v>
      </c>
    </row>
    <row r="33" spans="2:22">
      <c r="C33" s="752" t="s">
        <v>176</v>
      </c>
      <c r="D33" s="753" t="s">
        <v>89</v>
      </c>
      <c r="E33" s="760">
        <v>0</v>
      </c>
      <c r="F33" s="761">
        <v>0</v>
      </c>
      <c r="G33" s="761">
        <v>0</v>
      </c>
      <c r="H33" s="761">
        <v>0</v>
      </c>
      <c r="I33" s="761">
        <v>0</v>
      </c>
      <c r="J33" s="761">
        <v>0</v>
      </c>
      <c r="K33" s="761">
        <v>0</v>
      </c>
      <c r="L33" s="761">
        <v>0</v>
      </c>
      <c r="M33" s="761">
        <v>0</v>
      </c>
      <c r="N33" s="761">
        <v>0</v>
      </c>
      <c r="O33" s="761">
        <v>0</v>
      </c>
      <c r="P33" s="761">
        <v>0</v>
      </c>
      <c r="Q33" s="762">
        <f t="shared" si="45"/>
        <v>0</v>
      </c>
      <c r="R33" s="677"/>
      <c r="S33" s="761">
        <f t="shared" si="46"/>
        <v>0</v>
      </c>
      <c r="T33" s="761">
        <f t="shared" si="47"/>
        <v>0</v>
      </c>
      <c r="U33" s="761">
        <f t="shared" ref="U33:U34" si="49">SUM(K33:M33)</f>
        <v>0</v>
      </c>
      <c r="V33" s="761">
        <f t="shared" si="48"/>
        <v>0</v>
      </c>
    </row>
    <row r="34" spans="2:22">
      <c r="C34" s="754" t="s">
        <v>176</v>
      </c>
      <c r="D34" s="755" t="s">
        <v>90</v>
      </c>
      <c r="E34" s="763">
        <v>0.23</v>
      </c>
      <c r="F34" s="764">
        <v>11.8</v>
      </c>
      <c r="G34" s="764">
        <v>18.691008</v>
      </c>
      <c r="H34" s="765">
        <v>20.930773000000002</v>
      </c>
      <c r="I34" s="765">
        <v>18.789207999999999</v>
      </c>
      <c r="J34" s="765">
        <v>40.682692000000003</v>
      </c>
      <c r="K34" s="765">
        <v>60.025790000000001</v>
      </c>
      <c r="L34" s="765">
        <v>266.48</v>
      </c>
      <c r="M34" s="765">
        <v>820.32</v>
      </c>
      <c r="N34" s="765">
        <v>373.77000000000004</v>
      </c>
      <c r="O34" s="765">
        <v>794.74</v>
      </c>
      <c r="P34" s="765">
        <v>18617.02</v>
      </c>
      <c r="Q34" s="766">
        <f t="shared" si="45"/>
        <v>21043.479470999999</v>
      </c>
      <c r="R34" s="677"/>
      <c r="S34" s="765">
        <f t="shared" si="46"/>
        <v>30.721008000000001</v>
      </c>
      <c r="T34" s="765">
        <f t="shared" si="47"/>
        <v>80.402673000000007</v>
      </c>
      <c r="U34" s="765">
        <f t="shared" si="49"/>
        <v>1146.8257900000001</v>
      </c>
      <c r="V34" s="765">
        <f t="shared" si="48"/>
        <v>19785.53</v>
      </c>
    </row>
    <row r="36" spans="2:22" hidden="1">
      <c r="B36" s="551"/>
      <c r="C36" s="750" t="s">
        <v>162</v>
      </c>
      <c r="D36" s="751"/>
      <c r="E36" s="767">
        <f>SUBTOTAL(9,E37:E37)</f>
        <v>0</v>
      </c>
      <c r="F36" s="767">
        <f t="shared" ref="F36:G36" si="50">SUBTOTAL(9,F37:F37)</f>
        <v>0</v>
      </c>
      <c r="G36" s="767">
        <f t="shared" si="50"/>
        <v>0</v>
      </c>
      <c r="H36" s="767">
        <f>SUBTOTAL(9,H37:H37)</f>
        <v>0</v>
      </c>
      <c r="I36" s="767">
        <f t="shared" ref="I36:J36" si="51">SUBTOTAL(9,I37:I37)</f>
        <v>0</v>
      </c>
      <c r="J36" s="767">
        <f t="shared" si="51"/>
        <v>0</v>
      </c>
      <c r="K36" s="767">
        <f>SUBTOTAL(9,K37:K37)</f>
        <v>0</v>
      </c>
      <c r="L36" s="767">
        <f t="shared" ref="L36:M36" si="52">SUBTOTAL(9,L37:L37)</f>
        <v>0</v>
      </c>
      <c r="M36" s="767">
        <f t="shared" si="52"/>
        <v>0</v>
      </c>
      <c r="N36" s="767">
        <f>SUBTOTAL(9,N37:N37)</f>
        <v>0</v>
      </c>
      <c r="O36" s="767">
        <f t="shared" ref="O36:Q36" si="53">SUBTOTAL(9,O37:O37)</f>
        <v>0</v>
      </c>
      <c r="P36" s="767">
        <f t="shared" si="53"/>
        <v>0</v>
      </c>
      <c r="Q36" s="767">
        <f t="shared" si="53"/>
        <v>0</v>
      </c>
      <c r="S36" s="767">
        <f t="shared" ref="S36:V36" si="54">SUBTOTAL(9,S37:S37)</f>
        <v>0</v>
      </c>
      <c r="T36" s="767">
        <f t="shared" si="54"/>
        <v>0</v>
      </c>
      <c r="U36" s="767">
        <f t="shared" si="54"/>
        <v>0</v>
      </c>
      <c r="V36" s="767">
        <f t="shared" si="54"/>
        <v>0</v>
      </c>
    </row>
    <row r="37" spans="2:22" s="677" customFormat="1" hidden="1">
      <c r="C37" s="754" t="s">
        <v>161</v>
      </c>
      <c r="D37" s="755" t="s">
        <v>87</v>
      </c>
      <c r="E37" s="768"/>
      <c r="F37" s="768"/>
      <c r="G37" s="768"/>
      <c r="H37" s="765"/>
      <c r="I37" s="765"/>
      <c r="J37" s="765"/>
      <c r="K37" s="765"/>
      <c r="L37" s="765"/>
      <c r="M37" s="765"/>
      <c r="N37" s="765"/>
      <c r="O37" s="765"/>
      <c r="P37" s="765"/>
      <c r="Q37" s="766">
        <f>SUM(E37:P37)</f>
        <v>0</v>
      </c>
      <c r="S37" s="765">
        <f t="shared" ref="S37" si="55">SUM(E37:G37)</f>
        <v>0</v>
      </c>
      <c r="T37" s="765">
        <f>SUM(H37:J37)</f>
        <v>0</v>
      </c>
      <c r="U37" s="765">
        <f>SUM(K37:M37)</f>
        <v>0</v>
      </c>
      <c r="V37" s="765">
        <f>SUM(N37:P37)</f>
        <v>0</v>
      </c>
    </row>
    <row r="38" spans="2:22" hidden="1"/>
    <row r="39" spans="2:22">
      <c r="B39" s="551"/>
      <c r="C39" s="750" t="s">
        <v>163</v>
      </c>
      <c r="D39" s="751"/>
      <c r="E39" s="767">
        <f>SUBTOTAL(9,E40:E43)</f>
        <v>0</v>
      </c>
      <c r="F39" s="767">
        <f t="shared" ref="F39:G39" si="56">SUBTOTAL(9,F40:F43)</f>
        <v>1697.6</v>
      </c>
      <c r="G39" s="767">
        <f t="shared" si="56"/>
        <v>12566.710000000001</v>
      </c>
      <c r="H39" s="767">
        <f>SUBTOTAL(9,H40:H43)</f>
        <v>12566.710000000001</v>
      </c>
      <c r="I39" s="767">
        <f t="shared" ref="I39:J39" si="57">SUBTOTAL(9,I40:I43)</f>
        <v>15100.83</v>
      </c>
      <c r="J39" s="767">
        <f t="shared" si="57"/>
        <v>16789.100000000002</v>
      </c>
      <c r="K39" s="767">
        <f>SUBTOTAL(9,K40:K43)</f>
        <v>20819.55</v>
      </c>
      <c r="L39" s="767">
        <f t="shared" ref="L39:M39" si="58">SUBTOTAL(9,L40:L43)</f>
        <v>19976.71</v>
      </c>
      <c r="M39" s="767">
        <f t="shared" si="58"/>
        <v>10517.18</v>
      </c>
      <c r="N39" s="767">
        <f>SUBTOTAL(9,N40:N43)</f>
        <v>7760.7199999999993</v>
      </c>
      <c r="O39" s="767">
        <f t="shared" ref="O39:Q39" si="59">SUBTOTAL(9,O40:O43)</f>
        <v>1637.97</v>
      </c>
      <c r="P39" s="767">
        <f t="shared" si="59"/>
        <v>-23344.93</v>
      </c>
      <c r="Q39" s="767">
        <f t="shared" si="59"/>
        <v>96088.150000000023</v>
      </c>
      <c r="S39" s="767">
        <f t="shared" ref="S39:V39" si="60">SUBTOTAL(9,S40:S43)</f>
        <v>14264.310000000001</v>
      </c>
      <c r="T39" s="767">
        <f t="shared" si="60"/>
        <v>44456.639999999999</v>
      </c>
      <c r="U39" s="767">
        <f t="shared" si="60"/>
        <v>51313.439999999995</v>
      </c>
      <c r="V39" s="767">
        <f t="shared" si="60"/>
        <v>-13946.240000000002</v>
      </c>
    </row>
    <row r="40" spans="2:22">
      <c r="C40" s="752" t="s">
        <v>161</v>
      </c>
      <c r="D40" s="753" t="s">
        <v>87</v>
      </c>
      <c r="E40" s="761">
        <v>0</v>
      </c>
      <c r="F40" s="761">
        <v>0</v>
      </c>
      <c r="G40" s="761">
        <v>0</v>
      </c>
      <c r="H40" s="761">
        <v>0</v>
      </c>
      <c r="I40" s="761">
        <v>0</v>
      </c>
      <c r="J40" s="761">
        <v>0</v>
      </c>
      <c r="K40" s="761">
        <v>0</v>
      </c>
      <c r="L40" s="761">
        <v>0</v>
      </c>
      <c r="M40" s="761">
        <v>0</v>
      </c>
      <c r="N40" s="761">
        <v>0</v>
      </c>
      <c r="O40" s="761">
        <v>0</v>
      </c>
      <c r="P40" s="761">
        <v>0</v>
      </c>
      <c r="Q40" s="762">
        <f>SUM(E40:P40)</f>
        <v>0</v>
      </c>
      <c r="R40" s="677"/>
      <c r="S40" s="761">
        <f t="shared" ref="S40:S43" si="61">SUM(E40:G40)</f>
        <v>0</v>
      </c>
      <c r="T40" s="761">
        <f t="shared" ref="T40:T43" si="62">SUM(H40:J40)</f>
        <v>0</v>
      </c>
      <c r="U40" s="761">
        <f t="shared" ref="U40:U43" si="63">SUM(K40:M40)</f>
        <v>0</v>
      </c>
      <c r="V40" s="761">
        <f t="shared" ref="V40:V43" si="64">SUM(N40:P40)</f>
        <v>0</v>
      </c>
    </row>
    <row r="41" spans="2:22">
      <c r="C41" s="752" t="s">
        <v>161</v>
      </c>
      <c r="D41" s="753" t="s">
        <v>88</v>
      </c>
      <c r="E41" s="761">
        <v>0</v>
      </c>
      <c r="F41" s="761">
        <v>0</v>
      </c>
      <c r="G41" s="761">
        <v>0</v>
      </c>
      <c r="H41" s="761">
        <v>0</v>
      </c>
      <c r="I41" s="761">
        <v>0</v>
      </c>
      <c r="J41" s="761">
        <v>0</v>
      </c>
      <c r="K41" s="761">
        <v>0</v>
      </c>
      <c r="L41" s="761">
        <v>0</v>
      </c>
      <c r="M41" s="761">
        <v>0</v>
      </c>
      <c r="N41" s="761">
        <v>0</v>
      </c>
      <c r="O41" s="761">
        <v>0</v>
      </c>
      <c r="P41" s="761">
        <v>0</v>
      </c>
      <c r="Q41" s="762">
        <f t="shared" ref="Q41:Q43" si="65">SUM(E41:P41)</f>
        <v>0</v>
      </c>
      <c r="R41" s="677"/>
      <c r="S41" s="761">
        <f t="shared" si="61"/>
        <v>0</v>
      </c>
      <c r="T41" s="761">
        <f t="shared" si="62"/>
        <v>0</v>
      </c>
      <c r="U41" s="761">
        <f t="shared" si="63"/>
        <v>0</v>
      </c>
      <c r="V41" s="761">
        <f t="shared" si="64"/>
        <v>0</v>
      </c>
    </row>
    <row r="42" spans="2:22">
      <c r="C42" s="752" t="s">
        <v>161</v>
      </c>
      <c r="D42" s="753" t="s">
        <v>89</v>
      </c>
      <c r="E42" s="761">
        <v>0</v>
      </c>
      <c r="F42" s="761">
        <v>0</v>
      </c>
      <c r="G42" s="761">
        <v>0</v>
      </c>
      <c r="H42" s="761">
        <v>0</v>
      </c>
      <c r="I42" s="761">
        <v>0</v>
      </c>
      <c r="J42" s="761">
        <v>0</v>
      </c>
      <c r="K42" s="761">
        <v>0</v>
      </c>
      <c r="L42" s="761">
        <v>0</v>
      </c>
      <c r="M42" s="761">
        <v>0</v>
      </c>
      <c r="N42" s="761">
        <v>0</v>
      </c>
      <c r="O42" s="761">
        <v>0</v>
      </c>
      <c r="P42" s="761">
        <v>0</v>
      </c>
      <c r="Q42" s="762">
        <f t="shared" si="65"/>
        <v>0</v>
      </c>
      <c r="R42" s="677"/>
      <c r="S42" s="761">
        <f t="shared" si="61"/>
        <v>0</v>
      </c>
      <c r="T42" s="761">
        <f t="shared" si="62"/>
        <v>0</v>
      </c>
      <c r="U42" s="761">
        <f t="shared" si="63"/>
        <v>0</v>
      </c>
      <c r="V42" s="761">
        <f t="shared" si="64"/>
        <v>0</v>
      </c>
    </row>
    <row r="43" spans="2:22">
      <c r="C43" s="754" t="s">
        <v>161</v>
      </c>
      <c r="D43" s="755" t="s">
        <v>147</v>
      </c>
      <c r="E43" s="764">
        <v>0</v>
      </c>
      <c r="F43" s="764">
        <v>1697.6</v>
      </c>
      <c r="G43" s="764">
        <v>12566.710000000001</v>
      </c>
      <c r="H43" s="765">
        <v>12566.710000000001</v>
      </c>
      <c r="I43" s="765">
        <v>15100.83</v>
      </c>
      <c r="J43" s="765">
        <v>16789.100000000002</v>
      </c>
      <c r="K43" s="765">
        <v>20819.55</v>
      </c>
      <c r="L43" s="765">
        <v>19976.71</v>
      </c>
      <c r="M43" s="765">
        <v>10517.18</v>
      </c>
      <c r="N43" s="765">
        <v>7760.7199999999993</v>
      </c>
      <c r="O43" s="765">
        <v>1637.97</v>
      </c>
      <c r="P43" s="765">
        <v>-23344.93</v>
      </c>
      <c r="Q43" s="766">
        <f t="shared" si="65"/>
        <v>96088.150000000023</v>
      </c>
      <c r="R43" s="677"/>
      <c r="S43" s="765">
        <f t="shared" si="61"/>
        <v>14264.310000000001</v>
      </c>
      <c r="T43" s="765">
        <f t="shared" si="62"/>
        <v>44456.639999999999</v>
      </c>
      <c r="U43" s="765">
        <f t="shared" si="63"/>
        <v>51313.439999999995</v>
      </c>
      <c r="V43" s="765">
        <f t="shared" si="64"/>
        <v>-13946.240000000002</v>
      </c>
    </row>
    <row r="45" spans="2:22" hidden="1">
      <c r="B45" s="551"/>
      <c r="C45" s="750" t="s">
        <v>164</v>
      </c>
      <c r="D45" s="751"/>
      <c r="E45" s="767">
        <f>SUBTOTAL(9,E46:E46)</f>
        <v>0</v>
      </c>
      <c r="F45" s="767">
        <f t="shared" ref="F45:G45" si="66">SUBTOTAL(9,F46:F46)</f>
        <v>0</v>
      </c>
      <c r="G45" s="767">
        <f t="shared" si="66"/>
        <v>0</v>
      </c>
      <c r="H45" s="767">
        <f>SUBTOTAL(9,H46:H46)</f>
        <v>0</v>
      </c>
      <c r="I45" s="767">
        <f t="shared" ref="I45:J45" si="67">SUBTOTAL(9,I46:I46)</f>
        <v>0</v>
      </c>
      <c r="J45" s="767">
        <f t="shared" si="67"/>
        <v>0</v>
      </c>
      <c r="K45" s="767">
        <f>SUBTOTAL(9,K46:K46)</f>
        <v>0</v>
      </c>
      <c r="L45" s="767">
        <f t="shared" ref="L45:M45" si="68">SUBTOTAL(9,L46:L46)</f>
        <v>0</v>
      </c>
      <c r="M45" s="767">
        <f t="shared" si="68"/>
        <v>0</v>
      </c>
      <c r="N45" s="767">
        <f>SUBTOTAL(9,N46:N46)</f>
        <v>0</v>
      </c>
      <c r="O45" s="767">
        <f t="shared" ref="O45:Q45" si="69">SUBTOTAL(9,O46:O46)</f>
        <v>0</v>
      </c>
      <c r="P45" s="767">
        <f t="shared" si="69"/>
        <v>0</v>
      </c>
      <c r="Q45" s="767">
        <f t="shared" si="69"/>
        <v>0</v>
      </c>
      <c r="S45" s="767">
        <f t="shared" ref="S45:V45" si="70">SUBTOTAL(9,S46:S46)</f>
        <v>0</v>
      </c>
      <c r="T45" s="767">
        <f t="shared" si="70"/>
        <v>0</v>
      </c>
      <c r="U45" s="767">
        <f t="shared" si="70"/>
        <v>0</v>
      </c>
      <c r="V45" s="767">
        <f t="shared" si="70"/>
        <v>0</v>
      </c>
    </row>
    <row r="46" spans="2:22" s="677" customFormat="1" hidden="1">
      <c r="C46" s="754" t="s">
        <v>161</v>
      </c>
      <c r="D46" s="755" t="s">
        <v>89</v>
      </c>
      <c r="E46" s="768"/>
      <c r="F46" s="768"/>
      <c r="G46" s="768"/>
      <c r="H46" s="765"/>
      <c r="I46" s="765"/>
      <c r="J46" s="765"/>
      <c r="K46" s="765"/>
      <c r="L46" s="765"/>
      <c r="M46" s="765"/>
      <c r="N46" s="765"/>
      <c r="O46" s="765"/>
      <c r="P46" s="765"/>
      <c r="Q46" s="766">
        <f>SUM(E46:P46)</f>
        <v>0</v>
      </c>
      <c r="S46" s="765">
        <f t="shared" ref="S46" si="71">SUM(E46:G46)</f>
        <v>0</v>
      </c>
      <c r="T46" s="765">
        <f>SUM(H46:J46)</f>
        <v>0</v>
      </c>
      <c r="U46" s="765">
        <f>SUM(K46:M46)</f>
        <v>0</v>
      </c>
      <c r="V46" s="765">
        <f>SUM(N46:P46)</f>
        <v>0</v>
      </c>
    </row>
    <row r="47" spans="2:22" hidden="1"/>
    <row r="48" spans="2:22">
      <c r="C48" s="678" t="s">
        <v>167</v>
      </c>
      <c r="D48" s="715"/>
      <c r="E48" s="684">
        <f>E45+E39+E36+E30</f>
        <v>1713.5351389999998</v>
      </c>
      <c r="F48" s="684">
        <f t="shared" ref="F48:G48" si="72">F45+F39+F36+F30</f>
        <v>4037.9678440000002</v>
      </c>
      <c r="G48" s="684">
        <f t="shared" si="72"/>
        <v>15766.999825000001</v>
      </c>
      <c r="H48" s="684">
        <f>H45+H39+H36+H30</f>
        <v>16113.947399000001</v>
      </c>
      <c r="I48" s="684">
        <f t="shared" ref="I48:J48" si="73">I45+I39+I36+I30</f>
        <v>18487.191951000001</v>
      </c>
      <c r="J48" s="684">
        <f t="shared" si="73"/>
        <v>22554.608534000003</v>
      </c>
      <c r="K48" s="684">
        <f>K45+K39+K36+K30</f>
        <v>26937.188305</v>
      </c>
      <c r="L48" s="684">
        <f t="shared" ref="L48:M48" si="74">L45+L39+L36+L30</f>
        <v>28068.13</v>
      </c>
      <c r="M48" s="684">
        <f t="shared" si="74"/>
        <v>25180.2</v>
      </c>
      <c r="N48" s="684">
        <f>N45+N39+N36+N30</f>
        <v>13633.490000000002</v>
      </c>
      <c r="O48" s="684">
        <f t="shared" ref="O48:Q48" si="75">O45+O39+O36+O30</f>
        <v>18354.43</v>
      </c>
      <c r="P48" s="684">
        <f t="shared" si="75"/>
        <v>16542.599999999999</v>
      </c>
      <c r="Q48" s="684">
        <f t="shared" si="75"/>
        <v>207390.28899700003</v>
      </c>
      <c r="S48" s="684">
        <f t="shared" ref="S48:V48" si="76">S45+S39+S36+S30</f>
        <v>21518.502808000001</v>
      </c>
      <c r="T48" s="684">
        <f t="shared" si="76"/>
        <v>57155.747883999997</v>
      </c>
      <c r="U48" s="684">
        <f t="shared" si="76"/>
        <v>80185.518305000005</v>
      </c>
      <c r="V48" s="684">
        <f t="shared" si="76"/>
        <v>48530.51999999999</v>
      </c>
    </row>
    <row r="49" spans="1:22">
      <c r="C49" s="680" t="s">
        <v>161</v>
      </c>
      <c r="D49" s="719" t="s">
        <v>87</v>
      </c>
      <c r="E49" s="738">
        <f t="shared" ref="E49:P53" si="77">SUMIF($D$31:$D$46,$D49,E$31:E$46)</f>
        <v>2.600498</v>
      </c>
      <c r="F49" s="738">
        <f t="shared" si="77"/>
        <v>0.96180299999999996</v>
      </c>
      <c r="G49" s="738">
        <f t="shared" si="77"/>
        <v>2.0670600000000001</v>
      </c>
      <c r="H49" s="738">
        <f t="shared" si="77"/>
        <v>0.651667</v>
      </c>
      <c r="I49" s="738">
        <f t="shared" si="77"/>
        <v>0.52739099999999994</v>
      </c>
      <c r="J49" s="738">
        <f t="shared" si="77"/>
        <v>0.54320899999999994</v>
      </c>
      <c r="K49" s="738">
        <f t="shared" si="77"/>
        <v>1.275371</v>
      </c>
      <c r="L49" s="738">
        <f t="shared" si="77"/>
        <v>0.55000000000000004</v>
      </c>
      <c r="M49" s="738">
        <f t="shared" si="77"/>
        <v>0.66</v>
      </c>
      <c r="N49" s="738">
        <f t="shared" si="77"/>
        <v>0.38</v>
      </c>
      <c r="O49" s="738">
        <f t="shared" si="77"/>
        <v>1.39</v>
      </c>
      <c r="P49" s="738">
        <f t="shared" si="77"/>
        <v>1.2200000000000002</v>
      </c>
      <c r="Q49" s="739">
        <f>SUM(E49:P49)</f>
        <v>12.826999000000002</v>
      </c>
      <c r="S49" s="738">
        <f t="shared" ref="S49:V53" si="78">SUMIF($D$31:$D$46,$D49,S$31:S$46)</f>
        <v>5.6293609999999994</v>
      </c>
      <c r="T49" s="738">
        <f t="shared" si="78"/>
        <v>1.722267</v>
      </c>
      <c r="U49" s="738">
        <f t="shared" si="78"/>
        <v>2.4853710000000002</v>
      </c>
      <c r="V49" s="738">
        <f t="shared" si="78"/>
        <v>2.99</v>
      </c>
    </row>
    <row r="50" spans="1:22">
      <c r="C50" s="680" t="s">
        <v>161</v>
      </c>
      <c r="D50" s="719" t="s">
        <v>88</v>
      </c>
      <c r="E50" s="738">
        <f t="shared" si="77"/>
        <v>1710.7046409999998</v>
      </c>
      <c r="F50" s="738">
        <f t="shared" si="77"/>
        <v>2327.606041</v>
      </c>
      <c r="G50" s="738">
        <f t="shared" si="77"/>
        <v>3179.5317569999997</v>
      </c>
      <c r="H50" s="738">
        <f t="shared" si="77"/>
        <v>3525.6549589999995</v>
      </c>
      <c r="I50" s="738">
        <f t="shared" si="77"/>
        <v>3367.0453520000001</v>
      </c>
      <c r="J50" s="738">
        <f t="shared" si="77"/>
        <v>5724.2826330000007</v>
      </c>
      <c r="K50" s="738">
        <f t="shared" si="77"/>
        <v>6056.337144000001</v>
      </c>
      <c r="L50" s="738">
        <f t="shared" si="77"/>
        <v>7824.3900000000012</v>
      </c>
      <c r="M50" s="738">
        <f t="shared" si="77"/>
        <v>13842.04</v>
      </c>
      <c r="N50" s="738">
        <f t="shared" si="77"/>
        <v>5498.6200000000008</v>
      </c>
      <c r="O50" s="738">
        <f t="shared" si="77"/>
        <v>15920.329999999998</v>
      </c>
      <c r="P50" s="738">
        <f t="shared" si="77"/>
        <v>21269.29</v>
      </c>
      <c r="Q50" s="739">
        <f t="shared" ref="Q50:Q53" si="79">SUM(E50:P50)</f>
        <v>90245.83252700002</v>
      </c>
      <c r="S50" s="738">
        <f t="shared" si="78"/>
        <v>7217.842439</v>
      </c>
      <c r="T50" s="738">
        <f t="shared" si="78"/>
        <v>12616.982943999999</v>
      </c>
      <c r="U50" s="738">
        <f t="shared" si="78"/>
        <v>27722.767144000005</v>
      </c>
      <c r="V50" s="738">
        <f t="shared" si="78"/>
        <v>42688.24</v>
      </c>
    </row>
    <row r="51" spans="1:22">
      <c r="C51" s="680" t="s">
        <v>161</v>
      </c>
      <c r="D51" s="719" t="s">
        <v>89</v>
      </c>
      <c r="E51" s="738">
        <f t="shared" si="77"/>
        <v>0</v>
      </c>
      <c r="F51" s="738">
        <f t="shared" si="77"/>
        <v>0</v>
      </c>
      <c r="G51" s="738">
        <f t="shared" si="77"/>
        <v>0</v>
      </c>
      <c r="H51" s="738">
        <f t="shared" si="77"/>
        <v>0</v>
      </c>
      <c r="I51" s="738">
        <f t="shared" si="77"/>
        <v>0</v>
      </c>
      <c r="J51" s="738">
        <f t="shared" si="77"/>
        <v>0</v>
      </c>
      <c r="K51" s="738">
        <f t="shared" si="77"/>
        <v>0</v>
      </c>
      <c r="L51" s="738">
        <f t="shared" si="77"/>
        <v>0</v>
      </c>
      <c r="M51" s="738">
        <f t="shared" si="77"/>
        <v>0</v>
      </c>
      <c r="N51" s="738">
        <f t="shared" si="77"/>
        <v>0</v>
      </c>
      <c r="O51" s="738">
        <f t="shared" si="77"/>
        <v>0</v>
      </c>
      <c r="P51" s="738">
        <f t="shared" si="77"/>
        <v>0</v>
      </c>
      <c r="Q51" s="739">
        <f t="shared" si="79"/>
        <v>0</v>
      </c>
      <c r="S51" s="738">
        <f t="shared" si="78"/>
        <v>0</v>
      </c>
      <c r="T51" s="738">
        <f t="shared" si="78"/>
        <v>0</v>
      </c>
      <c r="U51" s="738">
        <f t="shared" si="78"/>
        <v>0</v>
      </c>
      <c r="V51" s="738">
        <f t="shared" si="78"/>
        <v>0</v>
      </c>
    </row>
    <row r="52" spans="1:22">
      <c r="C52" s="680" t="s">
        <v>161</v>
      </c>
      <c r="D52" s="719" t="s">
        <v>90</v>
      </c>
      <c r="E52" s="738">
        <f t="shared" si="77"/>
        <v>0.23</v>
      </c>
      <c r="F52" s="738">
        <f t="shared" si="77"/>
        <v>11.8</v>
      </c>
      <c r="G52" s="738">
        <f t="shared" si="77"/>
        <v>18.691008</v>
      </c>
      <c r="H52" s="738">
        <f t="shared" si="77"/>
        <v>20.930773000000002</v>
      </c>
      <c r="I52" s="738">
        <f t="shared" si="77"/>
        <v>18.789207999999999</v>
      </c>
      <c r="J52" s="738">
        <f t="shared" si="77"/>
        <v>40.682692000000003</v>
      </c>
      <c r="K52" s="738">
        <f t="shared" si="77"/>
        <v>60.025790000000001</v>
      </c>
      <c r="L52" s="738">
        <f t="shared" si="77"/>
        <v>266.48</v>
      </c>
      <c r="M52" s="738">
        <f t="shared" si="77"/>
        <v>820.32</v>
      </c>
      <c r="N52" s="738">
        <f t="shared" si="77"/>
        <v>373.77000000000004</v>
      </c>
      <c r="O52" s="738">
        <f t="shared" si="77"/>
        <v>794.74</v>
      </c>
      <c r="P52" s="738">
        <f t="shared" si="77"/>
        <v>18617.02</v>
      </c>
      <c r="Q52" s="739">
        <f t="shared" si="79"/>
        <v>21043.479470999999</v>
      </c>
      <c r="S52" s="738">
        <f t="shared" si="78"/>
        <v>30.721008000000001</v>
      </c>
      <c r="T52" s="738">
        <f t="shared" si="78"/>
        <v>80.402673000000007</v>
      </c>
      <c r="U52" s="738">
        <f t="shared" si="78"/>
        <v>1146.8257900000001</v>
      </c>
      <c r="V52" s="738">
        <f t="shared" si="78"/>
        <v>19785.53</v>
      </c>
    </row>
    <row r="53" spans="1:22">
      <c r="C53" s="682" t="s">
        <v>161</v>
      </c>
      <c r="D53" s="720" t="s">
        <v>147</v>
      </c>
      <c r="E53" s="740">
        <f t="shared" si="77"/>
        <v>0</v>
      </c>
      <c r="F53" s="740">
        <f t="shared" si="77"/>
        <v>1697.6</v>
      </c>
      <c r="G53" s="740">
        <f t="shared" si="77"/>
        <v>12566.710000000001</v>
      </c>
      <c r="H53" s="740">
        <f t="shared" si="77"/>
        <v>12566.710000000001</v>
      </c>
      <c r="I53" s="740">
        <f t="shared" si="77"/>
        <v>15100.83</v>
      </c>
      <c r="J53" s="740">
        <f t="shared" si="77"/>
        <v>16789.100000000002</v>
      </c>
      <c r="K53" s="740">
        <f t="shared" si="77"/>
        <v>20819.55</v>
      </c>
      <c r="L53" s="740">
        <f t="shared" si="77"/>
        <v>19976.71</v>
      </c>
      <c r="M53" s="740">
        <f t="shared" si="77"/>
        <v>10517.18</v>
      </c>
      <c r="N53" s="740">
        <f t="shared" si="77"/>
        <v>7760.7199999999993</v>
      </c>
      <c r="O53" s="740">
        <f t="shared" si="77"/>
        <v>1637.97</v>
      </c>
      <c r="P53" s="740">
        <f t="shared" si="77"/>
        <v>-23344.93</v>
      </c>
      <c r="Q53" s="741">
        <f t="shared" si="79"/>
        <v>96088.150000000023</v>
      </c>
      <c r="S53" s="740">
        <f t="shared" si="78"/>
        <v>14264.310000000001</v>
      </c>
      <c r="T53" s="740">
        <f t="shared" si="78"/>
        <v>44456.639999999999</v>
      </c>
      <c r="U53" s="740">
        <f t="shared" si="78"/>
        <v>51313.439999999995</v>
      </c>
      <c r="V53" s="740">
        <f t="shared" si="78"/>
        <v>-13946.240000000002</v>
      </c>
    </row>
    <row r="55" spans="1:22" ht="2.4500000000000002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</row>
    <row r="56" spans="1:22">
      <c r="B56" s="551"/>
    </row>
    <row r="57" spans="1:22">
      <c r="B57" s="100" t="s">
        <v>168</v>
      </c>
      <c r="C57" s="686" t="s">
        <v>169</v>
      </c>
      <c r="D57" s="687"/>
      <c r="E57" s="688">
        <f t="shared" ref="E57:Q57" si="80">SUM(E58:E62)</f>
        <v>437693.86602800002</v>
      </c>
      <c r="F57" s="688">
        <f t="shared" si="80"/>
        <v>405919.60822300008</v>
      </c>
      <c r="G57" s="688">
        <f t="shared" si="80"/>
        <v>531700.07526499976</v>
      </c>
      <c r="H57" s="688">
        <f t="shared" si="80"/>
        <v>403449.83338399976</v>
      </c>
      <c r="I57" s="688">
        <f t="shared" si="80"/>
        <v>544731.33462199999</v>
      </c>
      <c r="J57" s="688">
        <f t="shared" si="80"/>
        <v>642505.40751399985</v>
      </c>
      <c r="K57" s="688">
        <f t="shared" si="80"/>
        <v>561029.89118100004</v>
      </c>
      <c r="L57" s="688">
        <f t="shared" si="80"/>
        <v>607216.40999999992</v>
      </c>
      <c r="M57" s="688">
        <f t="shared" si="80"/>
        <v>671828.27766199992</v>
      </c>
      <c r="N57" s="688">
        <f t="shared" si="80"/>
        <v>803448.08087122685</v>
      </c>
      <c r="O57" s="688">
        <f t="shared" si="80"/>
        <v>771702.9369480001</v>
      </c>
      <c r="P57" s="688">
        <f t="shared" si="80"/>
        <v>1155564.5940730001</v>
      </c>
      <c r="Q57" s="688">
        <f t="shared" si="80"/>
        <v>7536790.3157712268</v>
      </c>
      <c r="S57" s="688">
        <f t="shared" ref="S57:V57" si="81">SUM(S58:S62)</f>
        <v>1375313.5495159999</v>
      </c>
      <c r="T57" s="688">
        <f t="shared" si="81"/>
        <v>1590686.5755199995</v>
      </c>
      <c r="U57" s="688">
        <f t="shared" si="81"/>
        <v>1840074.5788430003</v>
      </c>
      <c r="V57" s="688">
        <f t="shared" si="81"/>
        <v>2730715.6118922271</v>
      </c>
    </row>
    <row r="58" spans="1:22">
      <c r="C58" s="690" t="s">
        <v>161</v>
      </c>
      <c r="D58" s="691" t="s">
        <v>87</v>
      </c>
      <c r="E58" s="692">
        <f t="shared" ref="E58:Q62" si="82">E22+E49</f>
        <v>171799.03953700009</v>
      </c>
      <c r="F58" s="692">
        <f t="shared" si="82"/>
        <v>156812.2010070002</v>
      </c>
      <c r="G58" s="692">
        <f t="shared" si="82"/>
        <v>196436.17439899975</v>
      </c>
      <c r="H58" s="692">
        <f t="shared" si="82"/>
        <v>175649.48377599989</v>
      </c>
      <c r="I58" s="692">
        <f t="shared" si="82"/>
        <v>203613.47375099995</v>
      </c>
      <c r="J58" s="692">
        <f t="shared" si="82"/>
        <v>226071.83902599994</v>
      </c>
      <c r="K58" s="692">
        <f t="shared" si="82"/>
        <v>186360.866396</v>
      </c>
      <c r="L58" s="692">
        <f t="shared" si="82"/>
        <v>197529.44999999998</v>
      </c>
      <c r="M58" s="692">
        <f t="shared" si="82"/>
        <v>243640.99766200004</v>
      </c>
      <c r="N58" s="692">
        <f t="shared" si="82"/>
        <v>242650.80087122697</v>
      </c>
      <c r="O58" s="692">
        <f t="shared" si="82"/>
        <v>273649.17694800009</v>
      </c>
      <c r="P58" s="692">
        <f t="shared" si="82"/>
        <v>343269.03473000007</v>
      </c>
      <c r="Q58" s="703">
        <f t="shared" si="82"/>
        <v>2617482.5381032266</v>
      </c>
      <c r="S58" s="692">
        <f t="shared" ref="S58:V62" si="83">S22+S49</f>
        <v>525047.41494300007</v>
      </c>
      <c r="T58" s="692">
        <f t="shared" si="83"/>
        <v>605334.79655299976</v>
      </c>
      <c r="U58" s="692">
        <f t="shared" si="83"/>
        <v>627531.31405800011</v>
      </c>
      <c r="V58" s="692">
        <f t="shared" si="83"/>
        <v>859569.0125492271</v>
      </c>
    </row>
    <row r="59" spans="1:22">
      <c r="C59" s="690" t="s">
        <v>161</v>
      </c>
      <c r="D59" s="691" t="s">
        <v>88</v>
      </c>
      <c r="E59" s="692">
        <f t="shared" si="82"/>
        <v>219886.44087299999</v>
      </c>
      <c r="F59" s="692">
        <f t="shared" si="82"/>
        <v>191043.46540299989</v>
      </c>
      <c r="G59" s="692">
        <f t="shared" si="82"/>
        <v>217686.40379400001</v>
      </c>
      <c r="H59" s="692">
        <f t="shared" si="82"/>
        <v>175729.70608999988</v>
      </c>
      <c r="I59" s="692">
        <f t="shared" si="82"/>
        <v>244357.20546800003</v>
      </c>
      <c r="J59" s="692">
        <f t="shared" si="82"/>
        <v>304399.05342899973</v>
      </c>
      <c r="K59" s="692">
        <f t="shared" si="82"/>
        <v>265849.63287999999</v>
      </c>
      <c r="L59" s="692">
        <f t="shared" si="82"/>
        <v>239910.64</v>
      </c>
      <c r="M59" s="692">
        <f t="shared" si="82"/>
        <v>266565.86</v>
      </c>
      <c r="N59" s="692">
        <f t="shared" si="82"/>
        <v>269591.90000000002</v>
      </c>
      <c r="O59" s="692">
        <f t="shared" si="82"/>
        <v>236063.96</v>
      </c>
      <c r="P59" s="692">
        <f t="shared" si="82"/>
        <v>286642.52967399993</v>
      </c>
      <c r="Q59" s="703">
        <f t="shared" si="82"/>
        <v>2917726.7976109996</v>
      </c>
      <c r="S59" s="692">
        <f t="shared" si="83"/>
        <v>628616.31006999989</v>
      </c>
      <c r="T59" s="692">
        <f t="shared" si="83"/>
        <v>724485.96498699975</v>
      </c>
      <c r="U59" s="692">
        <f t="shared" si="83"/>
        <v>772326.13288000005</v>
      </c>
      <c r="V59" s="692">
        <f t="shared" si="83"/>
        <v>792298.38967399998</v>
      </c>
    </row>
    <row r="60" spans="1:22">
      <c r="C60" s="690" t="s">
        <v>161</v>
      </c>
      <c r="D60" s="691" t="s">
        <v>89</v>
      </c>
      <c r="E60" s="692">
        <f t="shared" si="82"/>
        <v>41583.858553999999</v>
      </c>
      <c r="F60" s="692">
        <f t="shared" si="82"/>
        <v>31054.077270999995</v>
      </c>
      <c r="G60" s="692">
        <f t="shared" si="82"/>
        <v>30883.456900000005</v>
      </c>
      <c r="H60" s="692">
        <f t="shared" si="82"/>
        <v>30516.760813000008</v>
      </c>
      <c r="I60" s="692">
        <f t="shared" si="82"/>
        <v>37888.326292999991</v>
      </c>
      <c r="J60" s="692">
        <f t="shared" si="82"/>
        <v>42816.381576999986</v>
      </c>
      <c r="K60" s="692">
        <f t="shared" si="82"/>
        <v>47956.517338000005</v>
      </c>
      <c r="L60" s="692">
        <f t="shared" si="82"/>
        <v>46660.800000000003</v>
      </c>
      <c r="M60" s="692">
        <f t="shared" si="82"/>
        <v>75244.679999999993</v>
      </c>
      <c r="N60" s="692">
        <f t="shared" si="82"/>
        <v>120032.73000000001</v>
      </c>
      <c r="O60" s="692">
        <f t="shared" si="82"/>
        <v>151241.94</v>
      </c>
      <c r="P60" s="692">
        <f t="shared" si="82"/>
        <v>303530.40956</v>
      </c>
      <c r="Q60" s="703">
        <f t="shared" si="82"/>
        <v>959409.93830600008</v>
      </c>
      <c r="S60" s="692">
        <f t="shared" si="83"/>
        <v>103521.392725</v>
      </c>
      <c r="T60" s="692">
        <f t="shared" si="83"/>
        <v>111221.46868299998</v>
      </c>
      <c r="U60" s="692">
        <f t="shared" si="83"/>
        <v>169861.99733799999</v>
      </c>
      <c r="V60" s="692">
        <f t="shared" si="83"/>
        <v>574805.07955999998</v>
      </c>
    </row>
    <row r="61" spans="1:22">
      <c r="C61" s="690" t="s">
        <v>161</v>
      </c>
      <c r="D61" s="691" t="s">
        <v>90</v>
      </c>
      <c r="E61" s="692">
        <f t="shared" si="82"/>
        <v>7490.367064</v>
      </c>
      <c r="F61" s="692">
        <f t="shared" si="82"/>
        <v>7827.1045420000037</v>
      </c>
      <c r="G61" s="692">
        <f t="shared" si="82"/>
        <v>7708.7101719999991</v>
      </c>
      <c r="H61" s="692">
        <f t="shared" si="82"/>
        <v>8237.172704999999</v>
      </c>
      <c r="I61" s="692">
        <f t="shared" si="82"/>
        <v>8831.9291100000009</v>
      </c>
      <c r="J61" s="692">
        <f t="shared" si="82"/>
        <v>12791.183482</v>
      </c>
      <c r="K61" s="692">
        <f t="shared" si="82"/>
        <v>10361.804566999999</v>
      </c>
      <c r="L61" s="692">
        <f t="shared" si="82"/>
        <v>18798.07</v>
      </c>
      <c r="M61" s="692">
        <f t="shared" si="82"/>
        <v>12542.85</v>
      </c>
      <c r="N61" s="692">
        <f t="shared" si="82"/>
        <v>14604.45</v>
      </c>
      <c r="O61" s="692">
        <f t="shared" si="82"/>
        <v>23652.25</v>
      </c>
      <c r="P61" s="692">
        <f t="shared" si="82"/>
        <v>37689.790109000001</v>
      </c>
      <c r="Q61" s="703">
        <f t="shared" si="82"/>
        <v>170535.681751</v>
      </c>
      <c r="S61" s="692">
        <f t="shared" si="83"/>
        <v>23026.181778000006</v>
      </c>
      <c r="T61" s="692">
        <f t="shared" si="83"/>
        <v>29860.285296999999</v>
      </c>
      <c r="U61" s="692">
        <f t="shared" si="83"/>
        <v>41702.724567000005</v>
      </c>
      <c r="V61" s="692">
        <f t="shared" si="83"/>
        <v>75946.490109000006</v>
      </c>
    </row>
    <row r="62" spans="1:22">
      <c r="C62" s="694" t="s">
        <v>161</v>
      </c>
      <c r="D62" s="695" t="s">
        <v>147</v>
      </c>
      <c r="E62" s="696">
        <f t="shared" si="82"/>
        <v>-3065.84</v>
      </c>
      <c r="F62" s="696">
        <f t="shared" si="82"/>
        <v>19182.759999999998</v>
      </c>
      <c r="G62" s="696">
        <f t="shared" si="82"/>
        <v>78985.33</v>
      </c>
      <c r="H62" s="696">
        <f t="shared" si="82"/>
        <v>13316.710000000001</v>
      </c>
      <c r="I62" s="696">
        <f t="shared" si="82"/>
        <v>50040.4</v>
      </c>
      <c r="J62" s="696">
        <f t="shared" si="82"/>
        <v>56426.950000000012</v>
      </c>
      <c r="K62" s="696">
        <f t="shared" si="82"/>
        <v>50501.070000000007</v>
      </c>
      <c r="L62" s="696">
        <f t="shared" si="82"/>
        <v>104317.45000000001</v>
      </c>
      <c r="M62" s="696">
        <f t="shared" si="82"/>
        <v>73833.89</v>
      </c>
      <c r="N62" s="696">
        <f t="shared" si="82"/>
        <v>156568.19999999998</v>
      </c>
      <c r="O62" s="696">
        <f t="shared" si="82"/>
        <v>87095.61</v>
      </c>
      <c r="P62" s="696">
        <f t="shared" si="82"/>
        <v>184432.82999999996</v>
      </c>
      <c r="Q62" s="704">
        <f t="shared" si="82"/>
        <v>871635.36</v>
      </c>
      <c r="S62" s="696">
        <f t="shared" si="83"/>
        <v>95102.25</v>
      </c>
      <c r="T62" s="696">
        <f t="shared" si="83"/>
        <v>119784.06000000001</v>
      </c>
      <c r="U62" s="696">
        <f t="shared" si="83"/>
        <v>228652.41000000003</v>
      </c>
      <c r="V62" s="696">
        <f t="shared" si="83"/>
        <v>428096.63999999996</v>
      </c>
    </row>
    <row r="65" spans="5:16">
      <c r="E65" s="801"/>
      <c r="F65" s="801"/>
      <c r="G65" s="801"/>
      <c r="H65" s="801"/>
      <c r="I65" s="801"/>
      <c r="J65" s="801"/>
      <c r="K65" s="801"/>
      <c r="L65" s="801"/>
      <c r="M65" s="801"/>
      <c r="N65" s="801"/>
      <c r="O65" s="801"/>
      <c r="P65" s="801"/>
    </row>
  </sheetData>
  <pageMargins left="0.7" right="0.7" top="0.75" bottom="0.75" header="0.3" footer="0.3"/>
  <pageSetup orientation="portrait" r:id="rId1"/>
  <ignoredErrors>
    <ignoredError sqref="S31:V34 S4:V7 S10:V26 S40:V51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pageSetUpPr fitToPage="1"/>
  </sheetPr>
  <dimension ref="A1:CJ84"/>
  <sheetViews>
    <sheetView workbookViewId="0">
      <pane xSplit="2" ySplit="3" topLeftCell="C4" activePane="bottomRight" state="frozen"/>
      <selection activeCell="R6" sqref="R6"/>
      <selection pane="topRight" activeCell="R6" sqref="R6"/>
      <selection pane="bottomLeft" activeCell="R6" sqref="R6"/>
      <selection pane="bottomRight" activeCell="C1" sqref="C1"/>
    </sheetView>
  </sheetViews>
  <sheetFormatPr defaultColWidth="9.42578125" defaultRowHeight="15"/>
  <cols>
    <col min="1" max="1" width="17.140625" style="129" customWidth="1"/>
    <col min="2" max="2" width="26.42578125" style="129" customWidth="1"/>
    <col min="3" max="3" width="2.42578125" style="130" customWidth="1"/>
    <col min="4" max="15" width="15.42578125" style="129" hidden="1" customWidth="1"/>
    <col min="16" max="16" width="16.42578125" style="129" hidden="1" customWidth="1"/>
    <col min="17" max="17" width="8.42578125" style="133" hidden="1" customWidth="1"/>
    <col min="18" max="19" width="16.42578125" style="129" bestFit="1" customWidth="1"/>
    <col min="20" max="20" width="16.85546875" style="129" bestFit="1" customWidth="1"/>
    <col min="21" max="21" width="16.42578125" style="129" customWidth="1"/>
    <col min="22" max="22" width="16.85546875" style="129" bestFit="1" customWidth="1"/>
    <col min="23" max="23" width="16.7109375" style="129" bestFit="1" customWidth="1"/>
    <col min="24" max="24" width="16.85546875" style="129" bestFit="1" customWidth="1"/>
    <col min="25" max="27" width="18.140625" style="129" bestFit="1" customWidth="1"/>
    <col min="28" max="28" width="16.140625" style="129" customWidth="1"/>
    <col min="29" max="29" width="16.42578125" style="129" customWidth="1"/>
    <col min="30" max="30" width="16.85546875" style="129" customWidth="1"/>
    <col min="31" max="31" width="2.85546875" style="133" customWidth="1"/>
    <col min="32" max="33" width="18.42578125" style="129" bestFit="1" customWidth="1"/>
    <col min="34" max="43" width="16.140625" style="129" bestFit="1" customWidth="1"/>
    <col min="44" max="44" width="17.42578125" style="129" bestFit="1" customWidth="1"/>
    <col min="45" max="45" width="4.42578125" style="133" customWidth="1"/>
    <col min="46" max="49" width="12.85546875" style="129" customWidth="1"/>
    <col min="50" max="50" width="13" style="129" customWidth="1"/>
    <col min="51" max="57" width="9.42578125" style="129" customWidth="1"/>
    <col min="58" max="58" width="12.14062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2578125" style="129" customWidth="1"/>
    <col min="84" max="84" width="9.42578125" style="129"/>
    <col min="85" max="85" width="20" style="129" bestFit="1" customWidth="1"/>
    <col min="86" max="86" width="16.42578125" style="129" customWidth="1"/>
    <col min="87" max="88" width="15.42578125" style="129" bestFit="1" customWidth="1"/>
    <col min="89" max="16384" width="9.425781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75">
      <c r="D2" s="136" t="s">
        <v>28</v>
      </c>
      <c r="K2" s="137"/>
      <c r="L2" s="138"/>
      <c r="O2" s="131"/>
      <c r="P2" s="138"/>
      <c r="Q2" s="139"/>
      <c r="R2" s="136" t="s">
        <v>29</v>
      </c>
      <c r="U2" s="132"/>
      <c r="V2" s="132"/>
      <c r="W2" s="132"/>
      <c r="X2" s="132"/>
      <c r="Y2" s="132"/>
      <c r="Z2" s="140"/>
      <c r="AA2" s="140"/>
      <c r="AF2" s="136" t="s">
        <v>30</v>
      </c>
      <c r="AT2" s="129" t="s">
        <v>31</v>
      </c>
      <c r="BH2" s="141" t="s">
        <v>32</v>
      </c>
      <c r="BN2" s="141" t="s">
        <v>33</v>
      </c>
      <c r="BT2" s="135" t="s">
        <v>34</v>
      </c>
    </row>
    <row r="3" spans="1:88" ht="15.75">
      <c r="A3" s="142"/>
      <c r="B3" s="143"/>
      <c r="C3" s="144"/>
      <c r="D3" s="145" t="s">
        <v>35</v>
      </c>
      <c r="E3" s="145" t="s">
        <v>36</v>
      </c>
      <c r="F3" s="145" t="s">
        <v>37</v>
      </c>
      <c r="G3" s="145" t="s">
        <v>38</v>
      </c>
      <c r="H3" s="145" t="s">
        <v>39</v>
      </c>
      <c r="I3" s="145" t="s">
        <v>40</v>
      </c>
      <c r="J3" s="145" t="s">
        <v>41</v>
      </c>
      <c r="K3" s="145" t="s">
        <v>42</v>
      </c>
      <c r="L3" s="145" t="s">
        <v>43</v>
      </c>
      <c r="M3" s="145" t="s">
        <v>44</v>
      </c>
      <c r="N3" s="145" t="s">
        <v>45</v>
      </c>
      <c r="O3" s="145" t="s">
        <v>46</v>
      </c>
      <c r="P3" s="145" t="s">
        <v>47</v>
      </c>
      <c r="Q3" s="139"/>
      <c r="R3" s="146" t="s">
        <v>35</v>
      </c>
      <c r="S3" s="146" t="s">
        <v>36</v>
      </c>
      <c r="T3" s="146" t="s">
        <v>37</v>
      </c>
      <c r="U3" s="146" t="s">
        <v>38</v>
      </c>
      <c r="V3" s="146" t="s">
        <v>39</v>
      </c>
      <c r="W3" s="146" t="s">
        <v>40</v>
      </c>
      <c r="X3" s="146" t="s">
        <v>41</v>
      </c>
      <c r="Y3" s="146" t="s">
        <v>42</v>
      </c>
      <c r="Z3" s="146" t="s">
        <v>43</v>
      </c>
      <c r="AA3" s="146" t="s">
        <v>44</v>
      </c>
      <c r="AB3" s="146" t="s">
        <v>45</v>
      </c>
      <c r="AC3" s="146" t="s">
        <v>46</v>
      </c>
      <c r="AD3" s="146" t="s">
        <v>47</v>
      </c>
      <c r="AE3" s="147"/>
      <c r="AF3" s="148" t="s">
        <v>35</v>
      </c>
      <c r="AG3" s="148" t="s">
        <v>36</v>
      </c>
      <c r="AH3" s="148" t="s">
        <v>37</v>
      </c>
      <c r="AI3" s="148" t="s">
        <v>38</v>
      </c>
      <c r="AJ3" s="148" t="s">
        <v>39</v>
      </c>
      <c r="AK3" s="148" t="s">
        <v>40</v>
      </c>
      <c r="AL3" s="148" t="s">
        <v>41</v>
      </c>
      <c r="AM3" s="148" t="s">
        <v>42</v>
      </c>
      <c r="AN3" s="148" t="s">
        <v>43</v>
      </c>
      <c r="AO3" s="148" t="s">
        <v>44</v>
      </c>
      <c r="AP3" s="148" t="s">
        <v>45</v>
      </c>
      <c r="AQ3" s="148" t="s">
        <v>46</v>
      </c>
      <c r="AR3" s="148" t="s">
        <v>47</v>
      </c>
      <c r="AS3" s="147"/>
      <c r="AT3" s="146" t="s">
        <v>35</v>
      </c>
      <c r="AU3" s="146" t="s">
        <v>36</v>
      </c>
      <c r="AV3" s="146" t="s">
        <v>37</v>
      </c>
      <c r="AW3" s="146" t="s">
        <v>38</v>
      </c>
      <c r="AX3" s="146" t="s">
        <v>39</v>
      </c>
      <c r="AY3" s="146" t="s">
        <v>40</v>
      </c>
      <c r="AZ3" s="146" t="s">
        <v>41</v>
      </c>
      <c r="BA3" s="146" t="s">
        <v>42</v>
      </c>
      <c r="BB3" s="146" t="s">
        <v>43</v>
      </c>
      <c r="BC3" s="146" t="s">
        <v>44</v>
      </c>
      <c r="BD3" s="146" t="s">
        <v>45</v>
      </c>
      <c r="BE3" s="146" t="s">
        <v>46</v>
      </c>
      <c r="BF3" s="146" t="s">
        <v>47</v>
      </c>
      <c r="BH3" s="149" t="s">
        <v>48</v>
      </c>
      <c r="BI3" s="149" t="s">
        <v>49</v>
      </c>
      <c r="BJ3" s="149" t="s">
        <v>50</v>
      </c>
      <c r="BK3" s="149" t="s">
        <v>51</v>
      </c>
      <c r="BL3" s="149" t="s">
        <v>47</v>
      </c>
      <c r="BN3" s="149" t="s">
        <v>48</v>
      </c>
      <c r="BO3" s="149" t="s">
        <v>49</v>
      </c>
      <c r="BP3" s="149" t="s">
        <v>50</v>
      </c>
      <c r="BQ3" s="149" t="s">
        <v>51</v>
      </c>
      <c r="BR3" s="149" t="s">
        <v>47</v>
      </c>
      <c r="BT3" s="149" t="s">
        <v>48</v>
      </c>
      <c r="BU3" s="149" t="s">
        <v>49</v>
      </c>
      <c r="BV3" s="149" t="s">
        <v>50</v>
      </c>
      <c r="BW3" s="149" t="s">
        <v>51</v>
      </c>
      <c r="BX3" s="149" t="s">
        <v>47</v>
      </c>
    </row>
    <row r="4" spans="1:88">
      <c r="A4" s="868" t="s">
        <v>8</v>
      </c>
      <c r="B4" s="150" t="s">
        <v>52</v>
      </c>
      <c r="C4" s="151"/>
      <c r="D4" s="152">
        <v>1221677026.7364569</v>
      </c>
      <c r="E4" s="152">
        <v>1090357225.6580102</v>
      </c>
      <c r="F4" s="152">
        <v>1345725400.6211944</v>
      </c>
      <c r="G4" s="152">
        <v>1413013298.2265327</v>
      </c>
      <c r="H4" s="152">
        <v>1530820551.4392352</v>
      </c>
      <c r="I4" s="152">
        <v>1502335717.881228</v>
      </c>
      <c r="J4" s="152">
        <v>1622034065.5979829</v>
      </c>
      <c r="K4" s="152">
        <v>1606892665.680748</v>
      </c>
      <c r="L4" s="152">
        <v>1695362662.4769924</v>
      </c>
      <c r="M4" s="152">
        <v>1819103415.2031424</v>
      </c>
      <c r="N4" s="152">
        <v>1736234035.1819348</v>
      </c>
      <c r="O4" s="152">
        <v>1830818935.2965443</v>
      </c>
      <c r="P4" s="152">
        <f>SUM(D4:O4)</f>
        <v>18414375000</v>
      </c>
      <c r="Q4" s="139"/>
      <c r="R4" s="153">
        <f>'VN_YouTube Performance'!P6</f>
        <v>795091225</v>
      </c>
      <c r="S4" s="153">
        <f>'VN_YouTube Performance'!P7</f>
        <v>776784349</v>
      </c>
      <c r="T4" s="153">
        <f>'VN_YouTube Performance'!P8</f>
        <v>953219469</v>
      </c>
      <c r="U4" s="153">
        <f>'VN_YouTube Performance'!P9</f>
        <v>986462798</v>
      </c>
      <c r="V4" s="153">
        <f>'VN_YouTube Performance'!P10</f>
        <v>975013929</v>
      </c>
      <c r="W4" s="153">
        <f>'VN_YouTube Performance'!P11</f>
        <v>871337365</v>
      </c>
      <c r="X4" s="153">
        <f>'VN_YouTube Performance'!P12</f>
        <v>1020957380</v>
      </c>
      <c r="Y4" s="153">
        <f>'VN_YouTube Performance'!P13</f>
        <v>1057393463</v>
      </c>
      <c r="Z4" s="153">
        <f>'VN_YouTube Performance'!P14</f>
        <v>1010441081</v>
      </c>
      <c r="AA4" s="153">
        <f>'VN_YouTube Performance'!P15</f>
        <v>0</v>
      </c>
      <c r="AB4" s="153">
        <f>'VN_YouTube Performance'!P16</f>
        <v>0</v>
      </c>
      <c r="AC4" s="153">
        <f>'VN_YouTube Performance'!P17</f>
        <v>0</v>
      </c>
      <c r="AD4" s="152">
        <f>SUM(R4:AC4)</f>
        <v>8446701059</v>
      </c>
      <c r="AE4" s="151"/>
      <c r="AF4" s="152">
        <f t="shared" ref="AF4:AQ5" si="0">R4-D4</f>
        <v>-426585801.73645687</v>
      </c>
      <c r="AG4" s="152">
        <f t="shared" si="0"/>
        <v>-313572876.65801024</v>
      </c>
      <c r="AH4" s="152">
        <f t="shared" si="0"/>
        <v>-392505931.62119436</v>
      </c>
      <c r="AI4" s="152">
        <f t="shared" si="0"/>
        <v>-426550500.2265327</v>
      </c>
      <c r="AJ4" s="152">
        <f t="shared" si="0"/>
        <v>-555806622.43923521</v>
      </c>
      <c r="AK4" s="152">
        <f t="shared" si="0"/>
        <v>-630998352.88122797</v>
      </c>
      <c r="AL4" s="152">
        <f t="shared" si="0"/>
        <v>-601076685.59798288</v>
      </c>
      <c r="AM4" s="152">
        <f t="shared" si="0"/>
        <v>-549499202.68074799</v>
      </c>
      <c r="AN4" s="152">
        <f t="shared" si="0"/>
        <v>-684921581.47699237</v>
      </c>
      <c r="AO4" s="152">
        <f t="shared" si="0"/>
        <v>-1819103415.2031424</v>
      </c>
      <c r="AP4" s="152">
        <f t="shared" si="0"/>
        <v>-1736234035.1819348</v>
      </c>
      <c r="AQ4" s="152">
        <f t="shared" si="0"/>
        <v>-1830818935.2965443</v>
      </c>
      <c r="AR4" s="152">
        <f>SUM(AF4:AQ4)</f>
        <v>-9967673941.0000019</v>
      </c>
      <c r="AS4" s="151"/>
      <c r="AT4" s="154">
        <f t="shared" ref="AT4:BF6" si="1">R4/D4</f>
        <v>0.65081949451401033</v>
      </c>
      <c r="AU4" s="154">
        <f t="shared" si="1"/>
        <v>0.71241271275221307</v>
      </c>
      <c r="AV4" s="154">
        <f t="shared" si="1"/>
        <v>0.70833133457983966</v>
      </c>
      <c r="AW4" s="154">
        <f t="shared" si="1"/>
        <v>0.69812704469101994</v>
      </c>
      <c r="AX4" s="154">
        <f t="shared" si="1"/>
        <v>0.63692241921061143</v>
      </c>
      <c r="AY4" s="154">
        <f t="shared" si="1"/>
        <v>0.57998845040365765</v>
      </c>
      <c r="AZ4" s="154">
        <f t="shared" si="1"/>
        <v>0.62943029474760848</v>
      </c>
      <c r="BA4" s="154">
        <f t="shared" si="1"/>
        <v>0.65803614988313064</v>
      </c>
      <c r="BB4" s="154">
        <f t="shared" si="1"/>
        <v>0.59600291038833264</v>
      </c>
      <c r="BC4" s="154">
        <f t="shared" si="1"/>
        <v>0</v>
      </c>
      <c r="BD4" s="154">
        <f t="shared" si="1"/>
        <v>0</v>
      </c>
      <c r="BE4" s="154">
        <f t="shared" si="1"/>
        <v>0</v>
      </c>
      <c r="BF4" s="154">
        <f t="shared" si="1"/>
        <v>0.45870147963208091</v>
      </c>
      <c r="BH4" s="155">
        <f>SUM(D4:F4)</f>
        <v>3657759653.0156617</v>
      </c>
      <c r="BI4" s="155">
        <f>SUM(G4:I4)</f>
        <v>4446169567.5469952</v>
      </c>
      <c r="BJ4" s="155">
        <f>SUM(J4:L4)</f>
        <v>4924289393.755723</v>
      </c>
      <c r="BK4" s="155">
        <f>SUM(M4:O4)</f>
        <v>5386156385.6816216</v>
      </c>
      <c r="BL4" s="155">
        <f>SUM(BH4:BK4)</f>
        <v>18414375000</v>
      </c>
      <c r="BN4" s="155">
        <f>SUM(R4:T4)</f>
        <v>2525095043</v>
      </c>
      <c r="BO4" s="155">
        <f>SUM(U4:W4)</f>
        <v>2832814092</v>
      </c>
      <c r="BP4" s="155">
        <f>SUM(X4:Z4)</f>
        <v>3088791924</v>
      </c>
      <c r="BQ4" s="155">
        <f>SUM(AA4:AC4)</f>
        <v>0</v>
      </c>
      <c r="BR4" s="155">
        <f>SUM(BN4:BQ4)</f>
        <v>8446701059</v>
      </c>
      <c r="BT4" s="156">
        <f>BN4/BH4</f>
        <v>0.69033924657082657</v>
      </c>
      <c r="BU4" s="156">
        <f>BO4/BI4</f>
        <v>0.63713586469507899</v>
      </c>
      <c r="BV4" s="156">
        <f>BP4/BJ4</f>
        <v>0.62725637691333958</v>
      </c>
      <c r="BW4" s="156">
        <f>BQ4/BK4</f>
        <v>0</v>
      </c>
      <c r="BX4" s="156">
        <f>BR4/BL4</f>
        <v>0.45870147963208091</v>
      </c>
      <c r="BZ4" s="138"/>
      <c r="CA4" s="138"/>
    </row>
    <row r="5" spans="1:88">
      <c r="A5" s="869"/>
      <c r="B5" s="157" t="s">
        <v>53</v>
      </c>
      <c r="C5" s="158"/>
      <c r="D5" s="159">
        <v>113489122.70229383</v>
      </c>
      <c r="E5" s="159">
        <v>101290015.49828511</v>
      </c>
      <c r="F5" s="159">
        <v>125012742.13420933</v>
      </c>
      <c r="G5" s="159">
        <v>131263530.43634458</v>
      </c>
      <c r="H5" s="159">
        <v>142207373.6309672</v>
      </c>
      <c r="I5" s="159">
        <v>139561241.55180809</v>
      </c>
      <c r="J5" s="159">
        <v>150680760.19216233</v>
      </c>
      <c r="K5" s="159">
        <v>149274182.05777442</v>
      </c>
      <c r="L5" s="159">
        <v>157492706.35032171</v>
      </c>
      <c r="M5" s="159">
        <v>168987748.95329741</v>
      </c>
      <c r="N5" s="159">
        <v>161289500.53602675</v>
      </c>
      <c r="O5" s="159">
        <v>170076075.95650959</v>
      </c>
      <c r="P5" s="159">
        <f>SUM(D5:O5)</f>
        <v>1710625000.0000002</v>
      </c>
      <c r="Q5" s="139"/>
      <c r="R5" s="153">
        <f>'VN_YouTube Performance'!AA6</f>
        <v>69014460</v>
      </c>
      <c r="S5" s="153">
        <f>'VN_YouTube Performance'!AA7</f>
        <v>57150563</v>
      </c>
      <c r="T5" s="153">
        <f>'VN_YouTube Performance'!AA8</f>
        <v>69081865</v>
      </c>
      <c r="U5" s="153">
        <f>'VN_YouTube Performance'!AA9</f>
        <v>72154120</v>
      </c>
      <c r="V5" s="153">
        <f>'VN_YouTube Performance'!AA10</f>
        <v>77389589</v>
      </c>
      <c r="W5" s="153">
        <f>'VN_YouTube Performance'!AA11</f>
        <v>76818446</v>
      </c>
      <c r="X5" s="153">
        <f>'VN_YouTube Performance'!AA12</f>
        <v>98478150</v>
      </c>
      <c r="Y5" s="160">
        <f>'VN_YouTube Performance'!AA13</f>
        <v>111896028</v>
      </c>
      <c r="Z5" s="160">
        <f>'VN_YouTube Performance'!AA14</f>
        <v>105646456</v>
      </c>
      <c r="AA5" s="160">
        <f>'VN_YouTube Performance'!AA15</f>
        <v>0</v>
      </c>
      <c r="AB5" s="160">
        <f>'VN_YouTube Performance'!AA16</f>
        <v>0</v>
      </c>
      <c r="AC5" s="153">
        <f>'VN_YouTube Performance'!AA17</f>
        <v>0</v>
      </c>
      <c r="AD5" s="159">
        <f>SUM(R5:AC5)</f>
        <v>737629677</v>
      </c>
      <c r="AE5" s="151"/>
      <c r="AF5" s="159">
        <f t="shared" si="0"/>
        <v>-44474662.702293828</v>
      </c>
      <c r="AG5" s="159">
        <f t="shared" si="0"/>
        <v>-44139452.498285115</v>
      </c>
      <c r="AH5" s="159">
        <f t="shared" si="0"/>
        <v>-55930877.134209335</v>
      </c>
      <c r="AI5" s="159">
        <f t="shared" si="0"/>
        <v>-59109410.436344579</v>
      </c>
      <c r="AJ5" s="159">
        <f t="shared" si="0"/>
        <v>-64817784.6309672</v>
      </c>
      <c r="AK5" s="159">
        <f t="shared" si="0"/>
        <v>-62742795.551808089</v>
      </c>
      <c r="AL5" s="159">
        <f t="shared" si="0"/>
        <v>-52202610.192162335</v>
      </c>
      <c r="AM5" s="159">
        <f t="shared" si="0"/>
        <v>-37378154.057774425</v>
      </c>
      <c r="AN5" s="159">
        <f t="shared" si="0"/>
        <v>-51846250.35032171</v>
      </c>
      <c r="AO5" s="159">
        <f t="shared" si="0"/>
        <v>-168987748.95329741</v>
      </c>
      <c r="AP5" s="159">
        <f t="shared" si="0"/>
        <v>-161289500.53602675</v>
      </c>
      <c r="AQ5" s="159">
        <f t="shared" si="0"/>
        <v>-170076075.95650959</v>
      </c>
      <c r="AR5" s="159">
        <f>SUM(AF5:AQ5)</f>
        <v>-972995323.00000024</v>
      </c>
      <c r="AS5" s="151"/>
      <c r="AT5" s="161">
        <f t="shared" si="1"/>
        <v>0.60811519515433776</v>
      </c>
      <c r="AU5" s="161">
        <f t="shared" si="1"/>
        <v>0.56422701407294762</v>
      </c>
      <c r="AV5" s="161">
        <f t="shared" si="1"/>
        <v>0.5525985897168475</v>
      </c>
      <c r="AW5" s="161">
        <f t="shared" si="1"/>
        <v>0.549689009278862</v>
      </c>
      <c r="AX5" s="161">
        <f t="shared" si="1"/>
        <v>0.54420236464551075</v>
      </c>
      <c r="AY5" s="161">
        <f t="shared" si="1"/>
        <v>0.55042822165983218</v>
      </c>
      <c r="AZ5" s="161">
        <f t="shared" si="1"/>
        <v>0.65355490557926155</v>
      </c>
      <c r="BA5" s="161">
        <f t="shared" si="1"/>
        <v>0.74960067747477088</v>
      </c>
      <c r="BB5" s="161">
        <f t="shared" si="1"/>
        <v>0.67080221331014167</v>
      </c>
      <c r="BC5" s="161">
        <f t="shared" si="1"/>
        <v>0</v>
      </c>
      <c r="BD5" s="161">
        <f t="shared" si="1"/>
        <v>0</v>
      </c>
      <c r="BE5" s="161">
        <f t="shared" si="1"/>
        <v>0</v>
      </c>
      <c r="BF5" s="161">
        <f t="shared" si="1"/>
        <v>0.43120478012422353</v>
      </c>
      <c r="BH5" s="162">
        <f>SUM(D5:F5)</f>
        <v>339791880.33478826</v>
      </c>
      <c r="BI5" s="162">
        <f>SUM(G5:I5)</f>
        <v>413032145.61911988</v>
      </c>
      <c r="BJ5" s="162">
        <f>SUM(J5:L5)</f>
        <v>457447648.60025847</v>
      </c>
      <c r="BK5" s="162">
        <f>SUM(M5:O5)</f>
        <v>500353325.44583374</v>
      </c>
      <c r="BL5" s="162">
        <f>SUM(BH5:BK5)</f>
        <v>1710625000.0000005</v>
      </c>
      <c r="BN5" s="162">
        <f>SUM(R5:T5)</f>
        <v>195246888</v>
      </c>
      <c r="BO5" s="162">
        <f>SUM(U5:W5)</f>
        <v>226362155</v>
      </c>
      <c r="BP5" s="162">
        <f>SUM(X5:Z5)</f>
        <v>316020634</v>
      </c>
      <c r="BQ5" s="162">
        <f>SUM(AA5:AC5)</f>
        <v>0</v>
      </c>
      <c r="BR5" s="162">
        <f>SUM(BN5:BQ5)</f>
        <v>737629677</v>
      </c>
      <c r="BT5" s="163">
        <f>BN5/BH5</f>
        <v>0.57460727963136793</v>
      </c>
      <c r="BU5" s="163">
        <f t="shared" ref="BU5:BX6" si="2">BO5/BI5</f>
        <v>0.54804972785033845</v>
      </c>
      <c r="BV5" s="163">
        <f t="shared" si="2"/>
        <v>0.69083453585779664</v>
      </c>
      <c r="BW5" s="163">
        <f t="shared" si="2"/>
        <v>0</v>
      </c>
      <c r="BX5" s="163">
        <f t="shared" si="2"/>
        <v>0.43120478012422347</v>
      </c>
      <c r="BZ5" s="138"/>
      <c r="CA5" s="138"/>
    </row>
    <row r="6" spans="1:88" ht="16.5" thickBot="1">
      <c r="A6" s="869"/>
      <c r="B6" s="164" t="s">
        <v>54</v>
      </c>
      <c r="C6" s="165"/>
      <c r="D6" s="166">
        <f>SUM(D4:D5)</f>
        <v>1335166149.4387507</v>
      </c>
      <c r="E6" s="166">
        <f t="shared" ref="E6:P6" si="3">SUM(E4:E5)</f>
        <v>1191647241.1562953</v>
      </c>
      <c r="F6" s="166">
        <f t="shared" si="3"/>
        <v>1470738142.7554038</v>
      </c>
      <c r="G6" s="166">
        <f t="shared" si="3"/>
        <v>1544276828.6628773</v>
      </c>
      <c r="H6" s="166">
        <f t="shared" si="3"/>
        <v>1673027925.0702024</v>
      </c>
      <c r="I6" s="166">
        <f t="shared" si="3"/>
        <v>1641896959.4330361</v>
      </c>
      <c r="J6" s="166">
        <f t="shared" si="3"/>
        <v>1772714825.7901452</v>
      </c>
      <c r="K6" s="166">
        <f t="shared" si="3"/>
        <v>1756166847.7385225</v>
      </c>
      <c r="L6" s="166">
        <f t="shared" si="3"/>
        <v>1852855368.8273141</v>
      </c>
      <c r="M6" s="166">
        <f t="shared" si="3"/>
        <v>1988091164.1564398</v>
      </c>
      <c r="N6" s="166">
        <f t="shared" si="3"/>
        <v>1897523535.7179615</v>
      </c>
      <c r="O6" s="166">
        <f t="shared" si="3"/>
        <v>2000895011.2530539</v>
      </c>
      <c r="P6" s="166">
        <f t="shared" si="3"/>
        <v>20125000000</v>
      </c>
      <c r="Q6" s="139"/>
      <c r="R6" s="167">
        <f t="shared" ref="R6:AD6" si="4">SUM(R4:R5)</f>
        <v>864105685</v>
      </c>
      <c r="S6" s="167">
        <f t="shared" si="4"/>
        <v>833934912</v>
      </c>
      <c r="T6" s="167">
        <f t="shared" si="4"/>
        <v>1022301334</v>
      </c>
      <c r="U6" s="167">
        <f t="shared" si="4"/>
        <v>1058616918</v>
      </c>
      <c r="V6" s="167">
        <f t="shared" si="4"/>
        <v>1052403518</v>
      </c>
      <c r="W6" s="167">
        <f t="shared" si="4"/>
        <v>948155811</v>
      </c>
      <c r="X6" s="167">
        <f t="shared" si="4"/>
        <v>1119435530</v>
      </c>
      <c r="Y6" s="167">
        <f t="shared" si="4"/>
        <v>1169289491</v>
      </c>
      <c r="Z6" s="167">
        <f t="shared" si="4"/>
        <v>1116087537</v>
      </c>
      <c r="AA6" s="167">
        <f t="shared" si="4"/>
        <v>0</v>
      </c>
      <c r="AB6" s="167">
        <f t="shared" si="4"/>
        <v>0</v>
      </c>
      <c r="AC6" s="167">
        <f t="shared" si="4"/>
        <v>0</v>
      </c>
      <c r="AD6" s="167">
        <f t="shared" si="4"/>
        <v>9184330736</v>
      </c>
      <c r="AE6" s="168"/>
      <c r="AF6" s="166">
        <f t="shared" ref="AF6:AR6" si="5">SUM(AF4:AF5)</f>
        <v>-471060464.43875068</v>
      </c>
      <c r="AG6" s="166">
        <f t="shared" si="5"/>
        <v>-357712329.15629536</v>
      </c>
      <c r="AH6" s="166">
        <f t="shared" si="5"/>
        <v>-448436808.7554037</v>
      </c>
      <c r="AI6" s="166">
        <f t="shared" si="5"/>
        <v>-485659910.66287726</v>
      </c>
      <c r="AJ6" s="166">
        <f t="shared" si="5"/>
        <v>-620624407.07020235</v>
      </c>
      <c r="AK6" s="166">
        <f t="shared" si="5"/>
        <v>-693741148.43303609</v>
      </c>
      <c r="AL6" s="166">
        <f t="shared" si="5"/>
        <v>-653279295.79014516</v>
      </c>
      <c r="AM6" s="166">
        <f t="shared" si="5"/>
        <v>-586877356.73852241</v>
      </c>
      <c r="AN6" s="166">
        <f t="shared" si="5"/>
        <v>-736767831.82731414</v>
      </c>
      <c r="AO6" s="166">
        <f t="shared" si="5"/>
        <v>-1988091164.1564398</v>
      </c>
      <c r="AP6" s="166">
        <f t="shared" si="5"/>
        <v>-1897523535.7179615</v>
      </c>
      <c r="AQ6" s="166">
        <f t="shared" si="5"/>
        <v>-2000895011.2530539</v>
      </c>
      <c r="AR6" s="169">
        <f t="shared" si="5"/>
        <v>-10940669264.000002</v>
      </c>
      <c r="AS6" s="151"/>
      <c r="AT6" s="170">
        <f t="shared" si="1"/>
        <v>0.64718962906843813</v>
      </c>
      <c r="AU6" s="170">
        <f t="shared" si="1"/>
        <v>0.69981692836447551</v>
      </c>
      <c r="AV6" s="170">
        <f t="shared" si="1"/>
        <v>0.69509405126648527</v>
      </c>
      <c r="AW6" s="170">
        <f t="shared" si="1"/>
        <v>0.68550981168098646</v>
      </c>
      <c r="AX6" s="170">
        <f t="shared" si="1"/>
        <v>0.62904121457257789</v>
      </c>
      <c r="AY6" s="170">
        <f t="shared" si="1"/>
        <v>0.57747583096043242</v>
      </c>
      <c r="AZ6" s="170">
        <f t="shared" si="1"/>
        <v>0.63148088666829894</v>
      </c>
      <c r="BA6" s="170">
        <f t="shared" si="1"/>
        <v>0.66581913472842003</v>
      </c>
      <c r="BB6" s="170">
        <f t="shared" si="1"/>
        <v>0.60236085113668647</v>
      </c>
      <c r="BC6" s="170">
        <f t="shared" si="1"/>
        <v>0</v>
      </c>
      <c r="BD6" s="170">
        <f t="shared" si="1"/>
        <v>0</v>
      </c>
      <c r="BE6" s="170">
        <f t="shared" si="1"/>
        <v>0</v>
      </c>
      <c r="BF6" s="170">
        <f t="shared" si="1"/>
        <v>0.45636426017391302</v>
      </c>
      <c r="BH6" s="171">
        <f>SUM(BH4:BH5)</f>
        <v>3997551533.35045</v>
      </c>
      <c r="BI6" s="171">
        <f>SUM(BI4:BI5)</f>
        <v>4859201713.1661148</v>
      </c>
      <c r="BJ6" s="171">
        <f>SUM(BJ4:BJ5)</f>
        <v>5381737042.3559818</v>
      </c>
      <c r="BK6" s="171">
        <f>SUM(BK4:BK5)</f>
        <v>5886509711.1274557</v>
      </c>
      <c r="BL6" s="171">
        <f>SUM(BH6:BK6)</f>
        <v>20125000000.000004</v>
      </c>
      <c r="BN6" s="171">
        <f>SUM(BN4:BN5)</f>
        <v>2720341931</v>
      </c>
      <c r="BO6" s="171">
        <f>SUM(BO4:BO5)</f>
        <v>3059176247</v>
      </c>
      <c r="BP6" s="171">
        <f>SUM(BP4:BP5)</f>
        <v>3404812558</v>
      </c>
      <c r="BQ6" s="171">
        <f>SUM(BQ4:BQ5)</f>
        <v>0</v>
      </c>
      <c r="BR6" s="171">
        <f>SUM(BN6:BQ6)</f>
        <v>9184330736</v>
      </c>
      <c r="BT6" s="172">
        <f>BN6/BH6</f>
        <v>0.6805020293809726</v>
      </c>
      <c r="BU6" s="172">
        <f t="shared" si="2"/>
        <v>0.629563543063276</v>
      </c>
      <c r="BV6" s="172">
        <f t="shared" si="2"/>
        <v>0.63266052042361831</v>
      </c>
      <c r="BW6" s="172">
        <f t="shared" si="2"/>
        <v>0</v>
      </c>
      <c r="BX6" s="172">
        <f t="shared" si="2"/>
        <v>0.45636426017391296</v>
      </c>
      <c r="BZ6" s="138"/>
      <c r="CA6" s="138"/>
      <c r="CI6" s="137"/>
      <c r="CJ6" s="173"/>
    </row>
    <row r="7" spans="1:88" ht="15.75" thickTop="1">
      <c r="A7" s="869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>
      <c r="A8" s="869"/>
      <c r="B8" s="150" t="s">
        <v>52</v>
      </c>
      <c r="C8" s="151"/>
      <c r="D8" s="152">
        <v>1206500914.6030846</v>
      </c>
      <c r="E8" s="152">
        <v>1076812415.4013889</v>
      </c>
      <c r="F8" s="152">
        <v>1329008314.8991919</v>
      </c>
      <c r="G8" s="152">
        <v>1395460338.0001163</v>
      </c>
      <c r="H8" s="152">
        <v>1511804147.0735302</v>
      </c>
      <c r="I8" s="152">
        <v>1483673162.3795979</v>
      </c>
      <c r="J8" s="152">
        <v>1601884574.0998712</v>
      </c>
      <c r="K8" s="152">
        <v>1586931266.1070743</v>
      </c>
      <c r="L8" s="152">
        <v>1674302256.7319365</v>
      </c>
      <c r="M8" s="152">
        <v>1796505857.2503083</v>
      </c>
      <c r="N8" s="152">
        <v>1714665910.5212896</v>
      </c>
      <c r="O8" s="152">
        <v>1808075842.9326122</v>
      </c>
      <c r="P8" s="152">
        <f>SUM(D8:O8)</f>
        <v>18185625000.000004</v>
      </c>
      <c r="Q8" s="139"/>
      <c r="R8" s="153">
        <f>'VN_YouTube Performance'!T6</f>
        <v>868466034</v>
      </c>
      <c r="S8" s="153">
        <f>'VN_YouTube Performance'!T7</f>
        <v>854430643</v>
      </c>
      <c r="T8" s="153">
        <f>'VN_YouTube Performance'!T8</f>
        <v>1004359740</v>
      </c>
      <c r="U8" s="153">
        <f>'VN_YouTube Performance'!T9</f>
        <v>981894209</v>
      </c>
      <c r="V8" s="153">
        <f>'VN_YouTube Performance'!T10</f>
        <v>1125171537</v>
      </c>
      <c r="W8" s="153">
        <f>'VN_YouTube Performance'!T11</f>
        <v>1192784173</v>
      </c>
      <c r="X8" s="153">
        <f>'VN_YouTube Performance'!T12</f>
        <v>1226568567</v>
      </c>
      <c r="Y8" s="153">
        <f>'VN_YouTube Performance'!T13</f>
        <v>1214920738</v>
      </c>
      <c r="Z8" s="153">
        <f>'VN_YouTube Performance'!T14</f>
        <v>1010653051</v>
      </c>
      <c r="AA8" s="153">
        <f>'VN_YouTube Performance'!T15</f>
        <v>0</v>
      </c>
      <c r="AB8" s="153">
        <f>'VN_YouTube Performance'!T16</f>
        <v>0</v>
      </c>
      <c r="AC8" s="153">
        <f>'VN_YouTube Performance'!T17</f>
        <v>0</v>
      </c>
      <c r="AD8" s="153">
        <f>SUM(R8:AC8)</f>
        <v>9479248692</v>
      </c>
      <c r="AE8" s="151"/>
      <c r="AF8" s="152">
        <f t="shared" ref="AF8:AQ9" si="6">R8-D8</f>
        <v>-338034880.60308456</v>
      </c>
      <c r="AG8" s="152">
        <f t="shared" si="6"/>
        <v>-222381772.40138888</v>
      </c>
      <c r="AH8" s="152">
        <f t="shared" si="6"/>
        <v>-324648574.89919186</v>
      </c>
      <c r="AI8" s="152">
        <f t="shared" si="6"/>
        <v>-413566129.00011635</v>
      </c>
      <c r="AJ8" s="152">
        <f t="shared" si="6"/>
        <v>-386632610.0735302</v>
      </c>
      <c r="AK8" s="152">
        <f t="shared" si="6"/>
        <v>-290888989.3795979</v>
      </c>
      <c r="AL8" s="152">
        <f t="shared" si="6"/>
        <v>-375316007.09987116</v>
      </c>
      <c r="AM8" s="152">
        <f t="shared" si="6"/>
        <v>-372010528.10707426</v>
      </c>
      <c r="AN8" s="152">
        <f t="shared" si="6"/>
        <v>-663649205.73193645</v>
      </c>
      <c r="AO8" s="152">
        <f t="shared" si="6"/>
        <v>-1796505857.2503083</v>
      </c>
      <c r="AP8" s="152">
        <f t="shared" si="6"/>
        <v>-1714665910.5212896</v>
      </c>
      <c r="AQ8" s="152">
        <f t="shared" si="6"/>
        <v>-1808075842.9326122</v>
      </c>
      <c r="AR8" s="152">
        <f>SUM(AF8:AQ8)</f>
        <v>-8706376308.0000019</v>
      </c>
      <c r="AS8" s="151"/>
      <c r="AT8" s="154">
        <f t="shared" ref="AT8:BF10" si="7">R8/D8</f>
        <v>0.71982210994486362</v>
      </c>
      <c r="AU8" s="154">
        <f t="shared" si="7"/>
        <v>0.79348141865684696</v>
      </c>
      <c r="AV8" s="154">
        <f t="shared" si="7"/>
        <v>0.75572118604553862</v>
      </c>
      <c r="AW8" s="154">
        <f t="shared" si="7"/>
        <v>0.70363462311453961</v>
      </c>
      <c r="AX8" s="154">
        <f t="shared" si="7"/>
        <v>0.74425747487070137</v>
      </c>
      <c r="AY8" s="154">
        <f t="shared" si="7"/>
        <v>0.8039399803437477</v>
      </c>
      <c r="AZ8" s="154">
        <f t="shared" si="7"/>
        <v>0.76570346380246013</v>
      </c>
      <c r="BA8" s="154">
        <f t="shared" si="7"/>
        <v>0.76557867624622522</v>
      </c>
      <c r="BB8" s="154">
        <f t="shared" si="7"/>
        <v>0.60362640433435799</v>
      </c>
      <c r="BC8" s="154">
        <f t="shared" si="7"/>
        <v>0</v>
      </c>
      <c r="BD8" s="154">
        <f t="shared" si="7"/>
        <v>0</v>
      </c>
      <c r="BE8" s="154">
        <f t="shared" si="7"/>
        <v>0</v>
      </c>
      <c r="BF8" s="154">
        <f t="shared" si="7"/>
        <v>0.52124954143726143</v>
      </c>
      <c r="BH8" s="155">
        <f>SUM(D8:F8)</f>
        <v>3612321644.9036655</v>
      </c>
      <c r="BI8" s="155">
        <f>SUM(G8:I8)</f>
        <v>4390937647.4532442</v>
      </c>
      <c r="BJ8" s="155">
        <f>SUM(J8:L8)</f>
        <v>4863118096.9388819</v>
      </c>
      <c r="BK8" s="155">
        <f>SUM(M8:O8)</f>
        <v>5319247610.7042103</v>
      </c>
      <c r="BL8" s="155">
        <f>SUM(BH8:BK8)</f>
        <v>18185625000</v>
      </c>
      <c r="BN8" s="155">
        <f>SUM(R8:T8)</f>
        <v>2727256417</v>
      </c>
      <c r="BO8" s="155">
        <f>SUM(U8:W8)</f>
        <v>3299849919</v>
      </c>
      <c r="BP8" s="155">
        <f>SUM(X8:Z8)</f>
        <v>3452142356</v>
      </c>
      <c r="BQ8" s="155">
        <f>SUM(AA8:AC8)</f>
        <v>0</v>
      </c>
      <c r="BR8" s="155">
        <f>SUM(BN8:BQ8)</f>
        <v>9479248692</v>
      </c>
      <c r="BT8" s="156">
        <f t="shared" ref="BT8:BX10" si="8">BN8/BH8</f>
        <v>0.75498714818146584</v>
      </c>
      <c r="BU8" s="156">
        <f t="shared" si="8"/>
        <v>0.7515137275779632</v>
      </c>
      <c r="BV8" s="156">
        <f t="shared" si="8"/>
        <v>0.70986192134074866</v>
      </c>
      <c r="BW8" s="156">
        <f t="shared" si="8"/>
        <v>0</v>
      </c>
      <c r="BX8" s="156">
        <f t="shared" si="8"/>
        <v>0.52124954143726154</v>
      </c>
      <c r="BZ8" s="178"/>
      <c r="CA8" s="178"/>
      <c r="CI8" s="137"/>
      <c r="CJ8" s="173"/>
    </row>
    <row r="9" spans="1:88">
      <c r="A9" s="869"/>
      <c r="B9" s="157" t="s">
        <v>53</v>
      </c>
      <c r="C9" s="158"/>
      <c r="D9" s="159">
        <v>112079319.93580569</v>
      </c>
      <c r="E9" s="159">
        <v>100031754.43619461</v>
      </c>
      <c r="F9" s="159">
        <v>123459788.81577194</v>
      </c>
      <c r="G9" s="159">
        <v>129632927.57378131</v>
      </c>
      <c r="H9" s="159">
        <v>140440822.40573779</v>
      </c>
      <c r="I9" s="159">
        <v>137827561.53253096</v>
      </c>
      <c r="J9" s="159">
        <v>148808949.50654542</v>
      </c>
      <c r="K9" s="159">
        <v>147419844.39246047</v>
      </c>
      <c r="L9" s="159">
        <v>155536275.2155351</v>
      </c>
      <c r="M9" s="159">
        <v>166888522.25822538</v>
      </c>
      <c r="N9" s="159">
        <v>159285904.2560761</v>
      </c>
      <c r="O9" s="159">
        <v>167963329.67133555</v>
      </c>
      <c r="P9" s="159">
        <f>SUM(D9:O9)</f>
        <v>1689375000.0000005</v>
      </c>
      <c r="Q9" s="139"/>
      <c r="R9" s="153">
        <f>'VN_YouTube Performance'!AE6</f>
        <v>278805306</v>
      </c>
      <c r="S9" s="153">
        <f>'VN_YouTube Performance'!AE7</f>
        <v>412488651</v>
      </c>
      <c r="T9" s="153">
        <f>'VN_YouTube Performance'!AE8</f>
        <v>698025478</v>
      </c>
      <c r="U9" s="153">
        <f>'VN_YouTube Performance'!AE9</f>
        <v>709986497</v>
      </c>
      <c r="V9" s="153">
        <f>'VN_YouTube Performance'!AE10</f>
        <v>441378295</v>
      </c>
      <c r="W9" s="153">
        <f>'VN_YouTube Performance'!AE11</f>
        <v>440384432</v>
      </c>
      <c r="X9" s="153">
        <f>'VN_YouTube Performance'!AE12</f>
        <v>352670577</v>
      </c>
      <c r="Y9" s="153">
        <f>'VN_YouTube Performance'!AE13</f>
        <v>416128396</v>
      </c>
      <c r="Z9" s="153">
        <f>'VN_YouTube Performance'!AE14</f>
        <v>312934048</v>
      </c>
      <c r="AA9" s="153">
        <f>'VN_YouTube Performance'!AE15</f>
        <v>0</v>
      </c>
      <c r="AB9" s="153">
        <f>'VN_YouTube Performance'!AE16</f>
        <v>0</v>
      </c>
      <c r="AC9" s="153">
        <f>'VN_YouTube Performance'!AE17</f>
        <v>0</v>
      </c>
      <c r="AD9" s="153">
        <f>SUM(R9:AC9)</f>
        <v>4062801680</v>
      </c>
      <c r="AE9" s="151"/>
      <c r="AF9" s="159">
        <f t="shared" si="6"/>
        <v>166725986.06419432</v>
      </c>
      <c r="AG9" s="159">
        <f t="shared" si="6"/>
        <v>312456896.5638054</v>
      </c>
      <c r="AH9" s="159">
        <f t="shared" si="6"/>
        <v>574565689.18422806</v>
      </c>
      <c r="AI9" s="159">
        <f t="shared" si="6"/>
        <v>580353569.42621875</v>
      </c>
      <c r="AJ9" s="159">
        <f t="shared" si="6"/>
        <v>300937472.59426224</v>
      </c>
      <c r="AK9" s="159">
        <f t="shared" si="6"/>
        <v>302556870.46746904</v>
      </c>
      <c r="AL9" s="159">
        <f t="shared" si="6"/>
        <v>203861627.49345458</v>
      </c>
      <c r="AM9" s="159">
        <f t="shared" si="6"/>
        <v>268708551.60753953</v>
      </c>
      <c r="AN9" s="159">
        <f t="shared" si="6"/>
        <v>157397772.7844649</v>
      </c>
      <c r="AO9" s="159">
        <f t="shared" si="6"/>
        <v>-166888522.25822538</v>
      </c>
      <c r="AP9" s="159">
        <f t="shared" si="6"/>
        <v>-159285904.2560761</v>
      </c>
      <c r="AQ9" s="159">
        <f t="shared" si="6"/>
        <v>-167963329.67133555</v>
      </c>
      <c r="AR9" s="159">
        <f>SUM(AF9:AQ9)</f>
        <v>2373426679.9999995</v>
      </c>
      <c r="AS9" s="151"/>
      <c r="AT9" s="161">
        <f t="shared" si="7"/>
        <v>2.4875713571396392</v>
      </c>
      <c r="AU9" s="161">
        <f t="shared" si="7"/>
        <v>4.1235770913435932</v>
      </c>
      <c r="AV9" s="161">
        <f t="shared" si="7"/>
        <v>5.6538690426694425</v>
      </c>
      <c r="AW9" s="161">
        <f t="shared" si="7"/>
        <v>5.476899351793989</v>
      </c>
      <c r="AX9" s="161">
        <f t="shared" si="7"/>
        <v>3.1428062541875805</v>
      </c>
      <c r="AY9" s="161">
        <f t="shared" si="7"/>
        <v>3.1951840916525072</v>
      </c>
      <c r="AZ9" s="161">
        <f t="shared" si="7"/>
        <v>2.3699554238469216</v>
      </c>
      <c r="BA9" s="161">
        <f t="shared" si="7"/>
        <v>2.8227434217891645</v>
      </c>
      <c r="BB9" s="161">
        <f t="shared" si="7"/>
        <v>2.0119682534916707</v>
      </c>
      <c r="BC9" s="161">
        <f t="shared" si="7"/>
        <v>0</v>
      </c>
      <c r="BD9" s="161">
        <f t="shared" si="7"/>
        <v>0</v>
      </c>
      <c r="BE9" s="161">
        <f t="shared" si="7"/>
        <v>0</v>
      </c>
      <c r="BF9" s="161">
        <f t="shared" si="7"/>
        <v>2.4049140540140579</v>
      </c>
      <c r="BH9" s="162">
        <f>SUM(D9:F9)</f>
        <v>335570863.18777227</v>
      </c>
      <c r="BI9" s="162">
        <f>SUM(G9:I9)</f>
        <v>407901311.51205009</v>
      </c>
      <c r="BJ9" s="162">
        <f>SUM(J9:L9)</f>
        <v>451765069.11454099</v>
      </c>
      <c r="BK9" s="162">
        <f>SUM(M9:O9)</f>
        <v>494137756.185637</v>
      </c>
      <c r="BL9" s="162">
        <f>SUM(BH9:BK9)</f>
        <v>1689375000.0000005</v>
      </c>
      <c r="BN9" s="162">
        <f>SUM(R9:T9)</f>
        <v>1389319435</v>
      </c>
      <c r="BO9" s="162">
        <f>SUM(U9:W9)</f>
        <v>1591749224</v>
      </c>
      <c r="BP9" s="162">
        <f>SUM(X9:Z9)</f>
        <v>1081733021</v>
      </c>
      <c r="BQ9" s="162">
        <f>SUM(AA9:AC9)</f>
        <v>0</v>
      </c>
      <c r="BR9" s="162">
        <f>SUM(BN9:BQ9)</f>
        <v>4062801680</v>
      </c>
      <c r="BT9" s="163">
        <f t="shared" si="8"/>
        <v>4.1401670627839682</v>
      </c>
      <c r="BU9" s="163">
        <f t="shared" si="8"/>
        <v>3.9022900370178806</v>
      </c>
      <c r="BV9" s="163">
        <f t="shared" si="8"/>
        <v>2.3944591889766853</v>
      </c>
      <c r="BW9" s="163">
        <f t="shared" si="8"/>
        <v>0</v>
      </c>
      <c r="BX9" s="163">
        <f t="shared" si="8"/>
        <v>2.4049140540140579</v>
      </c>
      <c r="BZ9" s="178"/>
      <c r="CA9" s="178"/>
      <c r="CI9" s="137"/>
      <c r="CJ9" s="173"/>
    </row>
    <row r="10" spans="1:88" ht="16.5" thickBot="1">
      <c r="A10" s="869"/>
      <c r="B10" s="179" t="s">
        <v>55</v>
      </c>
      <c r="C10" s="165"/>
      <c r="D10" s="166">
        <f t="shared" ref="D10:P10" si="9">SUM(D8:D9)</f>
        <v>1318580234.5388904</v>
      </c>
      <c r="E10" s="166">
        <f t="shared" si="9"/>
        <v>1176844169.8375835</v>
      </c>
      <c r="F10" s="166">
        <f t="shared" si="9"/>
        <v>1452468103.7149639</v>
      </c>
      <c r="G10" s="166">
        <f t="shared" si="9"/>
        <v>1525093265.5738976</v>
      </c>
      <c r="H10" s="166">
        <f t="shared" si="9"/>
        <v>1652244969.4792681</v>
      </c>
      <c r="I10" s="166">
        <f t="shared" si="9"/>
        <v>1621500723.9121289</v>
      </c>
      <c r="J10" s="166">
        <f t="shared" si="9"/>
        <v>1750693523.6064167</v>
      </c>
      <c r="K10" s="166">
        <f t="shared" si="9"/>
        <v>1734351110.4995346</v>
      </c>
      <c r="L10" s="166">
        <f t="shared" si="9"/>
        <v>1829838531.9474716</v>
      </c>
      <c r="M10" s="166">
        <f t="shared" si="9"/>
        <v>1963394379.5085337</v>
      </c>
      <c r="N10" s="166">
        <f t="shared" si="9"/>
        <v>1873951814.7773657</v>
      </c>
      <c r="O10" s="166">
        <f t="shared" si="9"/>
        <v>1976039172.6039476</v>
      </c>
      <c r="P10" s="166">
        <f t="shared" si="9"/>
        <v>19875000000.000004</v>
      </c>
      <c r="Q10" s="139"/>
      <c r="R10" s="167">
        <f t="shared" ref="R10:AD10" si="10">SUM(R8:R9)</f>
        <v>1147271340</v>
      </c>
      <c r="S10" s="180">
        <f t="shared" si="10"/>
        <v>1266919294</v>
      </c>
      <c r="T10" s="167">
        <f t="shared" si="10"/>
        <v>1702385218</v>
      </c>
      <c r="U10" s="167">
        <f t="shared" si="10"/>
        <v>1691880706</v>
      </c>
      <c r="V10" s="167">
        <f t="shared" si="10"/>
        <v>1566549832</v>
      </c>
      <c r="W10" s="167">
        <f t="shared" si="10"/>
        <v>1633168605</v>
      </c>
      <c r="X10" s="167">
        <f t="shared" si="10"/>
        <v>1579239144</v>
      </c>
      <c r="Y10" s="167">
        <f t="shared" si="10"/>
        <v>1631049134</v>
      </c>
      <c r="Z10" s="167">
        <f t="shared" si="10"/>
        <v>1323587099</v>
      </c>
      <c r="AA10" s="167">
        <f t="shared" si="10"/>
        <v>0</v>
      </c>
      <c r="AB10" s="167">
        <f t="shared" si="10"/>
        <v>0</v>
      </c>
      <c r="AC10" s="167">
        <f t="shared" si="10"/>
        <v>0</v>
      </c>
      <c r="AD10" s="167">
        <f t="shared" si="10"/>
        <v>13542050372</v>
      </c>
      <c r="AE10" s="168"/>
      <c r="AF10" s="166">
        <f t="shared" ref="AF10:AR10" si="11">SUM(AF8:AF9)</f>
        <v>-171308894.53889024</v>
      </c>
      <c r="AG10" s="166">
        <f t="shared" si="11"/>
        <v>90075124.162416518</v>
      </c>
      <c r="AH10" s="166">
        <f t="shared" si="11"/>
        <v>249917114.28503621</v>
      </c>
      <c r="AI10" s="166">
        <f t="shared" si="11"/>
        <v>166787440.4261024</v>
      </c>
      <c r="AJ10" s="166">
        <f t="shared" si="11"/>
        <v>-85695137.479267955</v>
      </c>
      <c r="AK10" s="166">
        <f t="shared" si="11"/>
        <v>11667881.087871134</v>
      </c>
      <c r="AL10" s="166">
        <f t="shared" si="11"/>
        <v>-171454379.60641658</v>
      </c>
      <c r="AM10" s="166">
        <f t="shared" si="11"/>
        <v>-103301976.49953473</v>
      </c>
      <c r="AN10" s="166">
        <f t="shared" si="11"/>
        <v>-506251432.94747156</v>
      </c>
      <c r="AO10" s="166">
        <f t="shared" si="11"/>
        <v>-1963394379.5085337</v>
      </c>
      <c r="AP10" s="166">
        <f t="shared" si="11"/>
        <v>-1873951814.7773657</v>
      </c>
      <c r="AQ10" s="166">
        <f t="shared" si="11"/>
        <v>-1976039172.6039476</v>
      </c>
      <c r="AR10" s="169">
        <f t="shared" si="11"/>
        <v>-6332949628.0000019</v>
      </c>
      <c r="AS10" s="151"/>
      <c r="AT10" s="170">
        <f t="shared" si="7"/>
        <v>0.87008079595641952</v>
      </c>
      <c r="AU10" s="170">
        <f t="shared" si="7"/>
        <v>1.0765395508352205</v>
      </c>
      <c r="AV10" s="170">
        <f t="shared" si="7"/>
        <v>1.1720637538585703</v>
      </c>
      <c r="AW10" s="170">
        <f t="shared" si="7"/>
        <v>1.1093621250522929</v>
      </c>
      <c r="AX10" s="170">
        <f t="shared" si="7"/>
        <v>0.94813412111263606</v>
      </c>
      <c r="AY10" s="170">
        <f t="shared" si="7"/>
        <v>1.0071957298049923</v>
      </c>
      <c r="AZ10" s="170">
        <f t="shared" si="7"/>
        <v>0.90206488040623933</v>
      </c>
      <c r="BA10" s="170">
        <f t="shared" si="7"/>
        <v>0.94043767961737512</v>
      </c>
      <c r="BB10" s="170">
        <f t="shared" si="7"/>
        <v>0.72333546151272965</v>
      </c>
      <c r="BC10" s="170">
        <f t="shared" si="7"/>
        <v>0</v>
      </c>
      <c r="BD10" s="170">
        <f t="shared" si="7"/>
        <v>0</v>
      </c>
      <c r="BE10" s="170">
        <f t="shared" si="7"/>
        <v>0</v>
      </c>
      <c r="BF10" s="170">
        <f t="shared" si="7"/>
        <v>0.68136102500628914</v>
      </c>
      <c r="BH10" s="171">
        <f>SUM(BH8:BH9)</f>
        <v>3947892508.0914378</v>
      </c>
      <c r="BI10" s="171">
        <f>SUM(BI8:BI9)</f>
        <v>4798838958.9652939</v>
      </c>
      <c r="BJ10" s="171">
        <f>SUM(BJ8:BJ9)</f>
        <v>5314883166.0534229</v>
      </c>
      <c r="BK10" s="171">
        <f>SUM(BK8:BK9)</f>
        <v>5813385366.8898468</v>
      </c>
      <c r="BL10" s="171">
        <f>SUM(BH10:BK10)</f>
        <v>19875000000</v>
      </c>
      <c r="BN10" s="171">
        <f>SUM(BN8:BN9)</f>
        <v>4116575852</v>
      </c>
      <c r="BO10" s="171">
        <f>SUM(BO8:BO9)</f>
        <v>4891599143</v>
      </c>
      <c r="BP10" s="171">
        <f>SUM(BP8:BP9)</f>
        <v>4533875377</v>
      </c>
      <c r="BQ10" s="171">
        <f>SUM(BQ8:BQ9)</f>
        <v>0</v>
      </c>
      <c r="BR10" s="171">
        <f>SUM(BN10:BQ10)</f>
        <v>13542050372</v>
      </c>
      <c r="BT10" s="172">
        <f t="shared" si="8"/>
        <v>1.0427274409226786</v>
      </c>
      <c r="BU10" s="172">
        <f t="shared" si="8"/>
        <v>1.0193297138803563</v>
      </c>
      <c r="BV10" s="172">
        <f t="shared" si="8"/>
        <v>0.85305268908980325</v>
      </c>
      <c r="BW10" s="172">
        <f t="shared" si="8"/>
        <v>0</v>
      </c>
      <c r="BX10" s="172">
        <f t="shared" si="8"/>
        <v>0.68136102500628926</v>
      </c>
      <c r="BZ10" s="138"/>
      <c r="CA10" s="138"/>
      <c r="CI10" s="137"/>
      <c r="CJ10" s="173"/>
    </row>
    <row r="11" spans="1:88" ht="16.5" thickTop="1">
      <c r="A11" s="869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>
      <c r="A12" s="869"/>
      <c r="B12" s="150" t="s">
        <v>52</v>
      </c>
      <c r="C12" s="151"/>
      <c r="D12" s="152">
        <v>687588782.13245916</v>
      </c>
      <c r="E12" s="152">
        <v>613678886.04919231</v>
      </c>
      <c r="F12" s="152">
        <v>757406146.67173564</v>
      </c>
      <c r="G12" s="152">
        <v>795277370.04269695</v>
      </c>
      <c r="H12" s="152">
        <v>861582083.96473932</v>
      </c>
      <c r="I12" s="152">
        <v>845550144.6004405</v>
      </c>
      <c r="J12" s="152">
        <v>912919211.32480443</v>
      </c>
      <c r="K12" s="152">
        <v>904397272.62822151</v>
      </c>
      <c r="L12" s="152">
        <v>954190283.40038431</v>
      </c>
      <c r="M12" s="152">
        <v>1023834511.4615556</v>
      </c>
      <c r="N12" s="152">
        <v>977193660.53463864</v>
      </c>
      <c r="O12" s="152">
        <v>1030428283.8062721</v>
      </c>
      <c r="P12" s="152">
        <f>SUM(D12:O12)</f>
        <v>10364046636.61714</v>
      </c>
      <c r="Q12" s="139"/>
      <c r="R12" s="153">
        <f>'VN_YouTube Performance'!R6</f>
        <v>600131253</v>
      </c>
      <c r="S12" s="153">
        <f>'VN_YouTube Performance'!R7</f>
        <v>559835027</v>
      </c>
      <c r="T12" s="153">
        <f>'VN_YouTube Performance'!R8</f>
        <v>551862891</v>
      </c>
      <c r="U12" s="153">
        <f>'VN_YouTube Performance'!R9</f>
        <v>547962867</v>
      </c>
      <c r="V12" s="153">
        <f>'VN_YouTube Performance'!R10</f>
        <v>579917316</v>
      </c>
      <c r="W12" s="153">
        <f>'VN_YouTube Performance'!R11</f>
        <v>684471205</v>
      </c>
      <c r="X12" s="153">
        <f>'VN_YouTube Performance'!R12</f>
        <v>680408129</v>
      </c>
      <c r="Y12" s="153">
        <f>'VN_YouTube Performance'!R13</f>
        <v>618827481</v>
      </c>
      <c r="Z12" s="153">
        <f>'VN_YouTube Performance'!R14</f>
        <v>476542281</v>
      </c>
      <c r="AA12" s="153">
        <f>'VN_YouTube Performance'!R15</f>
        <v>0</v>
      </c>
      <c r="AB12" s="153">
        <f>'VN_YouTube Performance'!R16</f>
        <v>0</v>
      </c>
      <c r="AC12" s="153">
        <f>'VN_YouTube Performance'!R17</f>
        <v>0</v>
      </c>
      <c r="AD12" s="153">
        <f>SUM(R12:AC12)</f>
        <v>5299958450</v>
      </c>
      <c r="AE12" s="151"/>
      <c r="AF12" s="152">
        <f t="shared" ref="AF12:AQ13" si="12">R12-D12</f>
        <v>-87457529.132459164</v>
      </c>
      <c r="AG12" s="152">
        <f t="shared" si="12"/>
        <v>-53843859.049192309</v>
      </c>
      <c r="AH12" s="152">
        <f t="shared" si="12"/>
        <v>-205543255.67173564</v>
      </c>
      <c r="AI12" s="152">
        <f t="shared" si="12"/>
        <v>-247314503.04269695</v>
      </c>
      <c r="AJ12" s="152">
        <f t="shared" si="12"/>
        <v>-281664767.96473932</v>
      </c>
      <c r="AK12" s="152">
        <f t="shared" si="12"/>
        <v>-161078939.6004405</v>
      </c>
      <c r="AL12" s="152">
        <f t="shared" si="12"/>
        <v>-232511082.32480443</v>
      </c>
      <c r="AM12" s="152">
        <f t="shared" si="12"/>
        <v>-285569791.62822151</v>
      </c>
      <c r="AN12" s="152">
        <f t="shared" si="12"/>
        <v>-477648002.40038431</v>
      </c>
      <c r="AO12" s="152">
        <f t="shared" si="12"/>
        <v>-1023834511.4615556</v>
      </c>
      <c r="AP12" s="152">
        <f t="shared" si="12"/>
        <v>-977193660.53463864</v>
      </c>
      <c r="AQ12" s="152">
        <f t="shared" si="12"/>
        <v>-1030428283.8062721</v>
      </c>
      <c r="AR12" s="152">
        <f>SUM(AF12:AQ12)</f>
        <v>-5064088186.6171408</v>
      </c>
      <c r="AS12" s="151"/>
      <c r="AT12" s="154">
        <f t="shared" ref="AT12:BE14" si="13">R12/D12</f>
        <v>0.8728054741364133</v>
      </c>
      <c r="AU12" s="154">
        <f t="shared" si="13"/>
        <v>0.91226053189505329</v>
      </c>
      <c r="AV12" s="154">
        <f t="shared" si="13"/>
        <v>0.72862214470406284</v>
      </c>
      <c r="AW12" s="154">
        <f t="shared" si="13"/>
        <v>0.68902107320189543</v>
      </c>
      <c r="AX12" s="154">
        <f t="shared" si="13"/>
        <v>0.67308423282364049</v>
      </c>
      <c r="AY12" s="154">
        <f t="shared" si="13"/>
        <v>0.80949806391842394</v>
      </c>
      <c r="AZ12" s="154">
        <f t="shared" si="13"/>
        <v>0.74531034133087148</v>
      </c>
      <c r="BA12" s="154">
        <f t="shared" si="13"/>
        <v>0.68424297565787418</v>
      </c>
      <c r="BB12" s="154">
        <f t="shared" si="13"/>
        <v>0.49942059701318486</v>
      </c>
      <c r="BC12" s="154">
        <f t="shared" si="13"/>
        <v>0</v>
      </c>
      <c r="BD12" s="154">
        <f t="shared" si="13"/>
        <v>0</v>
      </c>
      <c r="BE12" s="154">
        <f t="shared" si="13"/>
        <v>0</v>
      </c>
      <c r="BF12" s="154">
        <f>AD12/P12</f>
        <v>0.51137925521048455</v>
      </c>
      <c r="BH12" s="155">
        <f>SUM(D12:F12)</f>
        <v>2058673814.8533874</v>
      </c>
      <c r="BI12" s="155">
        <f>SUM(G12:I12)</f>
        <v>2502409598.6078768</v>
      </c>
      <c r="BJ12" s="155">
        <f>SUM(J12:L12)</f>
        <v>2771506767.3534102</v>
      </c>
      <c r="BK12" s="155">
        <f>SUM(M12:O12)</f>
        <v>3031456455.8024664</v>
      </c>
      <c r="BL12" s="155">
        <f t="shared" ref="BL12:BL14" si="14">SUM(BH12:BK12)</f>
        <v>10364046636.617142</v>
      </c>
      <c r="BN12" s="155">
        <f>SUM(R12:T12)</f>
        <v>1711829171</v>
      </c>
      <c r="BO12" s="155">
        <f>SUM(U12:W12)</f>
        <v>1812351388</v>
      </c>
      <c r="BP12" s="155">
        <f>SUM(X12:Z12)</f>
        <v>1775777891</v>
      </c>
      <c r="BQ12" s="155">
        <f>SUM(AA12:AC12)</f>
        <v>0</v>
      </c>
      <c r="BR12" s="155">
        <f t="shared" ref="BR12:BR14" si="15">SUM(BN12:BQ12)</f>
        <v>5299958450</v>
      </c>
      <c r="BT12" s="156">
        <f t="shared" ref="BT12:BX14" si="16">BN12/BH12</f>
        <v>0.83152034996953195</v>
      </c>
      <c r="BU12" s="156">
        <f t="shared" si="16"/>
        <v>0.72424250171044535</v>
      </c>
      <c r="BV12" s="156">
        <f t="shared" si="16"/>
        <v>0.64072652173089961</v>
      </c>
      <c r="BW12" s="156">
        <f t="shared" si="16"/>
        <v>0</v>
      </c>
      <c r="BX12" s="156">
        <f t="shared" si="16"/>
        <v>0.51137925521048444</v>
      </c>
      <c r="BZ12" s="138"/>
      <c r="CA12" s="138"/>
      <c r="CI12" s="137"/>
      <c r="CJ12" s="137"/>
    </row>
    <row r="13" spans="1:88">
      <c r="A13" s="869"/>
      <c r="B13" s="157" t="s">
        <v>53</v>
      </c>
      <c r="C13" s="158"/>
      <c r="D13" s="159">
        <v>42191473.461392097</v>
      </c>
      <c r="E13" s="159">
        <v>37656251.974124335</v>
      </c>
      <c r="F13" s="159">
        <v>46475571.107615404</v>
      </c>
      <c r="G13" s="159">
        <v>48799405.872416086</v>
      </c>
      <c r="H13" s="159">
        <v>52867962.036364861</v>
      </c>
      <c r="I13" s="159">
        <v>51884218.319479793</v>
      </c>
      <c r="J13" s="159">
        <v>56018084.759249873</v>
      </c>
      <c r="K13" s="159">
        <v>55495165.887244157</v>
      </c>
      <c r="L13" s="159">
        <v>58550539.312681757</v>
      </c>
      <c r="M13" s="159">
        <v>62824013.04631225</v>
      </c>
      <c r="N13" s="159">
        <v>59962060.851576373</v>
      </c>
      <c r="O13" s="159">
        <v>63228616.754403256</v>
      </c>
      <c r="P13" s="159">
        <f>SUM(D13:O13)</f>
        <v>635953363.38286018</v>
      </c>
      <c r="Q13" s="139"/>
      <c r="R13" s="153">
        <f>'VN_YouTube Performance'!AC6</f>
        <v>112112243</v>
      </c>
      <c r="S13" s="153">
        <f>'VN_YouTube Performance'!AC7</f>
        <v>80518892</v>
      </c>
      <c r="T13" s="153">
        <f>'VN_YouTube Performance'!AC8</f>
        <v>111529569</v>
      </c>
      <c r="U13" s="153">
        <f>'VN_YouTube Performance'!AC9</f>
        <v>145868611</v>
      </c>
      <c r="V13" s="153">
        <f>'VN_YouTube Performance'!AC10</f>
        <v>216479216</v>
      </c>
      <c r="W13" s="153">
        <f>'VN_YouTube Performance'!AC11</f>
        <v>228549869</v>
      </c>
      <c r="X13" s="153">
        <f>'VN_YouTube Performance'!AC12</f>
        <v>227194036</v>
      </c>
      <c r="Y13" s="153">
        <f>'VN_YouTube Performance'!AC13</f>
        <v>192005439</v>
      </c>
      <c r="Z13" s="153">
        <f>'VN_YouTube Performance'!AC14</f>
        <v>94682943</v>
      </c>
      <c r="AA13" s="153">
        <f>'VN_YouTube Performance'!AC15</f>
        <v>0</v>
      </c>
      <c r="AB13" s="153">
        <f>'VN_YouTube Performance'!AC16</f>
        <v>0</v>
      </c>
      <c r="AC13" s="153">
        <f>'VN_YouTube Performance'!AC17</f>
        <v>0</v>
      </c>
      <c r="AD13" s="153">
        <f>SUM(R13:AC13)</f>
        <v>1408940818</v>
      </c>
      <c r="AE13" s="151"/>
      <c r="AF13" s="159">
        <f t="shared" si="12"/>
        <v>69920769.538607895</v>
      </c>
      <c r="AG13" s="159">
        <f t="shared" si="12"/>
        <v>42862640.025875665</v>
      </c>
      <c r="AH13" s="159">
        <f t="shared" si="12"/>
        <v>65053997.892384596</v>
      </c>
      <c r="AI13" s="159">
        <f t="shared" si="12"/>
        <v>97069205.127583921</v>
      </c>
      <c r="AJ13" s="159">
        <f t="shared" si="12"/>
        <v>163611253.96363515</v>
      </c>
      <c r="AK13" s="159">
        <f t="shared" si="12"/>
        <v>176665650.68052021</v>
      </c>
      <c r="AL13" s="159">
        <f t="shared" si="12"/>
        <v>171175951.24075013</v>
      </c>
      <c r="AM13" s="159">
        <f t="shared" si="12"/>
        <v>136510273.11275584</v>
      </c>
      <c r="AN13" s="159">
        <f t="shared" si="12"/>
        <v>36132403.687318243</v>
      </c>
      <c r="AO13" s="159">
        <f t="shared" si="12"/>
        <v>-62824013.04631225</v>
      </c>
      <c r="AP13" s="159">
        <f t="shared" si="12"/>
        <v>-59962060.851576373</v>
      </c>
      <c r="AQ13" s="159">
        <f t="shared" si="12"/>
        <v>-63228616.754403256</v>
      </c>
      <c r="AR13" s="159">
        <f>SUM(AF13:AQ13)</f>
        <v>772987454.6171397</v>
      </c>
      <c r="AS13" s="151"/>
      <c r="AT13" s="161">
        <f t="shared" si="13"/>
        <v>2.6572251168850478</v>
      </c>
      <c r="AU13" s="161">
        <f t="shared" si="13"/>
        <v>2.1382609202670761</v>
      </c>
      <c r="AV13" s="161">
        <f t="shared" si="13"/>
        <v>2.3997460674931861</v>
      </c>
      <c r="AW13" s="161">
        <f t="shared" si="13"/>
        <v>2.9891472732550701</v>
      </c>
      <c r="AX13" s="161">
        <f t="shared" si="13"/>
        <v>4.0947145995734857</v>
      </c>
      <c r="AY13" s="161">
        <f t="shared" si="13"/>
        <v>4.4049978279077502</v>
      </c>
      <c r="AZ13" s="161">
        <f t="shared" si="13"/>
        <v>4.0557265921606689</v>
      </c>
      <c r="BA13" s="161">
        <f t="shared" si="13"/>
        <v>3.4598588170746134</v>
      </c>
      <c r="BB13" s="161">
        <f t="shared" si="13"/>
        <v>1.6171147885480219</v>
      </c>
      <c r="BC13" s="161">
        <f t="shared" si="13"/>
        <v>0</v>
      </c>
      <c r="BD13" s="161">
        <f t="shared" si="13"/>
        <v>0</v>
      </c>
      <c r="BE13" s="161">
        <f t="shared" si="13"/>
        <v>0</v>
      </c>
      <c r="BF13" s="161">
        <f>AD13/P13</f>
        <v>2.2154782081902153</v>
      </c>
      <c r="BH13" s="162">
        <f>SUM(D13:F13)</f>
        <v>126323296.54313183</v>
      </c>
      <c r="BI13" s="162">
        <f>SUM(G13:I13)</f>
        <v>153551586.22826076</v>
      </c>
      <c r="BJ13" s="162">
        <f>SUM(J13:L13)</f>
        <v>170063789.9591758</v>
      </c>
      <c r="BK13" s="162">
        <f>SUM(M13:O13)</f>
        <v>186014690.65229189</v>
      </c>
      <c r="BL13" s="162">
        <f t="shared" si="14"/>
        <v>635953363.3828603</v>
      </c>
      <c r="BN13" s="162">
        <f>SUM(R13:T13)</f>
        <v>304160704</v>
      </c>
      <c r="BO13" s="162">
        <f>SUM(U13:W13)</f>
        <v>590897696</v>
      </c>
      <c r="BP13" s="162">
        <f>SUM(X13:Z13)</f>
        <v>513882418</v>
      </c>
      <c r="BQ13" s="162">
        <f>SUM(AA13:AC13)</f>
        <v>0</v>
      </c>
      <c r="BR13" s="162">
        <f t="shared" si="15"/>
        <v>1408940818</v>
      </c>
      <c r="BT13" s="163">
        <f t="shared" si="16"/>
        <v>2.4077958090346967</v>
      </c>
      <c r="BU13" s="163">
        <f t="shared" si="16"/>
        <v>3.8482031382053341</v>
      </c>
      <c r="BV13" s="163">
        <f t="shared" si="16"/>
        <v>3.0217039037137692</v>
      </c>
      <c r="BW13" s="163">
        <f t="shared" si="16"/>
        <v>0</v>
      </c>
      <c r="BX13" s="163">
        <f t="shared" si="16"/>
        <v>2.2154782081902149</v>
      </c>
      <c r="BZ13" s="138"/>
      <c r="CA13" s="138"/>
    </row>
    <row r="14" spans="1:88" ht="16.5" thickBot="1">
      <c r="A14" s="869"/>
      <c r="B14" s="164" t="s">
        <v>56</v>
      </c>
      <c r="C14" s="165"/>
      <c r="D14" s="166">
        <f t="shared" ref="D14:P14" si="17">SUM(D12:D13)</f>
        <v>729780255.59385121</v>
      </c>
      <c r="E14" s="166">
        <f t="shared" si="17"/>
        <v>651335138.02331662</v>
      </c>
      <c r="F14" s="166">
        <f t="shared" si="17"/>
        <v>803881717.779351</v>
      </c>
      <c r="G14" s="166">
        <f t="shared" si="17"/>
        <v>844076775.91511309</v>
      </c>
      <c r="H14" s="166">
        <f t="shared" si="17"/>
        <v>914450046.00110424</v>
      </c>
      <c r="I14" s="166">
        <f t="shared" si="17"/>
        <v>897434362.91992033</v>
      </c>
      <c r="J14" s="166">
        <f t="shared" si="17"/>
        <v>968937296.08405435</v>
      </c>
      <c r="K14" s="166">
        <f t="shared" si="17"/>
        <v>959892438.51546562</v>
      </c>
      <c r="L14" s="166">
        <f t="shared" si="17"/>
        <v>1012740822.7130661</v>
      </c>
      <c r="M14" s="166">
        <f t="shared" si="17"/>
        <v>1086658524.5078678</v>
      </c>
      <c r="N14" s="166">
        <f t="shared" si="17"/>
        <v>1037155721.386215</v>
      </c>
      <c r="O14" s="166">
        <f t="shared" si="17"/>
        <v>1093656900.5606754</v>
      </c>
      <c r="P14" s="166">
        <f t="shared" si="17"/>
        <v>11000000000</v>
      </c>
      <c r="Q14" s="139"/>
      <c r="R14" s="167">
        <f t="shared" ref="R14:AD14" si="18">SUM(R12:R13)</f>
        <v>712243496</v>
      </c>
      <c r="S14" s="167">
        <f t="shared" si="18"/>
        <v>640353919</v>
      </c>
      <c r="T14" s="167">
        <f t="shared" si="18"/>
        <v>663392460</v>
      </c>
      <c r="U14" s="167">
        <f t="shared" si="18"/>
        <v>693831478</v>
      </c>
      <c r="V14" s="167">
        <f t="shared" si="18"/>
        <v>796396532</v>
      </c>
      <c r="W14" s="167">
        <f t="shared" si="18"/>
        <v>913021074</v>
      </c>
      <c r="X14" s="167">
        <f t="shared" si="18"/>
        <v>907602165</v>
      </c>
      <c r="Y14" s="167">
        <f t="shared" si="18"/>
        <v>810832920</v>
      </c>
      <c r="Z14" s="167">
        <f t="shared" si="18"/>
        <v>571225224</v>
      </c>
      <c r="AA14" s="167">
        <f t="shared" si="18"/>
        <v>0</v>
      </c>
      <c r="AB14" s="167">
        <f t="shared" si="18"/>
        <v>0</v>
      </c>
      <c r="AC14" s="167">
        <f t="shared" si="18"/>
        <v>0</v>
      </c>
      <c r="AD14" s="167">
        <f t="shared" si="18"/>
        <v>6708899268</v>
      </c>
      <c r="AE14" s="168"/>
      <c r="AF14" s="166">
        <f t="shared" ref="AF14:AR14" si="19">SUM(AF12:AF13)</f>
        <v>-17536759.593851268</v>
      </c>
      <c r="AG14" s="166">
        <f t="shared" si="19"/>
        <v>-10981219.023316644</v>
      </c>
      <c r="AH14" s="166">
        <f t="shared" si="19"/>
        <v>-140489257.77935106</v>
      </c>
      <c r="AI14" s="166">
        <f t="shared" si="19"/>
        <v>-150245297.91511303</v>
      </c>
      <c r="AJ14" s="166">
        <f t="shared" si="19"/>
        <v>-118053514.00110418</v>
      </c>
      <c r="AK14" s="166">
        <f t="shared" si="19"/>
        <v>15586711.080079705</v>
      </c>
      <c r="AL14" s="166">
        <f t="shared" si="19"/>
        <v>-61335131.084054291</v>
      </c>
      <c r="AM14" s="166">
        <f t="shared" si="19"/>
        <v>-149059518.51546568</v>
      </c>
      <c r="AN14" s="166">
        <f t="shared" si="19"/>
        <v>-441515598.71306604</v>
      </c>
      <c r="AO14" s="166">
        <f t="shared" si="19"/>
        <v>-1086658524.5078678</v>
      </c>
      <c r="AP14" s="166">
        <f t="shared" si="19"/>
        <v>-1037155721.386215</v>
      </c>
      <c r="AQ14" s="166">
        <f t="shared" si="19"/>
        <v>-1093656900.5606754</v>
      </c>
      <c r="AR14" s="169">
        <f t="shared" si="19"/>
        <v>-4291100732.000001</v>
      </c>
      <c r="AS14" s="151"/>
      <c r="AT14" s="170">
        <f t="shared" si="13"/>
        <v>0.97596980809027112</v>
      </c>
      <c r="AU14" s="170">
        <f t="shared" si="13"/>
        <v>0.98314044739449702</v>
      </c>
      <c r="AV14" s="170">
        <f t="shared" si="13"/>
        <v>0.82523640646109031</v>
      </c>
      <c r="AW14" s="170">
        <f t="shared" si="13"/>
        <v>0.82200043621360941</v>
      </c>
      <c r="AX14" s="170">
        <f t="shared" si="13"/>
        <v>0.8709021728225036</v>
      </c>
      <c r="AY14" s="170">
        <f t="shared" si="13"/>
        <v>1.0173680791867232</v>
      </c>
      <c r="AZ14" s="170">
        <f t="shared" si="13"/>
        <v>0.93669855486837039</v>
      </c>
      <c r="BA14" s="170">
        <f t="shared" si="13"/>
        <v>0.84471226927675813</v>
      </c>
      <c r="BB14" s="170">
        <f t="shared" si="13"/>
        <v>0.56403890431682724</v>
      </c>
      <c r="BC14" s="170">
        <f t="shared" si="13"/>
        <v>0</v>
      </c>
      <c r="BD14" s="170">
        <f t="shared" si="13"/>
        <v>0</v>
      </c>
      <c r="BE14" s="170">
        <f t="shared" si="13"/>
        <v>0</v>
      </c>
      <c r="BF14" s="170">
        <f>AD14/P14</f>
        <v>0.60989993345454541</v>
      </c>
      <c r="BH14" s="171">
        <f>SUM(BH12:BH13)</f>
        <v>2184997111.3965192</v>
      </c>
      <c r="BI14" s="171">
        <f>SUM(BI12:BI13)</f>
        <v>2655961184.8361378</v>
      </c>
      <c r="BJ14" s="171">
        <f>SUM(BJ12:BJ13)</f>
        <v>2941570557.3125858</v>
      </c>
      <c r="BK14" s="171">
        <f>SUM(BK12:BK13)</f>
        <v>3217471146.4547582</v>
      </c>
      <c r="BL14" s="171">
        <f t="shared" si="14"/>
        <v>11000000000</v>
      </c>
      <c r="BN14" s="171">
        <f>SUM(BN12:BN13)</f>
        <v>2015989875</v>
      </c>
      <c r="BO14" s="171">
        <f>SUM(BO12:BO13)</f>
        <v>2403249084</v>
      </c>
      <c r="BP14" s="171">
        <f>SUM(BP12:BP13)</f>
        <v>2289660309</v>
      </c>
      <c r="BQ14" s="171">
        <f>SUM(BQ12:BQ13)</f>
        <v>0</v>
      </c>
      <c r="BR14" s="171">
        <f t="shared" si="15"/>
        <v>6708899268</v>
      </c>
      <c r="BT14" s="172">
        <f t="shared" si="16"/>
        <v>0.92265104813410947</v>
      </c>
      <c r="BU14" s="172">
        <f t="shared" si="16"/>
        <v>0.90485098115177121</v>
      </c>
      <c r="BV14" s="172">
        <f t="shared" si="16"/>
        <v>0.77838021029549265</v>
      </c>
      <c r="BW14" s="172">
        <f t="shared" si="16"/>
        <v>0</v>
      </c>
      <c r="BX14" s="172">
        <f t="shared" si="16"/>
        <v>0.60989993345454541</v>
      </c>
      <c r="BZ14" s="138"/>
      <c r="CA14" s="138"/>
    </row>
    <row r="15" spans="1:88" ht="15" customHeight="1" thickTop="1">
      <c r="A15" s="869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869"/>
      <c r="B16" s="150" t="s">
        <v>52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153441957</v>
      </c>
      <c r="Y16" s="153">
        <f>'VN_YouTube Performance'!V13</f>
        <v>125940833</v>
      </c>
      <c r="Z16" s="153">
        <f>'VN_YouTube Performance'!V14</f>
        <v>96677191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1182540818</v>
      </c>
      <c r="AE16" s="151"/>
      <c r="AF16" s="152">
        <f t="shared" ref="AF16:AQ17" si="20">R16-D16</f>
        <v>27502431.998688579</v>
      </c>
      <c r="AG16" s="152">
        <f t="shared" si="20"/>
        <v>22403447.854977414</v>
      </c>
      <c r="AH16" s="152">
        <f t="shared" si="20"/>
        <v>73006274.413703918</v>
      </c>
      <c r="AI16" s="152">
        <f t="shared" si="20"/>
        <v>100063051.62886098</v>
      </c>
      <c r="AJ16" s="152">
        <f t="shared" si="20"/>
        <v>65050406.20043084</v>
      </c>
      <c r="AK16" s="152">
        <f t="shared" si="20"/>
        <v>32961008.754763648</v>
      </c>
      <c r="AL16" s="152">
        <f t="shared" si="20"/>
        <v>56268334.697669134</v>
      </c>
      <c r="AM16" s="152">
        <f t="shared" si="20"/>
        <v>29674309.203114808</v>
      </c>
      <c r="AN16" s="152">
        <f t="shared" si="20"/>
        <v>-4889437.2990661114</v>
      </c>
      <c r="AO16" s="152">
        <f t="shared" si="20"/>
        <v>-108979750.76291776</v>
      </c>
      <c r="AP16" s="152">
        <f t="shared" si="20"/>
        <v>-104015170.79175639</v>
      </c>
      <c r="AQ16" s="152">
        <f t="shared" si="20"/>
        <v>-109681609.95858878</v>
      </c>
      <c r="AR16" s="152">
        <f>SUM(AF16:AQ16)</f>
        <v>79363295.939880252</v>
      </c>
      <c r="AS16" s="151"/>
      <c r="AT16" s="154">
        <f>R16/D16</f>
        <v>1.3757736050036784</v>
      </c>
      <c r="AU16" s="154">
        <f t="shared" ref="AT16:AU18" si="21">S16/E16</f>
        <v>1.3429711847386683</v>
      </c>
      <c r="AV16" s="184">
        <f t="shared" ref="AV16:BE18" si="22">(T16-F16)/F16</f>
        <v>0.90555600649612356</v>
      </c>
      <c r="AW16" s="184">
        <f t="shared" si="22"/>
        <v>1.1820587801283531</v>
      </c>
      <c r="AX16" s="184">
        <f t="shared" si="22"/>
        <v>0.70931200069025646</v>
      </c>
      <c r="AY16" s="184">
        <f t="shared" si="22"/>
        <v>0.36622254873174731</v>
      </c>
      <c r="AZ16" s="184">
        <f t="shared" si="22"/>
        <v>0.57904947211502111</v>
      </c>
      <c r="BA16" s="184">
        <f t="shared" si="22"/>
        <v>0.30825159185892359</v>
      </c>
      <c r="BB16" s="184">
        <f t="shared" si="22"/>
        <v>-4.8140195071446207E-2</v>
      </c>
      <c r="BC16" s="184">
        <f t="shared" si="22"/>
        <v>-1</v>
      </c>
      <c r="BD16" s="184">
        <f t="shared" si="22"/>
        <v>-1</v>
      </c>
      <c r="BE16" s="184">
        <f t="shared" si="22"/>
        <v>-1</v>
      </c>
      <c r="BF16" s="154">
        <f>AD16/P16</f>
        <v>1.0719406390656638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376059981</v>
      </c>
      <c r="BQ16" s="155">
        <f>SUM(AA16:AC16)</f>
        <v>0</v>
      </c>
      <c r="BR16" s="155">
        <f>SUM(BN16:BQ16)</f>
        <v>1182540818</v>
      </c>
      <c r="BT16" s="156">
        <f t="shared" ref="BT16:BX18" si="23">BN16/BH16</f>
        <v>1.5609074964492669</v>
      </c>
      <c r="BU16" s="156">
        <f t="shared" si="23"/>
        <v>1.7436251202455242</v>
      </c>
      <c r="BV16" s="156">
        <f t="shared" si="23"/>
        <v>1.2747503231647477</v>
      </c>
      <c r="BW16" s="156">
        <f t="shared" si="23"/>
        <v>0</v>
      </c>
      <c r="BX16" s="156">
        <f t="shared" si="23"/>
        <v>1.0719406390656638</v>
      </c>
      <c r="BZ16" s="138"/>
      <c r="CA16" s="138"/>
    </row>
    <row r="17" spans="1:79">
      <c r="A17" s="869"/>
      <c r="B17" s="157" t="s">
        <v>53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61296798</v>
      </c>
      <c r="Y17" s="153">
        <f>'VN_YouTube Performance'!AG13</f>
        <v>66068063</v>
      </c>
      <c r="Z17" s="153">
        <f>'VN_YouTube Performance'!AG14</f>
        <v>67934205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709745441</v>
      </c>
      <c r="AE17" s="151"/>
      <c r="AF17" s="159">
        <f t="shared" si="20"/>
        <v>15557092.502010133</v>
      </c>
      <c r="AG17" s="159">
        <f t="shared" si="20"/>
        <v>4284577.5514638741</v>
      </c>
      <c r="AH17" s="159">
        <f t="shared" si="20"/>
        <v>5459965.3840970956</v>
      </c>
      <c r="AI17" s="159">
        <f t="shared" si="20"/>
        <v>162722709.92623982</v>
      </c>
      <c r="AJ17" s="159">
        <f t="shared" si="20"/>
        <v>232233674.84489819</v>
      </c>
      <c r="AK17" s="159">
        <f t="shared" si="20"/>
        <v>29573673.640699938</v>
      </c>
      <c r="AL17" s="159">
        <f t="shared" si="20"/>
        <v>48363909.383688323</v>
      </c>
      <c r="AM17" s="159">
        <f t="shared" si="20"/>
        <v>53255900.601945907</v>
      </c>
      <c r="AN17" s="159">
        <f t="shared" si="20"/>
        <v>54416648.899854049</v>
      </c>
      <c r="AO17" s="159">
        <f t="shared" si="20"/>
        <v>-14504172.476612676</v>
      </c>
      <c r="AP17" s="159">
        <f t="shared" si="20"/>
        <v>-13843433.911222573</v>
      </c>
      <c r="AQ17" s="159">
        <f t="shared" si="20"/>
        <v>-14597583.286942525</v>
      </c>
      <c r="AR17" s="159">
        <f>SUM(AF17:AQ17)</f>
        <v>562922963.06011963</v>
      </c>
      <c r="AS17" s="151"/>
      <c r="AT17" s="161">
        <f t="shared" si="21"/>
        <v>2.5971160000844442</v>
      </c>
      <c r="AU17" s="161">
        <f t="shared" si="21"/>
        <v>1.4928373750454649</v>
      </c>
      <c r="AV17" s="184">
        <f t="shared" si="22"/>
        <v>0.50885948395624392</v>
      </c>
      <c r="AW17" s="184">
        <f t="shared" si="22"/>
        <v>14.44329736453261</v>
      </c>
      <c r="AX17" s="184">
        <f t="shared" si="22"/>
        <v>19.026782080206502</v>
      </c>
      <c r="AY17" s="184">
        <f t="shared" si="22"/>
        <v>2.4688955501055196</v>
      </c>
      <c r="AZ17" s="184">
        <f t="shared" si="22"/>
        <v>3.7396061172821877</v>
      </c>
      <c r="BA17" s="184">
        <f t="shared" si="22"/>
        <v>4.1566676215432929</v>
      </c>
      <c r="BB17" s="184">
        <f t="shared" si="22"/>
        <v>4.0256277463695147</v>
      </c>
      <c r="BC17" s="184">
        <f t="shared" si="22"/>
        <v>-1</v>
      </c>
      <c r="BD17" s="184">
        <f t="shared" si="22"/>
        <v>-1</v>
      </c>
      <c r="BE17" s="184">
        <f t="shared" si="22"/>
        <v>-1</v>
      </c>
      <c r="BF17" s="161">
        <f>AD17/P17</f>
        <v>4.8340380230513498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195299066</v>
      </c>
      <c r="BQ17" s="162">
        <f>SUM(AA17:AC17)</f>
        <v>0</v>
      </c>
      <c r="BR17" s="162">
        <f>SUM(BN17:BQ17)</f>
        <v>709745441</v>
      </c>
      <c r="BT17" s="163">
        <f t="shared" si="23"/>
        <v>1.867556688581818</v>
      </c>
      <c r="BU17" s="163">
        <f t="shared" si="23"/>
        <v>12.975312556618869</v>
      </c>
      <c r="BV17" s="163">
        <f t="shared" si="23"/>
        <v>4.9741746754207803</v>
      </c>
      <c r="BW17" s="163">
        <f t="shared" si="23"/>
        <v>0</v>
      </c>
      <c r="BX17" s="163">
        <f t="shared" si="23"/>
        <v>4.8340380230513498</v>
      </c>
      <c r="BZ17" s="138"/>
      <c r="CA17" s="138"/>
    </row>
    <row r="18" spans="1:79" ht="16.5" thickBot="1">
      <c r="A18" s="869"/>
      <c r="B18" s="164" t="s">
        <v>57</v>
      </c>
      <c r="C18" s="165"/>
      <c r="D18" s="166">
        <f t="shared" ref="D18:P18" si="24">SUM(D16:D17)</f>
        <v>82929574.499301285</v>
      </c>
      <c r="E18" s="166">
        <f t="shared" si="24"/>
        <v>74015356.593558714</v>
      </c>
      <c r="F18" s="166">
        <f t="shared" si="24"/>
        <v>91350195.202198982</v>
      </c>
      <c r="G18" s="166">
        <f t="shared" si="24"/>
        <v>95917815.444899201</v>
      </c>
      <c r="H18" s="166">
        <f t="shared" si="24"/>
        <v>103914777.95467097</v>
      </c>
      <c r="I18" s="166">
        <f t="shared" si="24"/>
        <v>101981177.60453641</v>
      </c>
      <c r="J18" s="166">
        <f t="shared" si="24"/>
        <v>110106510.91864255</v>
      </c>
      <c r="K18" s="166">
        <f t="shared" si="24"/>
        <v>109078686.19493929</v>
      </c>
      <c r="L18" s="166">
        <f t="shared" si="24"/>
        <v>115084184.39921206</v>
      </c>
      <c r="M18" s="166">
        <f t="shared" si="24"/>
        <v>123483923.23953043</v>
      </c>
      <c r="N18" s="166">
        <f t="shared" si="24"/>
        <v>117858604.70297897</v>
      </c>
      <c r="O18" s="166">
        <f t="shared" si="24"/>
        <v>124279193.24553131</v>
      </c>
      <c r="P18" s="166">
        <f t="shared" si="24"/>
        <v>1250000000</v>
      </c>
      <c r="Q18" s="139"/>
      <c r="R18" s="167">
        <f t="shared" ref="R18:AD18" si="25">SUM(R16:R17)</f>
        <v>125989099</v>
      </c>
      <c r="S18" s="167">
        <f t="shared" si="25"/>
        <v>100703382</v>
      </c>
      <c r="T18" s="167">
        <f t="shared" si="25"/>
        <v>169816435</v>
      </c>
      <c r="U18" s="167">
        <f t="shared" si="25"/>
        <v>358703577</v>
      </c>
      <c r="V18" s="167">
        <f t="shared" si="25"/>
        <v>401198859</v>
      </c>
      <c r="W18" s="167">
        <f t="shared" si="25"/>
        <v>164515860</v>
      </c>
      <c r="X18" s="167">
        <f t="shared" si="25"/>
        <v>214738755</v>
      </c>
      <c r="Y18" s="167">
        <f t="shared" si="25"/>
        <v>192008896</v>
      </c>
      <c r="Z18" s="167">
        <f t="shared" si="25"/>
        <v>164611396</v>
      </c>
      <c r="AA18" s="167">
        <f t="shared" si="25"/>
        <v>0</v>
      </c>
      <c r="AB18" s="167">
        <f t="shared" si="25"/>
        <v>0</v>
      </c>
      <c r="AC18" s="167">
        <f t="shared" si="25"/>
        <v>0</v>
      </c>
      <c r="AD18" s="167">
        <f t="shared" si="25"/>
        <v>1892286259</v>
      </c>
      <c r="AE18" s="168"/>
      <c r="AF18" s="166">
        <f t="shared" ref="AF18:AR18" si="26">SUM(AF16:AF17)</f>
        <v>43059524.500698715</v>
      </c>
      <c r="AG18" s="166">
        <f t="shared" si="26"/>
        <v>26688025.406441286</v>
      </c>
      <c r="AH18" s="166">
        <f t="shared" si="26"/>
        <v>78466239.797801018</v>
      </c>
      <c r="AI18" s="166">
        <f t="shared" si="26"/>
        <v>262785761.5551008</v>
      </c>
      <c r="AJ18" s="166">
        <f t="shared" si="26"/>
        <v>297284081.04532903</v>
      </c>
      <c r="AK18" s="166">
        <f t="shared" si="26"/>
        <v>62534682.395463586</v>
      </c>
      <c r="AL18" s="166">
        <f t="shared" si="26"/>
        <v>104632244.08135745</v>
      </c>
      <c r="AM18" s="166">
        <f t="shared" si="26"/>
        <v>82930209.805060714</v>
      </c>
      <c r="AN18" s="166">
        <f t="shared" si="26"/>
        <v>49527211.600787938</v>
      </c>
      <c r="AO18" s="166">
        <f t="shared" si="26"/>
        <v>-123483923.23953043</v>
      </c>
      <c r="AP18" s="166">
        <f t="shared" si="26"/>
        <v>-117858604.70297897</v>
      </c>
      <c r="AQ18" s="166">
        <f t="shared" si="26"/>
        <v>-124279193.24553131</v>
      </c>
      <c r="AR18" s="169">
        <f t="shared" si="26"/>
        <v>642286258.99999988</v>
      </c>
      <c r="AS18" s="151"/>
      <c r="AT18" s="170">
        <f t="shared" si="21"/>
        <v>1.5192300184907075</v>
      </c>
      <c r="AU18" s="170">
        <f t="shared" si="21"/>
        <v>1.3605741650748711</v>
      </c>
      <c r="AV18" s="185">
        <f t="shared" si="22"/>
        <v>0.85896083335257256</v>
      </c>
      <c r="AW18" s="185">
        <f t="shared" si="22"/>
        <v>2.7396971077397012</v>
      </c>
      <c r="AX18" s="185">
        <f t="shared" si="22"/>
        <v>2.8608450780216108</v>
      </c>
      <c r="AY18" s="185">
        <f t="shared" si="22"/>
        <v>0.61319827701893359</v>
      </c>
      <c r="AZ18" s="185">
        <f t="shared" si="22"/>
        <v>0.95028207876526005</v>
      </c>
      <c r="BA18" s="185">
        <f t="shared" si="22"/>
        <v>0.760278773956376</v>
      </c>
      <c r="BB18" s="185">
        <f t="shared" si="22"/>
        <v>0.43035636790007986</v>
      </c>
      <c r="BC18" s="185">
        <f t="shared" si="22"/>
        <v>-1</v>
      </c>
      <c r="BD18" s="185">
        <f t="shared" si="22"/>
        <v>-1</v>
      </c>
      <c r="BE18" s="185">
        <f t="shared" si="22"/>
        <v>-1</v>
      </c>
      <c r="BF18" s="170">
        <f>AD18/P18</f>
        <v>1.5138290072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571359047</v>
      </c>
      <c r="BQ18" s="171">
        <f>SUM(BQ16:BQ17)</f>
        <v>0</v>
      </c>
      <c r="BR18" s="171">
        <f>SUM(BN18:BQ18)</f>
        <v>1892286259</v>
      </c>
      <c r="BT18" s="172">
        <f t="shared" si="23"/>
        <v>1.5969258918469977</v>
      </c>
      <c r="BU18" s="172">
        <f t="shared" si="23"/>
        <v>3.06287646492917</v>
      </c>
      <c r="BV18" s="172">
        <f t="shared" si="23"/>
        <v>1.709277243444242</v>
      </c>
      <c r="BW18" s="172">
        <f t="shared" si="23"/>
        <v>0</v>
      </c>
      <c r="BX18" s="172">
        <f t="shared" si="23"/>
        <v>1.5138290072</v>
      </c>
      <c r="BZ18" s="138"/>
      <c r="CA18" s="138"/>
    </row>
    <row r="19" spans="1:79" ht="17.25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350000000000001" customHeight="1" thickTop="1">
      <c r="A20" s="188" t="s">
        <v>58</v>
      </c>
      <c r="B20" s="189"/>
      <c r="C20" s="190"/>
      <c r="D20" s="191">
        <f>SUM(D6,D10,D14,D18)</f>
        <v>3466456214.0707936</v>
      </c>
      <c r="E20" s="191">
        <f t="shared" ref="E20:AR20" si="27">SUM(E6,E10,E14,E18)</f>
        <v>3093841905.6107545</v>
      </c>
      <c r="F20" s="191">
        <f t="shared" si="27"/>
        <v>3818438159.4519176</v>
      </c>
      <c r="G20" s="191">
        <f t="shared" si="27"/>
        <v>4009364685.596787</v>
      </c>
      <c r="H20" s="191">
        <f t="shared" si="27"/>
        <v>4343637718.5052462</v>
      </c>
      <c r="I20" s="191">
        <f t="shared" si="27"/>
        <v>4262813223.8696222</v>
      </c>
      <c r="J20" s="191">
        <f t="shared" si="27"/>
        <v>4602452156.3992586</v>
      </c>
      <c r="K20" s="191">
        <f t="shared" si="27"/>
        <v>4559489082.9484625</v>
      </c>
      <c r="L20" s="191">
        <f t="shared" si="27"/>
        <v>4810518907.887064</v>
      </c>
      <c r="M20" s="191">
        <f t="shared" si="27"/>
        <v>5161627991.4123716</v>
      </c>
      <c r="N20" s="191">
        <f t="shared" si="27"/>
        <v>4926489676.5845213</v>
      </c>
      <c r="O20" s="191">
        <f t="shared" si="27"/>
        <v>5194870277.663208</v>
      </c>
      <c r="P20" s="191">
        <f t="shared" si="27"/>
        <v>52250000000</v>
      </c>
      <c r="Q20" s="168"/>
      <c r="R20" s="191">
        <f t="shared" si="27"/>
        <v>2849609620</v>
      </c>
      <c r="S20" s="191">
        <f t="shared" si="27"/>
        <v>2841911507</v>
      </c>
      <c r="T20" s="191">
        <f t="shared" si="27"/>
        <v>3557895447</v>
      </c>
      <c r="U20" s="191">
        <f t="shared" si="27"/>
        <v>3803032679</v>
      </c>
      <c r="V20" s="191">
        <f t="shared" si="27"/>
        <v>3816548741</v>
      </c>
      <c r="W20" s="191">
        <f t="shared" si="27"/>
        <v>3658861350</v>
      </c>
      <c r="X20" s="191">
        <f t="shared" si="27"/>
        <v>3821015594</v>
      </c>
      <c r="Y20" s="191">
        <f t="shared" si="27"/>
        <v>3803180441</v>
      </c>
      <c r="Z20" s="191">
        <f t="shared" si="27"/>
        <v>3175511256</v>
      </c>
      <c r="AA20" s="191">
        <f t="shared" si="27"/>
        <v>0</v>
      </c>
      <c r="AB20" s="191">
        <f t="shared" si="27"/>
        <v>0</v>
      </c>
      <c r="AC20" s="191">
        <f t="shared" si="27"/>
        <v>0</v>
      </c>
      <c r="AD20" s="191">
        <f t="shared" si="27"/>
        <v>31327566635</v>
      </c>
      <c r="AE20" s="168"/>
      <c r="AF20" s="191">
        <f t="shared" si="27"/>
        <v>-616846594.07079351</v>
      </c>
      <c r="AG20" s="191">
        <f t="shared" si="27"/>
        <v>-251930398.61075419</v>
      </c>
      <c r="AH20" s="191">
        <f t="shared" si="27"/>
        <v>-260542712.45191753</v>
      </c>
      <c r="AI20" s="191">
        <f t="shared" si="27"/>
        <v>-206332006.5967871</v>
      </c>
      <c r="AJ20" s="191">
        <f t="shared" si="27"/>
        <v>-527088977.50524551</v>
      </c>
      <c r="AK20" s="191">
        <f t="shared" si="27"/>
        <v>-603951873.86962175</v>
      </c>
      <c r="AL20" s="191">
        <f t="shared" si="27"/>
        <v>-781436562.39925861</v>
      </c>
      <c r="AM20" s="191">
        <f t="shared" si="27"/>
        <v>-756308641.94846213</v>
      </c>
      <c r="AN20" s="191">
        <f t="shared" si="27"/>
        <v>-1635007651.887064</v>
      </c>
      <c r="AO20" s="191">
        <f t="shared" si="27"/>
        <v>-5161627991.4123716</v>
      </c>
      <c r="AP20" s="191">
        <f t="shared" si="27"/>
        <v>-4926489676.5845213</v>
      </c>
      <c r="AQ20" s="191">
        <f t="shared" si="27"/>
        <v>-5194870277.663208</v>
      </c>
      <c r="AR20" s="191">
        <f t="shared" si="27"/>
        <v>-20922433365.000004</v>
      </c>
      <c r="AS20" s="192"/>
      <c r="AT20" s="193">
        <f t="shared" ref="AT20:BF20" si="28">R20/D20</f>
        <v>0.82205267974626839</v>
      </c>
      <c r="AU20" s="193">
        <f t="shared" si="28"/>
        <v>0.918570370983122</v>
      </c>
      <c r="AV20" s="193">
        <f t="shared" si="28"/>
        <v>0.93176720387444623</v>
      </c>
      <c r="AW20" s="193">
        <f t="shared" si="28"/>
        <v>0.94853748092858392</v>
      </c>
      <c r="AX20" s="193">
        <f t="shared" si="28"/>
        <v>0.87865263825763296</v>
      </c>
      <c r="AY20" s="193">
        <f t="shared" si="28"/>
        <v>0.85832082191924486</v>
      </c>
      <c r="AZ20" s="193">
        <f t="shared" si="28"/>
        <v>0.83021299606281673</v>
      </c>
      <c r="BA20" s="193">
        <f t="shared" si="28"/>
        <v>0.83412425642669064</v>
      </c>
      <c r="BB20" s="193">
        <f t="shared" si="28"/>
        <v>0.66011823605840214</v>
      </c>
      <c r="BC20" s="193">
        <f t="shared" si="28"/>
        <v>0</v>
      </c>
      <c r="BD20" s="193">
        <f t="shared" si="28"/>
        <v>0</v>
      </c>
      <c r="BE20" s="193">
        <f t="shared" si="28"/>
        <v>0</v>
      </c>
      <c r="BF20" s="193">
        <f t="shared" si="28"/>
        <v>0.59957065330143544</v>
      </c>
      <c r="BH20" s="191">
        <f t="shared" ref="BH20:BL20" si="29">SUM(BH6,BH10,BH14,BH18)</f>
        <v>10378736279.133467</v>
      </c>
      <c r="BI20" s="191">
        <f t="shared" si="29"/>
        <v>12615815627.971653</v>
      </c>
      <c r="BJ20" s="191">
        <f t="shared" si="29"/>
        <v>13972460147.234785</v>
      </c>
      <c r="BK20" s="191">
        <f t="shared" si="29"/>
        <v>15282987945.660103</v>
      </c>
      <c r="BL20" s="191">
        <f t="shared" si="29"/>
        <v>52250000000</v>
      </c>
      <c r="BN20" s="191">
        <f t="shared" ref="BN20:BR20" si="30">SUM(BN6,BN10,BN14,BN18)</f>
        <v>9249416574</v>
      </c>
      <c r="BO20" s="191">
        <f t="shared" si="30"/>
        <v>11278442770</v>
      </c>
      <c r="BP20" s="191">
        <f t="shared" si="30"/>
        <v>10799707291</v>
      </c>
      <c r="BQ20" s="191">
        <f t="shared" si="30"/>
        <v>0</v>
      </c>
      <c r="BR20" s="191">
        <f t="shared" si="30"/>
        <v>31327566635</v>
      </c>
      <c r="BT20" s="194">
        <f t="shared" ref="BT20:BX20" si="31">BN20/BH20</f>
        <v>0.89118909328065565</v>
      </c>
      <c r="BU20" s="194">
        <f t="shared" si="31"/>
        <v>0.89399235868615234</v>
      </c>
      <c r="BV20" s="194">
        <f t="shared" si="31"/>
        <v>0.77292811553571061</v>
      </c>
      <c r="BW20" s="194">
        <f t="shared" si="31"/>
        <v>0</v>
      </c>
      <c r="BX20" s="194">
        <f t="shared" si="31"/>
        <v>0.59957065330143544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>
      <c r="A22" s="868" t="s">
        <v>9</v>
      </c>
      <c r="B22" s="202" t="s">
        <v>52</v>
      </c>
      <c r="C22" s="203"/>
      <c r="D22" s="204">
        <v>122160.87509512281</v>
      </c>
      <c r="E22" s="204">
        <v>109029.62889340374</v>
      </c>
      <c r="F22" s="204">
        <v>134565.01921524917</v>
      </c>
      <c r="G22" s="204">
        <v>141293.43292434348</v>
      </c>
      <c r="H22" s="204">
        <v>153073.49985697723</v>
      </c>
      <c r="I22" s="204">
        <v>150225.1756941822</v>
      </c>
      <c r="J22" s="204">
        <v>162194.34150847347</v>
      </c>
      <c r="K22" s="204">
        <v>160680.28613739411</v>
      </c>
      <c r="L22" s="204">
        <v>169526.79138531783</v>
      </c>
      <c r="M22" s="204">
        <v>181900.17510878586</v>
      </c>
      <c r="N22" s="204">
        <v>173613.70023823492</v>
      </c>
      <c r="O22" s="204">
        <v>183071.66164367445</v>
      </c>
      <c r="P22" s="204">
        <f>SUM(D22:O22)</f>
        <v>1841334.5877011593</v>
      </c>
      <c r="Q22" s="205"/>
      <c r="R22" s="206">
        <f>'VN_YouTube Performance'!Q6</f>
        <v>112045.99700000002</v>
      </c>
      <c r="S22" s="206">
        <f>'VN_YouTube Performance'!Q7</f>
        <v>99888.500000000015</v>
      </c>
      <c r="T22" s="206">
        <f>'VN_YouTube Performance'!Q8</f>
        <v>130016.65</v>
      </c>
      <c r="U22" s="206">
        <f>'VN_YouTube Performance'!Q9</f>
        <v>175528.19000000003</v>
      </c>
      <c r="V22" s="207">
        <f>'VN_YouTube Performance'!Q10</f>
        <v>188575.44999999992</v>
      </c>
      <c r="W22" s="207">
        <f>'VN_YouTube Performance'!Q11</f>
        <v>163293.01999999999</v>
      </c>
      <c r="X22" s="207">
        <f>'VN_YouTube Performance'!Q12</f>
        <v>182824.15</v>
      </c>
      <c r="Y22" s="207">
        <f>'VN_YouTube Performance'!Q13</f>
        <v>218040.19800009488</v>
      </c>
      <c r="Z22" s="207">
        <f>'VN_YouTube Performance'!Q14</f>
        <v>183136.0120001497</v>
      </c>
      <c r="AA22" s="207">
        <f>'VN_YouTube Performance'!Q15</f>
        <v>0</v>
      </c>
      <c r="AB22" s="207">
        <f>'VN_YouTube Performance'!Q16</f>
        <v>0</v>
      </c>
      <c r="AC22" s="207">
        <f>'VN_YouTube Performance'!Q17</f>
        <v>0</v>
      </c>
      <c r="AD22" s="206">
        <f>SUM(R22:AC22)</f>
        <v>1453348.1670002444</v>
      </c>
      <c r="AE22" s="208"/>
      <c r="AF22" s="206">
        <f t="shared" ref="AF22:AQ23" si="32">R22-D22</f>
        <v>-10114.878095122796</v>
      </c>
      <c r="AG22" s="206">
        <f t="shared" si="32"/>
        <v>-9141.1288934037293</v>
      </c>
      <c r="AH22" s="206">
        <f t="shared" si="32"/>
        <v>-4548.3692152491712</v>
      </c>
      <c r="AI22" s="206">
        <f t="shared" si="32"/>
        <v>34234.757075656555</v>
      </c>
      <c r="AJ22" s="206">
        <f t="shared" si="32"/>
        <v>35501.950143022696</v>
      </c>
      <c r="AK22" s="206">
        <f t="shared" si="32"/>
        <v>13067.844305817795</v>
      </c>
      <c r="AL22" s="206">
        <f t="shared" si="32"/>
        <v>20629.808491526521</v>
      </c>
      <c r="AM22" s="206">
        <f t="shared" si="32"/>
        <v>57359.91186270077</v>
      </c>
      <c r="AN22" s="206">
        <f t="shared" si="32"/>
        <v>13609.220614831866</v>
      </c>
      <c r="AO22" s="206">
        <f t="shared" si="32"/>
        <v>-181900.17510878586</v>
      </c>
      <c r="AP22" s="206">
        <f t="shared" si="32"/>
        <v>-173613.70023823492</v>
      </c>
      <c r="AQ22" s="206">
        <f t="shared" si="32"/>
        <v>-183071.66164367445</v>
      </c>
      <c r="AR22" s="206">
        <f>SUM(AF22:AQ22)</f>
        <v>-387986.42070091469</v>
      </c>
      <c r="AS22" s="205"/>
      <c r="AT22" s="209">
        <f t="shared" ref="AT22:BF24" si="33">R22/D22</f>
        <v>0.91720034677840467</v>
      </c>
      <c r="AU22" s="209">
        <f t="shared" si="33"/>
        <v>0.91615922216573953</v>
      </c>
      <c r="AV22" s="209">
        <f t="shared" si="33"/>
        <v>0.96619946816955726</v>
      </c>
      <c r="AW22" s="209">
        <f t="shared" si="33"/>
        <v>1.2422954582325689</v>
      </c>
      <c r="AX22" s="209">
        <f t="shared" si="33"/>
        <v>1.2319274739010579</v>
      </c>
      <c r="AY22" s="209">
        <f t="shared" si="33"/>
        <v>1.0869883775833977</v>
      </c>
      <c r="AZ22" s="209">
        <f t="shared" si="33"/>
        <v>1.1271919124900467</v>
      </c>
      <c r="BA22" s="209">
        <f t="shared" si="33"/>
        <v>1.3569816387659006</v>
      </c>
      <c r="BB22" s="209">
        <f t="shared" si="33"/>
        <v>1.0802776983131794</v>
      </c>
      <c r="BC22" s="209">
        <f t="shared" si="33"/>
        <v>0</v>
      </c>
      <c r="BD22" s="209">
        <f t="shared" si="33"/>
        <v>0</v>
      </c>
      <c r="BE22" s="209">
        <f t="shared" si="33"/>
        <v>0</v>
      </c>
      <c r="BF22" s="209">
        <f t="shared" si="33"/>
        <v>0.78929064641896385</v>
      </c>
      <c r="BH22" s="210">
        <f>SUM(D22:F22)</f>
        <v>365755.52320377575</v>
      </c>
      <c r="BI22" s="210">
        <f>SUM(G22:I22)</f>
        <v>444592.10847550293</v>
      </c>
      <c r="BJ22" s="210">
        <f>SUM(J22:L22)</f>
        <v>492401.41903118545</v>
      </c>
      <c r="BK22" s="210">
        <f>SUM(M22:O22)</f>
        <v>538585.53699069528</v>
      </c>
      <c r="BL22" s="210">
        <f>SUM(BH22:BK22)</f>
        <v>1841334.5877011595</v>
      </c>
      <c r="BN22" s="211">
        <f>SUM(R22:T22)</f>
        <v>341951.147</v>
      </c>
      <c r="BO22" s="211">
        <f>SUM(U22:W22)</f>
        <v>527396.65999999992</v>
      </c>
      <c r="BP22" s="211">
        <f>SUM(X22:Z22)</f>
        <v>584000.36000024457</v>
      </c>
      <c r="BQ22" s="211">
        <f>SUM(AA22:AC22)</f>
        <v>0</v>
      </c>
      <c r="BR22" s="210">
        <f>SUM(BN22:BQ22)</f>
        <v>1453348.1670002444</v>
      </c>
      <c r="BT22" s="212">
        <f t="shared" ref="BT22:BX24" si="34">BN22/BH22</f>
        <v>0.93491724746829463</v>
      </c>
      <c r="BU22" s="212">
        <f t="shared" si="34"/>
        <v>1.1862483610166452</v>
      </c>
      <c r="BV22" s="212">
        <f t="shared" si="34"/>
        <v>1.186024932968883</v>
      </c>
      <c r="BW22" s="212">
        <f t="shared" si="34"/>
        <v>0</v>
      </c>
      <c r="BX22" s="212">
        <f t="shared" si="34"/>
        <v>0.78929064641896374</v>
      </c>
      <c r="BZ22" s="138"/>
      <c r="CA22" s="138"/>
    </row>
    <row r="23" spans="1:79">
      <c r="A23" s="869"/>
      <c r="B23" s="157" t="s">
        <v>53</v>
      </c>
      <c r="C23" s="213"/>
      <c r="D23" s="214">
        <v>158020.10605813106</v>
      </c>
      <c r="E23" s="214">
        <v>141034.30012103921</v>
      </c>
      <c r="F23" s="214">
        <v>174065.37560860242</v>
      </c>
      <c r="G23" s="214">
        <v>182768.85491067989</v>
      </c>
      <c r="H23" s="214">
        <v>198006.85500373083</v>
      </c>
      <c r="I23" s="214">
        <v>194322.430789003</v>
      </c>
      <c r="J23" s="214">
        <v>209805.03804708723</v>
      </c>
      <c r="K23" s="214">
        <v>207846.5452798281</v>
      </c>
      <c r="L23" s="214">
        <v>219289.86292495954</v>
      </c>
      <c r="M23" s="214">
        <v>235295.34263978549</v>
      </c>
      <c r="N23" s="214">
        <v>224576.44727436765</v>
      </c>
      <c r="O23" s="214">
        <v>236810.70855661129</v>
      </c>
      <c r="P23" s="214">
        <f>SUM(D23:O23)</f>
        <v>2381841.8672138257</v>
      </c>
      <c r="Q23" s="205"/>
      <c r="R23" s="214">
        <f>'VN_YouTube Performance'!AB6</f>
        <v>98938.030000000013</v>
      </c>
      <c r="S23" s="214">
        <f>'VN_YouTube Performance'!AB7</f>
        <v>116156.72999999998</v>
      </c>
      <c r="T23" s="214">
        <f>'VN_YouTube Performance'!AB8</f>
        <v>137630.57999999999</v>
      </c>
      <c r="U23" s="214">
        <f>'VN_YouTube Performance'!AB9</f>
        <v>115726.34</v>
      </c>
      <c r="V23" s="215">
        <f>'VN_YouTube Performance'!AB10</f>
        <v>133651.52000000002</v>
      </c>
      <c r="W23" s="215">
        <f>'VN_YouTube Performance'!AB11</f>
        <v>136990.62</v>
      </c>
      <c r="X23" s="215">
        <f>'VN_YouTube Performance'!AB12</f>
        <v>118085.97999999998</v>
      </c>
      <c r="Y23" s="215">
        <f>'VN_YouTube Performance'!AB13</f>
        <v>120901.46500008198</v>
      </c>
      <c r="Z23" s="215">
        <f>'VN_YouTube Performance'!AB14</f>
        <v>141620.66000014605</v>
      </c>
      <c r="AA23" s="215">
        <f>'VN_YouTube Performance'!AB15</f>
        <v>0</v>
      </c>
      <c r="AB23" s="215">
        <f>'VN_YouTube Performance'!AB16</f>
        <v>0</v>
      </c>
      <c r="AC23" s="215">
        <f>'VN_YouTube Performance'!AB17</f>
        <v>0</v>
      </c>
      <c r="AD23" s="214">
        <f>SUM(R23:AC23)</f>
        <v>1119701.925000228</v>
      </c>
      <c r="AE23" s="208"/>
      <c r="AF23" s="214">
        <f t="shared" si="32"/>
        <v>-59082.076058131046</v>
      </c>
      <c r="AG23" s="214">
        <f t="shared" si="32"/>
        <v>-24877.570121039229</v>
      </c>
      <c r="AH23" s="214">
        <f t="shared" si="32"/>
        <v>-36434.795608602435</v>
      </c>
      <c r="AI23" s="214">
        <f t="shared" si="32"/>
        <v>-67042.514910679893</v>
      </c>
      <c r="AJ23" s="214">
        <f t="shared" si="32"/>
        <v>-64355.335003730812</v>
      </c>
      <c r="AK23" s="214">
        <f t="shared" si="32"/>
        <v>-57331.810789003008</v>
      </c>
      <c r="AL23" s="214">
        <f t="shared" si="32"/>
        <v>-91719.058047087252</v>
      </c>
      <c r="AM23" s="214">
        <f t="shared" si="32"/>
        <v>-86945.080279746122</v>
      </c>
      <c r="AN23" s="214">
        <f t="shared" si="32"/>
        <v>-77669.202924813493</v>
      </c>
      <c r="AO23" s="214">
        <f t="shared" si="32"/>
        <v>-235295.34263978549</v>
      </c>
      <c r="AP23" s="214">
        <f t="shared" si="32"/>
        <v>-224576.44727436765</v>
      </c>
      <c r="AQ23" s="214">
        <f t="shared" si="32"/>
        <v>-236810.70855661129</v>
      </c>
      <c r="AR23" s="214">
        <f>SUM(AF23:AQ23)</f>
        <v>-1262139.9422135977</v>
      </c>
      <c r="AS23" s="205"/>
      <c r="AT23" s="216">
        <f t="shared" si="33"/>
        <v>0.62611038853247925</v>
      </c>
      <c r="AU23" s="216">
        <f t="shared" si="33"/>
        <v>0.82360624259709403</v>
      </c>
      <c r="AV23" s="216">
        <f t="shared" si="33"/>
        <v>0.79068326781698106</v>
      </c>
      <c r="AW23" s="216">
        <f t="shared" si="33"/>
        <v>0.63318413882144242</v>
      </c>
      <c r="AX23" s="216">
        <f t="shared" si="33"/>
        <v>0.67498430798005338</v>
      </c>
      <c r="AY23" s="216">
        <f t="shared" si="33"/>
        <v>0.70496555360994639</v>
      </c>
      <c r="AZ23" s="216">
        <f t="shared" si="33"/>
        <v>0.56283672260290318</v>
      </c>
      <c r="BA23" s="216">
        <f t="shared" si="33"/>
        <v>0.58168618986334286</v>
      </c>
      <c r="BB23" s="216">
        <f t="shared" si="33"/>
        <v>0.64581489591522201</v>
      </c>
      <c r="BC23" s="216">
        <f t="shared" si="33"/>
        <v>0</v>
      </c>
      <c r="BD23" s="216">
        <f t="shared" si="33"/>
        <v>0</v>
      </c>
      <c r="BE23" s="216">
        <f t="shared" si="33"/>
        <v>0</v>
      </c>
      <c r="BF23" s="216">
        <f t="shared" si="33"/>
        <v>0.47009918685744084</v>
      </c>
      <c r="BH23" s="217">
        <f>SUM(D23:F23)</f>
        <v>473119.78178777266</v>
      </c>
      <c r="BI23" s="217">
        <f>SUM(G23:I23)</f>
        <v>575098.14070341375</v>
      </c>
      <c r="BJ23" s="217">
        <f>SUM(J23:L23)</f>
        <v>636941.44625187491</v>
      </c>
      <c r="BK23" s="217">
        <f>SUM(M23:O23)</f>
        <v>696682.49847076449</v>
      </c>
      <c r="BL23" s="210">
        <f>SUM(BH23:BK23)</f>
        <v>2381841.8672138257</v>
      </c>
      <c r="BN23" s="218">
        <f>SUM(R23:T23)</f>
        <v>352725.33999999997</v>
      </c>
      <c r="BO23" s="218">
        <f>SUM(U23:W23)</f>
        <v>386368.48</v>
      </c>
      <c r="BP23" s="218">
        <f>SUM(X23:Z23)</f>
        <v>380608.10500022804</v>
      </c>
      <c r="BQ23" s="218">
        <f>SUM(AA23:AC23)</f>
        <v>0</v>
      </c>
      <c r="BR23" s="210">
        <f>SUM(BN23:BQ23)</f>
        <v>1119701.925000228</v>
      </c>
      <c r="BT23" s="163">
        <f t="shared" si="34"/>
        <v>0.7455307378337902</v>
      </c>
      <c r="BU23" s="163">
        <f t="shared" si="34"/>
        <v>0.67183051492294021</v>
      </c>
      <c r="BV23" s="163">
        <f t="shared" si="34"/>
        <v>0.59755587776544017</v>
      </c>
      <c r="BW23" s="163">
        <f t="shared" si="34"/>
        <v>0</v>
      </c>
      <c r="BX23" s="163">
        <f t="shared" si="34"/>
        <v>0.47009918685744084</v>
      </c>
      <c r="BZ23" s="138"/>
      <c r="CA23" s="138"/>
    </row>
    <row r="24" spans="1:79" ht="15.75" thickBot="1">
      <c r="A24" s="869"/>
      <c r="B24" s="164" t="s">
        <v>54</v>
      </c>
      <c r="C24" s="219"/>
      <c r="D24" s="220">
        <f>SUM(D22:D23)</f>
        <v>280180.98115325387</v>
      </c>
      <c r="E24" s="220">
        <f t="shared" ref="E24:AD24" si="35">SUM(E22:E23)</f>
        <v>250063.92901444295</v>
      </c>
      <c r="F24" s="220">
        <f t="shared" si="35"/>
        <v>308630.39482385159</v>
      </c>
      <c r="G24" s="220">
        <f t="shared" si="35"/>
        <v>324062.28783502337</v>
      </c>
      <c r="H24" s="220">
        <f t="shared" si="35"/>
        <v>351080.35486070806</v>
      </c>
      <c r="I24" s="220">
        <f t="shared" si="35"/>
        <v>344547.6064831852</v>
      </c>
      <c r="J24" s="220">
        <f t="shared" si="35"/>
        <v>371999.37955556071</v>
      </c>
      <c r="K24" s="220">
        <f t="shared" si="35"/>
        <v>368526.83141722222</v>
      </c>
      <c r="L24" s="220">
        <f t="shared" si="35"/>
        <v>388816.65431027737</v>
      </c>
      <c r="M24" s="220">
        <f t="shared" si="35"/>
        <v>417195.51774857135</v>
      </c>
      <c r="N24" s="220">
        <f t="shared" si="35"/>
        <v>398190.14751260256</v>
      </c>
      <c r="O24" s="220">
        <f t="shared" si="35"/>
        <v>419882.37020028575</v>
      </c>
      <c r="P24" s="220">
        <f t="shared" si="35"/>
        <v>4223176.4549149852</v>
      </c>
      <c r="Q24" s="205"/>
      <c r="R24" s="220">
        <f t="shared" si="35"/>
        <v>210984.02700000003</v>
      </c>
      <c r="S24" s="220">
        <f t="shared" si="35"/>
        <v>216045.22999999998</v>
      </c>
      <c r="T24" s="220">
        <f t="shared" si="35"/>
        <v>267647.23</v>
      </c>
      <c r="U24" s="220">
        <f t="shared" si="35"/>
        <v>291254.53000000003</v>
      </c>
      <c r="V24" s="221">
        <f t="shared" si="35"/>
        <v>322226.96999999997</v>
      </c>
      <c r="W24" s="221">
        <f t="shared" si="35"/>
        <v>300283.64</v>
      </c>
      <c r="X24" s="221">
        <f t="shared" si="35"/>
        <v>300910.13</v>
      </c>
      <c r="Y24" s="221">
        <f t="shared" si="35"/>
        <v>338941.66300017689</v>
      </c>
      <c r="Z24" s="221">
        <f t="shared" si="35"/>
        <v>324756.67200029572</v>
      </c>
      <c r="AA24" s="221">
        <f t="shared" si="35"/>
        <v>0</v>
      </c>
      <c r="AB24" s="221">
        <f t="shared" si="35"/>
        <v>0</v>
      </c>
      <c r="AC24" s="221">
        <f t="shared" si="35"/>
        <v>0</v>
      </c>
      <c r="AD24" s="220">
        <f t="shared" si="35"/>
        <v>2573050.0920004724</v>
      </c>
      <c r="AE24" s="208"/>
      <c r="AF24" s="220">
        <f t="shared" ref="AF24:AR24" si="36">SUM(AF22:AF23)</f>
        <v>-69196.954153253842</v>
      </c>
      <c r="AG24" s="220">
        <f t="shared" si="36"/>
        <v>-34018.699014442958</v>
      </c>
      <c r="AH24" s="220">
        <f t="shared" si="36"/>
        <v>-40983.164823851606</v>
      </c>
      <c r="AI24" s="220">
        <f t="shared" si="36"/>
        <v>-32807.757835023338</v>
      </c>
      <c r="AJ24" s="220">
        <f t="shared" si="36"/>
        <v>-28853.384860708116</v>
      </c>
      <c r="AK24" s="220">
        <f t="shared" si="36"/>
        <v>-44263.966483185213</v>
      </c>
      <c r="AL24" s="220">
        <f t="shared" si="36"/>
        <v>-71089.249555560731</v>
      </c>
      <c r="AM24" s="220">
        <f t="shared" si="36"/>
        <v>-29585.168417045352</v>
      </c>
      <c r="AN24" s="220">
        <f t="shared" si="36"/>
        <v>-64059.982309981628</v>
      </c>
      <c r="AO24" s="220">
        <f t="shared" si="36"/>
        <v>-417195.51774857135</v>
      </c>
      <c r="AP24" s="220">
        <f t="shared" si="36"/>
        <v>-398190.14751260256</v>
      </c>
      <c r="AQ24" s="220">
        <f t="shared" si="36"/>
        <v>-419882.37020028575</v>
      </c>
      <c r="AR24" s="220">
        <f t="shared" si="36"/>
        <v>-1650126.3629145124</v>
      </c>
      <c r="AS24" s="205"/>
      <c r="AT24" s="222">
        <f t="shared" si="33"/>
        <v>0.75302765423822837</v>
      </c>
      <c r="AU24" s="222">
        <f t="shared" si="33"/>
        <v>0.86395999155688641</v>
      </c>
      <c r="AV24" s="222">
        <f t="shared" si="33"/>
        <v>0.8672095635712016</v>
      </c>
      <c r="AW24" s="222">
        <f t="shared" si="33"/>
        <v>0.89876095100666131</v>
      </c>
      <c r="AX24" s="222">
        <f t="shared" si="33"/>
        <v>0.91781543894087803</v>
      </c>
      <c r="AY24" s="222">
        <f t="shared" si="33"/>
        <v>0.87153018726500608</v>
      </c>
      <c r="AZ24" s="222">
        <f t="shared" si="33"/>
        <v>0.80889954805706055</v>
      </c>
      <c r="BA24" s="222">
        <f t="shared" si="33"/>
        <v>0.91972044938147013</v>
      </c>
      <c r="BB24" s="222">
        <f t="shared" si="33"/>
        <v>0.83524372837470717</v>
      </c>
      <c r="BC24" s="222">
        <f t="shared" si="33"/>
        <v>0</v>
      </c>
      <c r="BD24" s="222">
        <f t="shared" si="33"/>
        <v>0</v>
      </c>
      <c r="BE24" s="222">
        <f t="shared" si="33"/>
        <v>0</v>
      </c>
      <c r="BF24" s="222">
        <f t="shared" si="33"/>
        <v>0.6092689044536429</v>
      </c>
      <c r="BH24" s="223">
        <f>SUM(BH22:BH23)</f>
        <v>838875.30499154842</v>
      </c>
      <c r="BI24" s="223">
        <f>SUM(BI22:BI23)</f>
        <v>1019690.2491789167</v>
      </c>
      <c r="BJ24" s="223">
        <f>SUM(BJ22:BJ23)</f>
        <v>1129342.8652830604</v>
      </c>
      <c r="BK24" s="223">
        <f>SUM(BK22:BK23)</f>
        <v>1235268.0354614598</v>
      </c>
      <c r="BL24" s="223">
        <f>SUM(BL22:BL23)</f>
        <v>4223176.4549149852</v>
      </c>
      <c r="BN24" s="224">
        <f>SUM(BN22:BN23)</f>
        <v>694676.48699999996</v>
      </c>
      <c r="BO24" s="224">
        <f>SUM(BO22:BO23)</f>
        <v>913765.1399999999</v>
      </c>
      <c r="BP24" s="224">
        <f>SUM(BP22:BP23)</f>
        <v>964608.46500047261</v>
      </c>
      <c r="BQ24" s="224">
        <f>SUM(BQ22:BQ23)</f>
        <v>0</v>
      </c>
      <c r="BR24" s="223">
        <f>SUM(BR22:BR23)</f>
        <v>2573050.0920004724</v>
      </c>
      <c r="BT24" s="172">
        <f t="shared" si="34"/>
        <v>0.8281045858263747</v>
      </c>
      <c r="BU24" s="172">
        <f t="shared" si="34"/>
        <v>0.89612030784425889</v>
      </c>
      <c r="BV24" s="172">
        <f t="shared" si="34"/>
        <v>0.85413251781486355</v>
      </c>
      <c r="BW24" s="172">
        <f t="shared" si="34"/>
        <v>0</v>
      </c>
      <c r="BX24" s="172">
        <f t="shared" si="34"/>
        <v>0.6092689044536429</v>
      </c>
      <c r="BZ24" s="138"/>
      <c r="CA24" s="138"/>
    </row>
    <row r="25" spans="1:79" ht="15.75" thickTop="1">
      <c r="A25" s="869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>
      <c r="A26" s="869"/>
      <c r="B26" s="150" t="s">
        <v>52</v>
      </c>
      <c r="C26" s="203"/>
      <c r="D26" s="204">
        <v>139899.04724486184</v>
      </c>
      <c r="E26" s="204">
        <v>124861.09969145944</v>
      </c>
      <c r="F26" s="204">
        <v>154104.31503573511</v>
      </c>
      <c r="G26" s="204">
        <v>161809.71716746184</v>
      </c>
      <c r="H26" s="204">
        <v>175300.289652907</v>
      </c>
      <c r="I26" s="204">
        <v>172038.37919009093</v>
      </c>
      <c r="J26" s="204">
        <v>185745.5083542465</v>
      </c>
      <c r="K26" s="204">
        <v>184011.60702352144</v>
      </c>
      <c r="L26" s="204">
        <v>194142.65474782349</v>
      </c>
      <c r="M26" s="204">
        <v>208312.69562842761</v>
      </c>
      <c r="N26" s="204">
        <v>198822.99658603064</v>
      </c>
      <c r="O26" s="204">
        <v>209654.28596955346</v>
      </c>
      <c r="P26" s="204">
        <f>SUM(D26:O26)</f>
        <v>2108702.596292119</v>
      </c>
      <c r="Q26" s="205"/>
      <c r="R26" s="204">
        <f>'VN_YouTube Performance'!U6</f>
        <v>134480.26200000002</v>
      </c>
      <c r="S26" s="204">
        <f>'VN_YouTube Performance'!U7</f>
        <v>114441.33999999997</v>
      </c>
      <c r="T26" s="233">
        <f>'VN_YouTube Performance'!U8</f>
        <v>153972.35000000003</v>
      </c>
      <c r="U26" s="233">
        <f>'VN_YouTube Performance'!U9</f>
        <v>164250.47999999998</v>
      </c>
      <c r="V26" s="233">
        <f>'VN_YouTube Performance'!U10</f>
        <v>207233.73999999996</v>
      </c>
      <c r="W26" s="233">
        <f>'VN_YouTube Performance'!U11</f>
        <v>189982.19999999995</v>
      </c>
      <c r="X26" s="233">
        <f>'VN_YouTube Performance'!U12</f>
        <v>201595.1699999999</v>
      </c>
      <c r="Y26" s="233">
        <f>'VN_YouTube Performance'!U13</f>
        <v>253866.68900010208</v>
      </c>
      <c r="Z26" s="233">
        <f>'VN_YouTube Performance'!U14</f>
        <v>208122.49200016231</v>
      </c>
      <c r="AA26" s="233">
        <f>'VN_YouTube Performance'!U15</f>
        <v>0</v>
      </c>
      <c r="AB26" s="233">
        <f>'VN_YouTube Performance'!U16</f>
        <v>0</v>
      </c>
      <c r="AC26" s="233">
        <f>'VN_YouTube Performance'!U17</f>
        <v>0</v>
      </c>
      <c r="AD26" s="204">
        <f>SUM(R26:AC26)</f>
        <v>1627944.7230002643</v>
      </c>
      <c r="AE26" s="208"/>
      <c r="AF26" s="204">
        <f t="shared" ref="AF26:AQ27" si="37">R26-D26</f>
        <v>-5418.7852448618214</v>
      </c>
      <c r="AG26" s="204">
        <f t="shared" si="37"/>
        <v>-10419.759691459476</v>
      </c>
      <c r="AH26" s="204">
        <f t="shared" si="37"/>
        <v>-131.96503573507653</v>
      </c>
      <c r="AI26" s="204">
        <f t="shared" si="37"/>
        <v>2440.7628325381374</v>
      </c>
      <c r="AJ26" s="204">
        <f t="shared" si="37"/>
        <v>31933.450347092963</v>
      </c>
      <c r="AK26" s="204">
        <f t="shared" si="37"/>
        <v>17943.820809909026</v>
      </c>
      <c r="AL26" s="204">
        <f t="shared" si="37"/>
        <v>15849.661645753396</v>
      </c>
      <c r="AM26" s="204">
        <f t="shared" si="37"/>
        <v>69855.081976580637</v>
      </c>
      <c r="AN26" s="204">
        <f t="shared" si="37"/>
        <v>13979.837252338824</v>
      </c>
      <c r="AO26" s="204">
        <f t="shared" si="37"/>
        <v>-208312.69562842761</v>
      </c>
      <c r="AP26" s="204">
        <f t="shared" si="37"/>
        <v>-198822.99658603064</v>
      </c>
      <c r="AQ26" s="204">
        <f t="shared" si="37"/>
        <v>-209654.28596955346</v>
      </c>
      <c r="AR26" s="204">
        <f>SUM(AF26:AQ26)</f>
        <v>-480757.8732918551</v>
      </c>
      <c r="AS26" s="205"/>
      <c r="AT26" s="209">
        <f t="shared" ref="AT26:BF28" si="38">R26/D26</f>
        <v>0.96126646069735233</v>
      </c>
      <c r="AU26" s="209">
        <f t="shared" si="38"/>
        <v>0.91654919172418448</v>
      </c>
      <c r="AV26" s="209">
        <f t="shared" si="38"/>
        <v>0.99914366424000212</v>
      </c>
      <c r="AW26" s="209">
        <f t="shared" si="38"/>
        <v>1.0150841548657559</v>
      </c>
      <c r="AX26" s="209">
        <f t="shared" si="38"/>
        <v>1.1821642759993205</v>
      </c>
      <c r="AY26" s="209">
        <f t="shared" si="38"/>
        <v>1.1043012663475649</v>
      </c>
      <c r="AZ26" s="209">
        <f t="shared" si="38"/>
        <v>1.0853299860986438</v>
      </c>
      <c r="BA26" s="209">
        <f t="shared" si="38"/>
        <v>1.3796232373952984</v>
      </c>
      <c r="BB26" s="209">
        <f t="shared" si="38"/>
        <v>1.0720080668027208</v>
      </c>
      <c r="BC26" s="209">
        <f t="shared" si="38"/>
        <v>0</v>
      </c>
      <c r="BD26" s="209">
        <f t="shared" si="38"/>
        <v>0</v>
      </c>
      <c r="BE26" s="209">
        <f t="shared" si="38"/>
        <v>0</v>
      </c>
      <c r="BF26" s="209">
        <f t="shared" si="38"/>
        <v>0.77201248097422304</v>
      </c>
      <c r="BH26" s="210">
        <f>SUM(D26:F26)</f>
        <v>418864.46197205642</v>
      </c>
      <c r="BI26" s="210">
        <f>SUM(G26:I26)</f>
        <v>509148.38601045974</v>
      </c>
      <c r="BJ26" s="210">
        <f>SUM(J26:L26)</f>
        <v>563899.77012559143</v>
      </c>
      <c r="BK26" s="210">
        <f>SUM(M26:O26)</f>
        <v>616789.97818401176</v>
      </c>
      <c r="BL26" s="210">
        <f>SUM(BH26:BK26)</f>
        <v>2108702.5962921195</v>
      </c>
      <c r="BN26" s="234">
        <f>SUM(R26:T26)</f>
        <v>402893.95200000005</v>
      </c>
      <c r="BO26" s="234">
        <f>SUM(U26:W26)</f>
        <v>561466.41999999993</v>
      </c>
      <c r="BP26" s="234">
        <f>SUM(X26:Z26)</f>
        <v>663584.35100026429</v>
      </c>
      <c r="BQ26" s="234">
        <f>SUM(AA26:AC26)</f>
        <v>0</v>
      </c>
      <c r="BR26" s="210">
        <f>SUM(BN26:BQ26)</f>
        <v>1627944.7230002643</v>
      </c>
      <c r="BT26" s="156">
        <f t="shared" ref="BT26:BX28" si="39">BN26/BH26</f>
        <v>0.96187189073795953</v>
      </c>
      <c r="BU26" s="156">
        <f t="shared" si="39"/>
        <v>1.1027559655044559</v>
      </c>
      <c r="BV26" s="156">
        <f t="shared" si="39"/>
        <v>1.1767771262834017</v>
      </c>
      <c r="BW26" s="156">
        <f t="shared" si="39"/>
        <v>0</v>
      </c>
      <c r="BX26" s="156">
        <f t="shared" si="39"/>
        <v>0.77201248097422293</v>
      </c>
      <c r="BZ26" s="178"/>
      <c r="CA26" s="178"/>
    </row>
    <row r="27" spans="1:79">
      <c r="A27" s="869"/>
      <c r="B27" s="157" t="s">
        <v>53</v>
      </c>
      <c r="C27" s="213"/>
      <c r="D27" s="214">
        <v>214317.8010079622</v>
      </c>
      <c r="E27" s="214">
        <v>191280.47577387886</v>
      </c>
      <c r="F27" s="214">
        <v>236079.50572022217</v>
      </c>
      <c r="G27" s="214">
        <v>247883.76653025698</v>
      </c>
      <c r="H27" s="214">
        <v>268550.5965506116</v>
      </c>
      <c r="I27" s="214">
        <v>263553.52551086387</v>
      </c>
      <c r="J27" s="214">
        <v>284552.10869243607</v>
      </c>
      <c r="K27" s="214">
        <v>281895.86529632943</v>
      </c>
      <c r="L27" s="214">
        <v>297416.0844324815</v>
      </c>
      <c r="M27" s="214">
        <v>319123.82341664057</v>
      </c>
      <c r="N27" s="214">
        <v>304586.11589791707</v>
      </c>
      <c r="O27" s="214">
        <v>321179.06751891359</v>
      </c>
      <c r="P27" s="214">
        <f>SUM(D27:O27)</f>
        <v>3230418.736348514</v>
      </c>
      <c r="Q27" s="205"/>
      <c r="R27" s="214">
        <f>'VN_YouTube Performance'!AF6</f>
        <v>140411.96299999999</v>
      </c>
      <c r="S27" s="214">
        <f>'VN_YouTube Performance'!AF7</f>
        <v>153299.45000000001</v>
      </c>
      <c r="T27" s="215">
        <f>'VN_YouTube Performance'!AF8</f>
        <v>362161.35</v>
      </c>
      <c r="U27" s="215">
        <f>'VN_YouTube Performance'!AF9</f>
        <v>301583.03000000003</v>
      </c>
      <c r="V27" s="215">
        <f>'VN_YouTube Performance'!AF10</f>
        <v>276985.04000000004</v>
      </c>
      <c r="W27" s="215">
        <f>'VN_YouTube Performance'!AF11</f>
        <v>284514.69</v>
      </c>
      <c r="X27" s="215">
        <f>'VN_YouTube Performance'!AF12</f>
        <v>168993.31000000006</v>
      </c>
      <c r="Y27" s="215">
        <f>'VN_YouTube Performance'!AF13</f>
        <v>187197.25600010963</v>
      </c>
      <c r="Z27" s="215">
        <f>'VN_YouTube Performance'!AF14</f>
        <v>222704.15900019614</v>
      </c>
      <c r="AA27" s="215">
        <f>'VN_YouTube Performance'!AF15</f>
        <v>0</v>
      </c>
      <c r="AB27" s="215">
        <f>'VN_YouTube Performance'!AF16</f>
        <v>0</v>
      </c>
      <c r="AC27" s="215">
        <f>'VN_YouTube Performance'!AF17</f>
        <v>0</v>
      </c>
      <c r="AD27" s="214">
        <f>SUM(R27:AC27)</f>
        <v>2097850.2480003061</v>
      </c>
      <c r="AE27" s="208"/>
      <c r="AF27" s="214">
        <f t="shared" si="37"/>
        <v>-73905.838007962215</v>
      </c>
      <c r="AG27" s="214">
        <f t="shared" si="37"/>
        <v>-37981.02577387885</v>
      </c>
      <c r="AH27" s="214">
        <f t="shared" si="37"/>
        <v>126081.84427977781</v>
      </c>
      <c r="AI27" s="214">
        <f t="shared" si="37"/>
        <v>53699.263469743048</v>
      </c>
      <c r="AJ27" s="214">
        <f t="shared" si="37"/>
        <v>8434.4434493884328</v>
      </c>
      <c r="AK27" s="214">
        <f t="shared" si="37"/>
        <v>20961.164489136136</v>
      </c>
      <c r="AL27" s="214">
        <f t="shared" si="37"/>
        <v>-115558.79869243602</v>
      </c>
      <c r="AM27" s="214">
        <f t="shared" si="37"/>
        <v>-94698.609296219802</v>
      </c>
      <c r="AN27" s="214">
        <f t="shared" si="37"/>
        <v>-74711.925432285352</v>
      </c>
      <c r="AO27" s="214">
        <f t="shared" si="37"/>
        <v>-319123.82341664057</v>
      </c>
      <c r="AP27" s="214">
        <f t="shared" si="37"/>
        <v>-304586.11589791707</v>
      </c>
      <c r="AQ27" s="214">
        <f t="shared" si="37"/>
        <v>-321179.06751891359</v>
      </c>
      <c r="AR27" s="214">
        <f>SUM(AF27:AQ27)</f>
        <v>-1132568.4883482081</v>
      </c>
      <c r="AS27" s="205"/>
      <c r="AT27" s="216">
        <f t="shared" si="38"/>
        <v>0.65515772530151839</v>
      </c>
      <c r="AU27" s="216">
        <f t="shared" si="38"/>
        <v>0.80143804212000236</v>
      </c>
      <c r="AV27" s="216">
        <f t="shared" si="38"/>
        <v>1.5340651823847742</v>
      </c>
      <c r="AW27" s="216">
        <f t="shared" si="38"/>
        <v>1.2166308194416937</v>
      </c>
      <c r="AX27" s="216">
        <f t="shared" si="38"/>
        <v>1.0314072787687845</v>
      </c>
      <c r="AY27" s="216">
        <f t="shared" si="38"/>
        <v>1.0795328556068664</v>
      </c>
      <c r="AZ27" s="216">
        <f t="shared" si="38"/>
        <v>0.59389231299867085</v>
      </c>
      <c r="BA27" s="216">
        <f t="shared" si="38"/>
        <v>0.66406527745033628</v>
      </c>
      <c r="BB27" s="216">
        <f t="shared" si="38"/>
        <v>0.74879662081878351</v>
      </c>
      <c r="BC27" s="216">
        <f t="shared" si="38"/>
        <v>0</v>
      </c>
      <c r="BD27" s="216">
        <f t="shared" si="38"/>
        <v>0</v>
      </c>
      <c r="BE27" s="216">
        <f t="shared" si="38"/>
        <v>0</v>
      </c>
      <c r="BF27" s="216">
        <f t="shared" si="38"/>
        <v>0.64940505216719968</v>
      </c>
      <c r="BH27" s="217">
        <f>SUM(D27:F27)</f>
        <v>641677.7825020632</v>
      </c>
      <c r="BI27" s="217">
        <f>SUM(G27:I27)</f>
        <v>779987.88859173248</v>
      </c>
      <c r="BJ27" s="217">
        <f>SUM(J27:L27)</f>
        <v>863864.05842124694</v>
      </c>
      <c r="BK27" s="217">
        <f>SUM(M27:O27)</f>
        <v>944889.00683347136</v>
      </c>
      <c r="BL27" s="210">
        <f>SUM(BH27:BK27)</f>
        <v>3230418.736348514</v>
      </c>
      <c r="BN27" s="218">
        <f>SUM(R27:T27)</f>
        <v>655872.76300000004</v>
      </c>
      <c r="BO27" s="218">
        <f>SUM(U27:W27)</f>
        <v>863082.76</v>
      </c>
      <c r="BP27" s="218">
        <f>SUM(X27:Z27)</f>
        <v>578894.7250003058</v>
      </c>
      <c r="BQ27" s="218">
        <f>SUM(AA27:AC27)</f>
        <v>0</v>
      </c>
      <c r="BR27" s="210">
        <f>SUM(BN27:BQ27)</f>
        <v>2097850.2480003061</v>
      </c>
      <c r="BT27" s="163">
        <f t="shared" si="39"/>
        <v>1.0221216643072588</v>
      </c>
      <c r="BU27" s="163">
        <f t="shared" si="39"/>
        <v>1.1065335406147079</v>
      </c>
      <c r="BV27" s="163">
        <f t="shared" si="39"/>
        <v>0.67012247975481665</v>
      </c>
      <c r="BW27" s="163">
        <f t="shared" si="39"/>
        <v>0</v>
      </c>
      <c r="BX27" s="163">
        <f t="shared" si="39"/>
        <v>0.64940505216719968</v>
      </c>
      <c r="BZ27" s="178"/>
      <c r="CA27" s="178"/>
    </row>
    <row r="28" spans="1:79" ht="15.75" thickBot="1">
      <c r="A28" s="869"/>
      <c r="B28" s="179" t="s">
        <v>55</v>
      </c>
      <c r="C28" s="219"/>
      <c r="D28" s="220">
        <f>SUM(D26:D27)</f>
        <v>354216.84825282404</v>
      </c>
      <c r="E28" s="220">
        <f t="shared" ref="E28:P28" si="40">SUM(E26:E27)</f>
        <v>316141.5754653383</v>
      </c>
      <c r="F28" s="220">
        <f t="shared" si="40"/>
        <v>390183.82075595728</v>
      </c>
      <c r="G28" s="220">
        <f t="shared" si="40"/>
        <v>409693.48369771882</v>
      </c>
      <c r="H28" s="220">
        <f t="shared" si="40"/>
        <v>443850.8862035186</v>
      </c>
      <c r="I28" s="220">
        <f t="shared" si="40"/>
        <v>435591.90470095479</v>
      </c>
      <c r="J28" s="220">
        <f t="shared" si="40"/>
        <v>470297.61704668257</v>
      </c>
      <c r="K28" s="220">
        <f t="shared" si="40"/>
        <v>465907.47231985087</v>
      </c>
      <c r="L28" s="220">
        <f t="shared" si="40"/>
        <v>491558.73918030498</v>
      </c>
      <c r="M28" s="220">
        <f t="shared" si="40"/>
        <v>527436.51904506818</v>
      </c>
      <c r="N28" s="220">
        <f t="shared" si="40"/>
        <v>503409.11248394771</v>
      </c>
      <c r="O28" s="220">
        <f t="shared" si="40"/>
        <v>530833.35348846705</v>
      </c>
      <c r="P28" s="220">
        <f t="shared" si="40"/>
        <v>5339121.332640633</v>
      </c>
      <c r="Q28" s="205"/>
      <c r="R28" s="220">
        <f t="shared" ref="R28:AD28" si="41">SUM(R26:R27)</f>
        <v>274892.22499999998</v>
      </c>
      <c r="S28" s="220">
        <f t="shared" si="41"/>
        <v>267740.78999999998</v>
      </c>
      <c r="T28" s="221">
        <f t="shared" si="41"/>
        <v>516133.7</v>
      </c>
      <c r="U28" s="221">
        <f t="shared" si="41"/>
        <v>465833.51</v>
      </c>
      <c r="V28" s="221">
        <f t="shared" si="41"/>
        <v>484218.78</v>
      </c>
      <c r="W28" s="221">
        <f t="shared" si="41"/>
        <v>474496.88999999996</v>
      </c>
      <c r="X28" s="221">
        <f t="shared" si="41"/>
        <v>370588.48</v>
      </c>
      <c r="Y28" s="221">
        <f t="shared" si="41"/>
        <v>441063.94500021171</v>
      </c>
      <c r="Z28" s="221">
        <f t="shared" si="41"/>
        <v>430826.65100035846</v>
      </c>
      <c r="AA28" s="221">
        <f t="shared" si="41"/>
        <v>0</v>
      </c>
      <c r="AB28" s="221">
        <f t="shared" si="41"/>
        <v>0</v>
      </c>
      <c r="AC28" s="221">
        <f t="shared" si="41"/>
        <v>0</v>
      </c>
      <c r="AD28" s="220">
        <f t="shared" si="41"/>
        <v>3725794.9710005703</v>
      </c>
      <c r="AE28" s="208"/>
      <c r="AF28" s="220">
        <f t="shared" ref="AF28:AR28" si="42">SUM(AF26:AF27)</f>
        <v>-79324.623252824036</v>
      </c>
      <c r="AG28" s="220">
        <f t="shared" si="42"/>
        <v>-48400.785465338326</v>
      </c>
      <c r="AH28" s="220">
        <f t="shared" si="42"/>
        <v>125949.87924404274</v>
      </c>
      <c r="AI28" s="220">
        <f t="shared" si="42"/>
        <v>56140.026302281185</v>
      </c>
      <c r="AJ28" s="220">
        <f t="shared" si="42"/>
        <v>40367.893796481396</v>
      </c>
      <c r="AK28" s="220">
        <f t="shared" si="42"/>
        <v>38904.985299045162</v>
      </c>
      <c r="AL28" s="220">
        <f t="shared" si="42"/>
        <v>-99709.137046682619</v>
      </c>
      <c r="AM28" s="220">
        <f t="shared" si="42"/>
        <v>-24843.527319639164</v>
      </c>
      <c r="AN28" s="220">
        <f t="shared" si="42"/>
        <v>-60732.088179946528</v>
      </c>
      <c r="AO28" s="220">
        <f t="shared" si="42"/>
        <v>-527436.51904506818</v>
      </c>
      <c r="AP28" s="220">
        <f t="shared" si="42"/>
        <v>-503409.11248394771</v>
      </c>
      <c r="AQ28" s="220">
        <f t="shared" si="42"/>
        <v>-530833.35348846705</v>
      </c>
      <c r="AR28" s="220">
        <f t="shared" si="42"/>
        <v>-1613326.3616400631</v>
      </c>
      <c r="AS28" s="205"/>
      <c r="AT28" s="222">
        <f t="shared" si="38"/>
        <v>0.77605632356537224</v>
      </c>
      <c r="AU28" s="222">
        <f t="shared" si="38"/>
        <v>0.84690154911104065</v>
      </c>
      <c r="AV28" s="222">
        <f t="shared" si="38"/>
        <v>1.3227962630537129</v>
      </c>
      <c r="AW28" s="222">
        <f t="shared" si="38"/>
        <v>1.1370293366533077</v>
      </c>
      <c r="AX28" s="222">
        <f t="shared" si="38"/>
        <v>1.0909492242806327</v>
      </c>
      <c r="AY28" s="222">
        <f t="shared" si="38"/>
        <v>1.0893152165574667</v>
      </c>
      <c r="AZ28" s="222">
        <f t="shared" si="38"/>
        <v>0.78798715232106886</v>
      </c>
      <c r="BA28" s="222">
        <f t="shared" si="38"/>
        <v>0.94667712197029585</v>
      </c>
      <c r="BB28" s="222">
        <f t="shared" si="38"/>
        <v>0.87644998788706341</v>
      </c>
      <c r="BC28" s="222">
        <f t="shared" si="38"/>
        <v>0</v>
      </c>
      <c r="BD28" s="222">
        <f t="shared" si="38"/>
        <v>0</v>
      </c>
      <c r="BE28" s="222">
        <f t="shared" si="38"/>
        <v>0</v>
      </c>
      <c r="BF28" s="222">
        <f t="shared" si="38"/>
        <v>0.697829237972732</v>
      </c>
      <c r="BH28" s="223">
        <f>SUM(BH26:BH27)</f>
        <v>1060542.2444741195</v>
      </c>
      <c r="BI28" s="223">
        <f>SUM(BI26:BI27)</f>
        <v>1289136.2746021922</v>
      </c>
      <c r="BJ28" s="223">
        <f>SUM(BJ26:BJ27)</f>
        <v>1427763.8285468384</v>
      </c>
      <c r="BK28" s="223">
        <f>SUM(BK26:BK27)</f>
        <v>1561678.9850174831</v>
      </c>
      <c r="BL28" s="223">
        <f>SUM(BL26:BL27)</f>
        <v>5339121.332640633</v>
      </c>
      <c r="BN28" s="224">
        <f>SUM(BN26:BN27)</f>
        <v>1058766.7150000001</v>
      </c>
      <c r="BO28" s="224">
        <f>SUM(BO26:BO27)</f>
        <v>1424549.18</v>
      </c>
      <c r="BP28" s="224">
        <f>SUM(BP26:BP27)</f>
        <v>1242479.0760005701</v>
      </c>
      <c r="BQ28" s="224">
        <f>SUM(BQ26:BQ27)</f>
        <v>0</v>
      </c>
      <c r="BR28" s="223">
        <f>SUM(BR26:BR27)</f>
        <v>3725794.9710005703</v>
      </c>
      <c r="BT28" s="172">
        <f t="shared" si="39"/>
        <v>0.99832582861892516</v>
      </c>
      <c r="BU28" s="172">
        <f t="shared" si="39"/>
        <v>1.1050415755615861</v>
      </c>
      <c r="BV28" s="172">
        <f t="shared" si="39"/>
        <v>0.87022731011833454</v>
      </c>
      <c r="BW28" s="172">
        <f t="shared" si="39"/>
        <v>0</v>
      </c>
      <c r="BX28" s="172">
        <f t="shared" si="39"/>
        <v>0.697829237972732</v>
      </c>
      <c r="BZ28" s="138"/>
      <c r="CA28" s="235"/>
    </row>
    <row r="29" spans="1:79" ht="16.5" thickTop="1">
      <c r="A29" s="869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>
      <c r="A30" s="869"/>
      <c r="B30" s="150" t="s">
        <v>52</v>
      </c>
      <c r="C30" s="151"/>
      <c r="D30" s="204">
        <v>130869.92175454524</v>
      </c>
      <c r="E30" s="204">
        <v>116802.52774135966</v>
      </c>
      <c r="F30" s="204">
        <v>144158.37740099509</v>
      </c>
      <c r="G30" s="204">
        <v>151366.47062196894</v>
      </c>
      <c r="H30" s="204">
        <v>163986.35760736122</v>
      </c>
      <c r="I30" s="204">
        <v>160934.9718013386</v>
      </c>
      <c r="J30" s="204">
        <v>173757.43883396068</v>
      </c>
      <c r="K30" s="204">
        <v>172135.44400303863</v>
      </c>
      <c r="L30" s="204">
        <v>181612.6309394899</v>
      </c>
      <c r="M30" s="204">
        <v>194868.13323077853</v>
      </c>
      <c r="N30" s="204">
        <v>185990.90214442968</v>
      </c>
      <c r="O30" s="204">
        <v>196123.13693829119</v>
      </c>
      <c r="P30" s="204">
        <f>SUM(D30:O30)</f>
        <v>1972606.3130175574</v>
      </c>
      <c r="Q30" s="151"/>
      <c r="R30" s="208">
        <f>'VN_YouTube Performance'!S6</f>
        <v>115656.79299999999</v>
      </c>
      <c r="S30" s="208">
        <f>'VN_YouTube Performance'!S7</f>
        <v>94450.7</v>
      </c>
      <c r="T30" s="233">
        <f>'VN_YouTube Performance'!S8</f>
        <v>125455.74999999999</v>
      </c>
      <c r="U30" s="233">
        <f>'VN_YouTube Performance'!S9</f>
        <v>116613.42000000001</v>
      </c>
      <c r="V30" s="233">
        <f>'VN_YouTube Performance'!S10</f>
        <v>122478.54000000001</v>
      </c>
      <c r="W30" s="233">
        <f>'VN_YouTube Performance'!S11</f>
        <v>123175.16000000003</v>
      </c>
      <c r="X30" s="233">
        <f>'VN_YouTube Performance'!S12</f>
        <v>121549.84</v>
      </c>
      <c r="Y30" s="233">
        <f>'VN_YouTube Performance'!S13</f>
        <v>151945.83000000729</v>
      </c>
      <c r="Z30" s="233">
        <f>'VN_YouTube Performance'!S14</f>
        <v>98883.385000009774</v>
      </c>
      <c r="AA30" s="233">
        <f>'VN_YouTube Performance'!S15</f>
        <v>0</v>
      </c>
      <c r="AB30" s="233">
        <f>'VN_YouTube Performance'!S16</f>
        <v>0</v>
      </c>
      <c r="AC30" s="233">
        <f>'VN_YouTube Performance'!S17</f>
        <v>0</v>
      </c>
      <c r="AD30" s="204">
        <f>SUM(R30:AC30)</f>
        <v>1070209.4180000171</v>
      </c>
      <c r="AE30" s="240"/>
      <c r="AF30" s="204">
        <f t="shared" ref="AF30:AQ31" si="43">R30-D30</f>
        <v>-15213.128754545251</v>
      </c>
      <c r="AG30" s="204">
        <f t="shared" si="43"/>
        <v>-22351.827741359666</v>
      </c>
      <c r="AH30" s="204">
        <f t="shared" si="43"/>
        <v>-18702.627400995101</v>
      </c>
      <c r="AI30" s="204">
        <f t="shared" si="43"/>
        <v>-34753.050621968927</v>
      </c>
      <c r="AJ30" s="204">
        <f t="shared" si="43"/>
        <v>-41507.817607361212</v>
      </c>
      <c r="AK30" s="204">
        <f t="shared" si="43"/>
        <v>-37759.811801338568</v>
      </c>
      <c r="AL30" s="204">
        <f t="shared" si="43"/>
        <v>-52207.598833960685</v>
      </c>
      <c r="AM30" s="204">
        <f t="shared" si="43"/>
        <v>-20189.61400303134</v>
      </c>
      <c r="AN30" s="204">
        <f t="shared" si="43"/>
        <v>-82729.245939480126</v>
      </c>
      <c r="AO30" s="204">
        <f t="shared" si="43"/>
        <v>-194868.13323077853</v>
      </c>
      <c r="AP30" s="204">
        <f t="shared" si="43"/>
        <v>-185990.90214442968</v>
      </c>
      <c r="AQ30" s="204">
        <f t="shared" si="43"/>
        <v>-196123.13693829119</v>
      </c>
      <c r="AR30" s="204">
        <f>SUM(AF30:AQ30)</f>
        <v>-902396.89501754032</v>
      </c>
      <c r="AS30" s="151"/>
      <c r="AT30" s="209">
        <f t="shared" ref="AT30:BF32" si="44">R30/D30</f>
        <v>0.88375381790875962</v>
      </c>
      <c r="AU30" s="209">
        <f t="shared" si="44"/>
        <v>0.80863575323597292</v>
      </c>
      <c r="AV30" s="209">
        <f t="shared" si="44"/>
        <v>0.87026333302176861</v>
      </c>
      <c r="AW30" s="209">
        <f t="shared" si="44"/>
        <v>0.77040456529660961</v>
      </c>
      <c r="AX30" s="209">
        <f t="shared" si="44"/>
        <v>0.74688249551377339</v>
      </c>
      <c r="AY30" s="209">
        <f t="shared" si="44"/>
        <v>0.76537224085794076</v>
      </c>
      <c r="AZ30" s="209">
        <f t="shared" si="44"/>
        <v>0.69953747485971363</v>
      </c>
      <c r="BA30" s="209">
        <f t="shared" si="44"/>
        <v>0.88271088432737344</v>
      </c>
      <c r="BB30" s="209">
        <f t="shared" si="44"/>
        <v>0.54447416178314134</v>
      </c>
      <c r="BC30" s="209">
        <f t="shared" si="44"/>
        <v>0</v>
      </c>
      <c r="BD30" s="209">
        <f t="shared" si="44"/>
        <v>0</v>
      </c>
      <c r="BE30" s="209">
        <f t="shared" si="44"/>
        <v>0</v>
      </c>
      <c r="BF30" s="209">
        <f t="shared" si="44"/>
        <v>0.54253573606528938</v>
      </c>
      <c r="BH30" s="155">
        <f>SUM(D30:F30)</f>
        <v>391830.82689689996</v>
      </c>
      <c r="BI30" s="155">
        <f>SUM(G30:I30)</f>
        <v>476287.80003066873</v>
      </c>
      <c r="BJ30" s="155">
        <f>SUM(J30:L30)</f>
        <v>527505.51377648918</v>
      </c>
      <c r="BK30" s="155">
        <f>SUM(M30:O30)</f>
        <v>576982.1723134995</v>
      </c>
      <c r="BL30" s="155">
        <f t="shared" ref="BL30:BL32" si="45">SUM(BH30:BK30)</f>
        <v>1972606.3130175574</v>
      </c>
      <c r="BN30" s="239">
        <f>SUM(R30:T30)</f>
        <v>335563.24299999996</v>
      </c>
      <c r="BO30" s="234">
        <f>SUM(U30:W30)</f>
        <v>362267.12000000005</v>
      </c>
      <c r="BP30" s="234">
        <f>SUM(X30:Z30)</f>
        <v>372379.05500001705</v>
      </c>
      <c r="BQ30" s="239">
        <f>SUM(AA30:AC30)</f>
        <v>0</v>
      </c>
      <c r="BR30" s="155">
        <f t="shared" ref="BR30:BR32" si="46">SUM(BN30:BQ30)</f>
        <v>1070209.4180000171</v>
      </c>
      <c r="BT30" s="156">
        <f t="shared" ref="BT30:BX32" si="47">BN30/BH30</f>
        <v>0.85639827181921713</v>
      </c>
      <c r="BU30" s="156">
        <f t="shared" si="47"/>
        <v>0.76060549939904665</v>
      </c>
      <c r="BV30" s="156">
        <f t="shared" si="47"/>
        <v>0.70592447903359512</v>
      </c>
      <c r="BW30" s="156">
        <f t="shared" si="47"/>
        <v>0</v>
      </c>
      <c r="BX30" s="156">
        <f t="shared" si="47"/>
        <v>0.54253573606528938</v>
      </c>
      <c r="BZ30" s="138"/>
      <c r="CA30" s="138"/>
    </row>
    <row r="31" spans="1:79">
      <c r="A31" s="869"/>
      <c r="B31" s="157" t="s">
        <v>53</v>
      </c>
      <c r="C31" s="158"/>
      <c r="D31" s="214">
        <v>23923.753448526528</v>
      </c>
      <c r="E31" s="214">
        <v>21352.155165874989</v>
      </c>
      <c r="F31" s="214">
        <v>26352.957442348776</v>
      </c>
      <c r="G31" s="214">
        <v>27670.637186790012</v>
      </c>
      <c r="H31" s="214">
        <v>29977.623091106932</v>
      </c>
      <c r="I31" s="214">
        <v>29419.812704114142</v>
      </c>
      <c r="J31" s="214">
        <v>31763.831373779591</v>
      </c>
      <c r="K31" s="214">
        <v>31467.321649394311</v>
      </c>
      <c r="L31" s="214">
        <v>33199.804412534511</v>
      </c>
      <c r="M31" s="214">
        <v>35622.984348776459</v>
      </c>
      <c r="N31" s="214">
        <v>34000.176869654315</v>
      </c>
      <c r="O31" s="214">
        <v>35852.406043792311</v>
      </c>
      <c r="P31" s="214">
        <f>SUM(D31:O31)</f>
        <v>360603.46373669291</v>
      </c>
      <c r="Q31" s="151"/>
      <c r="R31" s="241">
        <f>'VN_YouTube Performance'!AD6</f>
        <v>32712.477000000003</v>
      </c>
      <c r="S31" s="241">
        <f>'VN_YouTube Performance'!AD7</f>
        <v>23762.960000000003</v>
      </c>
      <c r="T31" s="215">
        <f>'VN_YouTube Performance'!AD8</f>
        <v>42691.080000000009</v>
      </c>
      <c r="U31" s="215">
        <f>'VN_YouTube Performance'!AD9</f>
        <v>53677.130000000005</v>
      </c>
      <c r="V31" s="215">
        <f>'VN_YouTube Performance'!AD10</f>
        <v>84308.000000000015</v>
      </c>
      <c r="W31" s="215">
        <f>'VN_YouTube Performance'!AD11</f>
        <v>108927.82</v>
      </c>
      <c r="X31" s="215">
        <f>'VN_YouTube Performance'!AD12</f>
        <v>83338</v>
      </c>
      <c r="Y31" s="215">
        <f>'VN_YouTube Performance'!AD13</f>
        <v>81360.811000010523</v>
      </c>
      <c r="Z31" s="215">
        <f>'VN_YouTube Performance'!AD14</f>
        <v>43116.907999999341</v>
      </c>
      <c r="AA31" s="215">
        <f>'VN_YouTube Performance'!AD15</f>
        <v>0</v>
      </c>
      <c r="AB31" s="215">
        <f>'VN_YouTube Performance'!AD16</f>
        <v>0</v>
      </c>
      <c r="AC31" s="215">
        <f>'VN_YouTube Performance'!AD17</f>
        <v>0</v>
      </c>
      <c r="AD31" s="214">
        <f>SUM(R31:AC31)</f>
        <v>553895.18600000988</v>
      </c>
      <c r="AE31" s="240"/>
      <c r="AF31" s="214">
        <f t="shared" si="43"/>
        <v>8788.7235514734748</v>
      </c>
      <c r="AG31" s="214">
        <f t="shared" si="43"/>
        <v>2410.8048341250142</v>
      </c>
      <c r="AH31" s="214">
        <f t="shared" si="43"/>
        <v>16338.122557651233</v>
      </c>
      <c r="AI31" s="214">
        <f t="shared" si="43"/>
        <v>26006.492813209992</v>
      </c>
      <c r="AJ31" s="214">
        <f t="shared" si="43"/>
        <v>54330.376908893086</v>
      </c>
      <c r="AK31" s="214">
        <f t="shared" si="43"/>
        <v>79508.007295885865</v>
      </c>
      <c r="AL31" s="214">
        <f t="shared" si="43"/>
        <v>51574.168626220409</v>
      </c>
      <c r="AM31" s="214">
        <f t="shared" si="43"/>
        <v>49893.489350616212</v>
      </c>
      <c r="AN31" s="214">
        <f t="shared" si="43"/>
        <v>9917.1035874648296</v>
      </c>
      <c r="AO31" s="214">
        <f t="shared" si="43"/>
        <v>-35622.984348776459</v>
      </c>
      <c r="AP31" s="214">
        <f t="shared" si="43"/>
        <v>-34000.176869654315</v>
      </c>
      <c r="AQ31" s="214">
        <f t="shared" si="43"/>
        <v>-35852.406043792311</v>
      </c>
      <c r="AR31" s="214">
        <f>SUM(AF31:AQ31)</f>
        <v>193291.72226331703</v>
      </c>
      <c r="AS31" s="151"/>
      <c r="AT31" s="216">
        <f t="shared" si="44"/>
        <v>1.3673639076068465</v>
      </c>
      <c r="AU31" s="216">
        <f t="shared" si="44"/>
        <v>1.1129068618786531</v>
      </c>
      <c r="AV31" s="216">
        <f t="shared" si="44"/>
        <v>1.6199730179579821</v>
      </c>
      <c r="AW31" s="216">
        <f t="shared" si="44"/>
        <v>1.9398588343901786</v>
      </c>
      <c r="AX31" s="216">
        <f t="shared" si="44"/>
        <v>2.8123644007323101</v>
      </c>
      <c r="AY31" s="216">
        <f t="shared" si="44"/>
        <v>3.7025327487814788</v>
      </c>
      <c r="AZ31" s="216">
        <f t="shared" si="44"/>
        <v>2.6236759356679453</v>
      </c>
      <c r="BA31" s="216">
        <f t="shared" si="44"/>
        <v>2.5855651747716055</v>
      </c>
      <c r="BB31" s="216">
        <f t="shared" si="44"/>
        <v>1.2987096991366807</v>
      </c>
      <c r="BC31" s="216">
        <f t="shared" si="44"/>
        <v>0</v>
      </c>
      <c r="BD31" s="216">
        <f t="shared" si="44"/>
        <v>0</v>
      </c>
      <c r="BE31" s="216">
        <f t="shared" si="44"/>
        <v>0</v>
      </c>
      <c r="BF31" s="216">
        <f t="shared" si="44"/>
        <v>1.5360229218553918</v>
      </c>
      <c r="BH31" s="162">
        <f>SUM(D31:F31)</f>
        <v>71628.866056750296</v>
      </c>
      <c r="BI31" s="162">
        <f>SUM(G31:I31)</f>
        <v>87068.072982011086</v>
      </c>
      <c r="BJ31" s="162">
        <f>SUM(J31:L31)</f>
        <v>96430.957435708406</v>
      </c>
      <c r="BK31" s="162">
        <f>SUM(M31:O31)</f>
        <v>105475.56726222308</v>
      </c>
      <c r="BL31" s="162">
        <f t="shared" si="45"/>
        <v>360603.46373669285</v>
      </c>
      <c r="BN31" s="242">
        <f>SUM(R31:T31)</f>
        <v>99166.517000000022</v>
      </c>
      <c r="BO31" s="218">
        <f>SUM(U31:W31)</f>
        <v>246912.95</v>
      </c>
      <c r="BP31" s="218">
        <f>SUM(X31:Z31)</f>
        <v>207815.71900000988</v>
      </c>
      <c r="BQ31" s="242">
        <f>SUM(AA31:AC31)</f>
        <v>0</v>
      </c>
      <c r="BR31" s="162">
        <f t="shared" si="46"/>
        <v>553895.18600001</v>
      </c>
      <c r="BT31" s="163">
        <f t="shared" si="47"/>
        <v>1.3844490700359842</v>
      </c>
      <c r="BU31" s="163">
        <f t="shared" si="47"/>
        <v>2.8358609711164053</v>
      </c>
      <c r="BV31" s="163">
        <f t="shared" si="47"/>
        <v>2.1550726501762978</v>
      </c>
      <c r="BW31" s="163">
        <f t="shared" si="47"/>
        <v>0</v>
      </c>
      <c r="BX31" s="163">
        <f t="shared" si="47"/>
        <v>1.5360229218553925</v>
      </c>
      <c r="BZ31" s="138"/>
      <c r="CA31" s="138"/>
    </row>
    <row r="32" spans="1:79" ht="16.5" thickBot="1">
      <c r="A32" s="869"/>
      <c r="B32" s="164" t="s">
        <v>56</v>
      </c>
      <c r="C32" s="165"/>
      <c r="D32" s="220">
        <f>SUM(D30:D31)</f>
        <v>154793.67520307176</v>
      </c>
      <c r="E32" s="220">
        <f t="shared" ref="E32:P32" si="48">SUM(E30:E31)</f>
        <v>138154.68290723464</v>
      </c>
      <c r="F32" s="220">
        <f t="shared" si="48"/>
        <v>170511.33484334385</v>
      </c>
      <c r="G32" s="220">
        <f t="shared" si="48"/>
        <v>179037.10780875894</v>
      </c>
      <c r="H32" s="220">
        <f t="shared" si="48"/>
        <v>193963.98069846816</v>
      </c>
      <c r="I32" s="220">
        <f t="shared" si="48"/>
        <v>190354.78450545273</v>
      </c>
      <c r="J32" s="220">
        <f t="shared" si="48"/>
        <v>205521.27020774028</v>
      </c>
      <c r="K32" s="220">
        <f t="shared" si="48"/>
        <v>203602.76565243295</v>
      </c>
      <c r="L32" s="220">
        <f t="shared" si="48"/>
        <v>214812.43535202442</v>
      </c>
      <c r="M32" s="220">
        <f t="shared" si="48"/>
        <v>230491.11757955499</v>
      </c>
      <c r="N32" s="220">
        <f t="shared" si="48"/>
        <v>219991.07901408401</v>
      </c>
      <c r="O32" s="220">
        <f t="shared" si="48"/>
        <v>231975.54298208351</v>
      </c>
      <c r="P32" s="220">
        <f t="shared" si="48"/>
        <v>2333209.7767542503</v>
      </c>
      <c r="Q32" s="187"/>
      <c r="R32" s="220">
        <f t="shared" ref="R32:AD32" si="49">SUM(R30:R31)</f>
        <v>148369.26999999999</v>
      </c>
      <c r="S32" s="220">
        <f t="shared" si="49"/>
        <v>118213.66</v>
      </c>
      <c r="T32" s="221">
        <f t="shared" si="49"/>
        <v>168146.83</v>
      </c>
      <c r="U32" s="221">
        <f t="shared" si="49"/>
        <v>170290.55000000002</v>
      </c>
      <c r="V32" s="221">
        <f t="shared" si="49"/>
        <v>206786.54000000004</v>
      </c>
      <c r="W32" s="221">
        <f t="shared" si="49"/>
        <v>232102.98000000004</v>
      </c>
      <c r="X32" s="221">
        <f t="shared" si="49"/>
        <v>204887.84</v>
      </c>
      <c r="Y32" s="221">
        <f t="shared" si="49"/>
        <v>233306.64100001781</v>
      </c>
      <c r="Z32" s="221">
        <f t="shared" si="49"/>
        <v>142000.29300000911</v>
      </c>
      <c r="AA32" s="221">
        <f t="shared" si="49"/>
        <v>0</v>
      </c>
      <c r="AB32" s="221">
        <f t="shared" si="49"/>
        <v>0</v>
      </c>
      <c r="AC32" s="221">
        <f t="shared" si="49"/>
        <v>0</v>
      </c>
      <c r="AD32" s="220">
        <f t="shared" si="49"/>
        <v>1624104.6040000268</v>
      </c>
      <c r="AE32" s="238"/>
      <c r="AF32" s="220">
        <f t="shared" ref="AF32:AR32" si="50">SUM(AF30:AF31)</f>
        <v>-6424.4052030717758</v>
      </c>
      <c r="AG32" s="220">
        <f t="shared" si="50"/>
        <v>-19941.022907234652</v>
      </c>
      <c r="AH32" s="220">
        <f t="shared" si="50"/>
        <v>-2364.5048433438678</v>
      </c>
      <c r="AI32" s="220">
        <f t="shared" si="50"/>
        <v>-8746.5578087589347</v>
      </c>
      <c r="AJ32" s="220">
        <f t="shared" si="50"/>
        <v>12822.559301531874</v>
      </c>
      <c r="AK32" s="220">
        <f t="shared" si="50"/>
        <v>41748.195494547297</v>
      </c>
      <c r="AL32" s="220">
        <f t="shared" si="50"/>
        <v>-633.43020774027536</v>
      </c>
      <c r="AM32" s="220">
        <f t="shared" si="50"/>
        <v>29703.875347584872</v>
      </c>
      <c r="AN32" s="220">
        <f t="shared" si="50"/>
        <v>-72812.142352015304</v>
      </c>
      <c r="AO32" s="220">
        <f t="shared" si="50"/>
        <v>-230491.11757955499</v>
      </c>
      <c r="AP32" s="220">
        <f t="shared" si="50"/>
        <v>-219991.07901408401</v>
      </c>
      <c r="AQ32" s="220">
        <f t="shared" si="50"/>
        <v>-231975.54298208351</v>
      </c>
      <c r="AR32" s="220">
        <f t="shared" si="50"/>
        <v>-709105.17275422323</v>
      </c>
      <c r="AS32" s="151"/>
      <c r="AT32" s="222">
        <f t="shared" si="44"/>
        <v>0.95849697867407258</v>
      </c>
      <c r="AU32" s="222">
        <f t="shared" si="44"/>
        <v>0.85566162154181746</v>
      </c>
      <c r="AV32" s="222">
        <f t="shared" si="44"/>
        <v>0.9861328582905281</v>
      </c>
      <c r="AW32" s="222">
        <f t="shared" si="44"/>
        <v>0.95114667615105974</v>
      </c>
      <c r="AX32" s="222">
        <f t="shared" si="44"/>
        <v>1.0661079405328637</v>
      </c>
      <c r="AY32" s="222">
        <f t="shared" si="44"/>
        <v>1.2193178154308564</v>
      </c>
      <c r="AZ32" s="222">
        <f t="shared" si="44"/>
        <v>0.99691793356911418</v>
      </c>
      <c r="BA32" s="222">
        <f t="shared" si="44"/>
        <v>1.1458913156331672</v>
      </c>
      <c r="BB32" s="222">
        <f t="shared" si="44"/>
        <v>0.66104316897346183</v>
      </c>
      <c r="BC32" s="222">
        <f t="shared" si="44"/>
        <v>0</v>
      </c>
      <c r="BD32" s="222">
        <f t="shared" si="44"/>
        <v>0</v>
      </c>
      <c r="BE32" s="222">
        <f t="shared" si="44"/>
        <v>0</v>
      </c>
      <c r="BF32" s="222">
        <f t="shared" si="44"/>
        <v>0.69608168977387608</v>
      </c>
      <c r="BH32" s="171">
        <f>SUM(BH30:BH31)</f>
        <v>463459.69295365026</v>
      </c>
      <c r="BI32" s="171">
        <f>SUM(BI30:BI31)</f>
        <v>563355.87301267986</v>
      </c>
      <c r="BJ32" s="171">
        <f>SUM(BJ30:BJ31)</f>
        <v>623936.47121219756</v>
      </c>
      <c r="BK32" s="171">
        <f>SUM(BK30:BK31)</f>
        <v>682457.7395757226</v>
      </c>
      <c r="BL32" s="171">
        <f t="shared" si="45"/>
        <v>2333209.7767542503</v>
      </c>
      <c r="BN32" s="243">
        <f>SUM(BN30:BN31)</f>
        <v>434729.76</v>
      </c>
      <c r="BO32" s="224">
        <f>SUM(BO30:BO31)</f>
        <v>609180.07000000007</v>
      </c>
      <c r="BP32" s="224">
        <f>SUM(BP30:BP31)</f>
        <v>580194.77400002698</v>
      </c>
      <c r="BQ32" s="243">
        <f>SUM(BQ30:BQ31)</f>
        <v>0</v>
      </c>
      <c r="BR32" s="171">
        <f t="shared" si="46"/>
        <v>1624104.6040000271</v>
      </c>
      <c r="BT32" s="172">
        <f t="shared" si="47"/>
        <v>0.93800985632525447</v>
      </c>
      <c r="BU32" s="172">
        <f t="shared" si="47"/>
        <v>1.0813414738045852</v>
      </c>
      <c r="BV32" s="172">
        <f t="shared" si="47"/>
        <v>0.92989398884282526</v>
      </c>
      <c r="BW32" s="172">
        <f t="shared" si="47"/>
        <v>0</v>
      </c>
      <c r="BX32" s="172">
        <f t="shared" si="47"/>
        <v>0.69608168977387619</v>
      </c>
      <c r="BZ32" s="138"/>
      <c r="CA32" s="138"/>
    </row>
    <row r="33" spans="1:85" ht="16.5" thickTop="1">
      <c r="A33" s="869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869"/>
      <c r="B34" s="150" t="s">
        <v>52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14448.869999999999</v>
      </c>
      <c r="Y34" s="233">
        <f>'VN_YouTube Performance'!W13</f>
        <v>13653.256999999603</v>
      </c>
      <c r="Z34" s="233">
        <f>'VN_YouTube Performance'!W14</f>
        <v>7556.8399999997064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132217.7579999993</v>
      </c>
      <c r="AE34" s="240"/>
      <c r="AF34" s="204">
        <f t="shared" ref="AF34:AQ35" si="51">R34-D34</f>
        <v>3071.2901534039192</v>
      </c>
      <c r="AG34" s="204">
        <f t="shared" si="51"/>
        <v>2726.8624661200993</v>
      </c>
      <c r="AH34" s="204">
        <f t="shared" si="51"/>
        <v>11650.617479572216</v>
      </c>
      <c r="AI34" s="204">
        <f t="shared" si="51"/>
        <v>17115.643653381238</v>
      </c>
      <c r="AJ34" s="204">
        <f t="shared" si="51"/>
        <v>15322.6291650489</v>
      </c>
      <c r="AK34" s="204">
        <f t="shared" si="51"/>
        <v>8331.4829372275981</v>
      </c>
      <c r="AL34" s="204">
        <f t="shared" si="51"/>
        <v>6774.9115463833168</v>
      </c>
      <c r="AM34" s="204">
        <f t="shared" si="51"/>
        <v>6050.9335855962436</v>
      </c>
      <c r="AN34" s="204">
        <f t="shared" si="51"/>
        <v>-464.04125742632186</v>
      </c>
      <c r="AO34" s="204">
        <f t="shared" si="51"/>
        <v>-8606.3075536916731</v>
      </c>
      <c r="AP34" s="204">
        <f t="shared" si="51"/>
        <v>-8214.246626706592</v>
      </c>
      <c r="AQ34" s="204">
        <f t="shared" si="51"/>
        <v>-8661.7345119572692</v>
      </c>
      <c r="AR34" s="204">
        <f>SUM(AF34:AQ34)</f>
        <v>45098.041036951676</v>
      </c>
      <c r="AS34" s="151"/>
      <c r="AT34" s="184">
        <f t="shared" ref="AT34:BE36" si="52">R34/D34</f>
        <v>1.5313797100853899</v>
      </c>
      <c r="AU34" s="184">
        <f t="shared" si="52"/>
        <v>1.5286094898061837</v>
      </c>
      <c r="AV34" s="184">
        <f t="shared" si="52"/>
        <v>2.8299238646243707</v>
      </c>
      <c r="AW34" s="184">
        <f t="shared" si="52"/>
        <v>3.5602802972984917</v>
      </c>
      <c r="AX34" s="184">
        <f t="shared" si="52"/>
        <v>3.1156778257214266</v>
      </c>
      <c r="AY34" s="184">
        <f t="shared" si="52"/>
        <v>2.1721841478347623</v>
      </c>
      <c r="AZ34" s="184">
        <f t="shared" si="52"/>
        <v>1.8828444390639552</v>
      </c>
      <c r="BA34" s="184">
        <f t="shared" si="52"/>
        <v>1.7959321454454498</v>
      </c>
      <c r="BB34" s="184">
        <f t="shared" si="52"/>
        <v>0.94214585124337857</v>
      </c>
      <c r="BC34" s="184">
        <f t="shared" si="52"/>
        <v>0</v>
      </c>
      <c r="BD34" s="184">
        <f t="shared" si="52"/>
        <v>0</v>
      </c>
      <c r="BE34" s="184">
        <f t="shared" si="52"/>
        <v>0</v>
      </c>
      <c r="BF34" s="184">
        <f>(AD34-P34)/P34</f>
        <v>0.5176559636446052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35658.966999999306</v>
      </c>
      <c r="BQ34" s="239">
        <f>SUM(AA34:AC34)</f>
        <v>0</v>
      </c>
      <c r="BR34" s="155">
        <f>SUM(BN34:BQ34)</f>
        <v>132217.7579999993</v>
      </c>
      <c r="BT34" s="156">
        <f t="shared" ref="BT34:BX36" si="53">BN34/BH34</f>
        <v>2.0083009647268613</v>
      </c>
      <c r="BU34" s="156">
        <f t="shared" si="53"/>
        <v>2.9381733389645479</v>
      </c>
      <c r="BV34" s="156">
        <f t="shared" si="53"/>
        <v>1.5306141270501381</v>
      </c>
      <c r="BW34" s="156">
        <f t="shared" si="53"/>
        <v>0</v>
      </c>
      <c r="BX34" s="156">
        <f t="shared" si="53"/>
        <v>1.5176559636446052</v>
      </c>
      <c r="BZ34" s="138"/>
      <c r="CA34" s="138"/>
    </row>
    <row r="35" spans="1:85">
      <c r="A35" s="869"/>
      <c r="B35" s="157" t="s">
        <v>53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25754.969999999994</v>
      </c>
      <c r="Y35" s="215">
        <f>'VN_YouTube Performance'!AH13</f>
        <v>28624.963999997599</v>
      </c>
      <c r="Z35" s="215">
        <f>'VN_YouTube Performance'!AH14</f>
        <v>45970.540999994992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424794.82999999251</v>
      </c>
      <c r="AE35" s="240"/>
      <c r="AF35" s="214">
        <f t="shared" si="51"/>
        <v>286.01126136411585</v>
      </c>
      <c r="AG35" s="214">
        <f t="shared" si="51"/>
        <v>1106.5331102747859</v>
      </c>
      <c r="AH35" s="214">
        <f t="shared" si="51"/>
        <v>11256.986503706848</v>
      </c>
      <c r="AI35" s="214">
        <f t="shared" si="51"/>
        <v>88443.375534151171</v>
      </c>
      <c r="AJ35" s="214">
        <f t="shared" si="51"/>
        <v>143309.87945178704</v>
      </c>
      <c r="AK35" s="214">
        <f t="shared" si="51"/>
        <v>26292.982565605467</v>
      </c>
      <c r="AL35" s="214">
        <f t="shared" si="51"/>
        <v>14996.97396788822</v>
      </c>
      <c r="AM35" s="214">
        <f t="shared" si="51"/>
        <v>17967.39195014675</v>
      </c>
      <c r="AN35" s="214">
        <f t="shared" si="51"/>
        <v>34726.199600054038</v>
      </c>
      <c r="AO35" s="214">
        <f t="shared" si="51"/>
        <v>-12065.040887745905</v>
      </c>
      <c r="AP35" s="214">
        <f t="shared" si="51"/>
        <v>-11515.417128072861</v>
      </c>
      <c r="AQ35" s="214">
        <f t="shared" si="51"/>
        <v>-12142.743028133738</v>
      </c>
      <c r="AR35" s="214">
        <f>SUM(AF35:AQ35)</f>
        <v>302663.13290102588</v>
      </c>
      <c r="AS35" s="151"/>
      <c r="AT35" s="184">
        <f t="shared" si="52"/>
        <v>1.0352984241466581</v>
      </c>
      <c r="AU35" s="184">
        <f t="shared" si="52"/>
        <v>1.1530115444753979</v>
      </c>
      <c r="AV35" s="184">
        <f t="shared" si="52"/>
        <v>2.2612299834267473</v>
      </c>
      <c r="AW35" s="184">
        <f t="shared" si="52"/>
        <v>10.43729762311632</v>
      </c>
      <c r="AX35" s="184">
        <f t="shared" si="52"/>
        <v>15.114985547542801</v>
      </c>
      <c r="AY35" s="184">
        <f t="shared" si="52"/>
        <v>3.6387694772184238</v>
      </c>
      <c r="AZ35" s="184">
        <f t="shared" si="52"/>
        <v>2.3940304423912622</v>
      </c>
      <c r="BA35" s="184">
        <f t="shared" si="52"/>
        <v>2.6858804112328944</v>
      </c>
      <c r="BB35" s="184">
        <f t="shared" si="52"/>
        <v>4.0883266849436275</v>
      </c>
      <c r="BC35" s="184">
        <f t="shared" si="52"/>
        <v>0</v>
      </c>
      <c r="BD35" s="184">
        <f t="shared" si="52"/>
        <v>0</v>
      </c>
      <c r="BE35" s="184">
        <f t="shared" si="52"/>
        <v>0</v>
      </c>
      <c r="BF35" s="184">
        <f>(AD35-P35)/P35</f>
        <v>2.4781702055263306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100350.47499999258</v>
      </c>
      <c r="BQ35" s="242">
        <f>SUM(AA35:AC35)</f>
        <v>0</v>
      </c>
      <c r="BR35" s="162">
        <f>SUM(BN35:BQ35)</f>
        <v>424794.82999999262</v>
      </c>
      <c r="BT35" s="163">
        <f t="shared" si="53"/>
        <v>1.5214201923130208</v>
      </c>
      <c r="BU35" s="163">
        <f t="shared" si="53"/>
        <v>9.7506457066091379</v>
      </c>
      <c r="BV35" s="163">
        <f t="shared" si="53"/>
        <v>3.0725888893107758</v>
      </c>
      <c r="BW35" s="163">
        <f t="shared" si="53"/>
        <v>0</v>
      </c>
      <c r="BX35" s="163">
        <f t="shared" si="53"/>
        <v>3.4781702055263319</v>
      </c>
      <c r="BZ35" s="138"/>
      <c r="CA35" s="138"/>
    </row>
    <row r="36" spans="1:85" ht="16.5" thickBot="1">
      <c r="A36" s="869"/>
      <c r="B36" s="164" t="s">
        <v>59</v>
      </c>
      <c r="C36" s="165"/>
      <c r="D36" s="220">
        <f t="shared" ref="D36:P36" si="54">SUM(D34:D35)</f>
        <v>13882.504585231964</v>
      </c>
      <c r="E36" s="220">
        <f t="shared" si="54"/>
        <v>12390.254423605116</v>
      </c>
      <c r="F36" s="220">
        <f t="shared" si="54"/>
        <v>15292.126016720935</v>
      </c>
      <c r="G36" s="220">
        <f t="shared" si="54"/>
        <v>16056.750812467582</v>
      </c>
      <c r="H36" s="220">
        <f t="shared" si="54"/>
        <v>17395.451383164098</v>
      </c>
      <c r="I36" s="220">
        <f t="shared" si="54"/>
        <v>17071.764497166932</v>
      </c>
      <c r="J36" s="220">
        <f t="shared" si="54"/>
        <v>18431.954485728456</v>
      </c>
      <c r="K36" s="220">
        <f t="shared" si="54"/>
        <v>18259.895464254208</v>
      </c>
      <c r="L36" s="220">
        <f t="shared" si="54"/>
        <v>19265.222657366983</v>
      </c>
      <c r="M36" s="220">
        <f t="shared" si="54"/>
        <v>20671.348441437578</v>
      </c>
      <c r="N36" s="220">
        <f t="shared" si="54"/>
        <v>19729.663754779453</v>
      </c>
      <c r="O36" s="220">
        <f t="shared" si="54"/>
        <v>20804.477540091008</v>
      </c>
      <c r="P36" s="220">
        <f t="shared" si="54"/>
        <v>209251.41406201432</v>
      </c>
      <c r="Q36" s="187"/>
      <c r="R36" s="220">
        <f t="shared" ref="R36:AD36" si="55">SUM(R34:R35)</f>
        <v>17239.805999999997</v>
      </c>
      <c r="S36" s="220">
        <f t="shared" si="55"/>
        <v>16223.650000000001</v>
      </c>
      <c r="T36" s="221">
        <f t="shared" si="55"/>
        <v>38199.729999999996</v>
      </c>
      <c r="U36" s="221">
        <f t="shared" si="55"/>
        <v>121615.76999999999</v>
      </c>
      <c r="V36" s="221">
        <f t="shared" si="55"/>
        <v>176027.96000000002</v>
      </c>
      <c r="W36" s="221">
        <f t="shared" si="55"/>
        <v>51696.229999999996</v>
      </c>
      <c r="X36" s="221">
        <f t="shared" si="55"/>
        <v>40203.839999999997</v>
      </c>
      <c r="Y36" s="221">
        <f t="shared" si="55"/>
        <v>42278.220999997204</v>
      </c>
      <c r="Z36" s="221">
        <f t="shared" si="55"/>
        <v>53527.380999994697</v>
      </c>
      <c r="AA36" s="221">
        <f t="shared" si="55"/>
        <v>0</v>
      </c>
      <c r="AB36" s="221">
        <f t="shared" si="55"/>
        <v>0</v>
      </c>
      <c r="AC36" s="221">
        <f t="shared" si="55"/>
        <v>0</v>
      </c>
      <c r="AD36" s="220">
        <f t="shared" si="55"/>
        <v>557012.58799999184</v>
      </c>
      <c r="AE36" s="238"/>
      <c r="AF36" s="220">
        <f t="shared" ref="AF36:AR36" si="56">SUM(AF34:AF35)</f>
        <v>3357.3014147680351</v>
      </c>
      <c r="AG36" s="220">
        <f t="shared" si="56"/>
        <v>3833.3955763948852</v>
      </c>
      <c r="AH36" s="220">
        <f t="shared" si="56"/>
        <v>22907.603983279063</v>
      </c>
      <c r="AI36" s="220">
        <f t="shared" si="56"/>
        <v>105559.01918753241</v>
      </c>
      <c r="AJ36" s="220">
        <f t="shared" si="56"/>
        <v>158632.50861683593</v>
      </c>
      <c r="AK36" s="220">
        <f t="shared" si="56"/>
        <v>34624.465502833067</v>
      </c>
      <c r="AL36" s="220">
        <f t="shared" si="56"/>
        <v>21771.885514271537</v>
      </c>
      <c r="AM36" s="220">
        <f t="shared" si="56"/>
        <v>24018.325535742995</v>
      </c>
      <c r="AN36" s="220">
        <f t="shared" si="56"/>
        <v>34262.158342627714</v>
      </c>
      <c r="AO36" s="220">
        <f t="shared" si="56"/>
        <v>-20671.348441437578</v>
      </c>
      <c r="AP36" s="220">
        <f t="shared" si="56"/>
        <v>-19729.663754779453</v>
      </c>
      <c r="AQ36" s="220">
        <f t="shared" si="56"/>
        <v>-20804.477540091008</v>
      </c>
      <c r="AR36" s="220">
        <f t="shared" si="56"/>
        <v>347761.17393797752</v>
      </c>
      <c r="AS36" s="151"/>
      <c r="AT36" s="184">
        <f t="shared" si="52"/>
        <v>1.241836866982885</v>
      </c>
      <c r="AU36" s="184">
        <f t="shared" si="52"/>
        <v>1.3093879629373668</v>
      </c>
      <c r="AV36" s="184">
        <f t="shared" si="52"/>
        <v>2.497999948354539</v>
      </c>
      <c r="AW36" s="184">
        <f t="shared" si="52"/>
        <v>7.5741207807478093</v>
      </c>
      <c r="AX36" s="184">
        <f t="shared" si="52"/>
        <v>10.119194732156579</v>
      </c>
      <c r="AY36" s="184">
        <f t="shared" si="52"/>
        <v>3.0281714587018236</v>
      </c>
      <c r="AZ36" s="184">
        <f t="shared" si="52"/>
        <v>2.1812033027278326</v>
      </c>
      <c r="BA36" s="184">
        <f t="shared" si="52"/>
        <v>2.3153594215674214</v>
      </c>
      <c r="BB36" s="184">
        <f t="shared" si="52"/>
        <v>2.7784460087475775</v>
      </c>
      <c r="BC36" s="184">
        <f t="shared" si="52"/>
        <v>0</v>
      </c>
      <c r="BD36" s="184">
        <f t="shared" si="52"/>
        <v>0</v>
      </c>
      <c r="BE36" s="184">
        <f t="shared" si="52"/>
        <v>0</v>
      </c>
      <c r="BF36" s="185">
        <f>(AD36-P36)/P36</f>
        <v>1.6619298631593193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136009.44199999189</v>
      </c>
      <c r="BQ36" s="243">
        <f>SUM(BQ34:BQ35)</f>
        <v>0</v>
      </c>
      <c r="BR36" s="171">
        <f>SUM(BN36:BQ36)</f>
        <v>557012.58799999196</v>
      </c>
      <c r="BT36" s="172">
        <f t="shared" si="53"/>
        <v>1.724128094085541</v>
      </c>
      <c r="BU36" s="172">
        <f t="shared" si="53"/>
        <v>6.9143415069544201</v>
      </c>
      <c r="BV36" s="172">
        <f t="shared" si="53"/>
        <v>2.4306032403512083</v>
      </c>
      <c r="BW36" s="172">
        <f t="shared" si="53"/>
        <v>0</v>
      </c>
      <c r="BX36" s="172">
        <f t="shared" si="53"/>
        <v>2.6619298631593198</v>
      </c>
      <c r="BZ36" s="138"/>
      <c r="CA36" s="138"/>
    </row>
    <row r="37" spans="1:85" ht="17.25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350000000000001" customHeight="1" thickTop="1">
      <c r="A38" s="870" t="s">
        <v>60</v>
      </c>
      <c r="B38" s="870"/>
      <c r="C38" s="244"/>
      <c r="D38" s="245">
        <f>SUM(D24,D28,D32,D36)</f>
        <v>803074.00919438177</v>
      </c>
      <c r="E38" s="245">
        <f t="shared" ref="E38:AR38" si="57">SUM(E24,E28,E32,E36)</f>
        <v>716750.44181062107</v>
      </c>
      <c r="F38" s="245">
        <f t="shared" si="57"/>
        <v>884617.67643987364</v>
      </c>
      <c r="G38" s="245">
        <f t="shared" si="57"/>
        <v>928849.6301539687</v>
      </c>
      <c r="H38" s="245">
        <f t="shared" si="57"/>
        <v>1006290.673145859</v>
      </c>
      <c r="I38" s="245">
        <f t="shared" si="57"/>
        <v>987566.06018675969</v>
      </c>
      <c r="J38" s="245">
        <f t="shared" si="57"/>
        <v>1066250.2212957121</v>
      </c>
      <c r="K38" s="245">
        <f t="shared" si="57"/>
        <v>1056296.9648537603</v>
      </c>
      <c r="L38" s="245">
        <f t="shared" si="57"/>
        <v>1114453.0514999737</v>
      </c>
      <c r="M38" s="245">
        <f t="shared" si="57"/>
        <v>1195794.5028146321</v>
      </c>
      <c r="N38" s="245">
        <f t="shared" si="57"/>
        <v>1141320.0027654136</v>
      </c>
      <c r="O38" s="245">
        <f t="shared" si="57"/>
        <v>1203495.7442109273</v>
      </c>
      <c r="P38" s="245">
        <f t="shared" si="57"/>
        <v>12104758.978371883</v>
      </c>
      <c r="Q38" s="168"/>
      <c r="R38" s="245">
        <f t="shared" si="57"/>
        <v>651485.32799999998</v>
      </c>
      <c r="S38" s="245">
        <f t="shared" si="57"/>
        <v>618223.32999999996</v>
      </c>
      <c r="T38" s="245">
        <f t="shared" si="57"/>
        <v>990127.48999999987</v>
      </c>
      <c r="U38" s="245">
        <f t="shared" si="57"/>
        <v>1048994.3600000001</v>
      </c>
      <c r="V38" s="245">
        <f t="shared" si="57"/>
        <v>1189260.25</v>
      </c>
      <c r="W38" s="245">
        <f t="shared" si="57"/>
        <v>1058579.74</v>
      </c>
      <c r="X38" s="245">
        <f t="shared" si="57"/>
        <v>916590.28999999992</v>
      </c>
      <c r="Y38" s="245">
        <f t="shared" si="57"/>
        <v>1055590.4700004035</v>
      </c>
      <c r="Z38" s="245">
        <f t="shared" si="57"/>
        <v>951110.99700065795</v>
      </c>
      <c r="AA38" s="245">
        <f t="shared" si="57"/>
        <v>0</v>
      </c>
      <c r="AB38" s="245">
        <f t="shared" si="57"/>
        <v>0</v>
      </c>
      <c r="AC38" s="245">
        <f t="shared" si="57"/>
        <v>0</v>
      </c>
      <c r="AD38" s="245">
        <f t="shared" si="57"/>
        <v>8479962.2550010607</v>
      </c>
      <c r="AE38" s="246"/>
      <c r="AF38" s="245">
        <f t="shared" si="57"/>
        <v>-151588.68119438161</v>
      </c>
      <c r="AG38" s="245">
        <f t="shared" si="57"/>
        <v>-98527.111810621049</v>
      </c>
      <c r="AH38" s="245">
        <f t="shared" si="57"/>
        <v>105509.81356012632</v>
      </c>
      <c r="AI38" s="245">
        <f t="shared" si="57"/>
        <v>120144.72984603132</v>
      </c>
      <c r="AJ38" s="245">
        <f t="shared" si="57"/>
        <v>182969.57685414108</v>
      </c>
      <c r="AK38" s="245">
        <f t="shared" si="57"/>
        <v>71013.679813240306</v>
      </c>
      <c r="AL38" s="245">
        <f t="shared" si="57"/>
        <v>-149659.9312957121</v>
      </c>
      <c r="AM38" s="245">
        <f t="shared" si="57"/>
        <v>-706.4948533566494</v>
      </c>
      <c r="AN38" s="245">
        <f t="shared" si="57"/>
        <v>-163342.05449931574</v>
      </c>
      <c r="AO38" s="245">
        <f t="shared" si="57"/>
        <v>-1195794.5028146321</v>
      </c>
      <c r="AP38" s="245">
        <f t="shared" si="57"/>
        <v>-1141320.0027654136</v>
      </c>
      <c r="AQ38" s="245">
        <f t="shared" si="57"/>
        <v>-1203495.7442109273</v>
      </c>
      <c r="AR38" s="245">
        <f t="shared" si="57"/>
        <v>-3624796.7233708212</v>
      </c>
      <c r="AS38" s="247"/>
      <c r="AT38" s="193">
        <f t="shared" ref="AT38:BF38" si="58">R38/D38</f>
        <v>0.81123946303971317</v>
      </c>
      <c r="AU38" s="193">
        <f t="shared" si="58"/>
        <v>0.86253637798711835</v>
      </c>
      <c r="AV38" s="193">
        <f t="shared" si="58"/>
        <v>1.1192716541509191</v>
      </c>
      <c r="AW38" s="193">
        <f t="shared" si="58"/>
        <v>1.1293478792967984</v>
      </c>
      <c r="AX38" s="193">
        <f t="shared" si="58"/>
        <v>1.1818257703632915</v>
      </c>
      <c r="AY38" s="193">
        <f t="shared" si="58"/>
        <v>1.0719077767818497</v>
      </c>
      <c r="AZ38" s="193">
        <f t="shared" si="58"/>
        <v>0.85963901502046614</v>
      </c>
      <c r="BA38" s="193">
        <f t="shared" si="58"/>
        <v>0.99933115887211255</v>
      </c>
      <c r="BB38" s="193">
        <f t="shared" si="58"/>
        <v>0.85343298734794693</v>
      </c>
      <c r="BC38" s="193">
        <f t="shared" si="58"/>
        <v>0</v>
      </c>
      <c r="BD38" s="193">
        <f t="shared" si="58"/>
        <v>0</v>
      </c>
      <c r="BE38" s="193">
        <f t="shared" si="58"/>
        <v>0</v>
      </c>
      <c r="BF38" s="193">
        <f t="shared" si="58"/>
        <v>0.70054779860983518</v>
      </c>
      <c r="BH38" s="245">
        <f t="shared" ref="BH38:BL38" si="59">SUM(BH24,BH28,BH32,BH36)</f>
        <v>2404442.1274448764</v>
      </c>
      <c r="BI38" s="245">
        <f t="shared" si="59"/>
        <v>2922706.3634865871</v>
      </c>
      <c r="BJ38" s="245">
        <f t="shared" si="59"/>
        <v>3237000.2376494459</v>
      </c>
      <c r="BK38" s="245">
        <f t="shared" si="59"/>
        <v>3540610.2497909735</v>
      </c>
      <c r="BL38" s="245">
        <f t="shared" si="59"/>
        <v>12104758.978371883</v>
      </c>
      <c r="BN38" s="245">
        <f t="shared" ref="BN38:BR38" si="60">SUM(BN24,BN28,BN32,BN36)</f>
        <v>2259836.148</v>
      </c>
      <c r="BO38" s="245">
        <f t="shared" si="60"/>
        <v>3296834.3499999996</v>
      </c>
      <c r="BP38" s="245">
        <f t="shared" si="60"/>
        <v>2923291.7570010615</v>
      </c>
      <c r="BQ38" s="245">
        <f t="shared" si="60"/>
        <v>0</v>
      </c>
      <c r="BR38" s="245">
        <f t="shared" si="60"/>
        <v>8479962.2550010607</v>
      </c>
      <c r="BT38" s="248">
        <f t="shared" ref="BT38:BX38" si="61">BN38/BH38</f>
        <v>0.93985882305325252</v>
      </c>
      <c r="BU38" s="248">
        <f t="shared" si="61"/>
        <v>1.1280073808260038</v>
      </c>
      <c r="BV38" s="248">
        <f t="shared" si="61"/>
        <v>0.90308666740284693</v>
      </c>
      <c r="BW38" s="248">
        <f t="shared" si="61"/>
        <v>0</v>
      </c>
      <c r="BX38" s="248">
        <f t="shared" si="61"/>
        <v>0.70054779860983518</v>
      </c>
      <c r="BZ38" s="138"/>
      <c r="CA38" s="138"/>
      <c r="CG38" s="249"/>
    </row>
    <row r="39" spans="1:85" ht="32.1" customHeight="1">
      <c r="A39" s="250"/>
      <c r="B39" s="195"/>
      <c r="C39" s="251"/>
      <c r="D39" s="252">
        <f>D38/1000</f>
        <v>803.0740091943818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>
      <c r="A40" s="871" t="s">
        <v>61</v>
      </c>
      <c r="B40" s="202" t="s">
        <v>52</v>
      </c>
      <c r="C40" s="203"/>
      <c r="D40" s="256">
        <f t="shared" ref="D40:P41" si="62">D22/D4</f>
        <v>9.999441130644724E-5</v>
      </c>
      <c r="E40" s="256">
        <f t="shared" si="62"/>
        <v>9.9994411306447199E-5</v>
      </c>
      <c r="F40" s="256">
        <f t="shared" si="62"/>
        <v>9.9994411306447212E-5</v>
      </c>
      <c r="G40" s="256">
        <f t="shared" si="62"/>
        <v>9.9994411306447212E-5</v>
      </c>
      <c r="H40" s="256">
        <f t="shared" si="62"/>
        <v>9.9994411306447226E-5</v>
      </c>
      <c r="I40" s="256">
        <f t="shared" si="62"/>
        <v>9.999441130644724E-5</v>
      </c>
      <c r="J40" s="256">
        <f t="shared" si="62"/>
        <v>9.9994411306447212E-5</v>
      </c>
      <c r="K40" s="256">
        <f t="shared" si="62"/>
        <v>9.9994411306447226E-5</v>
      </c>
      <c r="L40" s="256">
        <f t="shared" si="62"/>
        <v>9.9994411306447226E-5</v>
      </c>
      <c r="M40" s="256">
        <f t="shared" si="62"/>
        <v>9.9994411306447226E-5</v>
      </c>
      <c r="N40" s="256">
        <f t="shared" si="62"/>
        <v>9.9994411306447199E-5</v>
      </c>
      <c r="O40" s="256">
        <f t="shared" si="62"/>
        <v>9.9994411306447226E-5</v>
      </c>
      <c r="P40" s="256">
        <f t="shared" si="62"/>
        <v>9.999441130644724E-5</v>
      </c>
      <c r="Q40" s="257"/>
      <c r="R40" s="256">
        <f t="shared" ref="R40:AD41" si="63">R22/R4</f>
        <v>1.4092219040651594E-4</v>
      </c>
      <c r="S40" s="256">
        <f t="shared" si="63"/>
        <v>1.2859231796906353E-4</v>
      </c>
      <c r="T40" s="256">
        <f t="shared" si="63"/>
        <v>1.3639739244562156E-4</v>
      </c>
      <c r="U40" s="256">
        <f t="shared" si="63"/>
        <v>1.7793695855117288E-4</v>
      </c>
      <c r="V40" s="256">
        <f t="shared" si="63"/>
        <v>1.934079548929192E-4</v>
      </c>
      <c r="W40" s="256">
        <f t="shared" si="63"/>
        <v>1.8740504718284403E-4</v>
      </c>
      <c r="X40" s="256">
        <f t="shared" si="63"/>
        <v>1.7907128503248589E-4</v>
      </c>
      <c r="Y40" s="256">
        <f t="shared" si="63"/>
        <v>2.0620535839277728E-4</v>
      </c>
      <c r="Z40" s="256">
        <f t="shared" si="63"/>
        <v>1.8124363255194064E-4</v>
      </c>
      <c r="AA40" s="256" t="e">
        <f t="shared" si="63"/>
        <v>#DIV/0!</v>
      </c>
      <c r="AB40" s="256" t="e">
        <f t="shared" si="63"/>
        <v>#DIV/0!</v>
      </c>
      <c r="AC40" s="256" t="e">
        <f t="shared" si="63"/>
        <v>#DIV/0!</v>
      </c>
      <c r="AD40" s="256">
        <f t="shared" si="63"/>
        <v>1.7206103978921984E-4</v>
      </c>
      <c r="AE40" s="257"/>
      <c r="AF40" s="256">
        <f t="shared" ref="AF40:AQ41" si="64">R40-D40</f>
        <v>4.0927779100068703E-5</v>
      </c>
      <c r="AG40" s="256">
        <f t="shared" si="64"/>
        <v>2.8597906662616333E-5</v>
      </c>
      <c r="AH40" s="256">
        <f t="shared" si="64"/>
        <v>3.6402981139174349E-5</v>
      </c>
      <c r="AI40" s="256">
        <f t="shared" si="64"/>
        <v>7.794254724472567E-5</v>
      </c>
      <c r="AJ40" s="256">
        <f t="shared" si="64"/>
        <v>9.3413543586471972E-5</v>
      </c>
      <c r="AK40" s="256">
        <f t="shared" si="64"/>
        <v>8.741063587639679E-5</v>
      </c>
      <c r="AL40" s="256">
        <f t="shared" si="64"/>
        <v>7.9076873726038676E-5</v>
      </c>
      <c r="AM40" s="256">
        <f t="shared" si="64"/>
        <v>1.0621094708633006E-4</v>
      </c>
      <c r="AN40" s="256">
        <f t="shared" si="64"/>
        <v>8.124922124549341E-5</v>
      </c>
      <c r="AO40" s="256" t="e">
        <f t="shared" si="64"/>
        <v>#DIV/0!</v>
      </c>
      <c r="AP40" s="256" t="e">
        <f t="shared" si="64"/>
        <v>#DIV/0!</v>
      </c>
      <c r="AQ40" s="256" t="e">
        <f t="shared" si="64"/>
        <v>#DIV/0!</v>
      </c>
      <c r="AR40" s="256">
        <f>AR22/AR4</f>
        <v>3.8924469539980771E-5</v>
      </c>
      <c r="AS40" s="257"/>
      <c r="AT40" s="258">
        <f t="shared" ref="AT40:BF41" si="65">R40/D40</f>
        <v>1.4093006655605946</v>
      </c>
      <c r="AU40" s="258">
        <f t="shared" si="65"/>
        <v>1.2859950500130848</v>
      </c>
      <c r="AV40" s="258">
        <f t="shared" si="65"/>
        <v>1.3640501570393988</v>
      </c>
      <c r="AW40" s="258">
        <f t="shared" si="65"/>
        <v>1.7794690345829385</v>
      </c>
      <c r="AX40" s="258">
        <f t="shared" si="65"/>
        <v>1.9341876447493926</v>
      </c>
      <c r="AY40" s="258">
        <f t="shared" si="65"/>
        <v>1.8741552126199768</v>
      </c>
      <c r="AZ40" s="258">
        <f t="shared" si="65"/>
        <v>1.7908129333718088</v>
      </c>
      <c r="BA40" s="258">
        <f t="shared" si="65"/>
        <v>2.0621688322243465</v>
      </c>
      <c r="BB40" s="258">
        <f t="shared" si="65"/>
        <v>1.8125376226926675</v>
      </c>
      <c r="BC40" s="258" t="e">
        <f t="shared" si="65"/>
        <v>#DIV/0!</v>
      </c>
      <c r="BD40" s="258" t="e">
        <f t="shared" si="65"/>
        <v>#DIV/0!</v>
      </c>
      <c r="BE40" s="258" t="e">
        <f t="shared" si="65"/>
        <v>#DIV/0!</v>
      </c>
      <c r="BF40" s="258">
        <f t="shared" si="65"/>
        <v>1.7207065629089418</v>
      </c>
      <c r="BH40" s="259">
        <f t="shared" ref="BH40:BL41" si="66">BH22/BH4</f>
        <v>9.9994411306447226E-5</v>
      </c>
      <c r="BI40" s="259">
        <f t="shared" si="66"/>
        <v>9.9994411306447253E-5</v>
      </c>
      <c r="BJ40" s="259">
        <f t="shared" si="66"/>
        <v>9.9994411306447226E-5</v>
      </c>
      <c r="BK40" s="259">
        <f t="shared" si="66"/>
        <v>9.9994411306447226E-5</v>
      </c>
      <c r="BL40" s="259">
        <f t="shared" si="66"/>
        <v>9.9994411306447253E-5</v>
      </c>
      <c r="BN40" s="260">
        <f t="shared" ref="BN40:BR41" si="67">BN22/BN4</f>
        <v>1.3542109947423472E-4</v>
      </c>
      <c r="BO40" s="260">
        <f t="shared" si="67"/>
        <v>1.861741162222374E-4</v>
      </c>
      <c r="BP40" s="260">
        <f t="shared" si="67"/>
        <v>1.890707999663381E-4</v>
      </c>
      <c r="BQ40" s="260" t="e">
        <f t="shared" si="67"/>
        <v>#DIV/0!</v>
      </c>
      <c r="BR40" s="259">
        <f t="shared" si="67"/>
        <v>1.7206103978921984E-4</v>
      </c>
      <c r="BT40" s="212">
        <f t="shared" ref="BT40:BX41" si="68">BN40/BH40</f>
        <v>1.354286681674812</v>
      </c>
      <c r="BU40" s="212">
        <f t="shared" si="68"/>
        <v>1.8618452150458693</v>
      </c>
      <c r="BV40" s="212">
        <f t="shared" si="68"/>
        <v>1.890813671445132</v>
      </c>
      <c r="BW40" s="212" t="e">
        <f t="shared" si="68"/>
        <v>#DIV/0!</v>
      </c>
      <c r="BX40" s="212">
        <f t="shared" si="68"/>
        <v>1.7207065629089413</v>
      </c>
      <c r="BZ40" s="138"/>
      <c r="CA40" s="138"/>
    </row>
    <row r="41" spans="1:85">
      <c r="A41" s="872"/>
      <c r="B41" s="157" t="s">
        <v>53</v>
      </c>
      <c r="C41" s="213"/>
      <c r="D41" s="261">
        <f t="shared" si="62"/>
        <v>1.392381069617143E-3</v>
      </c>
      <c r="E41" s="261">
        <f t="shared" si="62"/>
        <v>1.3923810696171428E-3</v>
      </c>
      <c r="F41" s="261">
        <f t="shared" si="62"/>
        <v>1.3923810696171426E-3</v>
      </c>
      <c r="G41" s="261">
        <f t="shared" si="62"/>
        <v>1.392381069617143E-3</v>
      </c>
      <c r="H41" s="261">
        <f t="shared" si="62"/>
        <v>1.3923810696171433E-3</v>
      </c>
      <c r="I41" s="261">
        <f t="shared" si="62"/>
        <v>1.392381069617143E-3</v>
      </c>
      <c r="J41" s="261">
        <f t="shared" si="62"/>
        <v>1.392381069617143E-3</v>
      </c>
      <c r="K41" s="261">
        <f t="shared" si="62"/>
        <v>1.392381069617143E-3</v>
      </c>
      <c r="L41" s="261">
        <f t="shared" si="62"/>
        <v>1.3923810696171428E-3</v>
      </c>
      <c r="M41" s="261">
        <f t="shared" si="62"/>
        <v>1.392381069617143E-3</v>
      </c>
      <c r="N41" s="261">
        <f t="shared" si="62"/>
        <v>1.3923810696171428E-3</v>
      </c>
      <c r="O41" s="261">
        <f t="shared" si="62"/>
        <v>1.392381069617143E-3</v>
      </c>
      <c r="P41" s="261">
        <f t="shared" si="62"/>
        <v>1.392381069617143E-3</v>
      </c>
      <c r="Q41" s="257"/>
      <c r="R41" s="261">
        <f t="shared" si="63"/>
        <v>1.4335840633977288E-3</v>
      </c>
      <c r="S41" s="261">
        <f t="shared" si="63"/>
        <v>2.0324686915157769E-3</v>
      </c>
      <c r="T41" s="261">
        <f t="shared" si="63"/>
        <v>1.9922823450119649E-3</v>
      </c>
      <c r="U41" s="261">
        <f t="shared" si="63"/>
        <v>1.6038770897628576E-3</v>
      </c>
      <c r="V41" s="261">
        <f t="shared" si="63"/>
        <v>1.726996120886493E-3</v>
      </c>
      <c r="W41" s="261">
        <f t="shared" si="63"/>
        <v>1.7833037132774074E-3</v>
      </c>
      <c r="X41" s="261">
        <f t="shared" si="63"/>
        <v>1.199108431667329E-3</v>
      </c>
      <c r="Y41" s="261">
        <f t="shared" si="63"/>
        <v>1.0804803991798706E-3</v>
      </c>
      <c r="Z41" s="261">
        <f t="shared" si="63"/>
        <v>1.3405150097997233E-3</v>
      </c>
      <c r="AA41" s="261" t="e">
        <f t="shared" si="63"/>
        <v>#DIV/0!</v>
      </c>
      <c r="AB41" s="261" t="e">
        <f t="shared" si="63"/>
        <v>#DIV/0!</v>
      </c>
      <c r="AC41" s="261" t="e">
        <f t="shared" si="63"/>
        <v>#DIV/0!</v>
      </c>
      <c r="AD41" s="261">
        <f t="shared" si="63"/>
        <v>1.5179729882264863E-3</v>
      </c>
      <c r="AE41" s="257"/>
      <c r="AF41" s="261">
        <f t="shared" si="64"/>
        <v>4.1202993780585766E-5</v>
      </c>
      <c r="AG41" s="261">
        <f t="shared" si="64"/>
        <v>6.4008762189863406E-4</v>
      </c>
      <c r="AH41" s="261">
        <f t="shared" si="64"/>
        <v>5.999012753948223E-4</v>
      </c>
      <c r="AI41" s="261">
        <f t="shared" si="64"/>
        <v>2.1149602014571456E-4</v>
      </c>
      <c r="AJ41" s="261">
        <f t="shared" si="64"/>
        <v>3.3461505126934979E-4</v>
      </c>
      <c r="AK41" s="261">
        <f t="shared" si="64"/>
        <v>3.9092264366026434E-4</v>
      </c>
      <c r="AL41" s="261">
        <f t="shared" si="64"/>
        <v>-1.9327263794981404E-4</v>
      </c>
      <c r="AM41" s="261">
        <f t="shared" si="64"/>
        <v>-3.1190067043727248E-4</v>
      </c>
      <c r="AN41" s="261">
        <f t="shared" si="64"/>
        <v>-5.1866059817419485E-5</v>
      </c>
      <c r="AO41" s="261" t="e">
        <f t="shared" si="64"/>
        <v>#DIV/0!</v>
      </c>
      <c r="AP41" s="261" t="e">
        <f t="shared" si="64"/>
        <v>#DIV/0!</v>
      </c>
      <c r="AQ41" s="261" t="e">
        <f t="shared" si="64"/>
        <v>#DIV/0!</v>
      </c>
      <c r="AR41" s="261">
        <f>AR23/AR5</f>
        <v>1.2971695879504216E-3</v>
      </c>
      <c r="AS41" s="257"/>
      <c r="AT41" s="184">
        <f t="shared" si="65"/>
        <v>1.0295917509076127</v>
      </c>
      <c r="AU41" s="184">
        <f t="shared" si="65"/>
        <v>1.4597072136829872</v>
      </c>
      <c r="AV41" s="184">
        <f t="shared" si="65"/>
        <v>1.4308456129468743</v>
      </c>
      <c r="AW41" s="184">
        <f t="shared" si="65"/>
        <v>1.1518952137175125</v>
      </c>
      <c r="AX41" s="184">
        <f t="shared" si="65"/>
        <v>1.2403185870383582</v>
      </c>
      <c r="AY41" s="184">
        <f t="shared" si="65"/>
        <v>1.2807583729702348</v>
      </c>
      <c r="AZ41" s="184">
        <f t="shared" si="65"/>
        <v>0.86119271357017413</v>
      </c>
      <c r="BA41" s="184">
        <f t="shared" si="65"/>
        <v>0.77599474939498103</v>
      </c>
      <c r="BB41" s="184">
        <f t="shared" si="65"/>
        <v>0.96275009697475933</v>
      </c>
      <c r="BC41" s="184" t="e">
        <f t="shared" si="65"/>
        <v>#DIV/0!</v>
      </c>
      <c r="BD41" s="184" t="e">
        <f t="shared" si="65"/>
        <v>#DIV/0!</v>
      </c>
      <c r="BE41" s="184" t="e">
        <f t="shared" si="65"/>
        <v>#DIV/0!</v>
      </c>
      <c r="BF41" s="184">
        <f t="shared" si="65"/>
        <v>1.0901993867554352</v>
      </c>
      <c r="BH41" s="262">
        <f t="shared" si="66"/>
        <v>1.3923810696171428E-3</v>
      </c>
      <c r="BI41" s="262">
        <f t="shared" si="66"/>
        <v>1.392381069617143E-3</v>
      </c>
      <c r="BJ41" s="262">
        <f t="shared" si="66"/>
        <v>1.392381069617143E-3</v>
      </c>
      <c r="BK41" s="262">
        <f t="shared" si="66"/>
        <v>1.392381069617143E-3</v>
      </c>
      <c r="BL41" s="262">
        <f t="shared" si="66"/>
        <v>1.3923810696171428E-3</v>
      </c>
      <c r="BN41" s="262">
        <f t="shared" si="67"/>
        <v>1.8065606249252995E-3</v>
      </c>
      <c r="BO41" s="262">
        <f t="shared" si="67"/>
        <v>1.7068598768199569E-3</v>
      </c>
      <c r="BP41" s="262">
        <f t="shared" si="67"/>
        <v>1.2043773856875056E-3</v>
      </c>
      <c r="BQ41" s="262" t="e">
        <f t="shared" si="67"/>
        <v>#DIV/0!</v>
      </c>
      <c r="BR41" s="262">
        <f t="shared" si="67"/>
        <v>1.5179729882264863E-3</v>
      </c>
      <c r="BT41" s="163">
        <f t="shared" si="68"/>
        <v>1.2974613518855451</v>
      </c>
      <c r="BU41" s="163">
        <f t="shared" si="68"/>
        <v>1.2258568534613048</v>
      </c>
      <c r="BV41" s="163">
        <f t="shared" si="68"/>
        <v>0.86497684575578726</v>
      </c>
      <c r="BW41" s="163" t="e">
        <f t="shared" si="68"/>
        <v>#DIV/0!</v>
      </c>
      <c r="BX41" s="163">
        <f t="shared" si="68"/>
        <v>1.0901993867554354</v>
      </c>
      <c r="BZ41" s="138"/>
      <c r="CA41" s="138"/>
      <c r="CG41" s="138"/>
    </row>
    <row r="42" spans="1:85" ht="15.75" thickBot="1">
      <c r="A42" s="872"/>
      <c r="B42" s="164" t="s">
        <v>54</v>
      </c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75" thickTop="1">
      <c r="A43" s="872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>
      <c r="A44" s="872"/>
      <c r="B44" s="150" t="s">
        <v>52</v>
      </c>
      <c r="C44" s="203"/>
      <c r="D44" s="268">
        <f t="shared" ref="D44:P45" si="69">D26/D8</f>
        <v>1.1595436485092589E-4</v>
      </c>
      <c r="E44" s="268">
        <f t="shared" si="69"/>
        <v>1.1595436485092591E-4</v>
      </c>
      <c r="F44" s="268">
        <f t="shared" si="69"/>
        <v>1.159543648509259E-4</v>
      </c>
      <c r="G44" s="268">
        <f t="shared" si="69"/>
        <v>1.1595436485092589E-4</v>
      </c>
      <c r="H44" s="268">
        <f t="shared" si="69"/>
        <v>1.1595436485092593E-4</v>
      </c>
      <c r="I44" s="268">
        <f t="shared" si="69"/>
        <v>1.159543648509259E-4</v>
      </c>
      <c r="J44" s="268">
        <f t="shared" si="69"/>
        <v>1.159543648509259E-4</v>
      </c>
      <c r="K44" s="268">
        <f t="shared" si="69"/>
        <v>1.1595436485092589E-4</v>
      </c>
      <c r="L44" s="268">
        <f t="shared" si="69"/>
        <v>1.1595436485092585E-4</v>
      </c>
      <c r="M44" s="268">
        <f t="shared" si="69"/>
        <v>1.1595436485092587E-4</v>
      </c>
      <c r="N44" s="268">
        <f t="shared" si="69"/>
        <v>1.1595436485092587E-4</v>
      </c>
      <c r="O44" s="268">
        <f t="shared" si="69"/>
        <v>1.1595436485092587E-4</v>
      </c>
      <c r="P44" s="268">
        <f t="shared" si="69"/>
        <v>1.1595436485092586E-4</v>
      </c>
      <c r="Q44" s="257"/>
      <c r="R44" s="268">
        <f t="shared" ref="R44:AD45" si="70">R26/R8</f>
        <v>1.5484803865110057E-4</v>
      </c>
      <c r="S44" s="268">
        <f t="shared" si="70"/>
        <v>1.3393871221446815E-4</v>
      </c>
      <c r="T44" s="268">
        <f t="shared" si="70"/>
        <v>1.533039844866741E-4</v>
      </c>
      <c r="U44" s="268">
        <f t="shared" si="70"/>
        <v>1.6727920227503857E-4</v>
      </c>
      <c r="V44" s="268">
        <f t="shared" si="70"/>
        <v>1.8417968566156501E-4</v>
      </c>
      <c r="W44" s="268">
        <f t="shared" si="70"/>
        <v>1.5927625827074078E-4</v>
      </c>
      <c r="X44" s="268">
        <f t="shared" si="70"/>
        <v>1.6435703263868159E-4</v>
      </c>
      <c r="Y44" s="268">
        <f t="shared" si="70"/>
        <v>2.0895740854503554E-4</v>
      </c>
      <c r="Z44" s="268">
        <f t="shared" si="70"/>
        <v>2.0592872281366349E-4</v>
      </c>
      <c r="AA44" s="268" t="e">
        <f t="shared" si="70"/>
        <v>#DIV/0!</v>
      </c>
      <c r="AB44" s="268" t="e">
        <f t="shared" si="70"/>
        <v>#DIV/0!</v>
      </c>
      <c r="AC44" s="268" t="e">
        <f t="shared" si="70"/>
        <v>#DIV/0!</v>
      </c>
      <c r="AD44" s="268">
        <f t="shared" si="70"/>
        <v>1.7173773744053852E-4</v>
      </c>
      <c r="AE44" s="257"/>
      <c r="AF44" s="268">
        <f t="shared" ref="AF44:AQ45" si="71">R44-D44</f>
        <v>3.8893673800174681E-5</v>
      </c>
      <c r="AG44" s="268">
        <f t="shared" si="71"/>
        <v>1.7984347363542236E-5</v>
      </c>
      <c r="AH44" s="268">
        <f t="shared" si="71"/>
        <v>3.7349619635748199E-5</v>
      </c>
      <c r="AI44" s="268">
        <f t="shared" si="71"/>
        <v>5.1324837424112678E-5</v>
      </c>
      <c r="AJ44" s="268">
        <f t="shared" si="71"/>
        <v>6.8225320810639086E-5</v>
      </c>
      <c r="AK44" s="268">
        <f t="shared" si="71"/>
        <v>4.3321893419814882E-5</v>
      </c>
      <c r="AL44" s="268">
        <f t="shared" si="71"/>
        <v>4.8402667787755691E-5</v>
      </c>
      <c r="AM44" s="268">
        <f t="shared" si="71"/>
        <v>9.3003043694109654E-5</v>
      </c>
      <c r="AN44" s="268">
        <f t="shared" si="71"/>
        <v>8.9974357962737647E-5</v>
      </c>
      <c r="AO44" s="268" t="e">
        <f t="shared" si="71"/>
        <v>#DIV/0!</v>
      </c>
      <c r="AP44" s="268" t="e">
        <f t="shared" si="71"/>
        <v>#DIV/0!</v>
      </c>
      <c r="AQ44" s="268" t="e">
        <f t="shared" si="71"/>
        <v>#DIV/0!</v>
      </c>
      <c r="AR44" s="268">
        <f>AR26/AR8</f>
        <v>5.5219055125161835E-5</v>
      </c>
      <c r="AS44" s="257"/>
      <c r="AT44" s="258">
        <f t="shared" ref="AT44:BF45" si="72">R44/D44</f>
        <v>1.3354222486594398</v>
      </c>
      <c r="AU44" s="258">
        <f t="shared" si="72"/>
        <v>1.1550984940210176</v>
      </c>
      <c r="AV44" s="258">
        <f t="shared" si="72"/>
        <v>1.3221061982769333</v>
      </c>
      <c r="AW44" s="258">
        <f t="shared" si="72"/>
        <v>1.442629628389559</v>
      </c>
      <c r="AX44" s="258">
        <f t="shared" si="72"/>
        <v>1.5883807901354245</v>
      </c>
      <c r="AY44" s="258">
        <f t="shared" si="72"/>
        <v>1.3736115796547261</v>
      </c>
      <c r="AZ44" s="258">
        <f t="shared" si="72"/>
        <v>1.4174285965861093</v>
      </c>
      <c r="BA44" s="258">
        <f t="shared" si="72"/>
        <v>1.8020659145835254</v>
      </c>
      <c r="BB44" s="258">
        <f t="shared" si="72"/>
        <v>1.7759462791970893</v>
      </c>
      <c r="BC44" s="258" t="e">
        <f t="shared" si="72"/>
        <v>#DIV/0!</v>
      </c>
      <c r="BD44" s="258" t="e">
        <f t="shared" si="72"/>
        <v>#DIV/0!</v>
      </c>
      <c r="BE44" s="258" t="e">
        <f t="shared" si="72"/>
        <v>#DIV/0!</v>
      </c>
      <c r="BF44" s="258">
        <f t="shared" si="72"/>
        <v>1.4810804031510958</v>
      </c>
      <c r="BH44" s="259">
        <f t="shared" ref="BH44:BL45" si="73">BH26/BH8</f>
        <v>1.159543648509259E-4</v>
      </c>
      <c r="BI44" s="259">
        <f t="shared" si="73"/>
        <v>1.159543648509259E-4</v>
      </c>
      <c r="BJ44" s="259">
        <f t="shared" si="73"/>
        <v>1.1595436485092587E-4</v>
      </c>
      <c r="BK44" s="259">
        <f t="shared" si="73"/>
        <v>1.1595436485092589E-4</v>
      </c>
      <c r="BL44" s="259">
        <f t="shared" si="73"/>
        <v>1.1595436485092591E-4</v>
      </c>
      <c r="BN44" s="259">
        <f t="shared" ref="BN44:BR45" si="74">BN26/BN8</f>
        <v>1.4772866588143774E-4</v>
      </c>
      <c r="BO44" s="259">
        <f t="shared" si="74"/>
        <v>1.7014907761930852E-4</v>
      </c>
      <c r="BP44" s="259">
        <f t="shared" si="74"/>
        <v>1.9222392432540354E-4</v>
      </c>
      <c r="BQ44" s="259" t="e">
        <f t="shared" si="74"/>
        <v>#DIV/0!</v>
      </c>
      <c r="BR44" s="259">
        <f t="shared" si="74"/>
        <v>1.7173773744053852E-4</v>
      </c>
      <c r="BT44" s="156">
        <f t="shared" ref="BT44:BX45" si="75">BN44/BH44</f>
        <v>1.2740241910803594</v>
      </c>
      <c r="BU44" s="156">
        <f t="shared" si="75"/>
        <v>1.4673796699076989</v>
      </c>
      <c r="BV44" s="156">
        <f t="shared" si="75"/>
        <v>1.6577549674178451</v>
      </c>
      <c r="BW44" s="156" t="e">
        <f t="shared" si="75"/>
        <v>#DIV/0!</v>
      </c>
      <c r="BX44" s="156">
        <f t="shared" si="75"/>
        <v>1.4810804031510951</v>
      </c>
      <c r="BZ44" s="138"/>
      <c r="CA44" s="138"/>
    </row>
    <row r="45" spans="1:85">
      <c r="A45" s="872"/>
      <c r="B45" s="157" t="s">
        <v>53</v>
      </c>
      <c r="C45" s="213"/>
      <c r="D45" s="261">
        <f t="shared" si="69"/>
        <v>1.9121975501877992E-3</v>
      </c>
      <c r="E45" s="261">
        <f t="shared" si="69"/>
        <v>1.9121975501877992E-3</v>
      </c>
      <c r="F45" s="261">
        <f t="shared" si="69"/>
        <v>1.9121975501877994E-3</v>
      </c>
      <c r="G45" s="261">
        <f t="shared" si="69"/>
        <v>1.9121975501877988E-3</v>
      </c>
      <c r="H45" s="261">
        <f t="shared" si="69"/>
        <v>1.9121975501877994E-3</v>
      </c>
      <c r="I45" s="261">
        <f t="shared" si="69"/>
        <v>1.9121975501877992E-3</v>
      </c>
      <c r="J45" s="261">
        <f t="shared" si="69"/>
        <v>1.9121975501877992E-3</v>
      </c>
      <c r="K45" s="261">
        <f t="shared" si="69"/>
        <v>1.912197550187799E-3</v>
      </c>
      <c r="L45" s="261">
        <f t="shared" si="69"/>
        <v>1.912197550187799E-3</v>
      </c>
      <c r="M45" s="261">
        <f t="shared" si="69"/>
        <v>1.9121975501877992E-3</v>
      </c>
      <c r="N45" s="261">
        <f t="shared" si="69"/>
        <v>1.9121975501877994E-3</v>
      </c>
      <c r="O45" s="261">
        <f t="shared" si="69"/>
        <v>1.9121975501877996E-3</v>
      </c>
      <c r="P45" s="261">
        <f t="shared" si="69"/>
        <v>1.912197550187799E-3</v>
      </c>
      <c r="Q45" s="257"/>
      <c r="R45" s="261">
        <f t="shared" si="70"/>
        <v>5.0362012479059483E-4</v>
      </c>
      <c r="S45" s="261">
        <f t="shared" si="70"/>
        <v>3.7164525527758101E-4</v>
      </c>
      <c r="T45" s="261">
        <f t="shared" si="70"/>
        <v>5.1883686400340816E-4</v>
      </c>
      <c r="U45" s="261">
        <f t="shared" si="70"/>
        <v>4.2477290944872723E-4</v>
      </c>
      <c r="V45" s="261">
        <f t="shared" si="70"/>
        <v>6.2754567485018731E-4</v>
      </c>
      <c r="W45" s="261">
        <f t="shared" si="70"/>
        <v>6.4605982711032797E-4</v>
      </c>
      <c r="X45" s="261">
        <f t="shared" si="70"/>
        <v>4.7918176627476371E-4</v>
      </c>
      <c r="Y45" s="261">
        <f t="shared" si="70"/>
        <v>4.498545588321486E-4</v>
      </c>
      <c r="Z45" s="261">
        <f t="shared" si="70"/>
        <v>7.116648393600052E-4</v>
      </c>
      <c r="AA45" s="261" t="e">
        <f t="shared" si="70"/>
        <v>#DIV/0!</v>
      </c>
      <c r="AB45" s="261" t="e">
        <f t="shared" si="70"/>
        <v>#DIV/0!</v>
      </c>
      <c r="AC45" s="261" t="e">
        <f t="shared" si="70"/>
        <v>#DIV/0!</v>
      </c>
      <c r="AD45" s="261">
        <f t="shared" si="70"/>
        <v>5.1635556279486087E-4</v>
      </c>
      <c r="AE45" s="257"/>
      <c r="AF45" s="261">
        <f t="shared" si="71"/>
        <v>-1.4085774253972043E-3</v>
      </c>
      <c r="AG45" s="261">
        <f t="shared" si="71"/>
        <v>-1.5405522949102181E-3</v>
      </c>
      <c r="AH45" s="261">
        <f t="shared" si="71"/>
        <v>-1.3933606861843912E-3</v>
      </c>
      <c r="AI45" s="261">
        <f t="shared" si="71"/>
        <v>-1.4874246407390716E-3</v>
      </c>
      <c r="AJ45" s="261">
        <f t="shared" si="71"/>
        <v>-1.2846518753376122E-3</v>
      </c>
      <c r="AK45" s="261">
        <f t="shared" si="71"/>
        <v>-1.2661377230774712E-3</v>
      </c>
      <c r="AL45" s="261">
        <f t="shared" si="71"/>
        <v>-1.4330157839130356E-3</v>
      </c>
      <c r="AM45" s="261">
        <f t="shared" si="71"/>
        <v>-1.4623429913556505E-3</v>
      </c>
      <c r="AN45" s="261">
        <f t="shared" si="71"/>
        <v>-1.2005327108277938E-3</v>
      </c>
      <c r="AO45" s="261" t="e">
        <f t="shared" si="71"/>
        <v>#DIV/0!</v>
      </c>
      <c r="AP45" s="261" t="e">
        <f t="shared" si="71"/>
        <v>#DIV/0!</v>
      </c>
      <c r="AQ45" s="261" t="e">
        <f t="shared" si="71"/>
        <v>#DIV/0!</v>
      </c>
      <c r="AR45" s="261">
        <f>AR27/AR9</f>
        <v>-4.771870552783237E-4</v>
      </c>
      <c r="AS45" s="257"/>
      <c r="AT45" s="184">
        <f t="shared" si="72"/>
        <v>0.26337243489362994</v>
      </c>
      <c r="AU45" s="184">
        <f t="shared" si="72"/>
        <v>0.19435505251069968</v>
      </c>
      <c r="AV45" s="184">
        <f t="shared" si="72"/>
        <v>0.27133015830527157</v>
      </c>
      <c r="AW45" s="184">
        <f t="shared" si="72"/>
        <v>0.22213861188505857</v>
      </c>
      <c r="AX45" s="184">
        <f t="shared" si="72"/>
        <v>0.32818035709153337</v>
      </c>
      <c r="AY45" s="184">
        <f t="shared" si="72"/>
        <v>0.33786249074886515</v>
      </c>
      <c r="AZ45" s="184">
        <f t="shared" si="72"/>
        <v>0.25059218710310693</v>
      </c>
      <c r="BA45" s="184">
        <f t="shared" si="72"/>
        <v>0.23525527411535899</v>
      </c>
      <c r="BB45" s="184">
        <f t="shared" si="72"/>
        <v>0.37217119083230277</v>
      </c>
      <c r="BC45" s="184" t="e">
        <f t="shared" si="72"/>
        <v>#DIV/0!</v>
      </c>
      <c r="BD45" s="184" t="e">
        <f t="shared" si="72"/>
        <v>#DIV/0!</v>
      </c>
      <c r="BE45" s="184" t="e">
        <f t="shared" si="72"/>
        <v>#DIV/0!</v>
      </c>
      <c r="BF45" s="184">
        <f t="shared" si="72"/>
        <v>0.27003254069860566</v>
      </c>
      <c r="BH45" s="262">
        <f t="shared" si="73"/>
        <v>1.912197550187799E-3</v>
      </c>
      <c r="BI45" s="262">
        <f t="shared" si="73"/>
        <v>1.912197550187799E-3</v>
      </c>
      <c r="BJ45" s="262">
        <f t="shared" si="73"/>
        <v>1.912197550187799E-3</v>
      </c>
      <c r="BK45" s="262">
        <f t="shared" si="73"/>
        <v>1.9121975501877996E-3</v>
      </c>
      <c r="BL45" s="262">
        <f t="shared" si="73"/>
        <v>1.912197550187799E-3</v>
      </c>
      <c r="BN45" s="262">
        <f t="shared" si="74"/>
        <v>4.7208204713554593E-4</v>
      </c>
      <c r="BO45" s="262">
        <f t="shared" si="74"/>
        <v>5.4222282441646725E-4</v>
      </c>
      <c r="BP45" s="262">
        <f t="shared" si="74"/>
        <v>5.351548984472628E-4</v>
      </c>
      <c r="BQ45" s="262" t="e">
        <f t="shared" si="74"/>
        <v>#DIV/0!</v>
      </c>
      <c r="BR45" s="262">
        <f t="shared" si="74"/>
        <v>5.1635556279486087E-4</v>
      </c>
      <c r="BT45" s="163">
        <f t="shared" si="75"/>
        <v>0.24687932849259336</v>
      </c>
      <c r="BU45" s="163">
        <f t="shared" si="75"/>
        <v>0.28356004554195507</v>
      </c>
      <c r="BV45" s="163">
        <f t="shared" si="75"/>
        <v>0.2798638134405646</v>
      </c>
      <c r="BW45" s="163" t="e">
        <f t="shared" si="75"/>
        <v>#DIV/0!</v>
      </c>
      <c r="BX45" s="163">
        <f t="shared" si="75"/>
        <v>0.27003254069860566</v>
      </c>
      <c r="BZ45" s="138"/>
      <c r="CA45" s="138"/>
    </row>
    <row r="46" spans="1:85" ht="15.75" thickBot="1">
      <c r="A46" s="872"/>
      <c r="B46" s="164" t="s">
        <v>62</v>
      </c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75" thickTop="1">
      <c r="A47" s="872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>
      <c r="A48" s="872"/>
      <c r="B48" s="150" t="s">
        <v>52</v>
      </c>
      <c r="C48" s="151"/>
      <c r="D48" s="268">
        <f t="shared" ref="D48:P49" si="76">D30/D12</f>
        <v>1.9033167084063054E-4</v>
      </c>
      <c r="E48" s="268">
        <f t="shared" si="76"/>
        <v>1.9033167084063049E-4</v>
      </c>
      <c r="F48" s="268">
        <f t="shared" si="76"/>
        <v>1.9033167084063049E-4</v>
      </c>
      <c r="G48" s="268">
        <f t="shared" si="76"/>
        <v>1.9033167084063057E-4</v>
      </c>
      <c r="H48" s="268">
        <f t="shared" si="76"/>
        <v>1.9033167084063049E-4</v>
      </c>
      <c r="I48" s="268">
        <f t="shared" si="76"/>
        <v>1.9033167084063054E-4</v>
      </c>
      <c r="J48" s="268">
        <f t="shared" si="76"/>
        <v>1.9033167084063051E-4</v>
      </c>
      <c r="K48" s="268">
        <f t="shared" si="76"/>
        <v>1.9033167084063051E-4</v>
      </c>
      <c r="L48" s="268">
        <f t="shared" si="76"/>
        <v>1.9033167084063051E-4</v>
      </c>
      <c r="M48" s="268">
        <f t="shared" si="76"/>
        <v>1.9033167084063049E-4</v>
      </c>
      <c r="N48" s="268">
        <f t="shared" si="76"/>
        <v>1.9033167084063051E-4</v>
      </c>
      <c r="O48" s="268">
        <f t="shared" si="76"/>
        <v>1.9033167084063051E-4</v>
      </c>
      <c r="P48" s="268">
        <f t="shared" si="76"/>
        <v>1.9033167084063054E-4</v>
      </c>
      <c r="Q48" s="151"/>
      <c r="R48" s="268">
        <f>R30/R12</f>
        <v>1.9271916338608013E-4</v>
      </c>
      <c r="S48" s="268">
        <f t="shared" ref="S48:AD49" si="77">S30/S12</f>
        <v>1.6871166583865786E-4</v>
      </c>
      <c r="T48" s="268">
        <f t="shared" si="77"/>
        <v>2.2733137532162854E-4</v>
      </c>
      <c r="U48" s="268">
        <f t="shared" si="77"/>
        <v>2.1281263206471984E-4</v>
      </c>
      <c r="V48" s="268">
        <f t="shared" si="77"/>
        <v>2.1120000493311708E-4</v>
      </c>
      <c r="W48" s="268">
        <f t="shared" si="77"/>
        <v>1.7995667180769137E-4</v>
      </c>
      <c r="X48" s="268">
        <f t="shared" si="77"/>
        <v>1.7864254528916716E-4</v>
      </c>
      <c r="Y48" s="268">
        <f t="shared" si="77"/>
        <v>2.4553827143304792E-4</v>
      </c>
      <c r="Z48" s="268">
        <f t="shared" si="77"/>
        <v>2.0750180821837668E-4</v>
      </c>
      <c r="AA48" s="268" t="e">
        <f t="shared" si="77"/>
        <v>#DIV/0!</v>
      </c>
      <c r="AB48" s="268" t="e">
        <f t="shared" si="77"/>
        <v>#DIV/0!</v>
      </c>
      <c r="AC48" s="268" t="e">
        <f t="shared" si="77"/>
        <v>#DIV/0!</v>
      </c>
      <c r="AD48" s="268">
        <f t="shared" si="77"/>
        <v>2.0192788832146732E-4</v>
      </c>
      <c r="AE48" s="151"/>
      <c r="AF48" s="268">
        <f t="shared" ref="AF48:AR49" si="78">R48-D48</f>
        <v>2.3874925454495924E-6</v>
      </c>
      <c r="AG48" s="268">
        <f t="shared" si="78"/>
        <v>-2.1620005001972631E-5</v>
      </c>
      <c r="AH48" s="268">
        <f t="shared" si="78"/>
        <v>3.6999704480998049E-5</v>
      </c>
      <c r="AI48" s="268">
        <f t="shared" si="78"/>
        <v>2.2480961224089272E-5</v>
      </c>
      <c r="AJ48" s="268">
        <f t="shared" si="78"/>
        <v>2.086833409248659E-5</v>
      </c>
      <c r="AK48" s="268">
        <f t="shared" si="78"/>
        <v>-1.0374999032939172E-5</v>
      </c>
      <c r="AL48" s="268">
        <f t="shared" si="78"/>
        <v>-1.1689125551463353E-5</v>
      </c>
      <c r="AM48" s="268">
        <f t="shared" si="78"/>
        <v>5.5206600592417406E-5</v>
      </c>
      <c r="AN48" s="268">
        <f t="shared" si="78"/>
        <v>1.7170137377746169E-5</v>
      </c>
      <c r="AO48" s="268" t="e">
        <f t="shared" si="78"/>
        <v>#DIV/0!</v>
      </c>
      <c r="AP48" s="268" t="e">
        <f t="shared" si="78"/>
        <v>#DIV/0!</v>
      </c>
      <c r="AQ48" s="268" t="e">
        <f t="shared" si="78"/>
        <v>#DIV/0!</v>
      </c>
      <c r="AR48" s="268">
        <f t="shared" si="78"/>
        <v>1.1596217480836781E-5</v>
      </c>
      <c r="AS48" s="151"/>
      <c r="AT48" s="184">
        <f>(R48-D48)/D48</f>
        <v>1.2543853237376871E-2</v>
      </c>
      <c r="AU48" s="258">
        <f t="shared" ref="AU48:BF49" si="79">S48/E48</f>
        <v>0.88640878889737895</v>
      </c>
      <c r="AV48" s="258">
        <f t="shared" si="79"/>
        <v>1.1943959421865151</v>
      </c>
      <c r="AW48" s="258">
        <f t="shared" si="79"/>
        <v>1.1181146633389938</v>
      </c>
      <c r="AX48" s="258">
        <f t="shared" si="79"/>
        <v>1.1096419424067379</v>
      </c>
      <c r="AY48" s="258">
        <f t="shared" si="79"/>
        <v>0.9454898967307106</v>
      </c>
      <c r="AZ48" s="258">
        <f t="shared" si="79"/>
        <v>0.93858549394414259</v>
      </c>
      <c r="BA48" s="258">
        <f t="shared" si="79"/>
        <v>1.2900547257773158</v>
      </c>
      <c r="BB48" s="258">
        <f t="shared" si="79"/>
        <v>1.0902116673589397</v>
      </c>
      <c r="BC48" s="258" t="e">
        <f t="shared" si="79"/>
        <v>#DIV/0!</v>
      </c>
      <c r="BD48" s="258" t="e">
        <f t="shared" si="79"/>
        <v>#DIV/0!</v>
      </c>
      <c r="BE48" s="258" t="e">
        <f t="shared" si="79"/>
        <v>#DIV/0!</v>
      </c>
      <c r="BF48" s="258">
        <f t="shared" si="79"/>
        <v>1.0609263683212584</v>
      </c>
      <c r="BH48" s="258">
        <f t="shared" ref="BH48:BL49" si="80">AF48/R48</f>
        <v>1.2388454284988028E-2</v>
      </c>
      <c r="BI48" s="258">
        <f t="shared" si="80"/>
        <v>-0.12814765887409499</v>
      </c>
      <c r="BJ48" s="258">
        <f t="shared" si="80"/>
        <v>0.16275670011959786</v>
      </c>
      <c r="BK48" s="258">
        <f t="shared" si="80"/>
        <v>0.10563734401467503</v>
      </c>
      <c r="BL48" s="258">
        <f t="shared" si="80"/>
        <v>9.8808397751198845E-2</v>
      </c>
      <c r="BN48" s="258">
        <f t="shared" ref="BN48:BR49" si="81">AL48/X48</f>
        <v>-6.5433044141541233E-2</v>
      </c>
      <c r="BO48" s="258">
        <f t="shared" si="81"/>
        <v>0.22483908626631693</v>
      </c>
      <c r="BP48" s="258">
        <f t="shared" si="81"/>
        <v>8.2746928931222458E-2</v>
      </c>
      <c r="BQ48" s="258" t="e">
        <f t="shared" si="81"/>
        <v>#DIV/0!</v>
      </c>
      <c r="BR48" s="258" t="e">
        <f t="shared" si="81"/>
        <v>#DIV/0!</v>
      </c>
      <c r="BT48" s="156">
        <f t="shared" ref="BT48:BX50" si="82">BN48/BH48</f>
        <v>-5.2817762923685407</v>
      </c>
      <c r="BU48" s="156">
        <f t="shared" si="82"/>
        <v>-1.7545313604770667</v>
      </c>
      <c r="BV48" s="156">
        <f t="shared" si="82"/>
        <v>0.50840874059512053</v>
      </c>
      <c r="BW48" s="156" t="e">
        <f t="shared" si="82"/>
        <v>#DIV/0!</v>
      </c>
      <c r="BX48" s="156" t="e">
        <f t="shared" si="82"/>
        <v>#DIV/0!</v>
      </c>
      <c r="BZ48" s="138"/>
      <c r="CA48" s="138"/>
    </row>
    <row r="49" spans="1:79">
      <c r="A49" s="872"/>
      <c r="B49" s="157" t="s">
        <v>53</v>
      </c>
      <c r="C49" s="158"/>
      <c r="D49" s="268">
        <f t="shared" si="76"/>
        <v>5.6702815725121088E-4</v>
      </c>
      <c r="E49" s="268">
        <f t="shared" si="76"/>
        <v>5.6702815725121077E-4</v>
      </c>
      <c r="F49" s="268">
        <f t="shared" si="76"/>
        <v>5.6702815725121077E-4</v>
      </c>
      <c r="G49" s="268">
        <f t="shared" si="76"/>
        <v>5.6702815725121088E-4</v>
      </c>
      <c r="H49" s="268">
        <f t="shared" si="76"/>
        <v>5.6702815725121066E-4</v>
      </c>
      <c r="I49" s="268">
        <f t="shared" si="76"/>
        <v>5.6702815725121077E-4</v>
      </c>
      <c r="J49" s="268">
        <f t="shared" si="76"/>
        <v>5.6702815725121077E-4</v>
      </c>
      <c r="K49" s="268">
        <f t="shared" si="76"/>
        <v>5.6702815725121088E-4</v>
      </c>
      <c r="L49" s="268">
        <f t="shared" si="76"/>
        <v>5.6702815725121077E-4</v>
      </c>
      <c r="M49" s="268">
        <f t="shared" si="76"/>
        <v>5.6702815725121077E-4</v>
      </c>
      <c r="N49" s="268">
        <f t="shared" si="76"/>
        <v>5.6702815725121077E-4</v>
      </c>
      <c r="O49" s="268">
        <f t="shared" si="76"/>
        <v>5.6702815725121077E-4</v>
      </c>
      <c r="P49" s="268">
        <f t="shared" si="76"/>
        <v>5.6702815725121088E-4</v>
      </c>
      <c r="Q49" s="151"/>
      <c r="R49" s="261">
        <f>R31/R13</f>
        <v>2.9178327116334655E-4</v>
      </c>
      <c r="S49" s="261">
        <f t="shared" si="77"/>
        <v>2.9512278932005179E-4</v>
      </c>
      <c r="T49" s="261">
        <f t="shared" si="77"/>
        <v>3.8277813124159036E-4</v>
      </c>
      <c r="U49" s="261">
        <f t="shared" si="77"/>
        <v>3.6798273207660836E-4</v>
      </c>
      <c r="V49" s="261">
        <f t="shared" si="77"/>
        <v>3.8945078219425929E-4</v>
      </c>
      <c r="W49" s="261">
        <f t="shared" si="77"/>
        <v>4.7660416729444728E-4</v>
      </c>
      <c r="X49" s="261">
        <f t="shared" si="77"/>
        <v>3.6681420633770509E-4</v>
      </c>
      <c r="Y49" s="261">
        <f t="shared" si="77"/>
        <v>4.2374222013580835E-4</v>
      </c>
      <c r="Z49" s="261">
        <f t="shared" si="77"/>
        <v>4.553820005362459E-4</v>
      </c>
      <c r="AA49" s="261" t="e">
        <f t="shared" si="77"/>
        <v>#DIV/0!</v>
      </c>
      <c r="AB49" s="261" t="e">
        <f t="shared" si="77"/>
        <v>#DIV/0!</v>
      </c>
      <c r="AC49" s="261" t="e">
        <f t="shared" si="77"/>
        <v>#DIV/0!</v>
      </c>
      <c r="AD49" s="261">
        <f t="shared" si="77"/>
        <v>3.9312878080022371E-4</v>
      </c>
      <c r="AE49" s="151"/>
      <c r="AF49" s="261">
        <f t="shared" si="78"/>
        <v>-2.7524488608786433E-4</v>
      </c>
      <c r="AG49" s="261">
        <f t="shared" si="78"/>
        <v>-2.7190536793115898E-4</v>
      </c>
      <c r="AH49" s="261">
        <f t="shared" si="78"/>
        <v>-1.8425002600962041E-4</v>
      </c>
      <c r="AI49" s="261">
        <f t="shared" si="78"/>
        <v>-1.9904542517460252E-4</v>
      </c>
      <c r="AJ49" s="261">
        <f t="shared" si="78"/>
        <v>-1.7757737505695137E-4</v>
      </c>
      <c r="AK49" s="261">
        <f t="shared" si="78"/>
        <v>-9.0423989956763494E-5</v>
      </c>
      <c r="AL49" s="261">
        <f t="shared" si="78"/>
        <v>-2.0021395091350568E-4</v>
      </c>
      <c r="AM49" s="261">
        <f t="shared" si="78"/>
        <v>-1.4328593711540252E-4</v>
      </c>
      <c r="AN49" s="261">
        <f t="shared" si="78"/>
        <v>-1.1164615671496487E-4</v>
      </c>
      <c r="AO49" s="261" t="e">
        <f t="shared" si="78"/>
        <v>#DIV/0!</v>
      </c>
      <c r="AP49" s="261" t="e">
        <f t="shared" si="78"/>
        <v>#DIV/0!</v>
      </c>
      <c r="AQ49" s="261" t="e">
        <f t="shared" si="78"/>
        <v>#DIV/0!</v>
      </c>
      <c r="AR49" s="261">
        <f t="shared" si="78"/>
        <v>-1.7389937645098717E-4</v>
      </c>
      <c r="AS49" s="151"/>
      <c r="AT49" s="184">
        <f>(R49-D49)/D49</f>
        <v>-0.48541661038875428</v>
      </c>
      <c r="AU49" s="184">
        <f t="shared" si="79"/>
        <v>0.52047289988335343</v>
      </c>
      <c r="AV49" s="184">
        <f t="shared" si="79"/>
        <v>0.67506018236764209</v>
      </c>
      <c r="AW49" s="184">
        <f t="shared" si="79"/>
        <v>0.64896729972014544</v>
      </c>
      <c r="AX49" s="184">
        <f t="shared" si="79"/>
        <v>0.68682794181192808</v>
      </c>
      <c r="AY49" s="184">
        <f t="shared" si="79"/>
        <v>0.84052998285814773</v>
      </c>
      <c r="AZ49" s="184">
        <f t="shared" si="79"/>
        <v>0.64690651010333378</v>
      </c>
      <c r="BA49" s="184">
        <f t="shared" si="79"/>
        <v>0.74730366511248492</v>
      </c>
      <c r="BB49" s="184">
        <f t="shared" si="79"/>
        <v>0.80310297595062419</v>
      </c>
      <c r="BC49" s="184" t="e">
        <f t="shared" si="79"/>
        <v>#DIV/0!</v>
      </c>
      <c r="BD49" s="184" t="e">
        <f t="shared" si="79"/>
        <v>#DIV/0!</v>
      </c>
      <c r="BE49" s="184" t="e">
        <f t="shared" si="79"/>
        <v>#DIV/0!</v>
      </c>
      <c r="BF49" s="184">
        <f t="shared" si="79"/>
        <v>0.69331438972272341</v>
      </c>
      <c r="BH49" s="184">
        <f t="shared" si="80"/>
        <v>-0.94331962552361792</v>
      </c>
      <c r="BI49" s="184">
        <f t="shared" si="80"/>
        <v>-0.92132962201128354</v>
      </c>
      <c r="BJ49" s="184">
        <f t="shared" si="80"/>
        <v>-0.48134940575623175</v>
      </c>
      <c r="BK49" s="184">
        <f t="shared" si="80"/>
        <v>-0.54090968902628922</v>
      </c>
      <c r="BL49" s="184">
        <f t="shared" si="80"/>
        <v>-0.45596872101896357</v>
      </c>
      <c r="BN49" s="184">
        <f t="shared" si="81"/>
        <v>-0.54581842102696543</v>
      </c>
      <c r="BO49" s="184">
        <f t="shared" si="81"/>
        <v>-0.3381441128747561</v>
      </c>
      <c r="BP49" s="184">
        <f t="shared" si="81"/>
        <v>-0.24517033300282681</v>
      </c>
      <c r="BQ49" s="184" t="e">
        <f t="shared" si="81"/>
        <v>#DIV/0!</v>
      </c>
      <c r="BR49" s="184" t="e">
        <f t="shared" si="81"/>
        <v>#DIV/0!</v>
      </c>
      <c r="BT49" s="163">
        <f t="shared" si="82"/>
        <v>0.57861450801894687</v>
      </c>
      <c r="BU49" s="163">
        <f t="shared" si="82"/>
        <v>0.36701751989323844</v>
      </c>
      <c r="BV49" s="163">
        <f t="shared" si="82"/>
        <v>0.50933963991842479</v>
      </c>
      <c r="BW49" s="163" t="e">
        <f t="shared" si="82"/>
        <v>#DIV/0!</v>
      </c>
      <c r="BX49" s="163" t="e">
        <f t="shared" si="82"/>
        <v>#DIV/0!</v>
      </c>
      <c r="BZ49" s="138"/>
      <c r="CA49" s="138"/>
    </row>
    <row r="50" spans="1:79" ht="16.5" thickBot="1">
      <c r="A50" s="872"/>
      <c r="B50" s="164" t="s">
        <v>63</v>
      </c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 t="e">
        <f t="shared" si="82"/>
        <v>#DIV/0!</v>
      </c>
      <c r="BU50" s="172" t="e">
        <f t="shared" si="82"/>
        <v>#DIV/0!</v>
      </c>
      <c r="BV50" s="172" t="e">
        <f t="shared" si="82"/>
        <v>#DIV/0!</v>
      </c>
      <c r="BW50" s="172" t="e">
        <f t="shared" si="82"/>
        <v>#DIV/0!</v>
      </c>
      <c r="BX50" s="172" t="e">
        <f t="shared" si="82"/>
        <v>#DIV/0!</v>
      </c>
    </row>
    <row r="51" spans="1:79" ht="16.5" thickTop="1">
      <c r="A51" s="872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872"/>
      <c r="B52" s="150" t="s">
        <v>52</v>
      </c>
      <c r="C52" s="151"/>
      <c r="D52" s="268">
        <f t="shared" ref="D52:P53" si="83">D34/D16</f>
        <v>7.8971620814351478E-5</v>
      </c>
      <c r="E52" s="268">
        <f t="shared" si="83"/>
        <v>7.8971620814351478E-5</v>
      </c>
      <c r="F52" s="268">
        <f t="shared" si="83"/>
        <v>7.8971620814351464E-5</v>
      </c>
      <c r="G52" s="268">
        <f t="shared" si="83"/>
        <v>7.8971620814351491E-5</v>
      </c>
      <c r="H52" s="268">
        <f t="shared" si="83"/>
        <v>7.8971620814351464E-5</v>
      </c>
      <c r="I52" s="268">
        <f t="shared" si="83"/>
        <v>7.8971620814351464E-5</v>
      </c>
      <c r="J52" s="268">
        <f t="shared" si="83"/>
        <v>7.8971620814351491E-5</v>
      </c>
      <c r="K52" s="268">
        <f t="shared" si="83"/>
        <v>7.8971620814351464E-5</v>
      </c>
      <c r="L52" s="268">
        <f t="shared" si="83"/>
        <v>7.8971620814351464E-5</v>
      </c>
      <c r="M52" s="268">
        <f t="shared" si="83"/>
        <v>7.8971620814351491E-5</v>
      </c>
      <c r="N52" s="268">
        <f t="shared" si="83"/>
        <v>7.8971620814351464E-5</v>
      </c>
      <c r="O52" s="268">
        <f t="shared" si="83"/>
        <v>7.8971620814351464E-5</v>
      </c>
      <c r="P52" s="268">
        <f t="shared" si="83"/>
        <v>7.8971620814351478E-5</v>
      </c>
      <c r="Q52" s="151"/>
      <c r="R52" s="268">
        <f t="shared" ref="R52:AD53" si="84">R34/R16</f>
        <v>8.790366187271892E-5</v>
      </c>
      <c r="S52" s="268">
        <f t="shared" si="84"/>
        <v>8.9887832571540805E-5</v>
      </c>
      <c r="T52" s="268">
        <f t="shared" si="84"/>
        <v>1.1728003459816152E-4</v>
      </c>
      <c r="U52" s="268">
        <f t="shared" si="84"/>
        <v>1.288512977705049E-4</v>
      </c>
      <c r="V52" s="268">
        <f t="shared" si="84"/>
        <v>1.4394687905613211E-4</v>
      </c>
      <c r="W52" s="268">
        <f t="shared" si="84"/>
        <v>1.2555853584834473E-4</v>
      </c>
      <c r="X52" s="268">
        <f t="shared" si="84"/>
        <v>9.4165052913135086E-5</v>
      </c>
      <c r="Y52" s="268">
        <f t="shared" si="84"/>
        <v>1.0841008968075988E-4</v>
      </c>
      <c r="Z52" s="268">
        <f t="shared" si="84"/>
        <v>7.8165696808461335E-5</v>
      </c>
      <c r="AA52" s="268" t="e">
        <f t="shared" si="84"/>
        <v>#DIV/0!</v>
      </c>
      <c r="AB52" s="268" t="e">
        <f t="shared" si="84"/>
        <v>#DIV/0!</v>
      </c>
      <c r="AC52" s="268" t="e">
        <f t="shared" si="84"/>
        <v>#DIV/0!</v>
      </c>
      <c r="AD52" s="268">
        <f t="shared" si="84"/>
        <v>1.1180819806593712E-4</v>
      </c>
      <c r="AE52" s="151"/>
      <c r="AF52" s="268">
        <f t="shared" ref="AF52:AQ53" si="85">R52-D52</f>
        <v>8.9320410583674419E-6</v>
      </c>
      <c r="AG52" s="268">
        <f t="shared" si="85"/>
        <v>1.0916211757189327E-5</v>
      </c>
      <c r="AH52" s="268">
        <f t="shared" si="85"/>
        <v>3.8308413783810059E-5</v>
      </c>
      <c r="AI52" s="268">
        <f t="shared" si="85"/>
        <v>4.9879676956153407E-5</v>
      </c>
      <c r="AJ52" s="268">
        <f t="shared" si="85"/>
        <v>6.4975258241780642E-5</v>
      </c>
      <c r="AK52" s="268">
        <f t="shared" si="85"/>
        <v>4.6586915033993269E-5</v>
      </c>
      <c r="AL52" s="268">
        <f t="shared" si="85"/>
        <v>1.5193432098783595E-5</v>
      </c>
      <c r="AM52" s="268">
        <f t="shared" si="85"/>
        <v>2.9438468866408411E-5</v>
      </c>
      <c r="AN52" s="268">
        <f t="shared" si="85"/>
        <v>-8.0592400589012906E-7</v>
      </c>
      <c r="AO52" s="268" t="e">
        <f t="shared" si="85"/>
        <v>#DIV/0!</v>
      </c>
      <c r="AP52" s="268" t="e">
        <f t="shared" si="85"/>
        <v>#DIV/0!</v>
      </c>
      <c r="AQ52" s="268" t="e">
        <f t="shared" si="85"/>
        <v>#DIV/0!</v>
      </c>
      <c r="AR52" s="268">
        <f>AR34/AR16</f>
        <v>5.6824808625784151E-4</v>
      </c>
      <c r="AS52" s="151"/>
      <c r="AT52" s="184">
        <f>(R52-D52)/D52</f>
        <v>0.11310444139629747</v>
      </c>
      <c r="AU52" s="258">
        <f t="shared" ref="AU52:AY53" si="86">S52/E52</f>
        <v>1.1382295518899306</v>
      </c>
      <c r="AV52" s="258">
        <f t="shared" si="86"/>
        <v>1.4850908894711237</v>
      </c>
      <c r="AW52" s="258">
        <f t="shared" si="86"/>
        <v>1.6316152111580922</v>
      </c>
      <c r="AX52" s="258">
        <f t="shared" si="86"/>
        <v>1.8227671861329295</v>
      </c>
      <c r="AY52" s="258">
        <f t="shared" si="86"/>
        <v>1.5899197022118996</v>
      </c>
      <c r="AZ52" s="184">
        <f t="shared" ref="AZ52:BF53" si="87">(X52-J52)/J52</f>
        <v>0.19239103797173801</v>
      </c>
      <c r="BA52" s="184">
        <f t="shared" si="87"/>
        <v>0.37277275764180057</v>
      </c>
      <c r="BB52" s="184">
        <f t="shared" si="87"/>
        <v>-1.0205235723662252E-2</v>
      </c>
      <c r="BC52" s="184" t="e">
        <f t="shared" si="87"/>
        <v>#DIV/0!</v>
      </c>
      <c r="BD52" s="184" t="e">
        <f t="shared" si="87"/>
        <v>#DIV/0!</v>
      </c>
      <c r="BE52" s="184" t="e">
        <f t="shared" si="87"/>
        <v>#DIV/0!</v>
      </c>
      <c r="BF52" s="184">
        <f t="shared" si="87"/>
        <v>0.41580224532530125</v>
      </c>
      <c r="BH52" s="268">
        <f t="shared" ref="BH52:BL53" si="88">BH34/BH16</f>
        <v>7.8971620814351491E-5</v>
      </c>
      <c r="BI52" s="268">
        <f t="shared" si="88"/>
        <v>7.8971620814351478E-5</v>
      </c>
      <c r="BJ52" s="268">
        <f t="shared" si="88"/>
        <v>7.8971620814351478E-5</v>
      </c>
      <c r="BK52" s="268">
        <f t="shared" si="88"/>
        <v>7.8971620814351478E-5</v>
      </c>
      <c r="BL52" s="268">
        <f t="shared" si="88"/>
        <v>7.8971620814351478E-5</v>
      </c>
      <c r="BN52" s="268">
        <f t="shared" ref="BN52:BR53" si="89">BN34/BN16</f>
        <v>1.0160677851076025E-4</v>
      </c>
      <c r="BO52" s="268">
        <f t="shared" si="89"/>
        <v>1.3307465470494725E-4</v>
      </c>
      <c r="BP52" s="268">
        <f t="shared" si="89"/>
        <v>9.4822551724798668E-5</v>
      </c>
      <c r="BQ52" s="268" t="e">
        <f t="shared" si="89"/>
        <v>#DIV/0!</v>
      </c>
      <c r="BR52" s="268">
        <f t="shared" si="89"/>
        <v>1.1180819806593712E-4</v>
      </c>
      <c r="BT52" s="156">
        <f t="shared" ref="BT52:BX54" si="90">BN52/BH52</f>
        <v>1.2866239474762722</v>
      </c>
      <c r="BU52" s="156">
        <f t="shared" si="90"/>
        <v>1.6850946369428401</v>
      </c>
      <c r="BV52" s="156">
        <f t="shared" si="90"/>
        <v>1.2007167986042728</v>
      </c>
      <c r="BW52" s="156" t="e">
        <f t="shared" si="90"/>
        <v>#DIV/0!</v>
      </c>
      <c r="BX52" s="156">
        <f t="shared" si="90"/>
        <v>1.4158022453253012</v>
      </c>
      <c r="BZ52" s="138"/>
      <c r="CA52" s="138"/>
    </row>
    <row r="53" spans="1:79">
      <c r="A53" s="872"/>
      <c r="B53" s="157" t="s">
        <v>53</v>
      </c>
      <c r="C53" s="158"/>
      <c r="D53" s="261">
        <f t="shared" si="83"/>
        <v>8.3183241975371151E-4</v>
      </c>
      <c r="E53" s="261">
        <f t="shared" si="83"/>
        <v>8.3183241975371162E-4</v>
      </c>
      <c r="F53" s="261">
        <f t="shared" si="83"/>
        <v>8.3183241975371151E-4</v>
      </c>
      <c r="G53" s="261">
        <f t="shared" si="83"/>
        <v>8.3183241975371173E-4</v>
      </c>
      <c r="H53" s="261">
        <f t="shared" si="83"/>
        <v>8.318324197537114E-4</v>
      </c>
      <c r="I53" s="261">
        <f t="shared" si="83"/>
        <v>8.3183241975371151E-4</v>
      </c>
      <c r="J53" s="261">
        <f t="shared" si="83"/>
        <v>8.3183241975371151E-4</v>
      </c>
      <c r="K53" s="261">
        <f t="shared" si="83"/>
        <v>8.3183241975371151E-4</v>
      </c>
      <c r="L53" s="261">
        <f t="shared" si="83"/>
        <v>8.3183241975371162E-4</v>
      </c>
      <c r="M53" s="261">
        <f t="shared" si="83"/>
        <v>8.3183241975371151E-4</v>
      </c>
      <c r="N53" s="261">
        <f t="shared" si="83"/>
        <v>8.3183241975371151E-4</v>
      </c>
      <c r="O53" s="261">
        <f t="shared" si="83"/>
        <v>8.3183241975371151E-4</v>
      </c>
      <c r="P53" s="261">
        <f t="shared" si="83"/>
        <v>8.3183241975371162E-4</v>
      </c>
      <c r="Q53" s="151"/>
      <c r="R53" s="261">
        <f t="shared" si="84"/>
        <v>3.3159658378644521E-4</v>
      </c>
      <c r="S53" s="261">
        <f t="shared" si="84"/>
        <v>6.424761324157793E-4</v>
      </c>
      <c r="T53" s="261">
        <f t="shared" si="84"/>
        <v>1.2466133717114662E-3</v>
      </c>
      <c r="U53" s="261">
        <f t="shared" si="84"/>
        <v>5.6219098373809474E-4</v>
      </c>
      <c r="V53" s="261">
        <f t="shared" si="84"/>
        <v>6.2781603915197041E-4</v>
      </c>
      <c r="W53" s="261">
        <f t="shared" si="84"/>
        <v>8.7256775980714557E-4</v>
      </c>
      <c r="X53" s="261">
        <f t="shared" si="84"/>
        <v>4.2016827697916606E-4</v>
      </c>
      <c r="Y53" s="261">
        <f t="shared" si="84"/>
        <v>4.3326476818304174E-4</v>
      </c>
      <c r="Z53" s="261">
        <f t="shared" si="84"/>
        <v>6.7669211702698208E-4</v>
      </c>
      <c r="AA53" s="261" t="e">
        <f t="shared" si="84"/>
        <v>#DIV/0!</v>
      </c>
      <c r="AB53" s="261" t="e">
        <f t="shared" si="84"/>
        <v>#DIV/0!</v>
      </c>
      <c r="AC53" s="261" t="e">
        <f t="shared" si="84"/>
        <v>#DIV/0!</v>
      </c>
      <c r="AD53" s="261">
        <f t="shared" si="84"/>
        <v>5.9851716610039138E-4</v>
      </c>
      <c r="AE53" s="151"/>
      <c r="AF53" s="261">
        <f t="shared" si="85"/>
        <v>-5.0023583596726625E-4</v>
      </c>
      <c r="AG53" s="261">
        <f t="shared" si="85"/>
        <v>-1.8935628733793232E-4</v>
      </c>
      <c r="AH53" s="261">
        <f t="shared" si="85"/>
        <v>4.1478095195775471E-4</v>
      </c>
      <c r="AI53" s="261">
        <f t="shared" si="85"/>
        <v>-2.6964143601561699E-4</v>
      </c>
      <c r="AJ53" s="261">
        <f t="shared" si="85"/>
        <v>-2.0401638060174099E-4</v>
      </c>
      <c r="AK53" s="261">
        <f t="shared" si="85"/>
        <v>4.0735340053434056E-5</v>
      </c>
      <c r="AL53" s="261">
        <f t="shared" si="85"/>
        <v>-4.1166414277454545E-4</v>
      </c>
      <c r="AM53" s="261">
        <f t="shared" si="85"/>
        <v>-3.9856765157066977E-4</v>
      </c>
      <c r="AN53" s="261">
        <f t="shared" si="85"/>
        <v>-1.5514030272672954E-4</v>
      </c>
      <c r="AO53" s="261" t="e">
        <f t="shared" si="85"/>
        <v>#DIV/0!</v>
      </c>
      <c r="AP53" s="261" t="e">
        <f t="shared" si="85"/>
        <v>#DIV/0!</v>
      </c>
      <c r="AQ53" s="261" t="e">
        <f t="shared" si="85"/>
        <v>#DIV/0!</v>
      </c>
      <c r="AR53" s="261">
        <f>AR35/AR17</f>
        <v>5.3766350417774975E-4</v>
      </c>
      <c r="AS53" s="151"/>
      <c r="AT53" s="184">
        <f>(R53-D53)/D53</f>
        <v>-0.60136612145433788</v>
      </c>
      <c r="AU53" s="184">
        <f t="shared" si="86"/>
        <v>0.77236245806096759</v>
      </c>
      <c r="AV53" s="184">
        <f t="shared" si="86"/>
        <v>1.4986352324192447</v>
      </c>
      <c r="AW53" s="184">
        <f t="shared" si="86"/>
        <v>0.67584644501418667</v>
      </c>
      <c r="AX53" s="184">
        <f t="shared" si="86"/>
        <v>0.75473860388592928</v>
      </c>
      <c r="AY53" s="184">
        <f t="shared" si="86"/>
        <v>1.0489706088463047</v>
      </c>
      <c r="AZ53" s="184">
        <f t="shared" si="87"/>
        <v>-0.49488831283641332</v>
      </c>
      <c r="BA53" s="184">
        <f t="shared" si="87"/>
        <v>-0.4791441666684228</v>
      </c>
      <c r="BB53" s="184">
        <f t="shared" si="87"/>
        <v>-0.18650427543165893</v>
      </c>
      <c r="BC53" s="184" t="e">
        <f t="shared" si="87"/>
        <v>#DIV/0!</v>
      </c>
      <c r="BD53" s="184" t="e">
        <f t="shared" si="87"/>
        <v>#DIV/0!</v>
      </c>
      <c r="BE53" s="184" t="e">
        <f t="shared" si="87"/>
        <v>#DIV/0!</v>
      </c>
      <c r="BF53" s="184">
        <f t="shared" si="87"/>
        <v>-0.28048348214463686</v>
      </c>
      <c r="BH53" s="261">
        <f t="shared" si="88"/>
        <v>8.3183241975371162E-4</v>
      </c>
      <c r="BI53" s="261">
        <f t="shared" si="88"/>
        <v>8.3183241975371151E-4</v>
      </c>
      <c r="BJ53" s="261">
        <f t="shared" si="88"/>
        <v>8.318324197537114E-4</v>
      </c>
      <c r="BK53" s="261">
        <f t="shared" si="88"/>
        <v>8.3183241975371151E-4</v>
      </c>
      <c r="BL53" s="261">
        <f t="shared" si="88"/>
        <v>8.3183241975371151E-4</v>
      </c>
      <c r="BN53" s="261">
        <f t="shared" si="89"/>
        <v>6.7765902249261373E-4</v>
      </c>
      <c r="BO53" s="261">
        <f t="shared" si="89"/>
        <v>6.2510272310568307E-4</v>
      </c>
      <c r="BP53" s="261">
        <f t="shared" si="89"/>
        <v>5.13829774280603E-4</v>
      </c>
      <c r="BQ53" s="261" t="e">
        <f t="shared" si="89"/>
        <v>#DIV/0!</v>
      </c>
      <c r="BR53" s="261">
        <f t="shared" si="89"/>
        <v>5.9851716610039149E-4</v>
      </c>
      <c r="BT53" s="163">
        <f t="shared" si="90"/>
        <v>0.81465810468562228</v>
      </c>
      <c r="BU53" s="163">
        <f t="shared" si="90"/>
        <v>0.75147674971692391</v>
      </c>
      <c r="BV53" s="163">
        <f t="shared" si="90"/>
        <v>0.61770828123378207</v>
      </c>
      <c r="BW53" s="163" t="e">
        <f t="shared" si="90"/>
        <v>#DIV/0!</v>
      </c>
      <c r="BX53" s="163">
        <f t="shared" si="90"/>
        <v>0.71951651785536341</v>
      </c>
      <c r="BZ53" s="138"/>
      <c r="CA53" s="138"/>
    </row>
    <row r="54" spans="1:79" ht="16.5" thickBot="1">
      <c r="A54" s="873"/>
      <c r="B54" s="164" t="s">
        <v>59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90"/>
        <v>#DIV/0!</v>
      </c>
      <c r="BU54" s="172" t="e">
        <f t="shared" si="90"/>
        <v>#DIV/0!</v>
      </c>
      <c r="BV54" s="172" t="e">
        <f t="shared" si="90"/>
        <v>#DIV/0!</v>
      </c>
      <c r="BW54" s="172" t="e">
        <f t="shared" si="90"/>
        <v>#DIV/0!</v>
      </c>
      <c r="BX54" s="172" t="e">
        <f t="shared" si="90"/>
        <v>#DIV/0!</v>
      </c>
    </row>
    <row r="55" spans="1:79" ht="16.5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75">
      <c r="A56" s="136" t="s">
        <v>64</v>
      </c>
    </row>
    <row r="57" spans="1:79" ht="15.95" customHeight="1">
      <c r="A57" s="866" t="s">
        <v>54</v>
      </c>
      <c r="B57" s="271" t="s">
        <v>52</v>
      </c>
      <c r="C57" s="272"/>
      <c r="D57" s="273">
        <f t="shared" ref="D57:P58" si="91">D40*1000</f>
        <v>9.9994411306447234E-2</v>
      </c>
      <c r="E57" s="273">
        <f t="shared" si="91"/>
        <v>9.9994411306447192E-2</v>
      </c>
      <c r="F57" s="273">
        <f t="shared" si="91"/>
        <v>9.9994411306447206E-2</v>
      </c>
      <c r="G57" s="273">
        <f t="shared" si="91"/>
        <v>9.9994411306447206E-2</v>
      </c>
      <c r="H57" s="273">
        <f t="shared" si="91"/>
        <v>9.999441130644722E-2</v>
      </c>
      <c r="I57" s="273">
        <f t="shared" si="91"/>
        <v>9.9994411306447234E-2</v>
      </c>
      <c r="J57" s="273">
        <f t="shared" si="91"/>
        <v>9.9994411306447206E-2</v>
      </c>
      <c r="K57" s="273">
        <f t="shared" si="91"/>
        <v>9.999441130644722E-2</v>
      </c>
      <c r="L57" s="273">
        <f t="shared" si="91"/>
        <v>9.999441130644722E-2</v>
      </c>
      <c r="M57" s="273">
        <f t="shared" si="91"/>
        <v>9.999441130644722E-2</v>
      </c>
      <c r="N57" s="273">
        <f t="shared" si="91"/>
        <v>9.9994411306447192E-2</v>
      </c>
      <c r="O57" s="273">
        <f t="shared" si="91"/>
        <v>9.999441130644722E-2</v>
      </c>
      <c r="P57" s="273">
        <f t="shared" si="91"/>
        <v>9.9994411306447234E-2</v>
      </c>
      <c r="Q57" s="257"/>
      <c r="R57" s="273">
        <f t="shared" ref="R57:AD58" si="92">R40*1000</f>
        <v>0.14092219040651593</v>
      </c>
      <c r="S57" s="273">
        <f t="shared" si="92"/>
        <v>0.12859231796906354</v>
      </c>
      <c r="T57" s="273">
        <f t="shared" si="92"/>
        <v>0.13639739244562157</v>
      </c>
      <c r="U57" s="273">
        <f t="shared" si="92"/>
        <v>0.17793695855117289</v>
      </c>
      <c r="V57" s="273">
        <f t="shared" si="92"/>
        <v>0.1934079548929192</v>
      </c>
      <c r="W57" s="273">
        <f t="shared" si="92"/>
        <v>0.18740504718284404</v>
      </c>
      <c r="X57" s="273">
        <f t="shared" si="92"/>
        <v>0.1790712850324859</v>
      </c>
      <c r="Y57" s="273">
        <f t="shared" si="92"/>
        <v>0.20620535839277729</v>
      </c>
      <c r="Z57" s="273">
        <f t="shared" si="92"/>
        <v>0.18124363255194065</v>
      </c>
      <c r="AA57" s="273" t="e">
        <f t="shared" si="92"/>
        <v>#DIV/0!</v>
      </c>
      <c r="AB57" s="273" t="e">
        <f t="shared" si="92"/>
        <v>#DIV/0!</v>
      </c>
      <c r="AC57" s="273" t="e">
        <f t="shared" si="92"/>
        <v>#DIV/0!</v>
      </c>
      <c r="AD57" s="273">
        <f t="shared" si="92"/>
        <v>0.17206103978921986</v>
      </c>
      <c r="AE57" s="257"/>
      <c r="AF57" s="256">
        <f t="shared" ref="AF57:AR58" si="93">R57-D57</f>
        <v>4.0927779100068701E-2</v>
      </c>
      <c r="AG57" s="256">
        <f t="shared" si="93"/>
        <v>2.8597906662616343E-2</v>
      </c>
      <c r="AH57" s="256">
        <f t="shared" si="93"/>
        <v>3.6402981139174367E-2</v>
      </c>
      <c r="AI57" s="256">
        <f t="shared" si="93"/>
        <v>7.7942547244725685E-2</v>
      </c>
      <c r="AJ57" s="256">
        <f t="shared" si="93"/>
        <v>9.3413543586471984E-2</v>
      </c>
      <c r="AK57" s="256">
        <f t="shared" si="93"/>
        <v>8.7410635876396803E-2</v>
      </c>
      <c r="AL57" s="256">
        <f t="shared" si="93"/>
        <v>7.9076873726038693E-2</v>
      </c>
      <c r="AM57" s="256">
        <f t="shared" si="93"/>
        <v>0.10621094708633007</v>
      </c>
      <c r="AN57" s="256">
        <f t="shared" si="93"/>
        <v>8.1249221245493428E-2</v>
      </c>
      <c r="AO57" s="256" t="e">
        <f t="shared" si="93"/>
        <v>#DIV/0!</v>
      </c>
      <c r="AP57" s="256" t="e">
        <f t="shared" si="93"/>
        <v>#DIV/0!</v>
      </c>
      <c r="AQ57" s="256" t="e">
        <f t="shared" si="93"/>
        <v>#DIV/0!</v>
      </c>
      <c r="AR57" s="256">
        <f t="shared" si="93"/>
        <v>7.2066628482772621E-2</v>
      </c>
      <c r="AS57" s="257"/>
      <c r="AT57" s="258">
        <f t="shared" ref="AT57:BF58" si="94">R57/D57</f>
        <v>1.4093006655605946</v>
      </c>
      <c r="AU57" s="258">
        <f t="shared" si="94"/>
        <v>1.2859950500130848</v>
      </c>
      <c r="AV57" s="258">
        <f t="shared" si="94"/>
        <v>1.364050157039399</v>
      </c>
      <c r="AW57" s="258">
        <f t="shared" si="94"/>
        <v>1.7794690345829387</v>
      </c>
      <c r="AX57" s="258">
        <f t="shared" si="94"/>
        <v>1.9341876447493929</v>
      </c>
      <c r="AY57" s="258">
        <f t="shared" si="94"/>
        <v>1.874155212619977</v>
      </c>
      <c r="AZ57" s="258">
        <f t="shared" si="94"/>
        <v>1.790812933371809</v>
      </c>
      <c r="BA57" s="258">
        <f t="shared" si="94"/>
        <v>2.062168832224347</v>
      </c>
      <c r="BB57" s="258">
        <f t="shared" si="94"/>
        <v>1.8125376226926677</v>
      </c>
      <c r="BC57" s="258" t="e">
        <f t="shared" si="94"/>
        <v>#DIV/0!</v>
      </c>
      <c r="BD57" s="258" t="e">
        <f t="shared" si="94"/>
        <v>#DIV/0!</v>
      </c>
      <c r="BE57" s="258" t="e">
        <f t="shared" si="94"/>
        <v>#DIV/0!</v>
      </c>
      <c r="BF57" s="258">
        <f t="shared" si="94"/>
        <v>1.720706562908942</v>
      </c>
      <c r="BH57" s="274">
        <f t="shared" ref="BH57:BL58" si="95">BH40*1000</f>
        <v>9.999441130644722E-2</v>
      </c>
      <c r="BI57" s="274">
        <f t="shared" si="95"/>
        <v>9.9994411306447248E-2</v>
      </c>
      <c r="BJ57" s="274">
        <f t="shared" si="95"/>
        <v>9.999441130644722E-2</v>
      </c>
      <c r="BK57" s="274">
        <f t="shared" si="95"/>
        <v>9.999441130644722E-2</v>
      </c>
      <c r="BL57" s="274">
        <f t="shared" si="95"/>
        <v>9.9994411306447248E-2</v>
      </c>
      <c r="BN57" s="274">
        <f t="shared" ref="BN57:BR58" si="96">BN40*1000</f>
        <v>0.13542109947423472</v>
      </c>
      <c r="BO57" s="274">
        <f t="shared" si="96"/>
        <v>0.1861741162222374</v>
      </c>
      <c r="BP57" s="274">
        <f t="shared" si="96"/>
        <v>0.1890707999663381</v>
      </c>
      <c r="BQ57" s="274" t="e">
        <f t="shared" si="96"/>
        <v>#DIV/0!</v>
      </c>
      <c r="BR57" s="274">
        <f t="shared" si="96"/>
        <v>0.17206103978921986</v>
      </c>
      <c r="BT57" s="212">
        <f>BN57/BH57</f>
        <v>1.3542866816748123</v>
      </c>
      <c r="BU57" s="212">
        <f>BO57/BI57</f>
        <v>1.8618452150458695</v>
      </c>
      <c r="BV57" s="212">
        <f t="shared" ref="BV57:BX58" si="97">BP57/BJ57</f>
        <v>1.8908136714451322</v>
      </c>
      <c r="BW57" s="212" t="e">
        <f t="shared" si="97"/>
        <v>#DIV/0!</v>
      </c>
      <c r="BX57" s="212">
        <f t="shared" si="97"/>
        <v>1.7207065629089415</v>
      </c>
      <c r="BZ57" s="138"/>
      <c r="CA57" s="138"/>
    </row>
    <row r="58" spans="1:79" ht="15.75" thickBot="1">
      <c r="A58" s="867"/>
      <c r="B58" s="275" t="s">
        <v>53</v>
      </c>
      <c r="C58" s="276"/>
      <c r="D58" s="277">
        <f t="shared" si="91"/>
        <v>1.392381069617143</v>
      </c>
      <c r="E58" s="277">
        <f t="shared" si="91"/>
        <v>1.3923810696171428</v>
      </c>
      <c r="F58" s="277">
        <f t="shared" si="91"/>
        <v>1.3923810696171426</v>
      </c>
      <c r="G58" s="277">
        <f t="shared" si="91"/>
        <v>1.392381069617143</v>
      </c>
      <c r="H58" s="277">
        <f t="shared" si="91"/>
        <v>1.3923810696171433</v>
      </c>
      <c r="I58" s="277">
        <f t="shared" si="91"/>
        <v>1.392381069617143</v>
      </c>
      <c r="J58" s="277">
        <f t="shared" si="91"/>
        <v>1.392381069617143</v>
      </c>
      <c r="K58" s="277">
        <f t="shared" si="91"/>
        <v>1.392381069617143</v>
      </c>
      <c r="L58" s="277">
        <f t="shared" si="91"/>
        <v>1.3923810696171428</v>
      </c>
      <c r="M58" s="277">
        <f t="shared" si="91"/>
        <v>1.392381069617143</v>
      </c>
      <c r="N58" s="277">
        <f t="shared" si="91"/>
        <v>1.3923810696171428</v>
      </c>
      <c r="O58" s="277">
        <f t="shared" si="91"/>
        <v>1.392381069617143</v>
      </c>
      <c r="P58" s="277">
        <f t="shared" si="91"/>
        <v>1.392381069617143</v>
      </c>
      <c r="Q58" s="257"/>
      <c r="R58" s="277">
        <f t="shared" si="92"/>
        <v>1.4335840633977288</v>
      </c>
      <c r="S58" s="277">
        <f t="shared" si="92"/>
        <v>2.0324686915157768</v>
      </c>
      <c r="T58" s="277">
        <f t="shared" si="92"/>
        <v>1.9922823450119649</v>
      </c>
      <c r="U58" s="277">
        <f t="shared" si="92"/>
        <v>1.6038770897628576</v>
      </c>
      <c r="V58" s="277">
        <f t="shared" si="92"/>
        <v>1.726996120886493</v>
      </c>
      <c r="W58" s="277">
        <f t="shared" si="92"/>
        <v>1.7833037132774074</v>
      </c>
      <c r="X58" s="277">
        <f t="shared" si="92"/>
        <v>1.1991084316673291</v>
      </c>
      <c r="Y58" s="277">
        <f t="shared" si="92"/>
        <v>1.0804803991798706</v>
      </c>
      <c r="Z58" s="277">
        <f t="shared" si="92"/>
        <v>1.3405150097997234</v>
      </c>
      <c r="AA58" s="277" t="e">
        <f t="shared" si="92"/>
        <v>#DIV/0!</v>
      </c>
      <c r="AB58" s="277" t="e">
        <f t="shared" si="92"/>
        <v>#DIV/0!</v>
      </c>
      <c r="AC58" s="277" t="e">
        <f t="shared" si="92"/>
        <v>#DIV/0!</v>
      </c>
      <c r="AD58" s="277">
        <f t="shared" si="92"/>
        <v>1.5179729882264863</v>
      </c>
      <c r="AE58" s="257"/>
      <c r="AF58" s="261">
        <f t="shared" si="93"/>
        <v>4.1202993780585784E-2</v>
      </c>
      <c r="AG58" s="261">
        <f t="shared" si="93"/>
        <v>0.640087621898634</v>
      </c>
      <c r="AH58" s="261">
        <f t="shared" si="93"/>
        <v>0.5999012753948223</v>
      </c>
      <c r="AI58" s="261">
        <f t="shared" si="93"/>
        <v>0.21149602014571456</v>
      </c>
      <c r="AJ58" s="261">
        <f t="shared" si="93"/>
        <v>0.33461505126934976</v>
      </c>
      <c r="AK58" s="261">
        <f t="shared" si="93"/>
        <v>0.39092264366026441</v>
      </c>
      <c r="AL58" s="261">
        <f t="shared" si="93"/>
        <v>-0.19327263794981397</v>
      </c>
      <c r="AM58" s="261">
        <f t="shared" si="93"/>
        <v>-0.31190067043727243</v>
      </c>
      <c r="AN58" s="261">
        <f t="shared" si="93"/>
        <v>-5.186605981741943E-2</v>
      </c>
      <c r="AO58" s="261" t="e">
        <f t="shared" si="93"/>
        <v>#DIV/0!</v>
      </c>
      <c r="AP58" s="261" t="e">
        <f t="shared" si="93"/>
        <v>#DIV/0!</v>
      </c>
      <c r="AQ58" s="261" t="e">
        <f t="shared" si="93"/>
        <v>#DIV/0!</v>
      </c>
      <c r="AR58" s="261">
        <f t="shared" si="93"/>
        <v>0.12559191860934327</v>
      </c>
      <c r="AS58" s="257"/>
      <c r="AT58" s="184">
        <f t="shared" si="94"/>
        <v>1.0295917509076127</v>
      </c>
      <c r="AU58" s="184">
        <f t="shared" si="94"/>
        <v>1.4597072136829872</v>
      </c>
      <c r="AV58" s="184">
        <f t="shared" si="94"/>
        <v>1.4308456129468743</v>
      </c>
      <c r="AW58" s="184">
        <f t="shared" si="94"/>
        <v>1.1518952137175125</v>
      </c>
      <c r="AX58" s="184">
        <f t="shared" si="94"/>
        <v>1.2403185870383582</v>
      </c>
      <c r="AY58" s="184">
        <f t="shared" si="94"/>
        <v>1.280758372970235</v>
      </c>
      <c r="AZ58" s="184">
        <f t="shared" si="94"/>
        <v>0.86119271357017424</v>
      </c>
      <c r="BA58" s="184">
        <f t="shared" si="94"/>
        <v>0.77599474939498103</v>
      </c>
      <c r="BB58" s="184">
        <f t="shared" si="94"/>
        <v>0.96275009697475933</v>
      </c>
      <c r="BC58" s="184" t="e">
        <f t="shared" si="94"/>
        <v>#DIV/0!</v>
      </c>
      <c r="BD58" s="184" t="e">
        <f t="shared" si="94"/>
        <v>#DIV/0!</v>
      </c>
      <c r="BE58" s="184" t="e">
        <f t="shared" si="94"/>
        <v>#DIV/0!</v>
      </c>
      <c r="BF58" s="184">
        <f t="shared" si="94"/>
        <v>1.0901993867554352</v>
      </c>
      <c r="BH58" s="274">
        <f t="shared" si="95"/>
        <v>1.3923810696171428</v>
      </c>
      <c r="BI58" s="274">
        <f t="shared" si="95"/>
        <v>1.392381069617143</v>
      </c>
      <c r="BJ58" s="274">
        <f t="shared" si="95"/>
        <v>1.392381069617143</v>
      </c>
      <c r="BK58" s="274">
        <f t="shared" si="95"/>
        <v>1.392381069617143</v>
      </c>
      <c r="BL58" s="274">
        <f t="shared" si="95"/>
        <v>1.3923810696171428</v>
      </c>
      <c r="BN58" s="274">
        <f t="shared" si="96"/>
        <v>1.8065606249252995</v>
      </c>
      <c r="BO58" s="274">
        <f t="shared" si="96"/>
        <v>1.706859876819957</v>
      </c>
      <c r="BP58" s="274">
        <f t="shared" si="96"/>
        <v>1.2043773856875055</v>
      </c>
      <c r="BQ58" s="274" t="e">
        <f t="shared" si="96"/>
        <v>#DIV/0!</v>
      </c>
      <c r="BR58" s="274">
        <f t="shared" si="96"/>
        <v>1.5179729882264863</v>
      </c>
      <c r="BT58" s="163">
        <f>BN58/BH58</f>
        <v>1.2974613518855451</v>
      </c>
      <c r="BU58" s="163">
        <f>BO58/BI58</f>
        <v>1.2258568534613048</v>
      </c>
      <c r="BV58" s="163">
        <f t="shared" si="97"/>
        <v>0.86497684575578715</v>
      </c>
      <c r="BW58" s="163" t="e">
        <f t="shared" si="97"/>
        <v>#DIV/0!</v>
      </c>
      <c r="BX58" s="163">
        <f t="shared" si="97"/>
        <v>1.0901993867554354</v>
      </c>
      <c r="BZ58" s="138"/>
      <c r="CA58" s="138"/>
    </row>
    <row r="59" spans="1:79" ht="7.35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5.95" customHeight="1">
      <c r="A60" s="866" t="s">
        <v>62</v>
      </c>
      <c r="B60" s="271" t="s">
        <v>52</v>
      </c>
      <c r="C60" s="272"/>
      <c r="D60" s="273">
        <f t="shared" ref="D60:P61" si="98">D44*1000</f>
        <v>0.11595436485092589</v>
      </c>
      <c r="E60" s="273">
        <f t="shared" si="98"/>
        <v>0.11595436485092592</v>
      </c>
      <c r="F60" s="273">
        <f t="shared" si="98"/>
        <v>0.1159543648509259</v>
      </c>
      <c r="G60" s="273">
        <f t="shared" si="98"/>
        <v>0.11595436485092589</v>
      </c>
      <c r="H60" s="273">
        <f t="shared" si="98"/>
        <v>0.11595436485092593</v>
      </c>
      <c r="I60" s="273">
        <f t="shared" si="98"/>
        <v>0.1159543648509259</v>
      </c>
      <c r="J60" s="273">
        <f t="shared" si="98"/>
        <v>0.1159543648509259</v>
      </c>
      <c r="K60" s="273">
        <f t="shared" si="98"/>
        <v>0.11595436485092589</v>
      </c>
      <c r="L60" s="273">
        <f t="shared" si="98"/>
        <v>0.11595436485092585</v>
      </c>
      <c r="M60" s="273">
        <f t="shared" si="98"/>
        <v>0.11595436485092588</v>
      </c>
      <c r="N60" s="273">
        <f t="shared" si="98"/>
        <v>0.11595436485092588</v>
      </c>
      <c r="O60" s="273">
        <f t="shared" si="98"/>
        <v>0.11595436485092588</v>
      </c>
      <c r="P60" s="273">
        <f t="shared" si="98"/>
        <v>0.11595436485092586</v>
      </c>
      <c r="Q60" s="257"/>
      <c r="R60" s="273">
        <f t="shared" ref="R60:AD61" si="99">R44*1000</f>
        <v>0.15484803865110056</v>
      </c>
      <c r="S60" s="273">
        <f t="shared" si="99"/>
        <v>0.13393871221446815</v>
      </c>
      <c r="T60" s="273">
        <f t="shared" si="99"/>
        <v>0.15330398448667409</v>
      </c>
      <c r="U60" s="273">
        <f t="shared" si="99"/>
        <v>0.16727920227503856</v>
      </c>
      <c r="V60" s="273">
        <f t="shared" si="99"/>
        <v>0.18417968566156501</v>
      </c>
      <c r="W60" s="273">
        <f t="shared" si="99"/>
        <v>0.15927625827074079</v>
      </c>
      <c r="X60" s="273">
        <f t="shared" si="99"/>
        <v>0.16435703263868159</v>
      </c>
      <c r="Y60" s="273">
        <f t="shared" si="99"/>
        <v>0.20895740854503553</v>
      </c>
      <c r="Z60" s="273">
        <f t="shared" si="99"/>
        <v>0.20592872281366351</v>
      </c>
      <c r="AA60" s="273" t="e">
        <f t="shared" si="99"/>
        <v>#DIV/0!</v>
      </c>
      <c r="AB60" s="273" t="e">
        <f t="shared" si="99"/>
        <v>#DIV/0!</v>
      </c>
      <c r="AC60" s="273" t="e">
        <f t="shared" si="99"/>
        <v>#DIV/0!</v>
      </c>
      <c r="AD60" s="273">
        <f t="shared" si="99"/>
        <v>0.17173773744053852</v>
      </c>
      <c r="AE60" s="257"/>
      <c r="AF60" s="256">
        <f t="shared" ref="AF60:AR61" si="100">R60-D60</f>
        <v>3.8893673800174666E-2</v>
      </c>
      <c r="AG60" s="256">
        <f t="shared" si="100"/>
        <v>1.7984347363542236E-2</v>
      </c>
      <c r="AH60" s="256">
        <f t="shared" si="100"/>
        <v>3.7349619635748191E-2</v>
      </c>
      <c r="AI60" s="256">
        <f t="shared" si="100"/>
        <v>5.1324837424112674E-2</v>
      </c>
      <c r="AJ60" s="256">
        <f t="shared" si="100"/>
        <v>6.8225320810639076E-2</v>
      </c>
      <c r="AK60" s="256">
        <f t="shared" si="100"/>
        <v>4.3321893419814891E-2</v>
      </c>
      <c r="AL60" s="256">
        <f t="shared" si="100"/>
        <v>4.840266778775569E-2</v>
      </c>
      <c r="AM60" s="256">
        <f t="shared" si="100"/>
        <v>9.3003043694109638E-2</v>
      </c>
      <c r="AN60" s="256">
        <f t="shared" si="100"/>
        <v>8.9974357962737658E-2</v>
      </c>
      <c r="AO60" s="256" t="e">
        <f t="shared" si="100"/>
        <v>#DIV/0!</v>
      </c>
      <c r="AP60" s="256" t="e">
        <f t="shared" si="100"/>
        <v>#DIV/0!</v>
      </c>
      <c r="AQ60" s="256" t="e">
        <f t="shared" si="100"/>
        <v>#DIV/0!</v>
      </c>
      <c r="AR60" s="256">
        <f t="shared" si="100"/>
        <v>5.5783372589612662E-2</v>
      </c>
      <c r="AS60" s="257"/>
      <c r="AT60" s="258">
        <f t="shared" ref="AT60:BF61" si="101">R60/D60</f>
        <v>1.3354222486594398</v>
      </c>
      <c r="AU60" s="258">
        <f t="shared" si="101"/>
        <v>1.1550984940210176</v>
      </c>
      <c r="AV60" s="258">
        <f t="shared" si="101"/>
        <v>1.3221061982769331</v>
      </c>
      <c r="AW60" s="258">
        <f t="shared" si="101"/>
        <v>1.442629628389559</v>
      </c>
      <c r="AX60" s="258">
        <f t="shared" si="101"/>
        <v>1.5883807901354243</v>
      </c>
      <c r="AY60" s="258">
        <f t="shared" si="101"/>
        <v>1.3736115796547261</v>
      </c>
      <c r="AZ60" s="258">
        <f t="shared" si="101"/>
        <v>1.4174285965861093</v>
      </c>
      <c r="BA60" s="258">
        <f t="shared" si="101"/>
        <v>1.8020659145835252</v>
      </c>
      <c r="BB60" s="258">
        <f t="shared" si="101"/>
        <v>1.7759462791970893</v>
      </c>
      <c r="BC60" s="258" t="e">
        <f t="shared" si="101"/>
        <v>#DIV/0!</v>
      </c>
      <c r="BD60" s="258" t="e">
        <f t="shared" si="101"/>
        <v>#DIV/0!</v>
      </c>
      <c r="BE60" s="258" t="e">
        <f t="shared" si="101"/>
        <v>#DIV/0!</v>
      </c>
      <c r="BF60" s="258">
        <f t="shared" si="101"/>
        <v>1.4810804031510958</v>
      </c>
      <c r="BH60" s="274">
        <f t="shared" ref="BH60:BL61" si="102">BH44*1000</f>
        <v>0.1159543648509259</v>
      </c>
      <c r="BI60" s="274">
        <f t="shared" si="102"/>
        <v>0.1159543648509259</v>
      </c>
      <c r="BJ60" s="274">
        <f t="shared" si="102"/>
        <v>0.11595436485092588</v>
      </c>
      <c r="BK60" s="274">
        <f t="shared" si="102"/>
        <v>0.11595436485092589</v>
      </c>
      <c r="BL60" s="274">
        <f t="shared" si="102"/>
        <v>0.11595436485092592</v>
      </c>
      <c r="BN60" s="274">
        <f t="shared" ref="BN60:BR61" si="103">BN44*1000</f>
        <v>0.14772866588143774</v>
      </c>
      <c r="BO60" s="274">
        <f t="shared" si="103"/>
        <v>0.17014907761930853</v>
      </c>
      <c r="BP60" s="274">
        <f t="shared" si="103"/>
        <v>0.19222392432540353</v>
      </c>
      <c r="BQ60" s="274" t="e">
        <f t="shared" si="103"/>
        <v>#DIV/0!</v>
      </c>
      <c r="BR60" s="274">
        <f t="shared" si="103"/>
        <v>0.17173773744053852</v>
      </c>
      <c r="BT60" s="212">
        <f>BN60/BH60</f>
        <v>1.2740241910803594</v>
      </c>
      <c r="BU60" s="212">
        <f>BO60/BI60</f>
        <v>1.4673796699076989</v>
      </c>
      <c r="BV60" s="212">
        <f t="shared" ref="BV60:BX61" si="104">BP60/BJ60</f>
        <v>1.6577549674178449</v>
      </c>
      <c r="BW60" s="212" t="e">
        <f t="shared" si="104"/>
        <v>#DIV/0!</v>
      </c>
      <c r="BX60" s="212">
        <f t="shared" si="104"/>
        <v>1.4810804031510951</v>
      </c>
      <c r="BZ60" s="138"/>
      <c r="CA60" s="138"/>
    </row>
    <row r="61" spans="1:79" ht="15.75" thickBot="1">
      <c r="A61" s="867"/>
      <c r="B61" s="275" t="s">
        <v>53</v>
      </c>
      <c r="C61" s="276"/>
      <c r="D61" s="277">
        <f t="shared" si="98"/>
        <v>1.9121975501877992</v>
      </c>
      <c r="E61" s="277">
        <f t="shared" si="98"/>
        <v>1.9121975501877992</v>
      </c>
      <c r="F61" s="277">
        <f t="shared" si="98"/>
        <v>1.9121975501877995</v>
      </c>
      <c r="G61" s="277">
        <f t="shared" si="98"/>
        <v>1.9121975501877988</v>
      </c>
      <c r="H61" s="277">
        <f t="shared" si="98"/>
        <v>1.9121975501877995</v>
      </c>
      <c r="I61" s="277">
        <f t="shared" si="98"/>
        <v>1.9121975501877992</v>
      </c>
      <c r="J61" s="277">
        <f t="shared" si="98"/>
        <v>1.9121975501877992</v>
      </c>
      <c r="K61" s="277">
        <f t="shared" si="98"/>
        <v>1.912197550187799</v>
      </c>
      <c r="L61" s="277">
        <f t="shared" si="98"/>
        <v>1.912197550187799</v>
      </c>
      <c r="M61" s="277">
        <f t="shared" si="98"/>
        <v>1.9121975501877992</v>
      </c>
      <c r="N61" s="277">
        <f t="shared" si="98"/>
        <v>1.9121975501877995</v>
      </c>
      <c r="O61" s="277">
        <f t="shared" si="98"/>
        <v>1.9121975501877997</v>
      </c>
      <c r="P61" s="277">
        <f t="shared" si="98"/>
        <v>1.912197550187799</v>
      </c>
      <c r="Q61" s="257"/>
      <c r="R61" s="277">
        <f t="shared" si="99"/>
        <v>0.50362012479059481</v>
      </c>
      <c r="S61" s="277">
        <f t="shared" si="99"/>
        <v>0.37164525527758102</v>
      </c>
      <c r="T61" s="277">
        <f t="shared" si="99"/>
        <v>0.51883686400340812</v>
      </c>
      <c r="U61" s="277">
        <f t="shared" si="99"/>
        <v>0.42477290944872725</v>
      </c>
      <c r="V61" s="277">
        <f t="shared" si="99"/>
        <v>0.62754567485018731</v>
      </c>
      <c r="W61" s="277">
        <f t="shared" si="99"/>
        <v>0.64605982711032794</v>
      </c>
      <c r="X61" s="277">
        <f t="shared" si="99"/>
        <v>0.47918176627476372</v>
      </c>
      <c r="Y61" s="277">
        <f t="shared" si="99"/>
        <v>0.44985455883214859</v>
      </c>
      <c r="Z61" s="277">
        <f t="shared" si="99"/>
        <v>0.71166483936000524</v>
      </c>
      <c r="AA61" s="277" t="e">
        <f t="shared" si="99"/>
        <v>#DIV/0!</v>
      </c>
      <c r="AB61" s="277" t="e">
        <f t="shared" si="99"/>
        <v>#DIV/0!</v>
      </c>
      <c r="AC61" s="277" t="e">
        <f t="shared" si="99"/>
        <v>#DIV/0!</v>
      </c>
      <c r="AD61" s="277">
        <f>AD44/AD73</f>
        <v>2.4534445363331785E-4</v>
      </c>
      <c r="AE61" s="257"/>
      <c r="AF61" s="261">
        <f t="shared" si="100"/>
        <v>-1.4085774253972043</v>
      </c>
      <c r="AG61" s="261">
        <f t="shared" si="100"/>
        <v>-1.5405522949102182</v>
      </c>
      <c r="AH61" s="261">
        <f t="shared" si="100"/>
        <v>-1.3933606861843915</v>
      </c>
      <c r="AI61" s="261">
        <f t="shared" si="100"/>
        <v>-1.4874246407390714</v>
      </c>
      <c r="AJ61" s="261">
        <f t="shared" si="100"/>
        <v>-1.2846518753376122</v>
      </c>
      <c r="AK61" s="261">
        <f t="shared" si="100"/>
        <v>-1.2661377230774713</v>
      </c>
      <c r="AL61" s="261">
        <f t="shared" si="100"/>
        <v>-1.4330157839130355</v>
      </c>
      <c r="AM61" s="261">
        <f t="shared" si="100"/>
        <v>-1.4623429913556505</v>
      </c>
      <c r="AN61" s="261">
        <f t="shared" si="100"/>
        <v>-1.2005327108277939</v>
      </c>
      <c r="AO61" s="261" t="e">
        <f t="shared" si="100"/>
        <v>#DIV/0!</v>
      </c>
      <c r="AP61" s="261" t="e">
        <f t="shared" si="100"/>
        <v>#DIV/0!</v>
      </c>
      <c r="AQ61" s="261" t="e">
        <f t="shared" si="100"/>
        <v>#DIV/0!</v>
      </c>
      <c r="AR61" s="261">
        <f t="shared" si="100"/>
        <v>-1.9119522057341658</v>
      </c>
      <c r="AS61" s="257"/>
      <c r="AT61" s="184">
        <f t="shared" si="101"/>
        <v>0.26337243489362994</v>
      </c>
      <c r="AU61" s="184">
        <f t="shared" si="101"/>
        <v>0.19435505251069968</v>
      </c>
      <c r="AV61" s="184">
        <f t="shared" si="101"/>
        <v>0.27133015830527157</v>
      </c>
      <c r="AW61" s="184">
        <f t="shared" si="101"/>
        <v>0.22213861188505857</v>
      </c>
      <c r="AX61" s="184">
        <f t="shared" si="101"/>
        <v>0.32818035709153337</v>
      </c>
      <c r="AY61" s="184">
        <f t="shared" si="101"/>
        <v>0.33786249074886515</v>
      </c>
      <c r="AZ61" s="184">
        <f t="shared" si="101"/>
        <v>0.25059218710310693</v>
      </c>
      <c r="BA61" s="184">
        <f t="shared" si="101"/>
        <v>0.23525527411535899</v>
      </c>
      <c r="BB61" s="184">
        <f t="shared" si="101"/>
        <v>0.37217119083230277</v>
      </c>
      <c r="BC61" s="184" t="e">
        <f t="shared" si="101"/>
        <v>#DIV/0!</v>
      </c>
      <c r="BD61" s="184" t="e">
        <f t="shared" si="101"/>
        <v>#DIV/0!</v>
      </c>
      <c r="BE61" s="184" t="e">
        <f t="shared" si="101"/>
        <v>#DIV/0!</v>
      </c>
      <c r="BF61" s="184">
        <f t="shared" si="101"/>
        <v>1.2830497226043528E-4</v>
      </c>
      <c r="BH61" s="274">
        <f t="shared" si="102"/>
        <v>1.912197550187799</v>
      </c>
      <c r="BI61" s="274">
        <f t="shared" si="102"/>
        <v>1.912197550187799</v>
      </c>
      <c r="BJ61" s="274">
        <f t="shared" si="102"/>
        <v>1.912197550187799</v>
      </c>
      <c r="BK61" s="274">
        <f t="shared" si="102"/>
        <v>1.9121975501877997</v>
      </c>
      <c r="BL61" s="274">
        <f t="shared" si="102"/>
        <v>1.912197550187799</v>
      </c>
      <c r="BN61" s="274">
        <f t="shared" si="103"/>
        <v>0.47208204713554591</v>
      </c>
      <c r="BO61" s="274">
        <f t="shared" si="103"/>
        <v>0.5422228244164673</v>
      </c>
      <c r="BP61" s="274">
        <f t="shared" si="103"/>
        <v>0.53515489844726283</v>
      </c>
      <c r="BQ61" s="274" t="e">
        <f t="shared" si="103"/>
        <v>#DIV/0!</v>
      </c>
      <c r="BR61" s="274">
        <f t="shared" si="103"/>
        <v>0.51635556279486083</v>
      </c>
      <c r="BT61" s="163">
        <f>BN61/BH61</f>
        <v>0.24687932849259336</v>
      </c>
      <c r="BU61" s="163">
        <f>BO61/BI61</f>
        <v>0.28356004554195513</v>
      </c>
      <c r="BV61" s="163">
        <f t="shared" si="104"/>
        <v>0.2798638134405646</v>
      </c>
      <c r="BW61" s="163" t="e">
        <f t="shared" si="104"/>
        <v>#DIV/0!</v>
      </c>
      <c r="BX61" s="163">
        <f t="shared" si="104"/>
        <v>0.27003254069860566</v>
      </c>
      <c r="BZ61" s="138"/>
      <c r="CA61" s="138"/>
    </row>
    <row r="62" spans="1:79" ht="15.75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>
      <c r="A63" s="866" t="s">
        <v>63</v>
      </c>
      <c r="B63" s="271" t="s">
        <v>52</v>
      </c>
      <c r="C63" s="272"/>
      <c r="D63" s="281">
        <f t="shared" ref="D63:P64" si="105">D48*1000</f>
        <v>0.19033167084063055</v>
      </c>
      <c r="E63" s="281">
        <f t="shared" si="105"/>
        <v>0.19033167084063049</v>
      </c>
      <c r="F63" s="281">
        <f t="shared" si="105"/>
        <v>0.19033167084063049</v>
      </c>
      <c r="G63" s="281">
        <f t="shared" si="105"/>
        <v>0.19033167084063057</v>
      </c>
      <c r="H63" s="281">
        <f t="shared" si="105"/>
        <v>0.19033167084063049</v>
      </c>
      <c r="I63" s="281">
        <f t="shared" si="105"/>
        <v>0.19033167084063055</v>
      </c>
      <c r="J63" s="281">
        <f t="shared" si="105"/>
        <v>0.19033167084063052</v>
      </c>
      <c r="K63" s="281">
        <f t="shared" si="105"/>
        <v>0.19033167084063052</v>
      </c>
      <c r="L63" s="281">
        <f t="shared" si="105"/>
        <v>0.19033167084063052</v>
      </c>
      <c r="M63" s="281">
        <f t="shared" si="105"/>
        <v>0.19033167084063049</v>
      </c>
      <c r="N63" s="281">
        <f t="shared" si="105"/>
        <v>0.19033167084063052</v>
      </c>
      <c r="O63" s="281">
        <f t="shared" si="105"/>
        <v>0.19033167084063052</v>
      </c>
      <c r="P63" s="281">
        <f t="shared" si="105"/>
        <v>0.19033167084063055</v>
      </c>
      <c r="Q63" s="257"/>
      <c r="R63" s="281">
        <f t="shared" ref="R63:AD64" si="106">R48*1000</f>
        <v>0.19271916338608014</v>
      </c>
      <c r="S63" s="281">
        <f t="shared" si="106"/>
        <v>0.16871166583865785</v>
      </c>
      <c r="T63" s="281">
        <f t="shared" si="106"/>
        <v>0.22733137532162853</v>
      </c>
      <c r="U63" s="281">
        <f t="shared" si="106"/>
        <v>0.21281263206471984</v>
      </c>
      <c r="V63" s="281">
        <f t="shared" si="106"/>
        <v>0.21120000493311708</v>
      </c>
      <c r="W63" s="281">
        <f t="shared" si="106"/>
        <v>0.17995667180769137</v>
      </c>
      <c r="X63" s="281">
        <f t="shared" si="106"/>
        <v>0.17864254528916715</v>
      </c>
      <c r="Y63" s="281">
        <f t="shared" si="106"/>
        <v>0.24553827143304791</v>
      </c>
      <c r="Z63" s="281">
        <f t="shared" si="106"/>
        <v>0.20750180821837669</v>
      </c>
      <c r="AA63" s="281" t="e">
        <f t="shared" si="106"/>
        <v>#DIV/0!</v>
      </c>
      <c r="AB63" s="281" t="e">
        <f t="shared" si="106"/>
        <v>#DIV/0!</v>
      </c>
      <c r="AC63" s="281" t="e">
        <f t="shared" si="106"/>
        <v>#DIV/0!</v>
      </c>
      <c r="AD63" s="281">
        <f t="shared" si="106"/>
        <v>0.20192788832146732</v>
      </c>
      <c r="AE63" s="257"/>
      <c r="AF63" s="256">
        <f t="shared" ref="AF63:AR64" si="107">R63-D63</f>
        <v>2.3874925454495932E-3</v>
      </c>
      <c r="AG63" s="256">
        <f t="shared" si="107"/>
        <v>-2.1620005001972642E-2</v>
      </c>
      <c r="AH63" s="256">
        <f t="shared" si="107"/>
        <v>3.6999704480998041E-2</v>
      </c>
      <c r="AI63" s="256">
        <f t="shared" si="107"/>
        <v>2.2480961224089269E-2</v>
      </c>
      <c r="AJ63" s="256">
        <f t="shared" si="107"/>
        <v>2.086833409248659E-2</v>
      </c>
      <c r="AK63" s="256">
        <f t="shared" si="107"/>
        <v>-1.0374999032939175E-2</v>
      </c>
      <c r="AL63" s="256">
        <f t="shared" si="107"/>
        <v>-1.168912555146337E-2</v>
      </c>
      <c r="AM63" s="256">
        <f t="shared" si="107"/>
        <v>5.5206600592417387E-2</v>
      </c>
      <c r="AN63" s="256">
        <f t="shared" si="107"/>
        <v>1.717013737774617E-2</v>
      </c>
      <c r="AO63" s="256" t="e">
        <f t="shared" si="107"/>
        <v>#DIV/0!</v>
      </c>
      <c r="AP63" s="256" t="e">
        <f t="shared" si="107"/>
        <v>#DIV/0!</v>
      </c>
      <c r="AQ63" s="256" t="e">
        <f t="shared" si="107"/>
        <v>#DIV/0!</v>
      </c>
      <c r="AR63" s="256">
        <f t="shared" si="107"/>
        <v>1.1596217480836779E-2</v>
      </c>
      <c r="AS63" s="257"/>
      <c r="AT63" s="258">
        <f t="shared" ref="AT63:BF64" si="108">R63/D63</f>
        <v>1.0125438532373769</v>
      </c>
      <c r="AU63" s="258">
        <f t="shared" si="108"/>
        <v>0.88640878889737895</v>
      </c>
      <c r="AV63" s="258">
        <f t="shared" si="108"/>
        <v>1.1943959421865151</v>
      </c>
      <c r="AW63" s="258">
        <f t="shared" si="108"/>
        <v>1.1181146633389938</v>
      </c>
      <c r="AX63" s="258">
        <f t="shared" si="108"/>
        <v>1.1096419424067379</v>
      </c>
      <c r="AY63" s="258">
        <f t="shared" si="108"/>
        <v>0.9454898967307106</v>
      </c>
      <c r="AZ63" s="258">
        <f t="shared" si="108"/>
        <v>0.93858549394414259</v>
      </c>
      <c r="BA63" s="258">
        <f t="shared" si="108"/>
        <v>1.2900547257773156</v>
      </c>
      <c r="BB63" s="258">
        <f t="shared" si="108"/>
        <v>1.0902116673589397</v>
      </c>
      <c r="BC63" s="258" t="e">
        <f t="shared" si="108"/>
        <v>#DIV/0!</v>
      </c>
      <c r="BD63" s="258" t="e">
        <f t="shared" si="108"/>
        <v>#DIV/0!</v>
      </c>
      <c r="BE63" s="258" t="e">
        <f t="shared" si="108"/>
        <v>#DIV/0!</v>
      </c>
      <c r="BF63" s="258">
        <f t="shared" si="108"/>
        <v>1.0609263683212584</v>
      </c>
      <c r="BH63" s="282">
        <f t="shared" ref="BH63:BL64" si="109">BH48*1000</f>
        <v>12.388454284988027</v>
      </c>
      <c r="BI63" s="282">
        <f t="shared" si="109"/>
        <v>-128.14765887409499</v>
      </c>
      <c r="BJ63" s="282">
        <f t="shared" si="109"/>
        <v>162.75670011959787</v>
      </c>
      <c r="BK63" s="282">
        <f t="shared" si="109"/>
        <v>105.63734401467504</v>
      </c>
      <c r="BL63" s="282">
        <f t="shared" si="109"/>
        <v>98.808397751198839</v>
      </c>
      <c r="BN63" s="274">
        <f t="shared" ref="BN63:BR64" si="110">BN48*1000</f>
        <v>-65.433044141541231</v>
      </c>
      <c r="BO63" s="274">
        <f t="shared" si="110"/>
        <v>224.83908626631694</v>
      </c>
      <c r="BP63" s="274">
        <f t="shared" si="110"/>
        <v>82.746928931222456</v>
      </c>
      <c r="BQ63" s="274" t="e">
        <f t="shared" si="110"/>
        <v>#DIV/0!</v>
      </c>
      <c r="BR63" s="274" t="e">
        <f t="shared" si="110"/>
        <v>#DIV/0!</v>
      </c>
      <c r="BT63" s="212">
        <f t="shared" ref="BT63:BX64" si="111">BN63/BH63</f>
        <v>-5.2817762923685416</v>
      </c>
      <c r="BU63" s="212">
        <f t="shared" si="111"/>
        <v>-1.7545313604770667</v>
      </c>
      <c r="BV63" s="212">
        <f t="shared" si="111"/>
        <v>0.50840874059512053</v>
      </c>
      <c r="BW63" s="212" t="e">
        <f t="shared" si="111"/>
        <v>#DIV/0!</v>
      </c>
      <c r="BX63" s="212" t="e">
        <f t="shared" si="111"/>
        <v>#DIV/0!</v>
      </c>
      <c r="BZ63" s="138"/>
      <c r="CA63" s="138"/>
    </row>
    <row r="64" spans="1:79" ht="15.75" thickBot="1">
      <c r="A64" s="867"/>
      <c r="B64" s="275" t="s">
        <v>53</v>
      </c>
      <c r="C64" s="276"/>
      <c r="D64" s="283">
        <f t="shared" si="105"/>
        <v>0.56702815725121092</v>
      </c>
      <c r="E64" s="283">
        <f t="shared" si="105"/>
        <v>0.56702815725121081</v>
      </c>
      <c r="F64" s="283">
        <f t="shared" si="105"/>
        <v>0.56702815725121081</v>
      </c>
      <c r="G64" s="283">
        <f t="shared" si="105"/>
        <v>0.56702815725121092</v>
      </c>
      <c r="H64" s="283">
        <f t="shared" si="105"/>
        <v>0.5670281572512107</v>
      </c>
      <c r="I64" s="283">
        <f t="shared" si="105"/>
        <v>0.56702815725121081</v>
      </c>
      <c r="J64" s="283">
        <f t="shared" si="105"/>
        <v>0.56702815725121081</v>
      </c>
      <c r="K64" s="283">
        <f t="shared" si="105"/>
        <v>0.56702815725121092</v>
      </c>
      <c r="L64" s="283">
        <f t="shared" si="105"/>
        <v>0.56702815725121081</v>
      </c>
      <c r="M64" s="283">
        <f t="shared" si="105"/>
        <v>0.56702815725121081</v>
      </c>
      <c r="N64" s="283">
        <f t="shared" si="105"/>
        <v>0.56702815725121081</v>
      </c>
      <c r="O64" s="283">
        <f t="shared" si="105"/>
        <v>0.56702815725121081</v>
      </c>
      <c r="P64" s="283">
        <f t="shared" si="105"/>
        <v>0.56702815725121092</v>
      </c>
      <c r="Q64" s="257"/>
      <c r="R64" s="283">
        <f t="shared" si="106"/>
        <v>0.29178327116334657</v>
      </c>
      <c r="S64" s="283">
        <f t="shared" si="106"/>
        <v>0.29512278932005181</v>
      </c>
      <c r="T64" s="283">
        <f t="shared" si="106"/>
        <v>0.38277813124159038</v>
      </c>
      <c r="U64" s="283">
        <f t="shared" si="106"/>
        <v>0.36798273207660837</v>
      </c>
      <c r="V64" s="283">
        <f t="shared" si="106"/>
        <v>0.38945078219425927</v>
      </c>
      <c r="W64" s="283">
        <f t="shared" si="106"/>
        <v>0.47660416729444727</v>
      </c>
      <c r="X64" s="283">
        <f t="shared" si="106"/>
        <v>0.36681420633770506</v>
      </c>
      <c r="Y64" s="283">
        <f t="shared" si="106"/>
        <v>0.42374222013580837</v>
      </c>
      <c r="Z64" s="283">
        <f t="shared" si="106"/>
        <v>0.45538200053624589</v>
      </c>
      <c r="AA64" s="283" t="e">
        <f t="shared" si="106"/>
        <v>#DIV/0!</v>
      </c>
      <c r="AB64" s="283" t="e">
        <f t="shared" si="106"/>
        <v>#DIV/0!</v>
      </c>
      <c r="AC64" s="283" t="e">
        <f t="shared" si="106"/>
        <v>#DIV/0!</v>
      </c>
      <c r="AD64" s="283">
        <f t="shared" si="106"/>
        <v>0.39312878080022373</v>
      </c>
      <c r="AE64" s="257"/>
      <c r="AF64" s="261">
        <f t="shared" si="107"/>
        <v>-0.27524488608786435</v>
      </c>
      <c r="AG64" s="261">
        <f t="shared" si="107"/>
        <v>-0.27190536793115899</v>
      </c>
      <c r="AH64" s="261">
        <f t="shared" si="107"/>
        <v>-0.18425002600962043</v>
      </c>
      <c r="AI64" s="261">
        <f t="shared" si="107"/>
        <v>-0.19904542517460255</v>
      </c>
      <c r="AJ64" s="261">
        <f t="shared" si="107"/>
        <v>-0.17757737505695143</v>
      </c>
      <c r="AK64" s="261">
        <f t="shared" si="107"/>
        <v>-9.042398995676354E-2</v>
      </c>
      <c r="AL64" s="261">
        <f t="shared" si="107"/>
        <v>-0.20021395091350574</v>
      </c>
      <c r="AM64" s="261">
        <f t="shared" si="107"/>
        <v>-0.14328593711540255</v>
      </c>
      <c r="AN64" s="261">
        <f t="shared" si="107"/>
        <v>-0.11164615671496492</v>
      </c>
      <c r="AO64" s="261" t="e">
        <f t="shared" si="107"/>
        <v>#DIV/0!</v>
      </c>
      <c r="AP64" s="261" t="e">
        <f t="shared" si="107"/>
        <v>#DIV/0!</v>
      </c>
      <c r="AQ64" s="261" t="e">
        <f t="shared" si="107"/>
        <v>#DIV/0!</v>
      </c>
      <c r="AR64" s="261">
        <f t="shared" si="107"/>
        <v>-0.17389937645098719</v>
      </c>
      <c r="AS64" s="257"/>
      <c r="AT64" s="184">
        <f t="shared" si="108"/>
        <v>0.51458338961124572</v>
      </c>
      <c r="AU64" s="184">
        <f t="shared" si="108"/>
        <v>0.52047289988335343</v>
      </c>
      <c r="AV64" s="184">
        <f t="shared" si="108"/>
        <v>0.67506018236764209</v>
      </c>
      <c r="AW64" s="184">
        <f t="shared" si="108"/>
        <v>0.64896729972014544</v>
      </c>
      <c r="AX64" s="184">
        <f t="shared" si="108"/>
        <v>0.68682794181192797</v>
      </c>
      <c r="AY64" s="184">
        <f t="shared" si="108"/>
        <v>0.84052998285814762</v>
      </c>
      <c r="AZ64" s="184">
        <f t="shared" si="108"/>
        <v>0.64690651010333367</v>
      </c>
      <c r="BA64" s="184">
        <f t="shared" si="108"/>
        <v>0.74730366511248492</v>
      </c>
      <c r="BB64" s="184">
        <f t="shared" si="108"/>
        <v>0.80310297595062419</v>
      </c>
      <c r="BC64" s="184" t="e">
        <f t="shared" si="108"/>
        <v>#DIV/0!</v>
      </c>
      <c r="BD64" s="184" t="e">
        <f t="shared" si="108"/>
        <v>#DIV/0!</v>
      </c>
      <c r="BE64" s="184" t="e">
        <f t="shared" si="108"/>
        <v>#DIV/0!</v>
      </c>
      <c r="BF64" s="184">
        <f t="shared" si="108"/>
        <v>0.69331438972272341</v>
      </c>
      <c r="BH64" s="284">
        <f t="shared" si="109"/>
        <v>-943.3196255236179</v>
      </c>
      <c r="BI64" s="284">
        <f t="shared" si="109"/>
        <v>-921.3296220112835</v>
      </c>
      <c r="BJ64" s="284">
        <f t="shared" si="109"/>
        <v>-481.34940575623176</v>
      </c>
      <c r="BK64" s="284">
        <f t="shared" si="109"/>
        <v>-540.90968902628924</v>
      </c>
      <c r="BL64" s="284">
        <f t="shared" si="109"/>
        <v>-455.96872101896355</v>
      </c>
      <c r="BN64" s="274">
        <f t="shared" si="110"/>
        <v>-545.81842102696544</v>
      </c>
      <c r="BO64" s="274">
        <f t="shared" si="110"/>
        <v>-338.1441128747561</v>
      </c>
      <c r="BP64" s="274">
        <f t="shared" si="110"/>
        <v>-245.17033300282682</v>
      </c>
      <c r="BQ64" s="274" t="e">
        <f t="shared" si="110"/>
        <v>#DIV/0!</v>
      </c>
      <c r="BR64" s="274" t="e">
        <f t="shared" si="110"/>
        <v>#DIV/0!</v>
      </c>
      <c r="BT64" s="163">
        <f t="shared" si="111"/>
        <v>0.57861450801894698</v>
      </c>
      <c r="BU64" s="163">
        <f t="shared" si="111"/>
        <v>0.36701751989323844</v>
      </c>
      <c r="BV64" s="163">
        <f t="shared" si="111"/>
        <v>0.50933963991842479</v>
      </c>
      <c r="BW64" s="163" t="e">
        <f t="shared" si="111"/>
        <v>#DIV/0!</v>
      </c>
      <c r="BX64" s="163" t="e">
        <f t="shared" si="111"/>
        <v>#DIV/0!</v>
      </c>
      <c r="BZ64" s="138"/>
      <c r="CA64" s="138"/>
    </row>
    <row r="65" spans="1:79" ht="16.5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5.95" customHeight="1">
      <c r="A66" s="866" t="s">
        <v>59</v>
      </c>
      <c r="B66" s="271" t="s">
        <v>52</v>
      </c>
      <c r="C66" s="272"/>
      <c r="D66" s="281">
        <f t="shared" ref="D66:P67" si="112">D52*1000</f>
        <v>7.8971620814351481E-2</v>
      </c>
      <c r="E66" s="281">
        <f t="shared" si="112"/>
        <v>7.8971620814351481E-2</v>
      </c>
      <c r="F66" s="281">
        <f t="shared" si="112"/>
        <v>7.8971620814351468E-2</v>
      </c>
      <c r="G66" s="281">
        <f t="shared" si="112"/>
        <v>7.8971620814351495E-2</v>
      </c>
      <c r="H66" s="281">
        <f t="shared" si="112"/>
        <v>7.8971620814351468E-2</v>
      </c>
      <c r="I66" s="281">
        <f t="shared" si="112"/>
        <v>7.8971620814351468E-2</v>
      </c>
      <c r="J66" s="281">
        <f t="shared" si="112"/>
        <v>7.8971620814351495E-2</v>
      </c>
      <c r="K66" s="281">
        <f t="shared" si="112"/>
        <v>7.8971620814351468E-2</v>
      </c>
      <c r="L66" s="281">
        <f t="shared" si="112"/>
        <v>7.8971620814351468E-2</v>
      </c>
      <c r="M66" s="281">
        <f t="shared" si="112"/>
        <v>7.8971620814351495E-2</v>
      </c>
      <c r="N66" s="281">
        <f t="shared" si="112"/>
        <v>7.8971620814351468E-2</v>
      </c>
      <c r="O66" s="281">
        <f t="shared" si="112"/>
        <v>7.8971620814351468E-2</v>
      </c>
      <c r="P66" s="281">
        <f t="shared" si="112"/>
        <v>7.8971620814351481E-2</v>
      </c>
      <c r="Q66" s="257"/>
      <c r="R66" s="281">
        <f t="shared" ref="R66:AD67" si="113">R52*1000</f>
        <v>8.7903661872718919E-2</v>
      </c>
      <c r="S66" s="281">
        <f t="shared" si="113"/>
        <v>8.9887832571540802E-2</v>
      </c>
      <c r="T66" s="281">
        <f t="shared" si="113"/>
        <v>0.11728003459816153</v>
      </c>
      <c r="U66" s="281">
        <f t="shared" si="113"/>
        <v>0.12885129777050489</v>
      </c>
      <c r="V66" s="281">
        <f t="shared" si="113"/>
        <v>0.1439468790561321</v>
      </c>
      <c r="W66" s="281">
        <f t="shared" si="113"/>
        <v>0.12555853584834473</v>
      </c>
      <c r="X66" s="281">
        <f t="shared" si="113"/>
        <v>9.4165052913135081E-2</v>
      </c>
      <c r="Y66" s="281">
        <f t="shared" si="113"/>
        <v>0.10841008968075988</v>
      </c>
      <c r="Z66" s="281">
        <f t="shared" si="113"/>
        <v>7.8165696808461332E-2</v>
      </c>
      <c r="AA66" s="281" t="e">
        <f t="shared" si="113"/>
        <v>#DIV/0!</v>
      </c>
      <c r="AB66" s="281" t="e">
        <f t="shared" si="113"/>
        <v>#DIV/0!</v>
      </c>
      <c r="AC66" s="281" t="e">
        <f t="shared" si="113"/>
        <v>#DIV/0!</v>
      </c>
      <c r="AD66" s="281">
        <f t="shared" si="113"/>
        <v>0.11180819806593711</v>
      </c>
      <c r="AE66" s="257"/>
      <c r="AF66" s="256">
        <f t="shared" ref="AF66:AR67" si="114">R66-D66</f>
        <v>8.9320410583674376E-3</v>
      </c>
      <c r="AG66" s="256">
        <f t="shared" si="114"/>
        <v>1.091621175718932E-2</v>
      </c>
      <c r="AH66" s="256">
        <f t="shared" si="114"/>
        <v>3.8308413783810058E-2</v>
      </c>
      <c r="AI66" s="256">
        <f t="shared" si="114"/>
        <v>4.987967695615339E-2</v>
      </c>
      <c r="AJ66" s="256">
        <f t="shared" si="114"/>
        <v>6.4975258241780631E-2</v>
      </c>
      <c r="AK66" s="256">
        <f t="shared" si="114"/>
        <v>4.6586915033993259E-2</v>
      </c>
      <c r="AL66" s="256">
        <f t="shared" si="114"/>
        <v>1.5193432098783585E-2</v>
      </c>
      <c r="AM66" s="256">
        <f t="shared" si="114"/>
        <v>2.9438468866408413E-2</v>
      </c>
      <c r="AN66" s="256">
        <f t="shared" si="114"/>
        <v>-8.0592400589013513E-4</v>
      </c>
      <c r="AO66" s="256" t="e">
        <f t="shared" si="114"/>
        <v>#DIV/0!</v>
      </c>
      <c r="AP66" s="256" t="e">
        <f t="shared" si="114"/>
        <v>#DIV/0!</v>
      </c>
      <c r="AQ66" s="256" t="e">
        <f t="shared" si="114"/>
        <v>#DIV/0!</v>
      </c>
      <c r="AR66" s="256">
        <f t="shared" si="114"/>
        <v>3.2836577251585633E-2</v>
      </c>
      <c r="AS66" s="257"/>
      <c r="AT66" s="258">
        <f t="shared" ref="AT66:BF67" si="115">R66/D66</f>
        <v>1.1131044413962974</v>
      </c>
      <c r="AU66" s="258">
        <f t="shared" si="115"/>
        <v>1.1382295518899306</v>
      </c>
      <c r="AV66" s="258">
        <f t="shared" si="115"/>
        <v>1.4850908894711237</v>
      </c>
      <c r="AW66" s="258">
        <f t="shared" si="115"/>
        <v>1.6316152111580919</v>
      </c>
      <c r="AX66" s="258">
        <f t="shared" si="115"/>
        <v>1.8227671861329293</v>
      </c>
      <c r="AY66" s="258">
        <f t="shared" si="115"/>
        <v>1.5899197022118994</v>
      </c>
      <c r="AZ66" s="258">
        <f t="shared" si="115"/>
        <v>1.192391037971738</v>
      </c>
      <c r="BA66" s="258">
        <f t="shared" si="115"/>
        <v>1.3727727576418005</v>
      </c>
      <c r="BB66" s="258">
        <f t="shared" si="115"/>
        <v>0.98979476427633772</v>
      </c>
      <c r="BC66" s="258" t="e">
        <f t="shared" si="115"/>
        <v>#DIV/0!</v>
      </c>
      <c r="BD66" s="258" t="e">
        <f t="shared" si="115"/>
        <v>#DIV/0!</v>
      </c>
      <c r="BE66" s="258" t="e">
        <f t="shared" si="115"/>
        <v>#DIV/0!</v>
      </c>
      <c r="BF66" s="258">
        <f t="shared" si="115"/>
        <v>1.4158022453253012</v>
      </c>
      <c r="BH66" s="282">
        <f t="shared" ref="BH66:BL67" si="116">BH52*1000</f>
        <v>7.8971620814351495E-2</v>
      </c>
      <c r="BI66" s="282">
        <f t="shared" si="116"/>
        <v>7.8971620814351481E-2</v>
      </c>
      <c r="BJ66" s="282">
        <f t="shared" si="116"/>
        <v>7.8971620814351481E-2</v>
      </c>
      <c r="BK66" s="282">
        <f t="shared" si="116"/>
        <v>7.8971620814351481E-2</v>
      </c>
      <c r="BL66" s="282">
        <f t="shared" si="116"/>
        <v>7.8971620814351481E-2</v>
      </c>
      <c r="BN66" s="274">
        <f t="shared" ref="BN66:BR67" si="117">BN52*1000</f>
        <v>0.10160677851076025</v>
      </c>
      <c r="BO66" s="274">
        <f t="shared" si="117"/>
        <v>0.13307465470494725</v>
      </c>
      <c r="BP66" s="274">
        <f t="shared" si="117"/>
        <v>9.482255172479867E-2</v>
      </c>
      <c r="BQ66" s="274" t="e">
        <f t="shared" si="117"/>
        <v>#DIV/0!</v>
      </c>
      <c r="BR66" s="274">
        <f t="shared" si="117"/>
        <v>0.11180819806593711</v>
      </c>
      <c r="BT66" s="212">
        <f t="shared" ref="BT66:BX67" si="118">BN66/BH66</f>
        <v>1.286623947476272</v>
      </c>
      <c r="BU66" s="212">
        <f t="shared" si="118"/>
        <v>1.6850946369428401</v>
      </c>
      <c r="BV66" s="212">
        <f t="shared" si="118"/>
        <v>1.2007167986042728</v>
      </c>
      <c r="BW66" s="212" t="e">
        <f t="shared" si="118"/>
        <v>#DIV/0!</v>
      </c>
      <c r="BX66" s="212">
        <f t="shared" si="118"/>
        <v>1.4158022453253012</v>
      </c>
      <c r="BZ66" s="138"/>
      <c r="CA66" s="138"/>
    </row>
    <row r="67" spans="1:79" ht="15.75" thickBot="1">
      <c r="A67" s="867"/>
      <c r="B67" s="275" t="s">
        <v>53</v>
      </c>
      <c r="C67" s="276"/>
      <c r="D67" s="283">
        <f t="shared" si="112"/>
        <v>0.83183241975371147</v>
      </c>
      <c r="E67" s="283">
        <f t="shared" si="112"/>
        <v>0.83183241975371158</v>
      </c>
      <c r="F67" s="283">
        <f t="shared" si="112"/>
        <v>0.83183241975371147</v>
      </c>
      <c r="G67" s="283">
        <f t="shared" si="112"/>
        <v>0.83183241975371169</v>
      </c>
      <c r="H67" s="283">
        <f t="shared" si="112"/>
        <v>0.83183241975371136</v>
      </c>
      <c r="I67" s="283">
        <f t="shared" si="112"/>
        <v>0.83183241975371147</v>
      </c>
      <c r="J67" s="283">
        <f t="shared" si="112"/>
        <v>0.83183241975371147</v>
      </c>
      <c r="K67" s="283">
        <f t="shared" si="112"/>
        <v>0.83183241975371147</v>
      </c>
      <c r="L67" s="283">
        <f t="shared" si="112"/>
        <v>0.83183241975371158</v>
      </c>
      <c r="M67" s="283">
        <f t="shared" si="112"/>
        <v>0.83183241975371147</v>
      </c>
      <c r="N67" s="283">
        <f t="shared" si="112"/>
        <v>0.83183241975371147</v>
      </c>
      <c r="O67" s="283">
        <f t="shared" si="112"/>
        <v>0.83183241975371147</v>
      </c>
      <c r="P67" s="283">
        <f t="shared" si="112"/>
        <v>0.83183241975371158</v>
      </c>
      <c r="Q67" s="257"/>
      <c r="R67" s="283">
        <f t="shared" si="113"/>
        <v>0.33159658378644519</v>
      </c>
      <c r="S67" s="283">
        <f t="shared" si="113"/>
        <v>0.64247613241577928</v>
      </c>
      <c r="T67" s="283">
        <f t="shared" si="113"/>
        <v>1.2466133717114662</v>
      </c>
      <c r="U67" s="283">
        <f t="shared" si="113"/>
        <v>0.56219098373809473</v>
      </c>
      <c r="V67" s="283">
        <f t="shared" si="113"/>
        <v>0.62781603915197037</v>
      </c>
      <c r="W67" s="283">
        <f t="shared" si="113"/>
        <v>0.87256775980714552</v>
      </c>
      <c r="X67" s="283">
        <f t="shared" si="113"/>
        <v>0.42016827697916609</v>
      </c>
      <c r="Y67" s="283">
        <f t="shared" si="113"/>
        <v>0.43326476818304177</v>
      </c>
      <c r="Z67" s="283">
        <f t="shared" si="113"/>
        <v>0.67669211702698207</v>
      </c>
      <c r="AA67" s="283" t="e">
        <f t="shared" si="113"/>
        <v>#DIV/0!</v>
      </c>
      <c r="AB67" s="283" t="e">
        <f t="shared" si="113"/>
        <v>#DIV/0!</v>
      </c>
      <c r="AC67" s="283" t="e">
        <f t="shared" si="113"/>
        <v>#DIV/0!</v>
      </c>
      <c r="AD67" s="283">
        <f t="shared" si="113"/>
        <v>0.59851716610039141</v>
      </c>
      <c r="AE67" s="257"/>
      <c r="AF67" s="261">
        <f t="shared" si="114"/>
        <v>-0.50023583596726628</v>
      </c>
      <c r="AG67" s="261">
        <f t="shared" si="114"/>
        <v>-0.18935628733793231</v>
      </c>
      <c r="AH67" s="261">
        <f t="shared" si="114"/>
        <v>0.41478095195775477</v>
      </c>
      <c r="AI67" s="261">
        <f t="shared" si="114"/>
        <v>-0.26964143601561696</v>
      </c>
      <c r="AJ67" s="261">
        <f t="shared" si="114"/>
        <v>-0.20401638060174099</v>
      </c>
      <c r="AK67" s="261">
        <f t="shared" si="114"/>
        <v>4.0735340053434044E-2</v>
      </c>
      <c r="AL67" s="261">
        <f t="shared" si="114"/>
        <v>-0.41166414277454538</v>
      </c>
      <c r="AM67" s="261">
        <f t="shared" si="114"/>
        <v>-0.3985676515706697</v>
      </c>
      <c r="AN67" s="261">
        <f t="shared" si="114"/>
        <v>-0.15514030272672952</v>
      </c>
      <c r="AO67" s="261" t="e">
        <f t="shared" si="114"/>
        <v>#DIV/0!</v>
      </c>
      <c r="AP67" s="261" t="e">
        <f t="shared" si="114"/>
        <v>#DIV/0!</v>
      </c>
      <c r="AQ67" s="261" t="e">
        <f t="shared" si="114"/>
        <v>#DIV/0!</v>
      </c>
      <c r="AR67" s="261">
        <f t="shared" si="114"/>
        <v>-0.23331525365332018</v>
      </c>
      <c r="AS67" s="257"/>
      <c r="AT67" s="184">
        <f t="shared" si="115"/>
        <v>0.39863387854566207</v>
      </c>
      <c r="AU67" s="184">
        <f t="shared" si="115"/>
        <v>0.77236245806096759</v>
      </c>
      <c r="AV67" s="184">
        <f t="shared" si="115"/>
        <v>1.4986352324192449</v>
      </c>
      <c r="AW67" s="184">
        <f t="shared" si="115"/>
        <v>0.67584644501418667</v>
      </c>
      <c r="AX67" s="184">
        <f t="shared" si="115"/>
        <v>0.75473860388592928</v>
      </c>
      <c r="AY67" s="184">
        <f t="shared" si="115"/>
        <v>1.0489706088463047</v>
      </c>
      <c r="AZ67" s="184">
        <f t="shared" si="115"/>
        <v>0.50511168716358679</v>
      </c>
      <c r="BA67" s="184">
        <f t="shared" si="115"/>
        <v>0.52085583333157726</v>
      </c>
      <c r="BB67" s="184">
        <f t="shared" si="115"/>
        <v>0.81349572456834107</v>
      </c>
      <c r="BC67" s="184" t="e">
        <f t="shared" si="115"/>
        <v>#DIV/0!</v>
      </c>
      <c r="BD67" s="184" t="e">
        <f t="shared" si="115"/>
        <v>#DIV/0!</v>
      </c>
      <c r="BE67" s="184" t="e">
        <f t="shared" si="115"/>
        <v>#DIV/0!</v>
      </c>
      <c r="BF67" s="184">
        <f t="shared" si="115"/>
        <v>0.71951651785536319</v>
      </c>
      <c r="BH67" s="284">
        <f t="shared" si="116"/>
        <v>0.83183241975371158</v>
      </c>
      <c r="BI67" s="284">
        <f t="shared" si="116"/>
        <v>0.83183241975371147</v>
      </c>
      <c r="BJ67" s="284">
        <f t="shared" si="116"/>
        <v>0.83183241975371136</v>
      </c>
      <c r="BK67" s="284">
        <f t="shared" si="116"/>
        <v>0.83183241975371147</v>
      </c>
      <c r="BL67" s="284">
        <f t="shared" si="116"/>
        <v>0.83183241975371147</v>
      </c>
      <c r="BN67" s="274">
        <f t="shared" si="117"/>
        <v>0.67765902249261367</v>
      </c>
      <c r="BO67" s="274">
        <f t="shared" si="117"/>
        <v>0.62510272310568304</v>
      </c>
      <c r="BP67" s="274">
        <f t="shared" si="117"/>
        <v>0.51382977428060295</v>
      </c>
      <c r="BQ67" s="274" t="e">
        <f t="shared" si="117"/>
        <v>#DIV/0!</v>
      </c>
      <c r="BR67" s="274">
        <f t="shared" si="117"/>
        <v>0.59851716610039152</v>
      </c>
      <c r="BT67" s="163">
        <f t="shared" si="118"/>
        <v>0.81465810468562228</v>
      </c>
      <c r="BU67" s="163">
        <f t="shared" si="118"/>
        <v>0.75147674971692391</v>
      </c>
      <c r="BV67" s="163">
        <f t="shared" si="118"/>
        <v>0.61770828123378196</v>
      </c>
      <c r="BW67" s="163" t="e">
        <f t="shared" si="118"/>
        <v>#DIV/0!</v>
      </c>
      <c r="BX67" s="163">
        <f t="shared" si="118"/>
        <v>0.71951651785536341</v>
      </c>
      <c r="BZ67" s="138"/>
      <c r="CA67" s="138"/>
    </row>
    <row r="68" spans="1:79" ht="16.5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6" customHeight="1">
      <c r="A69" s="136" t="s">
        <v>65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6" customHeight="1">
      <c r="A70" s="866" t="s">
        <v>54</v>
      </c>
      <c r="B70" s="271" t="s">
        <v>52</v>
      </c>
      <c r="C70" s="272"/>
      <c r="D70" s="286">
        <f t="shared" ref="D70:P70" si="119">D4/D6</f>
        <v>0.91499999999999992</v>
      </c>
      <c r="E70" s="286">
        <f t="shared" si="119"/>
        <v>0.91500000000000004</v>
      </c>
      <c r="F70" s="286">
        <f t="shared" si="119"/>
        <v>0.91499999999999992</v>
      </c>
      <c r="G70" s="286">
        <f t="shared" si="119"/>
        <v>0.91499999999999992</v>
      </c>
      <c r="H70" s="286">
        <f t="shared" si="119"/>
        <v>0.91500000000000004</v>
      </c>
      <c r="I70" s="286">
        <f t="shared" si="119"/>
        <v>0.91499999999999992</v>
      </c>
      <c r="J70" s="286">
        <f t="shared" si="119"/>
        <v>0.91500000000000004</v>
      </c>
      <c r="K70" s="286">
        <f t="shared" si="119"/>
        <v>0.91499999999999992</v>
      </c>
      <c r="L70" s="286">
        <f t="shared" si="119"/>
        <v>0.91499999999999992</v>
      </c>
      <c r="M70" s="286">
        <f t="shared" si="119"/>
        <v>0.91500000000000004</v>
      </c>
      <c r="N70" s="286">
        <f t="shared" si="119"/>
        <v>0.91500000000000004</v>
      </c>
      <c r="O70" s="286">
        <f t="shared" si="119"/>
        <v>0.91500000000000004</v>
      </c>
      <c r="P70" s="286">
        <f t="shared" si="119"/>
        <v>0.91500000000000004</v>
      </c>
      <c r="Q70" s="287"/>
      <c r="R70" s="286">
        <f t="shared" ref="R70:AD70" si="120">R4/R6</f>
        <v>0.92013192228911211</v>
      </c>
      <c r="S70" s="286">
        <f t="shared" si="120"/>
        <v>0.93146879669189342</v>
      </c>
      <c r="T70" s="286">
        <f t="shared" si="120"/>
        <v>0.93242514442419777</v>
      </c>
      <c r="U70" s="286">
        <f t="shared" si="120"/>
        <v>0.93184114217981917</v>
      </c>
      <c r="V70" s="286">
        <f t="shared" si="120"/>
        <v>0.92646395828562789</v>
      </c>
      <c r="W70" s="286">
        <f t="shared" si="120"/>
        <v>0.91898120002135386</v>
      </c>
      <c r="X70" s="288">
        <f t="shared" si="120"/>
        <v>0.91202874362938968</v>
      </c>
      <c r="Y70" s="286">
        <f t="shared" si="120"/>
        <v>0.90430425582264984</v>
      </c>
      <c r="Z70" s="286">
        <f t="shared" si="120"/>
        <v>0.90534214163525772</v>
      </c>
      <c r="AA70" s="286" t="e">
        <f t="shared" si="120"/>
        <v>#DIV/0!</v>
      </c>
      <c r="AB70" s="286" t="e">
        <f t="shared" si="120"/>
        <v>#DIV/0!</v>
      </c>
      <c r="AC70" s="286" t="e">
        <f t="shared" si="120"/>
        <v>#DIV/0!</v>
      </c>
      <c r="AD70" s="286">
        <f t="shared" si="120"/>
        <v>0.91968607205000807</v>
      </c>
      <c r="AE70" s="287"/>
      <c r="AF70" s="289">
        <f t="shared" ref="AF70:AR71" si="121">R70-D70</f>
        <v>5.1319222891121896E-3</v>
      </c>
      <c r="AG70" s="289">
        <f t="shared" si="121"/>
        <v>1.6468796691893384E-2</v>
      </c>
      <c r="AH70" s="289">
        <f t="shared" si="121"/>
        <v>1.7425144424197847E-2</v>
      </c>
      <c r="AI70" s="289">
        <f t="shared" si="121"/>
        <v>1.6841142179819246E-2</v>
      </c>
      <c r="AJ70" s="289">
        <f t="shared" si="121"/>
        <v>1.1463958285627851E-2</v>
      </c>
      <c r="AK70" s="289">
        <f t="shared" si="121"/>
        <v>3.9812000213539367E-3</v>
      </c>
      <c r="AL70" s="289">
        <f t="shared" si="121"/>
        <v>-2.9712563706103534E-3</v>
      </c>
      <c r="AM70" s="289">
        <f t="shared" si="121"/>
        <v>-1.0695744177350086E-2</v>
      </c>
      <c r="AN70" s="289">
        <f t="shared" si="121"/>
        <v>-9.6578583647422001E-3</v>
      </c>
      <c r="AO70" s="289" t="e">
        <f t="shared" si="121"/>
        <v>#DIV/0!</v>
      </c>
      <c r="AP70" s="289" t="e">
        <f t="shared" si="121"/>
        <v>#DIV/0!</v>
      </c>
      <c r="AQ70" s="289" t="e">
        <f t="shared" si="121"/>
        <v>#DIV/0!</v>
      </c>
      <c r="AR70" s="289">
        <f t="shared" si="121"/>
        <v>4.6860720500080388E-3</v>
      </c>
      <c r="AS70" s="287"/>
      <c r="AT70" s="286">
        <f t="shared" ref="AT70:BF70" si="122">AT4/AT6</f>
        <v>1.0056086582394668</v>
      </c>
      <c r="AU70" s="286">
        <f t="shared" si="122"/>
        <v>1.0179986849091731</v>
      </c>
      <c r="AV70" s="286">
        <f t="shared" si="122"/>
        <v>1.0190438736876479</v>
      </c>
      <c r="AW70" s="286">
        <f t="shared" si="122"/>
        <v>1.0184056198686549</v>
      </c>
      <c r="AX70" s="286">
        <f t="shared" si="122"/>
        <v>1.0125289161591562</v>
      </c>
      <c r="AY70" s="286">
        <f t="shared" si="122"/>
        <v>1.0043510382747038</v>
      </c>
      <c r="AZ70" s="286">
        <f t="shared" si="122"/>
        <v>0.99675272527802161</v>
      </c>
      <c r="BA70" s="286">
        <f t="shared" si="122"/>
        <v>0.98831066210125673</v>
      </c>
      <c r="BB70" s="286">
        <f t="shared" si="122"/>
        <v>0.98944496353580069</v>
      </c>
      <c r="BC70" s="286" t="e">
        <f t="shared" si="122"/>
        <v>#DIV/0!</v>
      </c>
      <c r="BD70" s="286" t="e">
        <f t="shared" si="122"/>
        <v>#DIV/0!</v>
      </c>
      <c r="BE70" s="286" t="e">
        <f t="shared" si="122"/>
        <v>#DIV/0!</v>
      </c>
      <c r="BF70" s="286">
        <f t="shared" si="122"/>
        <v>1.005121390218588</v>
      </c>
      <c r="BH70" s="212">
        <f>BH4/BH6</f>
        <v>0.91500000000000004</v>
      </c>
      <c r="BI70" s="212">
        <f>BI4/BI6</f>
        <v>0.91500000000000004</v>
      </c>
      <c r="BJ70" s="212">
        <f>BJ4/BJ6</f>
        <v>0.91499999999999992</v>
      </c>
      <c r="BK70" s="212">
        <f>BK4/BK6</f>
        <v>0.91499999999999992</v>
      </c>
      <c r="BL70" s="212">
        <f>BL4/BL6</f>
        <v>0.91499999999999981</v>
      </c>
      <c r="BN70" s="290">
        <f>BN4/BN6</f>
        <v>0.92822707845104346</v>
      </c>
      <c r="BO70" s="290">
        <f>BO4/BO6</f>
        <v>0.92600552020434146</v>
      </c>
      <c r="BP70" s="212">
        <f>BP4/BP6</f>
        <v>0.90718413169104628</v>
      </c>
      <c r="BQ70" s="212" t="e">
        <f>BQ4/BQ6</f>
        <v>#DIV/0!</v>
      </c>
      <c r="BR70" s="212">
        <f>BR4/BR6</f>
        <v>0.91968607205000807</v>
      </c>
      <c r="BT70" s="212"/>
      <c r="BU70" s="212"/>
      <c r="BV70" s="212"/>
      <c r="BW70" s="212"/>
      <c r="BX70" s="212"/>
    </row>
    <row r="71" spans="1:79" ht="18" customHeight="1" thickBot="1">
      <c r="A71" s="867"/>
      <c r="B71" s="275" t="s">
        <v>53</v>
      </c>
      <c r="C71" s="276"/>
      <c r="D71" s="291">
        <f t="shared" ref="D71:P71" si="123">D5/D6</f>
        <v>8.5000000000000006E-2</v>
      </c>
      <c r="E71" s="291">
        <f t="shared" si="123"/>
        <v>8.5000000000000006E-2</v>
      </c>
      <c r="F71" s="291">
        <f t="shared" si="123"/>
        <v>8.5000000000000006E-2</v>
      </c>
      <c r="G71" s="291">
        <f t="shared" si="123"/>
        <v>8.5000000000000006E-2</v>
      </c>
      <c r="H71" s="291">
        <f t="shared" si="123"/>
        <v>8.5000000000000006E-2</v>
      </c>
      <c r="I71" s="291">
        <f t="shared" si="123"/>
        <v>8.500000000000002E-2</v>
      </c>
      <c r="J71" s="291">
        <f t="shared" si="123"/>
        <v>8.4999999999999992E-2</v>
      </c>
      <c r="K71" s="291">
        <f t="shared" si="123"/>
        <v>8.5000000000000006E-2</v>
      </c>
      <c r="L71" s="291">
        <f t="shared" si="123"/>
        <v>8.5000000000000006E-2</v>
      </c>
      <c r="M71" s="291">
        <f t="shared" si="123"/>
        <v>8.5000000000000006E-2</v>
      </c>
      <c r="N71" s="291">
        <f t="shared" si="123"/>
        <v>8.5000000000000006E-2</v>
      </c>
      <c r="O71" s="291">
        <f t="shared" si="123"/>
        <v>8.5000000000000006E-2</v>
      </c>
      <c r="P71" s="291">
        <f t="shared" si="123"/>
        <v>8.5000000000000006E-2</v>
      </c>
      <c r="Q71" s="287"/>
      <c r="R71" s="291">
        <f t="shared" ref="R71:AD71" si="124">R5/R6</f>
        <v>7.9868077710887872E-2</v>
      </c>
      <c r="S71" s="291">
        <f t="shared" si="124"/>
        <v>6.8531203308106622E-2</v>
      </c>
      <c r="T71" s="291">
        <f t="shared" si="124"/>
        <v>6.757485557580227E-2</v>
      </c>
      <c r="U71" s="291">
        <f t="shared" si="124"/>
        <v>6.8158857820180802E-2</v>
      </c>
      <c r="V71" s="291">
        <f t="shared" si="124"/>
        <v>7.3536041714372155E-2</v>
      </c>
      <c r="W71" s="291">
        <f t="shared" si="124"/>
        <v>8.1018799978646125E-2</v>
      </c>
      <c r="X71" s="292">
        <f t="shared" si="124"/>
        <v>8.797125637061029E-2</v>
      </c>
      <c r="Y71" s="291">
        <f t="shared" si="124"/>
        <v>9.5695744177350175E-2</v>
      </c>
      <c r="Z71" s="291">
        <f t="shared" si="124"/>
        <v>9.4657858364742234E-2</v>
      </c>
      <c r="AA71" s="291" t="e">
        <f t="shared" si="124"/>
        <v>#DIV/0!</v>
      </c>
      <c r="AB71" s="291" t="e">
        <f t="shared" si="124"/>
        <v>#DIV/0!</v>
      </c>
      <c r="AC71" s="291" t="e">
        <f t="shared" si="124"/>
        <v>#DIV/0!</v>
      </c>
      <c r="AD71" s="291">
        <f t="shared" si="124"/>
        <v>8.0313927949991898E-2</v>
      </c>
      <c r="AE71" s="287"/>
      <c r="AF71" s="293">
        <f t="shared" si="121"/>
        <v>-5.1319222891121341E-3</v>
      </c>
      <c r="AG71" s="293">
        <f t="shared" si="121"/>
        <v>-1.6468796691893384E-2</v>
      </c>
      <c r="AH71" s="293">
        <f t="shared" si="121"/>
        <v>-1.7425144424197736E-2</v>
      </c>
      <c r="AI71" s="293">
        <f t="shared" si="121"/>
        <v>-1.6841142179819205E-2</v>
      </c>
      <c r="AJ71" s="293">
        <f t="shared" si="121"/>
        <v>-1.1463958285627851E-2</v>
      </c>
      <c r="AK71" s="293">
        <f t="shared" si="121"/>
        <v>-3.9812000213538951E-3</v>
      </c>
      <c r="AL71" s="293">
        <f t="shared" si="121"/>
        <v>2.9712563706102979E-3</v>
      </c>
      <c r="AM71" s="293">
        <f t="shared" si="121"/>
        <v>1.0695744177350169E-2</v>
      </c>
      <c r="AN71" s="293">
        <f t="shared" si="121"/>
        <v>9.6578583647422278E-3</v>
      </c>
      <c r="AO71" s="293" t="e">
        <f t="shared" si="121"/>
        <v>#DIV/0!</v>
      </c>
      <c r="AP71" s="293" t="e">
        <f t="shared" si="121"/>
        <v>#DIV/0!</v>
      </c>
      <c r="AQ71" s="293" t="e">
        <f t="shared" si="121"/>
        <v>#DIV/0!</v>
      </c>
      <c r="AR71" s="293">
        <f t="shared" si="121"/>
        <v>-4.6860720500081082E-3</v>
      </c>
      <c r="AS71" s="287"/>
      <c r="AT71" s="291">
        <f t="shared" ref="AT71:BF71" si="125">AT5/AT6</f>
        <v>0.9396244436575043</v>
      </c>
      <c r="AU71" s="291">
        <f t="shared" si="125"/>
        <v>0.80624945068360709</v>
      </c>
      <c r="AV71" s="291">
        <f t="shared" si="125"/>
        <v>0.79499830089179135</v>
      </c>
      <c r="AW71" s="291">
        <f t="shared" si="125"/>
        <v>0.80186891553153883</v>
      </c>
      <c r="AX71" s="291">
        <f t="shared" si="125"/>
        <v>0.86512990252202537</v>
      </c>
      <c r="AY71" s="291">
        <f t="shared" si="125"/>
        <v>0.95316235268995442</v>
      </c>
      <c r="AZ71" s="291">
        <f t="shared" si="125"/>
        <v>1.0349559573012976</v>
      </c>
      <c r="BA71" s="291">
        <f t="shared" si="125"/>
        <v>1.1258322844394137</v>
      </c>
      <c r="BB71" s="291">
        <f t="shared" si="125"/>
        <v>1.1136218631146144</v>
      </c>
      <c r="BC71" s="291" t="e">
        <f t="shared" si="125"/>
        <v>#DIV/0!</v>
      </c>
      <c r="BD71" s="291" t="e">
        <f t="shared" si="125"/>
        <v>#DIV/0!</v>
      </c>
      <c r="BE71" s="291" t="e">
        <f t="shared" si="125"/>
        <v>#DIV/0!</v>
      </c>
      <c r="BF71" s="291">
        <f t="shared" si="125"/>
        <v>0.94486974058813977</v>
      </c>
      <c r="BH71" s="163">
        <f>BH5/BH6</f>
        <v>8.5000000000000006E-2</v>
      </c>
      <c r="BI71" s="163">
        <f>BI5/BI6</f>
        <v>8.500000000000002E-2</v>
      </c>
      <c r="BJ71" s="163">
        <f>BJ5/BJ6</f>
        <v>8.5000000000000006E-2</v>
      </c>
      <c r="BK71" s="163">
        <f>BK5/BK6</f>
        <v>8.5000000000000006E-2</v>
      </c>
      <c r="BL71" s="163">
        <f>BL5/BL6</f>
        <v>8.5000000000000006E-2</v>
      </c>
      <c r="BN71" s="294">
        <f>BN5/BN6</f>
        <v>7.1772921548956564E-2</v>
      </c>
      <c r="BO71" s="294">
        <f>BO5/BO6</f>
        <v>7.3994479795658527E-2</v>
      </c>
      <c r="BP71" s="163">
        <f>BP5/BP6</f>
        <v>9.2815868308953761E-2</v>
      </c>
      <c r="BQ71" s="163" t="e">
        <f>BQ5/BQ6</f>
        <v>#DIV/0!</v>
      </c>
      <c r="BR71" s="163">
        <f>BR5/BR6</f>
        <v>8.0313927949991898E-2</v>
      </c>
      <c r="BT71" s="163"/>
      <c r="BU71" s="163"/>
      <c r="BV71" s="163"/>
      <c r="BW71" s="163"/>
      <c r="BX71" s="163"/>
    </row>
    <row r="72" spans="1:79" ht="20.100000000000001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6" customHeight="1">
      <c r="A73" s="866" t="s">
        <v>62</v>
      </c>
      <c r="B73" s="271" t="s">
        <v>52</v>
      </c>
      <c r="C73" s="272"/>
      <c r="D73" s="299">
        <f t="shared" ref="D73:P73" si="126">D8/D10</f>
        <v>0.91499999999999992</v>
      </c>
      <c r="E73" s="299">
        <f t="shared" si="126"/>
        <v>0.91499999999999992</v>
      </c>
      <c r="F73" s="299">
        <f t="shared" si="126"/>
        <v>0.91499999999999992</v>
      </c>
      <c r="G73" s="299">
        <f t="shared" si="126"/>
        <v>0.91500000000000004</v>
      </c>
      <c r="H73" s="299">
        <f t="shared" si="126"/>
        <v>0.91499999999999992</v>
      </c>
      <c r="I73" s="299">
        <f t="shared" si="126"/>
        <v>0.91499999999999992</v>
      </c>
      <c r="J73" s="299">
        <f t="shared" si="126"/>
        <v>0.91499999999999992</v>
      </c>
      <c r="K73" s="299">
        <f t="shared" si="126"/>
        <v>0.91500000000000004</v>
      </c>
      <c r="L73" s="299">
        <f t="shared" si="126"/>
        <v>0.91499999999999992</v>
      </c>
      <c r="M73" s="299">
        <f t="shared" si="126"/>
        <v>0.91499999999999992</v>
      </c>
      <c r="N73" s="299">
        <f t="shared" si="126"/>
        <v>0.91500000000000004</v>
      </c>
      <c r="O73" s="299">
        <f t="shared" si="126"/>
        <v>0.91500000000000004</v>
      </c>
      <c r="P73" s="299">
        <f t="shared" si="126"/>
        <v>0.91500000000000004</v>
      </c>
      <c r="Q73" s="287"/>
      <c r="R73" s="299">
        <f t="shared" ref="R73:AD73" si="127">R8/R10</f>
        <v>0.75698398776352249</v>
      </c>
      <c r="S73" s="299">
        <f t="shared" si="127"/>
        <v>0.67441600032969429</v>
      </c>
      <c r="T73" s="299">
        <f t="shared" si="127"/>
        <v>0.58997207528619411</v>
      </c>
      <c r="U73" s="299">
        <f t="shared" si="127"/>
        <v>0.58035664424676048</v>
      </c>
      <c r="V73" s="299">
        <f t="shared" si="127"/>
        <v>0.71824816167099115</v>
      </c>
      <c r="W73" s="299">
        <f t="shared" si="127"/>
        <v>0.73034968303226722</v>
      </c>
      <c r="X73" s="300">
        <f t="shared" si="127"/>
        <v>0.77668323487300794</v>
      </c>
      <c r="Y73" s="299">
        <f t="shared" si="127"/>
        <v>0.74487071705836172</v>
      </c>
      <c r="Z73" s="299">
        <f t="shared" si="127"/>
        <v>0.76357124647374641</v>
      </c>
      <c r="AA73" s="299" t="e">
        <f t="shared" si="127"/>
        <v>#DIV/0!</v>
      </c>
      <c r="AB73" s="299" t="e">
        <f t="shared" si="127"/>
        <v>#DIV/0!</v>
      </c>
      <c r="AC73" s="299" t="e">
        <f t="shared" si="127"/>
        <v>#DIV/0!</v>
      </c>
      <c r="AD73" s="299">
        <f t="shared" si="127"/>
        <v>0.69998622303160341</v>
      </c>
      <c r="AE73" s="287"/>
      <c r="AF73" s="301">
        <f t="shared" ref="AF73:AR74" si="128">R73-D73</f>
        <v>-0.15801601223647743</v>
      </c>
      <c r="AG73" s="301">
        <f t="shared" si="128"/>
        <v>-0.24058399967030564</v>
      </c>
      <c r="AH73" s="301">
        <f t="shared" si="128"/>
        <v>-0.32502792471380582</v>
      </c>
      <c r="AI73" s="301">
        <f t="shared" si="128"/>
        <v>-0.33464335575323956</v>
      </c>
      <c r="AJ73" s="301">
        <f t="shared" si="128"/>
        <v>-0.19675183832900878</v>
      </c>
      <c r="AK73" s="301">
        <f t="shared" si="128"/>
        <v>-0.18465031696773271</v>
      </c>
      <c r="AL73" s="301">
        <f t="shared" si="128"/>
        <v>-0.13831676512699198</v>
      </c>
      <c r="AM73" s="301">
        <f t="shared" si="128"/>
        <v>-0.17012928294163832</v>
      </c>
      <c r="AN73" s="301">
        <f t="shared" si="128"/>
        <v>-0.15142875352625351</v>
      </c>
      <c r="AO73" s="301" t="e">
        <f t="shared" si="128"/>
        <v>#DIV/0!</v>
      </c>
      <c r="AP73" s="301" t="e">
        <f t="shared" si="128"/>
        <v>#DIV/0!</v>
      </c>
      <c r="AQ73" s="301" t="e">
        <f t="shared" si="128"/>
        <v>#DIV/0!</v>
      </c>
      <c r="AR73" s="301">
        <f t="shared" si="128"/>
        <v>-0.21501377696839663</v>
      </c>
      <c r="AS73" s="287"/>
      <c r="AT73" s="299">
        <f t="shared" ref="AT73:BF73" si="129">AT8/AT10</f>
        <v>0.8273049046595875</v>
      </c>
      <c r="AU73" s="299">
        <f t="shared" si="129"/>
        <v>0.73706666702698831</v>
      </c>
      <c r="AV73" s="299">
        <f t="shared" si="129"/>
        <v>0.64477822435649634</v>
      </c>
      <c r="AW73" s="299">
        <f t="shared" si="129"/>
        <v>0.63426955655383654</v>
      </c>
      <c r="AX73" s="299">
        <f t="shared" si="129"/>
        <v>0.78497066849288655</v>
      </c>
      <c r="AY73" s="299">
        <f t="shared" si="129"/>
        <v>0.79819637489865269</v>
      </c>
      <c r="AZ73" s="299">
        <f t="shared" si="129"/>
        <v>0.84883413647323269</v>
      </c>
      <c r="BA73" s="299">
        <f t="shared" si="129"/>
        <v>0.81406635744083256</v>
      </c>
      <c r="BB73" s="299">
        <f t="shared" si="129"/>
        <v>0.83450409450682661</v>
      </c>
      <c r="BC73" s="299" t="e">
        <f t="shared" si="129"/>
        <v>#DIV/0!</v>
      </c>
      <c r="BD73" s="299" t="e">
        <f t="shared" si="129"/>
        <v>#DIV/0!</v>
      </c>
      <c r="BE73" s="299" t="e">
        <f t="shared" si="129"/>
        <v>#DIV/0!</v>
      </c>
      <c r="BF73" s="299">
        <f t="shared" si="129"/>
        <v>0.76501226560830971</v>
      </c>
      <c r="BH73" s="156">
        <f>BH8/BH10</f>
        <v>0.91500000000000004</v>
      </c>
      <c r="BI73" s="156">
        <f>BI8/BI10</f>
        <v>0.91500000000000004</v>
      </c>
      <c r="BJ73" s="156">
        <f>BJ8/BJ10</f>
        <v>0.91500000000000004</v>
      </c>
      <c r="BK73" s="156">
        <f>BK8/BK10</f>
        <v>0.91500000000000004</v>
      </c>
      <c r="BL73" s="156">
        <f>BL8/BL10</f>
        <v>0.91500000000000004</v>
      </c>
      <c r="BN73" s="302">
        <f>BN8/BN10</f>
        <v>0.66250605237238325</v>
      </c>
      <c r="BO73" s="302">
        <f>BO8/BO10</f>
        <v>0.67459532609538686</v>
      </c>
      <c r="BP73" s="156">
        <f>BP8/BP10</f>
        <v>0.76141094956258648</v>
      </c>
      <c r="BQ73" s="156" t="e">
        <f>BQ8/BQ10</f>
        <v>#DIV/0!</v>
      </c>
      <c r="BR73" s="156">
        <f>BR8/BR10</f>
        <v>0.69998622303160341</v>
      </c>
      <c r="BT73" s="156"/>
      <c r="BU73" s="156"/>
      <c r="BV73" s="156"/>
      <c r="BW73" s="156"/>
      <c r="BX73" s="156"/>
    </row>
    <row r="74" spans="1:79" ht="15.75" thickBot="1">
      <c r="A74" s="867"/>
      <c r="B74" s="275" t="s">
        <v>53</v>
      </c>
      <c r="C74" s="276"/>
      <c r="D74" s="303">
        <f t="shared" ref="D74:P74" si="130">D9/D10</f>
        <v>8.5000000000000006E-2</v>
      </c>
      <c r="E74" s="303">
        <f t="shared" si="130"/>
        <v>8.5000000000000006E-2</v>
      </c>
      <c r="F74" s="303">
        <f t="shared" si="130"/>
        <v>8.5000000000000006E-2</v>
      </c>
      <c r="G74" s="303">
        <f t="shared" si="130"/>
        <v>8.5000000000000006E-2</v>
      </c>
      <c r="H74" s="303">
        <f t="shared" si="130"/>
        <v>8.5000000000000006E-2</v>
      </c>
      <c r="I74" s="303">
        <f t="shared" si="130"/>
        <v>8.5000000000000006E-2</v>
      </c>
      <c r="J74" s="303">
        <f t="shared" si="130"/>
        <v>8.5000000000000006E-2</v>
      </c>
      <c r="K74" s="303">
        <f t="shared" si="130"/>
        <v>8.500000000000002E-2</v>
      </c>
      <c r="L74" s="303">
        <f t="shared" si="130"/>
        <v>8.5000000000000006E-2</v>
      </c>
      <c r="M74" s="303">
        <f t="shared" si="130"/>
        <v>8.5000000000000006E-2</v>
      </c>
      <c r="N74" s="303">
        <f t="shared" si="130"/>
        <v>8.5000000000000006E-2</v>
      </c>
      <c r="O74" s="303">
        <f t="shared" si="130"/>
        <v>8.5000000000000006E-2</v>
      </c>
      <c r="P74" s="303">
        <f t="shared" si="130"/>
        <v>8.5000000000000006E-2</v>
      </c>
      <c r="Q74" s="287"/>
      <c r="R74" s="303">
        <f t="shared" ref="R74:AD74" si="131">R9/R10</f>
        <v>0.24301601223647756</v>
      </c>
      <c r="S74" s="303">
        <f t="shared" si="131"/>
        <v>0.32558399967030577</v>
      </c>
      <c r="T74" s="303">
        <f t="shared" si="131"/>
        <v>0.41002792471380589</v>
      </c>
      <c r="U74" s="303">
        <f t="shared" si="131"/>
        <v>0.41964335575323952</v>
      </c>
      <c r="V74" s="303">
        <f t="shared" si="131"/>
        <v>0.28175183832900885</v>
      </c>
      <c r="W74" s="303">
        <f t="shared" si="131"/>
        <v>0.26965031696773278</v>
      </c>
      <c r="X74" s="304">
        <f t="shared" si="131"/>
        <v>0.22331676512699206</v>
      </c>
      <c r="Y74" s="303">
        <f t="shared" si="131"/>
        <v>0.25512928294163822</v>
      </c>
      <c r="Z74" s="303">
        <f t="shared" si="131"/>
        <v>0.23642875352625359</v>
      </c>
      <c r="AA74" s="303" t="e">
        <f t="shared" si="131"/>
        <v>#DIV/0!</v>
      </c>
      <c r="AB74" s="303" t="e">
        <f t="shared" si="131"/>
        <v>#DIV/0!</v>
      </c>
      <c r="AC74" s="303" t="e">
        <f t="shared" si="131"/>
        <v>#DIV/0!</v>
      </c>
      <c r="AD74" s="303">
        <f t="shared" si="131"/>
        <v>0.30001377696839659</v>
      </c>
      <c r="AE74" s="287"/>
      <c r="AF74" s="305">
        <f t="shared" si="128"/>
        <v>0.15801601223647754</v>
      </c>
      <c r="AG74" s="305">
        <f t="shared" si="128"/>
        <v>0.24058399967030575</v>
      </c>
      <c r="AH74" s="305">
        <f t="shared" si="128"/>
        <v>0.32502792471380587</v>
      </c>
      <c r="AI74" s="305">
        <f t="shared" si="128"/>
        <v>0.3346433557532395</v>
      </c>
      <c r="AJ74" s="305">
        <f t="shared" si="128"/>
        <v>0.19675183832900883</v>
      </c>
      <c r="AK74" s="305">
        <f t="shared" si="128"/>
        <v>0.18465031696773276</v>
      </c>
      <c r="AL74" s="305">
        <f t="shared" si="128"/>
        <v>0.13831676512699204</v>
      </c>
      <c r="AM74" s="305">
        <f t="shared" si="128"/>
        <v>0.1701292829416382</v>
      </c>
      <c r="AN74" s="305">
        <f t="shared" si="128"/>
        <v>0.15142875352625357</v>
      </c>
      <c r="AO74" s="305" t="e">
        <f t="shared" si="128"/>
        <v>#DIV/0!</v>
      </c>
      <c r="AP74" s="305" t="e">
        <f t="shared" si="128"/>
        <v>#DIV/0!</v>
      </c>
      <c r="AQ74" s="305" t="e">
        <f t="shared" si="128"/>
        <v>#DIV/0!</v>
      </c>
      <c r="AR74" s="305">
        <f t="shared" si="128"/>
        <v>0.21501377696839657</v>
      </c>
      <c r="AS74" s="287"/>
      <c r="AT74" s="303">
        <f t="shared" ref="AT74:BF74" si="132">AT9/AT10</f>
        <v>2.8590119086644412</v>
      </c>
      <c r="AU74" s="303">
        <f t="shared" si="132"/>
        <v>3.8303999961212432</v>
      </c>
      <c r="AV74" s="303">
        <f t="shared" si="132"/>
        <v>4.823857937809481</v>
      </c>
      <c r="AW74" s="303">
        <f t="shared" si="132"/>
        <v>4.9369806559204639</v>
      </c>
      <c r="AX74" s="303">
        <f t="shared" si="132"/>
        <v>3.3147275097530455</v>
      </c>
      <c r="AY74" s="303">
        <f t="shared" si="132"/>
        <v>3.1723566702086208</v>
      </c>
      <c r="AZ74" s="303">
        <f t="shared" si="132"/>
        <v>2.6272560603175537</v>
      </c>
      <c r="BA74" s="303">
        <f t="shared" si="132"/>
        <v>3.0015209757839787</v>
      </c>
      <c r="BB74" s="303">
        <f t="shared" si="132"/>
        <v>2.7815147473676887</v>
      </c>
      <c r="BC74" s="303" t="e">
        <f t="shared" si="132"/>
        <v>#DIV/0!</v>
      </c>
      <c r="BD74" s="303" t="e">
        <f t="shared" si="132"/>
        <v>#DIV/0!</v>
      </c>
      <c r="BE74" s="303" t="e">
        <f t="shared" si="132"/>
        <v>#DIV/0!</v>
      </c>
      <c r="BF74" s="303">
        <f t="shared" si="132"/>
        <v>3.5295738466870188</v>
      </c>
      <c r="BH74" s="163">
        <f>BH9/BH10</f>
        <v>8.500000000000002E-2</v>
      </c>
      <c r="BI74" s="163">
        <f>BI9/BI10</f>
        <v>8.500000000000002E-2</v>
      </c>
      <c r="BJ74" s="163">
        <f>BJ9/BJ10</f>
        <v>8.5000000000000006E-2</v>
      </c>
      <c r="BK74" s="163">
        <f>BK9/BK10</f>
        <v>8.5000000000000006E-2</v>
      </c>
      <c r="BL74" s="163">
        <f>BL9/BL10</f>
        <v>8.500000000000002E-2</v>
      </c>
      <c r="BN74" s="294">
        <f>BN9/BN10</f>
        <v>0.33749394762761681</v>
      </c>
      <c r="BO74" s="294">
        <f>BO9/BO10</f>
        <v>0.32540467390461314</v>
      </c>
      <c r="BP74" s="163">
        <f>BP9/BP10</f>
        <v>0.23858905043741346</v>
      </c>
      <c r="BQ74" s="163" t="e">
        <f>BQ9/BQ10</f>
        <v>#DIV/0!</v>
      </c>
      <c r="BR74" s="163">
        <f>BR9/BR10</f>
        <v>0.30001377696839659</v>
      </c>
      <c r="BT74" s="163"/>
      <c r="BU74" s="163"/>
      <c r="BV74" s="163"/>
      <c r="BW74" s="163"/>
      <c r="BX74" s="163"/>
    </row>
    <row r="75" spans="1:79" ht="15.75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>
      <c r="A76" s="866" t="s">
        <v>63</v>
      </c>
      <c r="B76" s="271" t="s">
        <v>52</v>
      </c>
      <c r="C76" s="272"/>
      <c r="D76" s="299">
        <f t="shared" ref="D76:P76" si="133">D12/D14</f>
        <v>0.94218605787428555</v>
      </c>
      <c r="E76" s="299">
        <f t="shared" si="133"/>
        <v>0.94218605787428544</v>
      </c>
      <c r="F76" s="299">
        <f t="shared" si="133"/>
        <v>0.94218605787428555</v>
      </c>
      <c r="G76" s="299">
        <f t="shared" si="133"/>
        <v>0.94218605787428533</v>
      </c>
      <c r="H76" s="299">
        <f t="shared" si="133"/>
        <v>0.94218605787428533</v>
      </c>
      <c r="I76" s="299">
        <f t="shared" si="133"/>
        <v>0.94218605787428544</v>
      </c>
      <c r="J76" s="299">
        <f t="shared" si="133"/>
        <v>0.94218605787428533</v>
      </c>
      <c r="K76" s="299">
        <f t="shared" si="133"/>
        <v>0.94218605787428544</v>
      </c>
      <c r="L76" s="299">
        <f t="shared" si="133"/>
        <v>0.94218605787428544</v>
      </c>
      <c r="M76" s="299">
        <f t="shared" si="133"/>
        <v>0.94218605787428544</v>
      </c>
      <c r="N76" s="299">
        <f t="shared" si="133"/>
        <v>0.94218605787428544</v>
      </c>
      <c r="O76" s="299">
        <f t="shared" si="133"/>
        <v>0.94218605787428544</v>
      </c>
      <c r="P76" s="299">
        <f t="shared" si="133"/>
        <v>0.94218605787428544</v>
      </c>
      <c r="Q76" s="257"/>
      <c r="R76" s="299">
        <f>R12/R14</f>
        <v>0.8425928160388565</v>
      </c>
      <c r="S76" s="299">
        <f t="shared" ref="S76:AD76" si="134">S12/S14</f>
        <v>0.87425876595595564</v>
      </c>
      <c r="T76" s="299">
        <f t="shared" si="134"/>
        <v>0.83187995685088134</v>
      </c>
      <c r="U76" s="299">
        <f t="shared" si="134"/>
        <v>0.78976363047051035</v>
      </c>
      <c r="V76" s="299">
        <f t="shared" si="134"/>
        <v>0.72817659632902565</v>
      </c>
      <c r="W76" s="299">
        <f t="shared" si="134"/>
        <v>0.74967733439195516</v>
      </c>
      <c r="X76" s="299">
        <f t="shared" si="134"/>
        <v>0.74967662621210251</v>
      </c>
      <c r="Y76" s="299">
        <f t="shared" si="134"/>
        <v>0.76319974896924514</v>
      </c>
      <c r="Z76" s="299">
        <f t="shared" si="134"/>
        <v>0.83424586481496132</v>
      </c>
      <c r="AA76" s="299" t="e">
        <f t="shared" si="134"/>
        <v>#DIV/0!</v>
      </c>
      <c r="AB76" s="299" t="e">
        <f t="shared" si="134"/>
        <v>#DIV/0!</v>
      </c>
      <c r="AC76" s="299" t="e">
        <f t="shared" si="134"/>
        <v>#DIV/0!</v>
      </c>
      <c r="AD76" s="299">
        <f t="shared" si="134"/>
        <v>0.78998927220142601</v>
      </c>
      <c r="AE76" s="257"/>
      <c r="AF76" s="301">
        <f t="shared" ref="AF76:AR77" si="135">R76-D76</f>
        <v>-9.9593241835429058E-2</v>
      </c>
      <c r="AG76" s="301">
        <f t="shared" si="135"/>
        <v>-6.7927291918329802E-2</v>
      </c>
      <c r="AH76" s="301">
        <f t="shared" si="135"/>
        <v>-0.11030610102340421</v>
      </c>
      <c r="AI76" s="301">
        <f t="shared" si="135"/>
        <v>-0.15242242740377498</v>
      </c>
      <c r="AJ76" s="301">
        <f t="shared" si="135"/>
        <v>-0.21400946154525968</v>
      </c>
      <c r="AK76" s="301">
        <f t="shared" si="135"/>
        <v>-0.19250872348233028</v>
      </c>
      <c r="AL76" s="301">
        <f t="shared" si="135"/>
        <v>-0.19250943166218282</v>
      </c>
      <c r="AM76" s="301">
        <f t="shared" si="135"/>
        <v>-0.1789863089050403</v>
      </c>
      <c r="AN76" s="301">
        <f t="shared" si="135"/>
        <v>-0.10794019305932412</v>
      </c>
      <c r="AO76" s="301" t="e">
        <f t="shared" si="135"/>
        <v>#DIV/0!</v>
      </c>
      <c r="AP76" s="301" t="e">
        <f t="shared" si="135"/>
        <v>#DIV/0!</v>
      </c>
      <c r="AQ76" s="301" t="e">
        <f t="shared" si="135"/>
        <v>#DIV/0!</v>
      </c>
      <c r="AR76" s="301">
        <f t="shared" si="135"/>
        <v>-0.15219678567285944</v>
      </c>
      <c r="AS76" s="257"/>
      <c r="AT76" s="299">
        <f t="shared" ref="AT76:BF76" si="136">AT12/AT14</f>
        <v>0.89429556826586198</v>
      </c>
      <c r="AU76" s="299">
        <f t="shared" si="136"/>
        <v>0.92790458811120169</v>
      </c>
      <c r="AV76" s="299">
        <f t="shared" si="136"/>
        <v>0.88292535205597134</v>
      </c>
      <c r="AW76" s="299">
        <f t="shared" si="136"/>
        <v>0.83822470505702107</v>
      </c>
      <c r="AX76" s="299">
        <f t="shared" si="136"/>
        <v>0.77285859862106476</v>
      </c>
      <c r="AY76" s="299">
        <f t="shared" si="136"/>
        <v>0.79567865404773752</v>
      </c>
      <c r="AZ76" s="299">
        <f t="shared" si="136"/>
        <v>0.79567790241291259</v>
      </c>
      <c r="BA76" s="299">
        <f t="shared" si="136"/>
        <v>0.81003082415710903</v>
      </c>
      <c r="BB76" s="299">
        <f t="shared" si="136"/>
        <v>0.88543643566234309</v>
      </c>
      <c r="BC76" s="299" t="e">
        <f t="shared" si="136"/>
        <v>#DIV/0!</v>
      </c>
      <c r="BD76" s="299" t="e">
        <f t="shared" si="136"/>
        <v>#DIV/0!</v>
      </c>
      <c r="BE76" s="299" t="e">
        <f t="shared" si="136"/>
        <v>#DIV/0!</v>
      </c>
      <c r="BF76" s="299">
        <f t="shared" si="136"/>
        <v>0.83846419250117299</v>
      </c>
      <c r="BH76" s="308" t="e">
        <f>#REF!/#REF!</f>
        <v>#REF!</v>
      </c>
      <c r="BI76" s="308" t="e">
        <f>#REF!/#REF!</f>
        <v>#REF!</v>
      </c>
      <c r="BJ76" s="308" t="e">
        <f>#REF!/#REF!</f>
        <v>#REF!</v>
      </c>
      <c r="BK76" s="308" t="e">
        <f>#REF!/#REF!</f>
        <v>#REF!</v>
      </c>
      <c r="BL76" s="308" t="e">
        <f>#REF!/#REF!</f>
        <v>#REF!</v>
      </c>
      <c r="BN76" s="309" t="e">
        <f>#REF!/#REF!</f>
        <v>#REF!</v>
      </c>
      <c r="BO76" s="309" t="e">
        <f>#REF!/#REF!</f>
        <v>#REF!</v>
      </c>
      <c r="BP76" s="308" t="e">
        <f>#REF!/#REF!</f>
        <v>#REF!</v>
      </c>
      <c r="BQ76" s="308" t="e">
        <f>#REF!/#REF!</f>
        <v>#REF!</v>
      </c>
      <c r="BR76" s="308" t="e">
        <f>#REF!/#REF!</f>
        <v>#REF!</v>
      </c>
      <c r="BT76" s="212" t="e">
        <f t="shared" ref="BT76:BX77" si="137">BN76/BH76</f>
        <v>#REF!</v>
      </c>
      <c r="BU76" s="212" t="e">
        <f t="shared" si="137"/>
        <v>#REF!</v>
      </c>
      <c r="BV76" s="212" t="e">
        <f t="shared" si="137"/>
        <v>#REF!</v>
      </c>
      <c r="BW76" s="212" t="e">
        <f t="shared" si="137"/>
        <v>#REF!</v>
      </c>
      <c r="BX76" s="212" t="e">
        <f t="shared" si="137"/>
        <v>#REF!</v>
      </c>
    </row>
    <row r="77" spans="1:79" ht="15.75" thickBot="1">
      <c r="A77" s="867"/>
      <c r="B77" s="275" t="s">
        <v>53</v>
      </c>
      <c r="C77" s="276"/>
      <c r="D77" s="299">
        <f t="shared" ref="D77:P77" si="138">D13/D14</f>
        <v>5.7813942125714564E-2</v>
      </c>
      <c r="E77" s="299">
        <f t="shared" si="138"/>
        <v>5.7813942125714564E-2</v>
      </c>
      <c r="F77" s="299">
        <f t="shared" si="138"/>
        <v>5.7813942125714557E-2</v>
      </c>
      <c r="G77" s="299">
        <f t="shared" si="138"/>
        <v>5.7813942125714564E-2</v>
      </c>
      <c r="H77" s="299">
        <f t="shared" si="138"/>
        <v>5.7813942125714564E-2</v>
      </c>
      <c r="I77" s="299">
        <f t="shared" si="138"/>
        <v>5.7813942125714564E-2</v>
      </c>
      <c r="J77" s="299">
        <f t="shared" si="138"/>
        <v>5.7813942125714564E-2</v>
      </c>
      <c r="K77" s="299">
        <f t="shared" si="138"/>
        <v>5.7813942125714564E-2</v>
      </c>
      <c r="L77" s="299">
        <f t="shared" si="138"/>
        <v>5.7813942125714564E-2</v>
      </c>
      <c r="M77" s="299">
        <f t="shared" si="138"/>
        <v>5.7813942125714564E-2</v>
      </c>
      <c r="N77" s="299">
        <f t="shared" si="138"/>
        <v>5.7813942125714564E-2</v>
      </c>
      <c r="O77" s="299">
        <f t="shared" si="138"/>
        <v>5.7813942125714564E-2</v>
      </c>
      <c r="P77" s="299">
        <f t="shared" si="138"/>
        <v>5.7813942125714564E-2</v>
      </c>
      <c r="Q77" s="257"/>
      <c r="R77" s="303">
        <f>R13/R14</f>
        <v>0.15740718396114353</v>
      </c>
      <c r="S77" s="303">
        <f t="shared" ref="S77:AD77" si="139">S13/S14</f>
        <v>0.12574123404404433</v>
      </c>
      <c r="T77" s="303">
        <f t="shared" si="139"/>
        <v>0.16812004314911869</v>
      </c>
      <c r="U77" s="303">
        <f t="shared" si="139"/>
        <v>0.21023636952948971</v>
      </c>
      <c r="V77" s="303">
        <f t="shared" si="139"/>
        <v>0.2718234036709743</v>
      </c>
      <c r="W77" s="303">
        <f t="shared" si="139"/>
        <v>0.25032266560804489</v>
      </c>
      <c r="X77" s="303">
        <f t="shared" si="139"/>
        <v>0.25032337378789749</v>
      </c>
      <c r="Y77" s="303">
        <f t="shared" si="139"/>
        <v>0.23680025103075489</v>
      </c>
      <c r="Z77" s="303">
        <f t="shared" si="139"/>
        <v>0.16575413518503868</v>
      </c>
      <c r="AA77" s="303" t="e">
        <f t="shared" si="139"/>
        <v>#DIV/0!</v>
      </c>
      <c r="AB77" s="303" t="e">
        <f t="shared" si="139"/>
        <v>#DIV/0!</v>
      </c>
      <c r="AC77" s="303" t="e">
        <f t="shared" si="139"/>
        <v>#DIV/0!</v>
      </c>
      <c r="AD77" s="303">
        <f t="shared" si="139"/>
        <v>0.21001072779857394</v>
      </c>
      <c r="AE77" s="257"/>
      <c r="AF77" s="305">
        <f t="shared" si="135"/>
        <v>9.9593241835428975E-2</v>
      </c>
      <c r="AG77" s="305">
        <f t="shared" si="135"/>
        <v>6.7927291918329774E-2</v>
      </c>
      <c r="AH77" s="305">
        <f t="shared" si="135"/>
        <v>0.11030610102340413</v>
      </c>
      <c r="AI77" s="305">
        <f t="shared" si="135"/>
        <v>0.15242242740377515</v>
      </c>
      <c r="AJ77" s="305">
        <f t="shared" si="135"/>
        <v>0.21400946154525974</v>
      </c>
      <c r="AK77" s="305">
        <f t="shared" si="135"/>
        <v>0.19250872348233034</v>
      </c>
      <c r="AL77" s="305">
        <f t="shared" si="135"/>
        <v>0.19250943166218293</v>
      </c>
      <c r="AM77" s="305">
        <f t="shared" si="135"/>
        <v>0.17898630890504033</v>
      </c>
      <c r="AN77" s="305">
        <f t="shared" si="135"/>
        <v>0.10794019305932412</v>
      </c>
      <c r="AO77" s="305" t="e">
        <f t="shared" si="135"/>
        <v>#DIV/0!</v>
      </c>
      <c r="AP77" s="305" t="e">
        <f t="shared" si="135"/>
        <v>#DIV/0!</v>
      </c>
      <c r="AQ77" s="305" t="e">
        <f t="shared" si="135"/>
        <v>#DIV/0!</v>
      </c>
      <c r="AR77" s="305">
        <f t="shared" si="135"/>
        <v>0.15219678567285938</v>
      </c>
      <c r="AS77" s="257"/>
      <c r="AT77" s="303">
        <f t="shared" ref="AT77:BF77" si="140">AT13/AT14</f>
        <v>2.7226509415128044</v>
      </c>
      <c r="AU77" s="303">
        <f t="shared" si="140"/>
        <v>2.17492925444565</v>
      </c>
      <c r="AV77" s="303">
        <f t="shared" si="140"/>
        <v>2.9079498295332824</v>
      </c>
      <c r="AW77" s="303">
        <f t="shared" si="140"/>
        <v>3.6364302761492628</v>
      </c>
      <c r="AX77" s="303">
        <f t="shared" si="140"/>
        <v>4.7016929425068952</v>
      </c>
      <c r="AY77" s="303">
        <f t="shared" si="140"/>
        <v>4.329797561005722</v>
      </c>
      <c r="AZ77" s="303">
        <f t="shared" si="140"/>
        <v>4.3298098102976148</v>
      </c>
      <c r="BA77" s="303">
        <f t="shared" si="140"/>
        <v>4.0959021703768332</v>
      </c>
      <c r="BB77" s="303">
        <f t="shared" si="140"/>
        <v>2.8670270369145845</v>
      </c>
      <c r="BC77" s="303" t="e">
        <f t="shared" si="140"/>
        <v>#DIV/0!</v>
      </c>
      <c r="BD77" s="303" t="e">
        <f t="shared" si="140"/>
        <v>#DIV/0!</v>
      </c>
      <c r="BE77" s="303" t="e">
        <f t="shared" si="140"/>
        <v>#DIV/0!</v>
      </c>
      <c r="BF77" s="303">
        <f t="shared" si="140"/>
        <v>3.6325273814041665</v>
      </c>
      <c r="BH77" s="310" t="e">
        <f>#REF!/#REF!</f>
        <v>#REF!</v>
      </c>
      <c r="BI77" s="310" t="e">
        <f>#REF!/#REF!</f>
        <v>#REF!</v>
      </c>
      <c r="BJ77" s="310" t="e">
        <f>#REF!/#REF!</f>
        <v>#REF!</v>
      </c>
      <c r="BK77" s="310" t="e">
        <f>#REF!/#REF!</f>
        <v>#REF!</v>
      </c>
      <c r="BL77" s="310" t="e">
        <f>#REF!/#REF!</f>
        <v>#REF!</v>
      </c>
      <c r="BN77" s="311" t="e">
        <f>#REF!/#REF!</f>
        <v>#REF!</v>
      </c>
      <c r="BO77" s="311" t="e">
        <f>#REF!/#REF!</f>
        <v>#REF!</v>
      </c>
      <c r="BP77" s="310" t="e">
        <f>#REF!/#REF!</f>
        <v>#REF!</v>
      </c>
      <c r="BQ77" s="310" t="e">
        <f>#REF!/#REF!</f>
        <v>#REF!</v>
      </c>
      <c r="BR77" s="310" t="e">
        <f>#REF!/#REF!</f>
        <v>#REF!</v>
      </c>
      <c r="BT77" s="163" t="e">
        <f t="shared" si="137"/>
        <v>#REF!</v>
      </c>
      <c r="BU77" s="163" t="e">
        <f t="shared" si="137"/>
        <v>#REF!</v>
      </c>
      <c r="BV77" s="163" t="e">
        <f t="shared" si="137"/>
        <v>#REF!</v>
      </c>
      <c r="BW77" s="163" t="e">
        <f t="shared" si="137"/>
        <v>#REF!</v>
      </c>
      <c r="BX77" s="163" t="e">
        <f t="shared" si="137"/>
        <v>#REF!</v>
      </c>
    </row>
    <row r="78" spans="1:79" ht="16.5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5.95" customHeight="1">
      <c r="A79" s="866" t="s">
        <v>59</v>
      </c>
      <c r="B79" s="271" t="s">
        <v>52</v>
      </c>
      <c r="C79" s="272"/>
      <c r="D79" s="299">
        <f t="shared" ref="D79:P79" si="141">D16/D18</f>
        <v>0.8825420176480957</v>
      </c>
      <c r="E79" s="299">
        <f t="shared" si="141"/>
        <v>0.88254201764809559</v>
      </c>
      <c r="F79" s="299">
        <f t="shared" si="141"/>
        <v>0.8825420176480957</v>
      </c>
      <c r="G79" s="299">
        <f t="shared" si="141"/>
        <v>0.8825420176480957</v>
      </c>
      <c r="H79" s="299">
        <f t="shared" si="141"/>
        <v>0.88254201764809559</v>
      </c>
      <c r="I79" s="299">
        <f t="shared" si="141"/>
        <v>0.88254201764809559</v>
      </c>
      <c r="J79" s="299">
        <f t="shared" si="141"/>
        <v>0.88254201764809559</v>
      </c>
      <c r="K79" s="299">
        <f t="shared" si="141"/>
        <v>0.88254201764809559</v>
      </c>
      <c r="L79" s="299">
        <f t="shared" si="141"/>
        <v>0.8825420176480957</v>
      </c>
      <c r="M79" s="299">
        <f t="shared" si="141"/>
        <v>0.8825420176480957</v>
      </c>
      <c r="N79" s="299">
        <f t="shared" si="141"/>
        <v>0.88254201764809559</v>
      </c>
      <c r="O79" s="299">
        <f t="shared" si="141"/>
        <v>0.8825420176480957</v>
      </c>
      <c r="P79" s="299">
        <f t="shared" si="141"/>
        <v>0.8825420176480957</v>
      </c>
      <c r="Q79" s="257"/>
      <c r="R79" s="299">
        <f t="shared" ref="R79:AD79" si="142">R16/R18</f>
        <v>0.7992061757660478</v>
      </c>
      <c r="S79" s="299">
        <f t="shared" si="142"/>
        <v>0.87112377218870363</v>
      </c>
      <c r="T79" s="299">
        <f t="shared" si="142"/>
        <v>0.90466308517193872</v>
      </c>
      <c r="U79" s="299">
        <f t="shared" si="142"/>
        <v>0.51495040987561713</v>
      </c>
      <c r="V79" s="299">
        <f t="shared" si="142"/>
        <v>0.39072784102808228</v>
      </c>
      <c r="W79" s="299">
        <f t="shared" si="142"/>
        <v>0.74742753069521684</v>
      </c>
      <c r="X79" s="300">
        <f t="shared" si="142"/>
        <v>0.71455176779803908</v>
      </c>
      <c r="Y79" s="299">
        <f t="shared" si="142"/>
        <v>0.65591144797791034</v>
      </c>
      <c r="Z79" s="299">
        <f t="shared" si="142"/>
        <v>0.58730557755551749</v>
      </c>
      <c r="AA79" s="299" t="e">
        <f t="shared" si="142"/>
        <v>#DIV/0!</v>
      </c>
      <c r="AB79" s="299" t="e">
        <f t="shared" si="142"/>
        <v>#DIV/0!</v>
      </c>
      <c r="AC79" s="299" t="e">
        <f t="shared" si="142"/>
        <v>#DIV/0!</v>
      </c>
      <c r="AD79" s="299">
        <f t="shared" si="142"/>
        <v>0.62492702273541167</v>
      </c>
      <c r="AE79" s="257"/>
      <c r="AF79" s="301">
        <f t="shared" ref="AF79:AR80" si="143">R79-D79</f>
        <v>-8.3335841882047901E-2</v>
      </c>
      <c r="AG79" s="301">
        <f t="shared" si="143"/>
        <v>-1.1418245459391962E-2</v>
      </c>
      <c r="AH79" s="301">
        <f t="shared" si="143"/>
        <v>2.2121067523843019E-2</v>
      </c>
      <c r="AI79" s="301">
        <f t="shared" si="143"/>
        <v>-0.36759160777247857</v>
      </c>
      <c r="AJ79" s="301">
        <f t="shared" si="143"/>
        <v>-0.49181417662001331</v>
      </c>
      <c r="AK79" s="301">
        <f t="shared" si="143"/>
        <v>-0.13511448695287875</v>
      </c>
      <c r="AL79" s="301">
        <f t="shared" si="143"/>
        <v>-0.16799024985005651</v>
      </c>
      <c r="AM79" s="301">
        <f t="shared" si="143"/>
        <v>-0.22663056967018524</v>
      </c>
      <c r="AN79" s="301">
        <f t="shared" si="143"/>
        <v>-0.29523644009257821</v>
      </c>
      <c r="AO79" s="301" t="e">
        <f t="shared" si="143"/>
        <v>#DIV/0!</v>
      </c>
      <c r="AP79" s="301" t="e">
        <f t="shared" si="143"/>
        <v>#DIV/0!</v>
      </c>
      <c r="AQ79" s="301" t="e">
        <f t="shared" si="143"/>
        <v>#DIV/0!</v>
      </c>
      <c r="AR79" s="301">
        <f t="shared" si="143"/>
        <v>-0.25761499491268403</v>
      </c>
      <c r="AS79" s="257"/>
      <c r="AT79" s="299">
        <f t="shared" ref="AT79:BF79" si="144">AT16/AT18</f>
        <v>0.90557294699222235</v>
      </c>
      <c r="AU79" s="299">
        <f t="shared" si="144"/>
        <v>0.98706209423340474</v>
      </c>
      <c r="AV79" s="299">
        <f t="shared" si="144"/>
        <v>1.0542459811138156</v>
      </c>
      <c r="AW79" s="299">
        <f t="shared" si="144"/>
        <v>0.43145600905626119</v>
      </c>
      <c r="AX79" s="299">
        <f t="shared" si="144"/>
        <v>0.24793792790093136</v>
      </c>
      <c r="AY79" s="299">
        <f t="shared" si="144"/>
        <v>0.59723349274909909</v>
      </c>
      <c r="AZ79" s="299">
        <f t="shared" si="144"/>
        <v>0.60934483039752108</v>
      </c>
      <c r="BA79" s="299">
        <f t="shared" si="144"/>
        <v>0.40544547923497698</v>
      </c>
      <c r="BB79" s="299">
        <f t="shared" si="144"/>
        <v>-0.11186123562280691</v>
      </c>
      <c r="BC79" s="299">
        <f t="shared" si="144"/>
        <v>1</v>
      </c>
      <c r="BD79" s="299">
        <f t="shared" si="144"/>
        <v>1</v>
      </c>
      <c r="BE79" s="299">
        <f t="shared" si="144"/>
        <v>1</v>
      </c>
      <c r="BF79" s="299">
        <f t="shared" si="144"/>
        <v>0.70809888961524181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0.6581850466437088</v>
      </c>
      <c r="BQ79" s="308" t="e">
        <f>BQ16/BQ18</f>
        <v>#DIV/0!</v>
      </c>
      <c r="BR79" s="308">
        <f>BR16/BR18</f>
        <v>0.62492702273541167</v>
      </c>
      <c r="BT79" s="212">
        <f t="shared" ref="BT79:BX80" si="145">BN79/BH79</f>
        <v>0.97744516788060076</v>
      </c>
      <c r="BU79" s="212">
        <f t="shared" si="145"/>
        <v>0.56927699834144174</v>
      </c>
      <c r="BV79" s="212">
        <f t="shared" si="145"/>
        <v>0.74578324145712593</v>
      </c>
      <c r="BW79" s="212" t="e">
        <f t="shared" si="145"/>
        <v>#DIV/0!</v>
      </c>
      <c r="BX79" s="212">
        <f t="shared" si="145"/>
        <v>0.70809888961524181</v>
      </c>
    </row>
    <row r="80" spans="1:79" ht="15.75" thickBot="1">
      <c r="A80" s="867"/>
      <c r="B80" s="275" t="s">
        <v>53</v>
      </c>
      <c r="C80" s="276"/>
      <c r="D80" s="303">
        <f t="shared" ref="D80:P80" si="146">D17/D18</f>
        <v>0.11745798235190434</v>
      </c>
      <c r="E80" s="303">
        <f t="shared" si="146"/>
        <v>0.11745798235190434</v>
      </c>
      <c r="F80" s="303">
        <f t="shared" si="146"/>
        <v>0.11745798235190434</v>
      </c>
      <c r="G80" s="303">
        <f t="shared" si="146"/>
        <v>0.11745798235190436</v>
      </c>
      <c r="H80" s="303">
        <f t="shared" si="146"/>
        <v>0.11745798235190433</v>
      </c>
      <c r="I80" s="303">
        <f t="shared" si="146"/>
        <v>0.11745798235190434</v>
      </c>
      <c r="J80" s="303">
        <f t="shared" si="146"/>
        <v>0.11745798235190434</v>
      </c>
      <c r="K80" s="303">
        <f t="shared" si="146"/>
        <v>0.11745798235190433</v>
      </c>
      <c r="L80" s="303">
        <f t="shared" si="146"/>
        <v>0.11745798235190434</v>
      </c>
      <c r="M80" s="303">
        <f t="shared" si="146"/>
        <v>0.11745798235190434</v>
      </c>
      <c r="N80" s="303">
        <f t="shared" si="146"/>
        <v>0.11745798235190434</v>
      </c>
      <c r="O80" s="303">
        <f t="shared" si="146"/>
        <v>0.11745798235190434</v>
      </c>
      <c r="P80" s="303">
        <f t="shared" si="146"/>
        <v>0.11745798235190434</v>
      </c>
      <c r="Q80" s="257"/>
      <c r="R80" s="303">
        <f t="shared" ref="R80:AD80" si="147">R17/R18</f>
        <v>0.20079382423395217</v>
      </c>
      <c r="S80" s="303">
        <f t="shared" si="147"/>
        <v>0.12887622781129635</v>
      </c>
      <c r="T80" s="303">
        <f t="shared" si="147"/>
        <v>9.5336914828061253E-2</v>
      </c>
      <c r="U80" s="303">
        <f t="shared" si="147"/>
        <v>0.48504959012438287</v>
      </c>
      <c r="V80" s="303">
        <f t="shared" si="147"/>
        <v>0.60927215897191767</v>
      </c>
      <c r="W80" s="303">
        <f t="shared" si="147"/>
        <v>0.25257246930478316</v>
      </c>
      <c r="X80" s="304">
        <f t="shared" si="147"/>
        <v>0.28544823220196092</v>
      </c>
      <c r="Y80" s="303">
        <f t="shared" si="147"/>
        <v>0.34408855202208966</v>
      </c>
      <c r="Z80" s="303">
        <f t="shared" si="147"/>
        <v>0.41269442244448251</v>
      </c>
      <c r="AA80" s="303" t="e">
        <f t="shared" si="147"/>
        <v>#DIV/0!</v>
      </c>
      <c r="AB80" s="303" t="e">
        <f t="shared" si="147"/>
        <v>#DIV/0!</v>
      </c>
      <c r="AC80" s="303" t="e">
        <f t="shared" si="147"/>
        <v>#DIV/0!</v>
      </c>
      <c r="AD80" s="303">
        <f t="shared" si="147"/>
        <v>0.37507297726458838</v>
      </c>
      <c r="AE80" s="257"/>
      <c r="AF80" s="305">
        <f t="shared" si="143"/>
        <v>8.3335841882047831E-2</v>
      </c>
      <c r="AG80" s="305">
        <f t="shared" si="143"/>
        <v>1.1418245459392004E-2</v>
      </c>
      <c r="AH80" s="305">
        <f t="shared" si="143"/>
        <v>-2.2121067523843088E-2</v>
      </c>
      <c r="AI80" s="305">
        <f t="shared" si="143"/>
        <v>0.36759160777247851</v>
      </c>
      <c r="AJ80" s="305">
        <f t="shared" si="143"/>
        <v>0.49181417662001337</v>
      </c>
      <c r="AK80" s="305">
        <f t="shared" si="143"/>
        <v>0.13511448695287881</v>
      </c>
      <c r="AL80" s="305">
        <f t="shared" si="143"/>
        <v>0.16799024985005656</v>
      </c>
      <c r="AM80" s="305">
        <f t="shared" si="143"/>
        <v>0.22663056967018533</v>
      </c>
      <c r="AN80" s="305">
        <f t="shared" si="143"/>
        <v>0.29523644009257816</v>
      </c>
      <c r="AO80" s="305" t="e">
        <f t="shared" si="143"/>
        <v>#DIV/0!</v>
      </c>
      <c r="AP80" s="305" t="e">
        <f t="shared" si="143"/>
        <v>#DIV/0!</v>
      </c>
      <c r="AQ80" s="305" t="e">
        <f t="shared" si="143"/>
        <v>#DIV/0!</v>
      </c>
      <c r="AR80" s="305">
        <f t="shared" si="143"/>
        <v>0.25761499491268403</v>
      </c>
      <c r="AS80" s="257"/>
      <c r="AT80" s="303">
        <f t="shared" ref="AT80:BF80" si="148">AT17/AT18</f>
        <v>1.7094949207655679</v>
      </c>
      <c r="AU80" s="303">
        <f t="shared" si="148"/>
        <v>1.0972113195779485</v>
      </c>
      <c r="AV80" s="303">
        <f t="shared" si="148"/>
        <v>0.59241290661663426</v>
      </c>
      <c r="AW80" s="303">
        <f t="shared" si="148"/>
        <v>5.2718591860866644</v>
      </c>
      <c r="AX80" s="303">
        <f t="shared" si="148"/>
        <v>6.6507558295901452</v>
      </c>
      <c r="AY80" s="303">
        <f t="shared" si="148"/>
        <v>4.0262597639837923</v>
      </c>
      <c r="AZ80" s="303">
        <f t="shared" si="148"/>
        <v>3.9352590150297364</v>
      </c>
      <c r="BA80" s="303">
        <f t="shared" si="148"/>
        <v>5.4672940557219842</v>
      </c>
      <c r="BB80" s="303">
        <f t="shared" si="148"/>
        <v>9.3541726035390855</v>
      </c>
      <c r="BC80" s="303">
        <f t="shared" si="148"/>
        <v>1</v>
      </c>
      <c r="BD80" s="303">
        <f t="shared" si="148"/>
        <v>1</v>
      </c>
      <c r="BE80" s="303">
        <f t="shared" si="148"/>
        <v>1</v>
      </c>
      <c r="BF80" s="303">
        <f t="shared" si="148"/>
        <v>3.1932523422790373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0.3418149533562912</v>
      </c>
      <c r="BQ80" s="310" t="e">
        <f>BQ17/BQ18</f>
        <v>#DIV/0!</v>
      </c>
      <c r="BR80" s="310">
        <f>BR17/BR18</f>
        <v>0.37507297726458838</v>
      </c>
      <c r="BT80" s="163">
        <f t="shared" si="145"/>
        <v>1.1694698533704715</v>
      </c>
      <c r="BU80" s="163">
        <f t="shared" si="145"/>
        <v>4.2363159941936885</v>
      </c>
      <c r="BV80" s="163">
        <f t="shared" si="145"/>
        <v>2.9101040773219897</v>
      </c>
      <c r="BW80" s="163" t="e">
        <f t="shared" si="145"/>
        <v>#DIV/0!</v>
      </c>
      <c r="BX80" s="163">
        <f t="shared" si="145"/>
        <v>3.1932523422790373</v>
      </c>
    </row>
    <row r="81" spans="1:76" ht="16.5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>
      <c r="A82" s="866" t="s">
        <v>66</v>
      </c>
      <c r="B82" s="271" t="s">
        <v>52</v>
      </c>
      <c r="C82" s="272"/>
      <c r="D82" s="316">
        <f>SUM(D4,D8,D12,D16)/D20</f>
        <v>0.9199468738502824</v>
      </c>
      <c r="E82" s="316">
        <f t="shared" ref="E82:P82" si="149">SUM(E4,E8,E12,E16)/E20</f>
        <v>0.9199468738502824</v>
      </c>
      <c r="F82" s="316">
        <f t="shared" si="149"/>
        <v>0.91994687385028251</v>
      </c>
      <c r="G82" s="316">
        <f t="shared" si="149"/>
        <v>0.91994687385028262</v>
      </c>
      <c r="H82" s="316">
        <f t="shared" si="149"/>
        <v>0.91994687385028229</v>
      </c>
      <c r="I82" s="316">
        <f t="shared" si="149"/>
        <v>0.9199468738502824</v>
      </c>
      <c r="J82" s="316">
        <f t="shared" si="149"/>
        <v>0.91994687385028251</v>
      </c>
      <c r="K82" s="316">
        <f t="shared" si="149"/>
        <v>0.9199468738502824</v>
      </c>
      <c r="L82" s="316">
        <f t="shared" si="149"/>
        <v>0.91994687385028251</v>
      </c>
      <c r="M82" s="316">
        <f t="shared" si="149"/>
        <v>0.91994687385028251</v>
      </c>
      <c r="N82" s="316">
        <f t="shared" si="149"/>
        <v>0.9199468738502824</v>
      </c>
      <c r="O82" s="316">
        <f t="shared" si="149"/>
        <v>0.91994687385028262</v>
      </c>
      <c r="P82" s="316">
        <f t="shared" si="149"/>
        <v>0.91994687385028251</v>
      </c>
      <c r="Q82" s="257"/>
      <c r="R82" s="316">
        <f t="shared" ref="R82:AD82" si="150">SUM(R4,R8,R12,R16)/R20</f>
        <v>0.82972059099098638</v>
      </c>
      <c r="S82" s="316">
        <f t="shared" si="150"/>
        <v>0.80184591370529257</v>
      </c>
      <c r="T82" s="316">
        <f t="shared" si="150"/>
        <v>0.74849550799630338</v>
      </c>
      <c r="U82" s="316">
        <f t="shared" si="150"/>
        <v>0.7102317166283808</v>
      </c>
      <c r="V82" s="316">
        <f t="shared" si="150"/>
        <v>0.74330567707008877</v>
      </c>
      <c r="W82" s="316">
        <f t="shared" si="150"/>
        <v>0.78482242187176621</v>
      </c>
      <c r="X82" s="316">
        <f t="shared" si="150"/>
        <v>0.80642854162609834</v>
      </c>
      <c r="Y82" s="316">
        <f t="shared" si="150"/>
        <v>0.79330511970310169</v>
      </c>
      <c r="Z82" s="316">
        <f t="shared" si="150"/>
        <v>0.81697509309663108</v>
      </c>
      <c r="AA82" s="316" t="e">
        <f t="shared" si="150"/>
        <v>#DIV/0!</v>
      </c>
      <c r="AB82" s="316" t="e">
        <f t="shared" si="150"/>
        <v>#DIV/0!</v>
      </c>
      <c r="AC82" s="316" t="e">
        <f t="shared" si="150"/>
        <v>#DIV/0!</v>
      </c>
      <c r="AD82" s="316">
        <f t="shared" si="150"/>
        <v>0.7791364488466278</v>
      </c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>
        <f t="shared" ref="AT82:BF82" si="151">SUM(AT4,AT8,AT12,AT16)/AT20</f>
        <v>4.4026627158688427</v>
      </c>
      <c r="AU82" s="316">
        <f t="shared" si="151"/>
        <v>4.0945429624704159</v>
      </c>
      <c r="AV82" s="316">
        <f t="shared" si="151"/>
        <v>3.3251123874532129</v>
      </c>
      <c r="AW82" s="316">
        <f t="shared" si="151"/>
        <v>3.4504082199596522</v>
      </c>
      <c r="AX82" s="316">
        <f t="shared" si="151"/>
        <v>3.145243077031417</v>
      </c>
      <c r="AY82" s="316">
        <f t="shared" si="151"/>
        <v>2.9821588595207134</v>
      </c>
      <c r="AZ82" s="316">
        <f t="shared" si="151"/>
        <v>3.2756576744676678</v>
      </c>
      <c r="BA82" s="316">
        <f t="shared" si="151"/>
        <v>2.8965821039619892</v>
      </c>
      <c r="BB82" s="316">
        <f t="shared" si="151"/>
        <v>2.5009303280607593</v>
      </c>
      <c r="BC82" s="316" t="e">
        <f t="shared" si="151"/>
        <v>#DIV/0!</v>
      </c>
      <c r="BD82" s="316" t="e">
        <f t="shared" si="151"/>
        <v>#DIV/0!</v>
      </c>
      <c r="BE82" s="316" t="e">
        <f t="shared" si="151"/>
        <v>#DIV/0!</v>
      </c>
      <c r="BF82" s="316">
        <f t="shared" si="151"/>
        <v>4.2751774144235855</v>
      </c>
      <c r="BH82" s="301" t="e">
        <f>SUM(BH4,BH8,#REF!,#REF!,#REF!,BH16)/BH20</f>
        <v>#REF!</v>
      </c>
      <c r="BI82" s="301" t="e">
        <f>SUM(BI4,BI8,#REF!,#REF!,#REF!,BI16)/BI20</f>
        <v>#REF!</v>
      </c>
      <c r="BJ82" s="301" t="e">
        <f>SUM(BJ4,BJ8,#REF!,#REF!,#REF!,BJ16)/BJ20</f>
        <v>#REF!</v>
      </c>
      <c r="BK82" s="301" t="e">
        <f>SUM(BK4,BK8,#REF!,#REF!,#REF!,BK16)/BK20</f>
        <v>#REF!</v>
      </c>
      <c r="BL82" s="301" t="e">
        <f>SUM(BL4,BL8,#REF!,#REF!,#REF!,BL16)/BL20</f>
        <v>#REF!</v>
      </c>
      <c r="BN82" s="301" t="e">
        <f>SUM(BN4,BN8,#REF!,#REF!,#REF!,BN16)/BN20</f>
        <v>#REF!</v>
      </c>
      <c r="BO82" s="301" t="e">
        <f>SUM(BO4,BO8,#REF!,#REF!,#REF!,BO16)/BO20</f>
        <v>#REF!</v>
      </c>
      <c r="BP82" s="301" t="e">
        <f>SUM(BP4,BP8,#REF!,#REF!,#REF!,BP16)/BP20</f>
        <v>#REF!</v>
      </c>
      <c r="BQ82" s="301" t="e">
        <f>SUM(BQ4,BQ8,#REF!,#REF!,#REF!,BQ16)/BQ20</f>
        <v>#REF!</v>
      </c>
      <c r="BR82" s="301" t="e">
        <f>SUM(BR4,BR8,#REF!,#REF!,#REF!,BR16)/BR20</f>
        <v>#REF!</v>
      </c>
      <c r="BT82" s="212" t="e">
        <f t="shared" ref="BT82:BX83" si="152">BN82/BH82</f>
        <v>#REF!</v>
      </c>
      <c r="BU82" s="212" t="e">
        <f t="shared" si="152"/>
        <v>#REF!</v>
      </c>
      <c r="BV82" s="212" t="e">
        <f t="shared" si="152"/>
        <v>#REF!</v>
      </c>
      <c r="BW82" s="212" t="e">
        <f t="shared" si="152"/>
        <v>#REF!</v>
      </c>
      <c r="BX82" s="212" t="e">
        <f t="shared" si="152"/>
        <v>#REF!</v>
      </c>
    </row>
    <row r="83" spans="1:76" ht="15.75" thickBot="1">
      <c r="A83" s="867"/>
      <c r="B83" s="275" t="s">
        <v>53</v>
      </c>
      <c r="C83" s="276"/>
      <c r="D83" s="317">
        <f>100%-D82</f>
        <v>8.0053126149717602E-2</v>
      </c>
      <c r="E83" s="317">
        <f t="shared" ref="E83:P83" si="153">100%-E82</f>
        <v>8.0053126149717602E-2</v>
      </c>
      <c r="F83" s="317">
        <f t="shared" si="153"/>
        <v>8.0053126149717491E-2</v>
      </c>
      <c r="G83" s="317">
        <f t="shared" si="153"/>
        <v>8.005312614971738E-2</v>
      </c>
      <c r="H83" s="317">
        <f t="shared" si="153"/>
        <v>8.0053126149717713E-2</v>
      </c>
      <c r="I83" s="317">
        <f t="shared" si="153"/>
        <v>8.0053126149717602E-2</v>
      </c>
      <c r="J83" s="317">
        <f t="shared" si="153"/>
        <v>8.0053126149717491E-2</v>
      </c>
      <c r="K83" s="317">
        <f t="shared" si="153"/>
        <v>8.0053126149717602E-2</v>
      </c>
      <c r="L83" s="317">
        <f t="shared" si="153"/>
        <v>8.0053126149717491E-2</v>
      </c>
      <c r="M83" s="317">
        <f t="shared" si="153"/>
        <v>8.0053126149717491E-2</v>
      </c>
      <c r="N83" s="317">
        <f t="shared" si="153"/>
        <v>8.0053126149717602E-2</v>
      </c>
      <c r="O83" s="317">
        <f t="shared" si="153"/>
        <v>8.005312614971738E-2</v>
      </c>
      <c r="P83" s="317">
        <f t="shared" si="153"/>
        <v>8.0053126149717491E-2</v>
      </c>
      <c r="Q83" s="257"/>
      <c r="R83" s="317">
        <f t="shared" ref="R83:AD83" si="154">100%-R82</f>
        <v>0.17027940900901362</v>
      </c>
      <c r="S83" s="317">
        <f t="shared" si="154"/>
        <v>0.19815408629470743</v>
      </c>
      <c r="T83" s="317">
        <f t="shared" si="154"/>
        <v>0.25150449200369662</v>
      </c>
      <c r="U83" s="317">
        <f t="shared" si="154"/>
        <v>0.2897682833716192</v>
      </c>
      <c r="V83" s="317">
        <f t="shared" si="154"/>
        <v>0.25669432292991123</v>
      </c>
      <c r="W83" s="317">
        <f t="shared" si="154"/>
        <v>0.21517757812823379</v>
      </c>
      <c r="X83" s="317">
        <f t="shared" si="154"/>
        <v>0.19357145837390166</v>
      </c>
      <c r="Y83" s="317">
        <f t="shared" si="154"/>
        <v>0.20669488029689831</v>
      </c>
      <c r="Z83" s="317">
        <f t="shared" si="154"/>
        <v>0.18302490690336892</v>
      </c>
      <c r="AA83" s="317" t="e">
        <f t="shared" si="154"/>
        <v>#DIV/0!</v>
      </c>
      <c r="AB83" s="317" t="e">
        <f t="shared" si="154"/>
        <v>#DIV/0!</v>
      </c>
      <c r="AC83" s="317" t="e">
        <f t="shared" si="154"/>
        <v>#DIV/0!</v>
      </c>
      <c r="AD83" s="317">
        <f t="shared" si="154"/>
        <v>0.2208635511533722</v>
      </c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>
        <f t="shared" ref="AT83:BF83" si="155">100%-AT82</f>
        <v>-3.4026627158688427</v>
      </c>
      <c r="AU83" s="317">
        <f t="shared" si="155"/>
        <v>-3.0945429624704159</v>
      </c>
      <c r="AV83" s="317">
        <f t="shared" si="155"/>
        <v>-2.3251123874532129</v>
      </c>
      <c r="AW83" s="317">
        <f t="shared" si="155"/>
        <v>-2.4504082199596522</v>
      </c>
      <c r="AX83" s="317">
        <f t="shared" si="155"/>
        <v>-2.145243077031417</v>
      </c>
      <c r="AY83" s="317">
        <f t="shared" si="155"/>
        <v>-1.9821588595207134</v>
      </c>
      <c r="AZ83" s="317">
        <f t="shared" si="155"/>
        <v>-2.2756576744676678</v>
      </c>
      <c r="BA83" s="317">
        <f t="shared" si="155"/>
        <v>-1.8965821039619892</v>
      </c>
      <c r="BB83" s="317">
        <f t="shared" si="155"/>
        <v>-1.5009303280607593</v>
      </c>
      <c r="BC83" s="317" t="e">
        <f t="shared" si="155"/>
        <v>#DIV/0!</v>
      </c>
      <c r="BD83" s="317" t="e">
        <f t="shared" si="155"/>
        <v>#DIV/0!</v>
      </c>
      <c r="BE83" s="317" t="e">
        <f t="shared" si="155"/>
        <v>#DIV/0!</v>
      </c>
      <c r="BF83" s="317">
        <f t="shared" si="155"/>
        <v>-3.2751774144235855</v>
      </c>
      <c r="BH83" s="305" t="e">
        <f>1-BH82</f>
        <v>#REF!</v>
      </c>
      <c r="BI83" s="305" t="e">
        <f>1-BI82</f>
        <v>#REF!</v>
      </c>
      <c r="BJ83" s="305" t="e">
        <f>1-BJ82</f>
        <v>#REF!</v>
      </c>
      <c r="BK83" s="305" t="e">
        <f>1-BK82</f>
        <v>#REF!</v>
      </c>
      <c r="BL83" s="305" t="e">
        <f>1-BL82</f>
        <v>#REF!</v>
      </c>
      <c r="BN83" s="305" t="e">
        <f>1-BN82</f>
        <v>#REF!</v>
      </c>
      <c r="BO83" s="305" t="e">
        <f>1-BO82</f>
        <v>#REF!</v>
      </c>
      <c r="BP83" s="305" t="e">
        <f>1-BP82</f>
        <v>#REF!</v>
      </c>
      <c r="BQ83" s="305" t="e">
        <f>1-BQ82</f>
        <v>#REF!</v>
      </c>
      <c r="BR83" s="305" t="e">
        <f>1-BR82</f>
        <v>#REF!</v>
      </c>
      <c r="BT83" s="163" t="e">
        <f t="shared" si="152"/>
        <v>#REF!</v>
      </c>
      <c r="BU83" s="163" t="e">
        <f t="shared" si="152"/>
        <v>#REF!</v>
      </c>
      <c r="BV83" s="163" t="e">
        <f t="shared" si="152"/>
        <v>#REF!</v>
      </c>
      <c r="BW83" s="163" t="e">
        <f t="shared" si="152"/>
        <v>#REF!</v>
      </c>
      <c r="BX83" s="163" t="e">
        <f t="shared" si="152"/>
        <v>#REF!</v>
      </c>
    </row>
    <row r="84" spans="1:76" ht="15.75" thickTop="1"/>
  </sheetData>
  <mergeCells count="13">
    <mergeCell ref="A82:A83"/>
    <mergeCell ref="A63:A64"/>
    <mergeCell ref="A66:A67"/>
    <mergeCell ref="A70:A71"/>
    <mergeCell ref="A73:A74"/>
    <mergeCell ref="A76:A77"/>
    <mergeCell ref="A79:A80"/>
    <mergeCell ref="A60:A61"/>
    <mergeCell ref="A4:A18"/>
    <mergeCell ref="A22:A36"/>
    <mergeCell ref="A38:B38"/>
    <mergeCell ref="A40:A54"/>
    <mergeCell ref="A57:A58"/>
  </mergeCells>
  <pageMargins left="0.7" right="0.7" top="0.75" bottom="0.75" header="0.3" footer="0.3"/>
  <pageSetup paperSize="9" scale="1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CI108"/>
  <sheetViews>
    <sheetView workbookViewId="0">
      <pane xSplit="3" ySplit="4" topLeftCell="D5" activePane="bottomRight" state="frozen"/>
      <selection activeCell="R6" sqref="R6"/>
      <selection pane="topRight" activeCell="R6" sqref="R6"/>
      <selection pane="bottomLeft" activeCell="R6" sqref="R6"/>
      <selection pane="bottomRight" activeCell="D5" sqref="D5"/>
    </sheetView>
  </sheetViews>
  <sheetFormatPr defaultColWidth="9.42578125" defaultRowHeight="15"/>
  <cols>
    <col min="1" max="1" width="13" style="318" customWidth="1"/>
    <col min="2" max="2" width="26.42578125" style="318" customWidth="1"/>
    <col min="3" max="3" width="4.42578125" style="319" customWidth="1"/>
    <col min="4" max="16" width="17.42578125" style="318" customWidth="1"/>
    <col min="17" max="17" width="3" style="322" customWidth="1"/>
    <col min="18" max="19" width="13.85546875" style="318" bestFit="1" customWidth="1"/>
    <col min="20" max="21" width="14.85546875" style="318" bestFit="1" customWidth="1"/>
    <col min="22" max="22" width="15" style="318" bestFit="1" customWidth="1"/>
    <col min="23" max="23" width="14.85546875" style="318" bestFit="1" customWidth="1"/>
    <col min="24" max="24" width="16.42578125" style="178" bestFit="1" customWidth="1"/>
    <col min="25" max="25" width="15" style="318" bestFit="1" customWidth="1"/>
    <col min="26" max="26" width="16.42578125" style="318" customWidth="1"/>
    <col min="27" max="27" width="12.85546875" style="318" customWidth="1"/>
    <col min="28" max="28" width="12.140625" style="323" customWidth="1"/>
    <col min="29" max="29" width="13.42578125" style="318" customWidth="1"/>
    <col min="30" max="30" width="16.85546875" style="318" customWidth="1"/>
    <col min="31" max="31" width="11.140625" style="318" customWidth="1"/>
    <col min="32" max="32" width="2.85546875" style="322" customWidth="1"/>
    <col min="33" max="37" width="16.42578125" style="318" customWidth="1"/>
    <col min="38" max="38" width="15" style="318" customWidth="1"/>
    <col min="39" max="44" width="16.42578125" style="318" customWidth="1"/>
    <col min="45" max="45" width="17.42578125" style="318" customWidth="1"/>
    <col min="46" max="46" width="4.42578125" style="322" customWidth="1"/>
    <col min="47" max="50" width="12.85546875" style="318" customWidth="1"/>
    <col min="51" max="51" width="13" style="318" customWidth="1"/>
    <col min="52" max="58" width="9.42578125" style="318" customWidth="1"/>
    <col min="59" max="60" width="17" style="318" customWidth="1"/>
    <col min="61" max="65" width="17" style="325" customWidth="1"/>
    <col min="66" max="66" width="17" style="318" customWidth="1"/>
    <col min="67" max="71" width="17" style="325" customWidth="1"/>
    <col min="72" max="72" width="17" style="318" customWidth="1"/>
    <col min="73" max="76" width="17" style="325" customWidth="1"/>
    <col min="77" max="81" width="17" style="318" customWidth="1"/>
    <col min="82" max="84" width="9.42578125" style="318" customWidth="1"/>
    <col min="85" max="85" width="9.42578125" style="318"/>
    <col min="86" max="86" width="11.42578125" style="318" bestFit="1" customWidth="1"/>
    <col min="87" max="89" width="9.42578125" style="318"/>
    <col min="90" max="90" width="23.140625" style="318" customWidth="1"/>
    <col min="91" max="16384" width="9.42578125" style="318"/>
  </cols>
  <sheetData>
    <row r="1" spans="1:80">
      <c r="F1" s="320"/>
      <c r="G1" s="321"/>
      <c r="H1" s="321"/>
      <c r="I1" s="320"/>
      <c r="J1" s="321"/>
      <c r="M1" s="320"/>
      <c r="N1" s="320"/>
      <c r="O1" s="320"/>
      <c r="AD1" s="324"/>
    </row>
    <row r="2" spans="1:80" ht="15.75">
      <c r="B2" s="318" t="s">
        <v>67</v>
      </c>
      <c r="C2" s="319">
        <v>35</v>
      </c>
      <c r="F2" s="320"/>
      <c r="G2" s="321"/>
      <c r="H2" s="321"/>
      <c r="I2" s="320"/>
      <c r="J2" s="321"/>
      <c r="M2" s="320"/>
      <c r="N2" s="320"/>
      <c r="O2" s="320"/>
      <c r="R2" s="876"/>
      <c r="S2" s="876"/>
      <c r="T2" s="876"/>
      <c r="U2" s="876"/>
      <c r="V2" s="877"/>
      <c r="W2" s="877"/>
      <c r="X2" s="877"/>
      <c r="Y2" s="877"/>
      <c r="Z2" s="877"/>
      <c r="AA2" s="877"/>
      <c r="AB2" s="877"/>
      <c r="AC2" s="877"/>
      <c r="AD2" s="324"/>
    </row>
    <row r="3" spans="1:80" ht="15.75">
      <c r="D3" s="326" t="s">
        <v>28</v>
      </c>
      <c r="O3" s="320"/>
      <c r="P3" s="327"/>
      <c r="Q3" s="328"/>
      <c r="R3" s="318" t="s">
        <v>29</v>
      </c>
      <c r="AB3" s="329"/>
      <c r="AG3" s="326" t="s">
        <v>30</v>
      </c>
      <c r="AU3" s="318" t="s">
        <v>31</v>
      </c>
      <c r="BI3" s="330" t="s">
        <v>32</v>
      </c>
      <c r="BO3" s="330" t="s">
        <v>33</v>
      </c>
      <c r="BU3" s="325" t="s">
        <v>34</v>
      </c>
    </row>
    <row r="4" spans="1:80" ht="15.75">
      <c r="A4" s="331"/>
      <c r="B4" s="332"/>
      <c r="C4" s="333"/>
      <c r="D4" s="334" t="s">
        <v>35</v>
      </c>
      <c r="E4" s="334" t="s">
        <v>36</v>
      </c>
      <c r="F4" s="334" t="s">
        <v>37</v>
      </c>
      <c r="G4" s="334" t="s">
        <v>38</v>
      </c>
      <c r="H4" s="334" t="s">
        <v>39</v>
      </c>
      <c r="I4" s="334" t="s">
        <v>40</v>
      </c>
      <c r="J4" s="334" t="s">
        <v>41</v>
      </c>
      <c r="K4" s="334" t="s">
        <v>42</v>
      </c>
      <c r="L4" s="334" t="s">
        <v>43</v>
      </c>
      <c r="M4" s="334" t="s">
        <v>44</v>
      </c>
      <c r="N4" s="334" t="s">
        <v>45</v>
      </c>
      <c r="O4" s="334" t="s">
        <v>46</v>
      </c>
      <c r="P4" s="334" t="s">
        <v>47</v>
      </c>
      <c r="Q4" s="335"/>
      <c r="R4" s="336" t="s">
        <v>35</v>
      </c>
      <c r="S4" s="336" t="s">
        <v>36</v>
      </c>
      <c r="T4" s="336" t="s">
        <v>37</v>
      </c>
      <c r="U4" s="336" t="s">
        <v>38</v>
      </c>
      <c r="V4" s="336" t="s">
        <v>39</v>
      </c>
      <c r="W4" s="336" t="s">
        <v>40</v>
      </c>
      <c r="X4" s="337" t="s">
        <v>41</v>
      </c>
      <c r="Y4" s="336" t="s">
        <v>42</v>
      </c>
      <c r="Z4" s="336" t="s">
        <v>43</v>
      </c>
      <c r="AA4" s="336" t="s">
        <v>44</v>
      </c>
      <c r="AB4" s="336" t="s">
        <v>45</v>
      </c>
      <c r="AC4" s="336" t="s">
        <v>46</v>
      </c>
      <c r="AD4" s="336" t="s">
        <v>47</v>
      </c>
      <c r="AE4" s="336"/>
      <c r="AF4" s="335"/>
      <c r="AG4" s="338" t="s">
        <v>35</v>
      </c>
      <c r="AH4" s="338" t="s">
        <v>36</v>
      </c>
      <c r="AI4" s="338" t="s">
        <v>37</v>
      </c>
      <c r="AJ4" s="338" t="s">
        <v>38</v>
      </c>
      <c r="AK4" s="338" t="s">
        <v>39</v>
      </c>
      <c r="AL4" s="338" t="s">
        <v>40</v>
      </c>
      <c r="AM4" s="338" t="s">
        <v>41</v>
      </c>
      <c r="AN4" s="338" t="s">
        <v>42</v>
      </c>
      <c r="AO4" s="338" t="s">
        <v>43</v>
      </c>
      <c r="AP4" s="338" t="s">
        <v>44</v>
      </c>
      <c r="AQ4" s="338" t="s">
        <v>45</v>
      </c>
      <c r="AR4" s="338" t="s">
        <v>46</v>
      </c>
      <c r="AS4" s="338" t="s">
        <v>47</v>
      </c>
      <c r="AT4" s="335"/>
      <c r="AU4" s="336" t="s">
        <v>35</v>
      </c>
      <c r="AV4" s="336" t="s">
        <v>36</v>
      </c>
      <c r="AW4" s="336" t="s">
        <v>37</v>
      </c>
      <c r="AX4" s="336" t="s">
        <v>38</v>
      </c>
      <c r="AY4" s="336" t="s">
        <v>39</v>
      </c>
      <c r="AZ4" s="336" t="s">
        <v>40</v>
      </c>
      <c r="BA4" s="336" t="s">
        <v>41</v>
      </c>
      <c r="BB4" s="336" t="s">
        <v>42</v>
      </c>
      <c r="BC4" s="336" t="s">
        <v>43</v>
      </c>
      <c r="BD4" s="336" t="s">
        <v>44</v>
      </c>
      <c r="BE4" s="336" t="s">
        <v>45</v>
      </c>
      <c r="BF4" s="336" t="s">
        <v>46</v>
      </c>
      <c r="BG4" s="336" t="s">
        <v>47</v>
      </c>
      <c r="BI4" s="339" t="s">
        <v>48</v>
      </c>
      <c r="BJ4" s="339" t="s">
        <v>49</v>
      </c>
      <c r="BK4" s="339" t="s">
        <v>50</v>
      </c>
      <c r="BL4" s="339" t="s">
        <v>51</v>
      </c>
      <c r="BM4" s="339" t="s">
        <v>47</v>
      </c>
      <c r="BO4" s="339" t="s">
        <v>48</v>
      </c>
      <c r="BP4" s="339" t="s">
        <v>49</v>
      </c>
      <c r="BQ4" s="339" t="s">
        <v>50</v>
      </c>
      <c r="BR4" s="339" t="s">
        <v>51</v>
      </c>
      <c r="BS4" s="339" t="s">
        <v>47</v>
      </c>
      <c r="BU4" s="339" t="s">
        <v>48</v>
      </c>
      <c r="BV4" s="339" t="s">
        <v>49</v>
      </c>
      <c r="BW4" s="339" t="s">
        <v>50</v>
      </c>
      <c r="BX4" s="339" t="s">
        <v>51</v>
      </c>
      <c r="BY4" s="339" t="s">
        <v>47</v>
      </c>
    </row>
    <row r="5" spans="1:80">
      <c r="A5" s="878" t="s">
        <v>8</v>
      </c>
      <c r="B5" s="340" t="s">
        <v>68</v>
      </c>
      <c r="C5" s="341"/>
      <c r="D5" s="342">
        <v>32453.65958135141</v>
      </c>
      <c r="E5" s="342">
        <v>28519.900412724968</v>
      </c>
      <c r="F5" s="342">
        <v>34223.880495269965</v>
      </c>
      <c r="G5" s="342">
        <v>42779.850619087454</v>
      </c>
      <c r="H5" s="342">
        <v>41068.656594323948</v>
      </c>
      <c r="I5" s="342">
        <v>41890.029726210429</v>
      </c>
      <c r="J5" s="342">
        <v>43984.53121252096</v>
      </c>
      <c r="K5" s="342">
        <v>48382.984333773056</v>
      </c>
      <c r="L5" s="342">
        <v>58059.58120052766</v>
      </c>
      <c r="M5" s="342">
        <v>66768.518380606809</v>
      </c>
      <c r="N5" s="342">
        <v>86799.073894788846</v>
      </c>
      <c r="O5" s="342">
        <v>112838.7960632255</v>
      </c>
      <c r="P5" s="342">
        <f>SUM(D5:O5)</f>
        <v>637769.46251441108</v>
      </c>
      <c r="Q5" s="341"/>
      <c r="R5" s="698">
        <f t="array" ref="R5:AC5">TRANSPOSE('TH_YouTube Performance'!N6:N17)</f>
        <v>6616</v>
      </c>
      <c r="S5" s="698">
        <v>10109</v>
      </c>
      <c r="T5" s="698">
        <v>2043</v>
      </c>
      <c r="U5" s="698">
        <v>328</v>
      </c>
      <c r="V5" s="698">
        <v>308</v>
      </c>
      <c r="W5" s="698">
        <v>886</v>
      </c>
      <c r="X5" s="698">
        <v>333</v>
      </c>
      <c r="Y5" s="698">
        <v>537474</v>
      </c>
      <c r="Z5" s="698">
        <v>5735135</v>
      </c>
      <c r="AA5" s="698">
        <v>0</v>
      </c>
      <c r="AB5" s="698">
        <v>0</v>
      </c>
      <c r="AC5" s="698">
        <v>0</v>
      </c>
      <c r="AD5" s="698">
        <f>SUM(R5:AC5)</f>
        <v>6293232</v>
      </c>
      <c r="AE5" s="343"/>
      <c r="AF5" s="341"/>
      <c r="AG5" s="343">
        <f t="shared" ref="AG5:AR6" si="0">R5-D5</f>
        <v>-25837.65958135141</v>
      </c>
      <c r="AH5" s="343">
        <f t="shared" si="0"/>
        <v>-18410.900412724968</v>
      </c>
      <c r="AI5" s="343">
        <f t="shared" si="0"/>
        <v>-32180.880495269965</v>
      </c>
      <c r="AJ5" s="343">
        <f t="shared" si="0"/>
        <v>-42451.850619087454</v>
      </c>
      <c r="AK5" s="343">
        <f t="shared" si="0"/>
        <v>-40760.656594323948</v>
      </c>
      <c r="AL5" s="343">
        <f t="shared" si="0"/>
        <v>-41004.029726210429</v>
      </c>
      <c r="AM5" s="343">
        <f t="shared" si="0"/>
        <v>-43651.53121252096</v>
      </c>
      <c r="AN5" s="343">
        <f t="shared" si="0"/>
        <v>489091.01566622697</v>
      </c>
      <c r="AO5" s="343">
        <f t="shared" si="0"/>
        <v>5677075.418799472</v>
      </c>
      <c r="AP5" s="343">
        <f t="shared" si="0"/>
        <v>-66768.518380606809</v>
      </c>
      <c r="AQ5" s="343">
        <f t="shared" si="0"/>
        <v>-86799.073894788846</v>
      </c>
      <c r="AR5" s="343">
        <f t="shared" si="0"/>
        <v>-112838.7960632255</v>
      </c>
      <c r="AS5" s="343">
        <f>SUM(AG5:AR5)</f>
        <v>5655462.5374855893</v>
      </c>
      <c r="AT5" s="341"/>
      <c r="AU5" s="344">
        <f t="shared" ref="AU5:BG7" si="1">R5/D5</f>
        <v>0.20385990625851327</v>
      </c>
      <c r="AV5" s="344">
        <f t="shared" si="1"/>
        <v>0.35445425312528722</v>
      </c>
      <c r="AW5" s="344">
        <f t="shared" si="1"/>
        <v>5.9695159357582496E-2</v>
      </c>
      <c r="AX5" s="344">
        <f t="shared" si="1"/>
        <v>7.6671609473468669E-3</v>
      </c>
      <c r="AY5" s="344">
        <f t="shared" si="1"/>
        <v>7.4996365973794311E-3</v>
      </c>
      <c r="AZ5" s="344">
        <f t="shared" si="1"/>
        <v>2.1150617600197912E-2</v>
      </c>
      <c r="BA5" s="344">
        <f t="shared" si="1"/>
        <v>7.570843449280773E-3</v>
      </c>
      <c r="BB5" s="344">
        <f t="shared" si="1"/>
        <v>11.108740136660481</v>
      </c>
      <c r="BC5" s="344">
        <f t="shared" si="1"/>
        <v>98.780164813656583</v>
      </c>
      <c r="BD5" s="344">
        <f t="shared" si="1"/>
        <v>0</v>
      </c>
      <c r="BE5" s="344">
        <f t="shared" si="1"/>
        <v>0</v>
      </c>
      <c r="BF5" s="344">
        <f t="shared" si="1"/>
        <v>0</v>
      </c>
      <c r="BG5" s="344">
        <f t="shared" si="1"/>
        <v>9.8675655858292171</v>
      </c>
      <c r="BI5" s="345">
        <f>SUM(D5:F5)</f>
        <v>95197.440489346336</v>
      </c>
      <c r="BJ5" s="345">
        <f>SUM(G5:I5)</f>
        <v>125738.53693962183</v>
      </c>
      <c r="BK5" s="345">
        <f>SUM(J5:L5)</f>
        <v>150427.09674682168</v>
      </c>
      <c r="BL5" s="345">
        <f>SUM(M5:O5)</f>
        <v>266406.38833862112</v>
      </c>
      <c r="BM5" s="345">
        <f>SUM(BI5:BL5)</f>
        <v>637769.46251441096</v>
      </c>
      <c r="BO5" s="345">
        <f>SUM(R5:T5)</f>
        <v>18768</v>
      </c>
      <c r="BP5" s="345">
        <f>SUM(U5:W5)</f>
        <v>1522</v>
      </c>
      <c r="BQ5" s="345">
        <f>SUM(X5:Z5)</f>
        <v>6272942</v>
      </c>
      <c r="BR5" s="345">
        <f>SUM(AA5:AC5)</f>
        <v>0</v>
      </c>
      <c r="BS5" s="345">
        <f>SUM(BO5:BR5)</f>
        <v>6293232</v>
      </c>
      <c r="BU5" s="346">
        <f>BO5/BI5</f>
        <v>0.19714815759253895</v>
      </c>
      <c r="BV5" s="346">
        <f>BP5/BJ5</f>
        <v>1.2104483136549032E-2</v>
      </c>
      <c r="BW5" s="346">
        <f>BQ5/BK5</f>
        <v>41.700877937953948</v>
      </c>
      <c r="BX5" s="346">
        <f>BR5/BL5</f>
        <v>0</v>
      </c>
      <c r="BY5" s="346">
        <f>BS5/BM5</f>
        <v>9.8675655858292188</v>
      </c>
      <c r="CA5" s="327">
        <f t="shared" ref="CA5:CB7" si="2">U5/G5</f>
        <v>7.6671609473468669E-3</v>
      </c>
      <c r="CB5" s="327">
        <f t="shared" si="2"/>
        <v>7.4996365973794311E-3</v>
      </c>
    </row>
    <row r="6" spans="1:80">
      <c r="A6" s="879"/>
      <c r="B6" s="347" t="s">
        <v>69</v>
      </c>
      <c r="C6" s="348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>
        <f>SUM(D6:O6)</f>
        <v>0</v>
      </c>
      <c r="Q6" s="341"/>
      <c r="R6" s="698">
        <f t="array" ref="R6:AC6">TRANSPOSE('TH_YouTube Performance'!W6:W17)</f>
        <v>11369</v>
      </c>
      <c r="S6" s="698">
        <v>13238</v>
      </c>
      <c r="T6" s="698">
        <v>12291</v>
      </c>
      <c r="U6" s="698">
        <v>9086</v>
      </c>
      <c r="V6" s="698">
        <v>6983</v>
      </c>
      <c r="W6" s="698">
        <v>5637</v>
      </c>
      <c r="X6" s="698">
        <v>4898</v>
      </c>
      <c r="Y6" s="698">
        <v>20421</v>
      </c>
      <c r="Z6" s="698">
        <v>216198</v>
      </c>
      <c r="AA6" s="698">
        <v>0</v>
      </c>
      <c r="AB6" s="698">
        <v>0</v>
      </c>
      <c r="AC6" s="698">
        <v>0</v>
      </c>
      <c r="AD6" s="698">
        <f>SUM(R6:AC6)</f>
        <v>300121</v>
      </c>
      <c r="AE6" s="343"/>
      <c r="AF6" s="341"/>
      <c r="AG6" s="350">
        <f t="shared" si="0"/>
        <v>11369</v>
      </c>
      <c r="AH6" s="350">
        <f t="shared" si="0"/>
        <v>13238</v>
      </c>
      <c r="AI6" s="350">
        <f t="shared" si="0"/>
        <v>12291</v>
      </c>
      <c r="AJ6" s="350">
        <f t="shared" si="0"/>
        <v>9086</v>
      </c>
      <c r="AK6" s="350">
        <f t="shared" si="0"/>
        <v>6983</v>
      </c>
      <c r="AL6" s="350">
        <f t="shared" si="0"/>
        <v>5637</v>
      </c>
      <c r="AM6" s="350">
        <f t="shared" si="0"/>
        <v>4898</v>
      </c>
      <c r="AN6" s="350">
        <f t="shared" si="0"/>
        <v>20421</v>
      </c>
      <c r="AO6" s="350">
        <f t="shared" si="0"/>
        <v>216198</v>
      </c>
      <c r="AP6" s="350">
        <f t="shared" si="0"/>
        <v>0</v>
      </c>
      <c r="AQ6" s="350">
        <f t="shared" si="0"/>
        <v>0</v>
      </c>
      <c r="AR6" s="350">
        <f t="shared" si="0"/>
        <v>0</v>
      </c>
      <c r="AS6" s="350">
        <f>SUM(AG6:AR6)</f>
        <v>300121</v>
      </c>
      <c r="AT6" s="341"/>
      <c r="AU6" s="351" t="e">
        <f t="shared" si="1"/>
        <v>#DIV/0!</v>
      </c>
      <c r="AV6" s="351" t="e">
        <f t="shared" si="1"/>
        <v>#DIV/0!</v>
      </c>
      <c r="AW6" s="351" t="e">
        <f t="shared" si="1"/>
        <v>#DIV/0!</v>
      </c>
      <c r="AX6" s="351" t="e">
        <f t="shared" si="1"/>
        <v>#DIV/0!</v>
      </c>
      <c r="AY6" s="351" t="e">
        <f t="shared" si="1"/>
        <v>#DIV/0!</v>
      </c>
      <c r="AZ6" s="351" t="e">
        <f t="shared" si="1"/>
        <v>#DIV/0!</v>
      </c>
      <c r="BA6" s="351" t="e">
        <f t="shared" si="1"/>
        <v>#DIV/0!</v>
      </c>
      <c r="BB6" s="351" t="e">
        <f t="shared" si="1"/>
        <v>#DIV/0!</v>
      </c>
      <c r="BC6" s="351" t="e">
        <f t="shared" si="1"/>
        <v>#DIV/0!</v>
      </c>
      <c r="BD6" s="351" t="e">
        <f t="shared" si="1"/>
        <v>#DIV/0!</v>
      </c>
      <c r="BE6" s="351" t="e">
        <f t="shared" si="1"/>
        <v>#DIV/0!</v>
      </c>
      <c r="BF6" s="351" t="e">
        <f t="shared" si="1"/>
        <v>#DIV/0!</v>
      </c>
      <c r="BG6" s="351" t="e">
        <f t="shared" si="1"/>
        <v>#DIV/0!</v>
      </c>
      <c r="BI6" s="352">
        <f>SUM(D6:F6)</f>
        <v>0</v>
      </c>
      <c r="BJ6" s="352">
        <f>SUM(G6:I6)</f>
        <v>0</v>
      </c>
      <c r="BK6" s="352">
        <f>SUM(J6:L6)</f>
        <v>0</v>
      </c>
      <c r="BL6" s="352">
        <f>SUM(M6:O6)</f>
        <v>0</v>
      </c>
      <c r="BM6" s="352">
        <f>SUM(BI6:BL6)</f>
        <v>0</v>
      </c>
      <c r="BO6" s="352">
        <f>SUM(R6:T6)</f>
        <v>36898</v>
      </c>
      <c r="BP6" s="352">
        <f>SUM(U6:W6)</f>
        <v>21706</v>
      </c>
      <c r="BQ6" s="352">
        <f>SUM(X6:Z6)</f>
        <v>241517</v>
      </c>
      <c r="BR6" s="352">
        <f>SUM(AA6:AC6)</f>
        <v>0</v>
      </c>
      <c r="BS6" s="352">
        <f>SUM(BO6:BR6)</f>
        <v>300121</v>
      </c>
      <c r="BU6" s="353" t="e">
        <f>BO6/BI6</f>
        <v>#DIV/0!</v>
      </c>
      <c r="BV6" s="353" t="e">
        <f t="shared" ref="BV6:BY7" si="3">BP6/BJ6</f>
        <v>#DIV/0!</v>
      </c>
      <c r="BW6" s="353" t="e">
        <f t="shared" si="3"/>
        <v>#DIV/0!</v>
      </c>
      <c r="BX6" s="353" t="e">
        <f t="shared" si="3"/>
        <v>#DIV/0!</v>
      </c>
      <c r="BY6" s="353" t="e">
        <f t="shared" si="3"/>
        <v>#DIV/0!</v>
      </c>
      <c r="CA6" s="327" t="e">
        <f t="shared" si="2"/>
        <v>#DIV/0!</v>
      </c>
      <c r="CB6" s="327" t="e">
        <f t="shared" si="2"/>
        <v>#DIV/0!</v>
      </c>
    </row>
    <row r="7" spans="1:80" ht="16.5" thickBot="1">
      <c r="A7" s="879"/>
      <c r="B7" s="354" t="s">
        <v>70</v>
      </c>
      <c r="C7" s="355"/>
      <c r="D7" s="356">
        <f>SUM(D5:D6)</f>
        <v>32453.65958135141</v>
      </c>
      <c r="E7" s="356">
        <f t="shared" ref="E7:P7" si="4">SUM(E5:E6)</f>
        <v>28519.900412724968</v>
      </c>
      <c r="F7" s="356">
        <f t="shared" si="4"/>
        <v>34223.880495269965</v>
      </c>
      <c r="G7" s="356">
        <f t="shared" si="4"/>
        <v>42779.850619087454</v>
      </c>
      <c r="H7" s="356">
        <f t="shared" si="4"/>
        <v>41068.656594323948</v>
      </c>
      <c r="I7" s="356">
        <f t="shared" si="4"/>
        <v>41890.029726210429</v>
      </c>
      <c r="J7" s="356">
        <f t="shared" si="4"/>
        <v>43984.53121252096</v>
      </c>
      <c r="K7" s="356">
        <f t="shared" si="4"/>
        <v>48382.984333773056</v>
      </c>
      <c r="L7" s="356">
        <f t="shared" si="4"/>
        <v>58059.58120052766</v>
      </c>
      <c r="M7" s="356">
        <f t="shared" si="4"/>
        <v>66768.518380606809</v>
      </c>
      <c r="N7" s="356">
        <f t="shared" si="4"/>
        <v>86799.073894788846</v>
      </c>
      <c r="O7" s="356">
        <f t="shared" si="4"/>
        <v>112838.7960632255</v>
      </c>
      <c r="P7" s="356">
        <f t="shared" si="4"/>
        <v>637769.46251441108</v>
      </c>
      <c r="Q7" s="357"/>
      <c r="R7" s="699">
        <f t="shared" ref="R7:AD7" si="5">SUM(R5:R6)</f>
        <v>17985</v>
      </c>
      <c r="S7" s="699">
        <f t="shared" si="5"/>
        <v>23347</v>
      </c>
      <c r="T7" s="699">
        <f t="shared" si="5"/>
        <v>14334</v>
      </c>
      <c r="U7" s="699">
        <f t="shared" si="5"/>
        <v>9414</v>
      </c>
      <c r="V7" s="699">
        <f t="shared" si="5"/>
        <v>7291</v>
      </c>
      <c r="W7" s="699">
        <f t="shared" si="5"/>
        <v>6523</v>
      </c>
      <c r="X7" s="699">
        <f t="shared" si="5"/>
        <v>5231</v>
      </c>
      <c r="Y7" s="699">
        <f t="shared" si="5"/>
        <v>557895</v>
      </c>
      <c r="Z7" s="699">
        <f t="shared" si="5"/>
        <v>5951333</v>
      </c>
      <c r="AA7" s="699">
        <f t="shared" si="5"/>
        <v>0</v>
      </c>
      <c r="AB7" s="699">
        <f t="shared" si="5"/>
        <v>0</v>
      </c>
      <c r="AC7" s="699">
        <f t="shared" si="5"/>
        <v>0</v>
      </c>
      <c r="AD7" s="699">
        <f t="shared" si="5"/>
        <v>6593353</v>
      </c>
      <c r="AE7" s="360"/>
      <c r="AF7" s="361"/>
      <c r="AG7" s="362">
        <f t="shared" ref="AG7:AS7" si="6">SUM(AG5:AG6)</f>
        <v>-14468.65958135141</v>
      </c>
      <c r="AH7" s="362">
        <f t="shared" si="6"/>
        <v>-5172.9004127249682</v>
      </c>
      <c r="AI7" s="362">
        <f t="shared" si="6"/>
        <v>-19889.880495269965</v>
      </c>
      <c r="AJ7" s="362">
        <f t="shared" si="6"/>
        <v>-33365.850619087454</v>
      </c>
      <c r="AK7" s="362">
        <f t="shared" si="6"/>
        <v>-33777.656594323948</v>
      </c>
      <c r="AL7" s="362">
        <f t="shared" si="6"/>
        <v>-35367.029726210429</v>
      </c>
      <c r="AM7" s="362">
        <f t="shared" si="6"/>
        <v>-38753.53121252096</v>
      </c>
      <c r="AN7" s="362">
        <f t="shared" si="6"/>
        <v>509512.01566622697</v>
      </c>
      <c r="AO7" s="362">
        <f t="shared" si="6"/>
        <v>5893273.418799472</v>
      </c>
      <c r="AP7" s="362">
        <f t="shared" si="6"/>
        <v>-66768.518380606809</v>
      </c>
      <c r="AQ7" s="362">
        <f t="shared" si="6"/>
        <v>-86799.073894788846</v>
      </c>
      <c r="AR7" s="362">
        <f t="shared" si="6"/>
        <v>-112838.7960632255</v>
      </c>
      <c r="AS7" s="363">
        <f t="shared" si="6"/>
        <v>5955583.5374855893</v>
      </c>
      <c r="AT7" s="341"/>
      <c r="AU7" s="364">
        <f t="shared" si="1"/>
        <v>0.55417479051683216</v>
      </c>
      <c r="AV7" s="364">
        <f t="shared" si="1"/>
        <v>0.81862137181878336</v>
      </c>
      <c r="AW7" s="364">
        <f t="shared" si="1"/>
        <v>0.41883035449416911</v>
      </c>
      <c r="AX7" s="364">
        <f t="shared" si="1"/>
        <v>0.22005686938513233</v>
      </c>
      <c r="AY7" s="364">
        <f t="shared" si="1"/>
        <v>0.17753198192043324</v>
      </c>
      <c r="AZ7" s="364">
        <f t="shared" si="1"/>
        <v>0.15571724447640065</v>
      </c>
      <c r="BA7" s="364">
        <f t="shared" si="1"/>
        <v>0.11892817442398715</v>
      </c>
      <c r="BB7" s="364">
        <f t="shared" si="1"/>
        <v>11.530810008562645</v>
      </c>
      <c r="BC7" s="364">
        <f t="shared" si="1"/>
        <v>102.50389129479137</v>
      </c>
      <c r="BD7" s="364">
        <f t="shared" si="1"/>
        <v>0</v>
      </c>
      <c r="BE7" s="364">
        <f t="shared" si="1"/>
        <v>0</v>
      </c>
      <c r="BF7" s="364">
        <f t="shared" si="1"/>
        <v>0</v>
      </c>
      <c r="BG7" s="364">
        <f t="shared" si="1"/>
        <v>10.338144717694156</v>
      </c>
      <c r="BI7" s="365">
        <f>SUM(BI5:BI6)</f>
        <v>95197.440489346336</v>
      </c>
      <c r="BJ7" s="365">
        <f>SUM(BJ5:BJ6)</f>
        <v>125738.53693962183</v>
      </c>
      <c r="BK7" s="365">
        <f>SUM(BK5:BK6)</f>
        <v>150427.09674682168</v>
      </c>
      <c r="BL7" s="365">
        <f>SUM(BL5:BL6)</f>
        <v>266406.38833862112</v>
      </c>
      <c r="BM7" s="365">
        <f>SUM(BI7:BL7)</f>
        <v>637769.46251441096</v>
      </c>
      <c r="BO7" s="365">
        <f>SUM(BO5:BO6)</f>
        <v>55666</v>
      </c>
      <c r="BP7" s="365">
        <f>SUM(BP5:BP6)</f>
        <v>23228</v>
      </c>
      <c r="BQ7" s="365">
        <f>SUM(BQ5:BQ6)</f>
        <v>6514459</v>
      </c>
      <c r="BR7" s="365">
        <f>SUM(BR5:BR6)</f>
        <v>0</v>
      </c>
      <c r="BS7" s="365">
        <f>SUM(BO7:BR7)</f>
        <v>6593353</v>
      </c>
      <c r="BU7" s="366">
        <f>BO7/BI7</f>
        <v>0.58474261192168975</v>
      </c>
      <c r="BV7" s="366">
        <f t="shared" si="3"/>
        <v>0.18473254552940926</v>
      </c>
      <c r="BW7" s="366">
        <f t="shared" si="3"/>
        <v>43.306419793265349</v>
      </c>
      <c r="BX7" s="366">
        <f t="shared" si="3"/>
        <v>0</v>
      </c>
      <c r="BY7" s="366">
        <f t="shared" si="3"/>
        <v>10.338144717694158</v>
      </c>
      <c r="CA7" s="327">
        <f t="shared" si="2"/>
        <v>0.22005686938513233</v>
      </c>
      <c r="CB7" s="327">
        <f t="shared" si="2"/>
        <v>0.17753198192043324</v>
      </c>
    </row>
    <row r="8" spans="1:80" ht="16.5" thickTop="1">
      <c r="A8" s="879"/>
      <c r="B8" s="340"/>
      <c r="C8" s="341"/>
      <c r="D8" s="342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57"/>
      <c r="R8" s="360"/>
      <c r="S8" s="360"/>
      <c r="T8" s="360"/>
      <c r="U8" s="360"/>
      <c r="V8" s="360"/>
      <c r="W8" s="360"/>
      <c r="X8" s="360"/>
      <c r="Y8" s="360"/>
      <c r="Z8" s="138"/>
      <c r="AA8" s="138"/>
      <c r="AB8" s="138"/>
      <c r="AC8" s="138"/>
      <c r="AD8" s="360"/>
      <c r="AE8" s="360"/>
      <c r="AF8" s="361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1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I8" s="345"/>
      <c r="BJ8" s="345"/>
      <c r="BK8" s="345"/>
      <c r="BL8" s="345"/>
      <c r="BM8" s="345"/>
      <c r="BO8" s="345"/>
      <c r="BP8" s="345"/>
      <c r="BQ8" s="345"/>
      <c r="BR8" s="345"/>
      <c r="BS8" s="345"/>
      <c r="BU8" s="346"/>
      <c r="BV8" s="346"/>
      <c r="BW8" s="346"/>
      <c r="BX8" s="346"/>
      <c r="BY8" s="346"/>
      <c r="CA8" s="327"/>
      <c r="CB8" s="327"/>
    </row>
    <row r="9" spans="1:80" ht="15.75">
      <c r="A9" s="879"/>
      <c r="B9" s="340" t="s">
        <v>68</v>
      </c>
      <c r="C9" s="342"/>
      <c r="D9" s="342">
        <v>101068097.32039945</v>
      </c>
      <c r="E9" s="342">
        <v>88817474.135881677</v>
      </c>
      <c r="F9" s="342">
        <v>106580968.96305802</v>
      </c>
      <c r="G9" s="342">
        <v>133226211.20382252</v>
      </c>
      <c r="H9" s="342">
        <v>127897162.75566959</v>
      </c>
      <c r="I9" s="342">
        <v>130455106.010783</v>
      </c>
      <c r="J9" s="342">
        <v>136977861.31132218</v>
      </c>
      <c r="K9" s="342">
        <v>150675647.4424544</v>
      </c>
      <c r="L9" s="342">
        <v>180810776.93094528</v>
      </c>
      <c r="M9" s="342">
        <v>207932393.47058702</v>
      </c>
      <c r="N9" s="342">
        <v>270312111.5117631</v>
      </c>
      <c r="O9" s="342">
        <v>351405744.9652921</v>
      </c>
      <c r="P9" s="342">
        <f>SUM(D9:O9)</f>
        <v>1986159556.0219784</v>
      </c>
      <c r="Q9" s="357"/>
      <c r="R9" s="698">
        <f t="array" ref="R9:AC9">TRANSPOSE('TH_YouTube Performance'!P6:P17)</f>
        <v>79105684</v>
      </c>
      <c r="S9" s="698">
        <v>76944769</v>
      </c>
      <c r="T9" s="698">
        <v>99058641</v>
      </c>
      <c r="U9" s="698">
        <v>106964570</v>
      </c>
      <c r="V9" s="698">
        <v>100169724</v>
      </c>
      <c r="W9" s="698">
        <v>89075535</v>
      </c>
      <c r="X9" s="698">
        <v>132837262</v>
      </c>
      <c r="Y9" s="698">
        <v>152169499</v>
      </c>
      <c r="Z9" s="698">
        <v>135715551</v>
      </c>
      <c r="AA9" s="698">
        <v>0</v>
      </c>
      <c r="AB9" s="698">
        <v>0</v>
      </c>
      <c r="AC9" s="698">
        <v>0</v>
      </c>
      <c r="AD9" s="698">
        <f>SUM(R9:AC9)</f>
        <v>972041235</v>
      </c>
      <c r="AE9" s="360"/>
      <c r="AF9" s="361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1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I9" s="345"/>
      <c r="BJ9" s="345"/>
      <c r="BK9" s="345"/>
      <c r="BL9" s="345"/>
      <c r="BM9" s="345"/>
      <c r="BO9" s="345"/>
      <c r="BP9" s="345"/>
      <c r="BQ9" s="345"/>
      <c r="BR9" s="345"/>
      <c r="BS9" s="345"/>
      <c r="BU9" s="346"/>
      <c r="BV9" s="346"/>
      <c r="BW9" s="346"/>
      <c r="BX9" s="346"/>
      <c r="BY9" s="346"/>
      <c r="CA9" s="327"/>
      <c r="CB9" s="327"/>
    </row>
    <row r="10" spans="1:80" ht="15.75">
      <c r="A10" s="879"/>
      <c r="B10" s="347" t="s">
        <v>69</v>
      </c>
      <c r="C10" s="342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57"/>
      <c r="R10" s="698">
        <f t="array" ref="R10:AC10">TRANSPOSE('TH_YouTube Performance'!Y6:Y17)</f>
        <v>4625990</v>
      </c>
      <c r="S10" s="698">
        <v>3811033</v>
      </c>
      <c r="T10" s="698">
        <v>4873824</v>
      </c>
      <c r="U10" s="698">
        <v>4305535</v>
      </c>
      <c r="V10" s="698">
        <v>5893198</v>
      </c>
      <c r="W10" s="698">
        <v>7346221</v>
      </c>
      <c r="X10" s="698">
        <v>9174784</v>
      </c>
      <c r="Y10" s="698">
        <v>16611537</v>
      </c>
      <c r="Z10" s="698">
        <v>18500107</v>
      </c>
      <c r="AA10" s="698">
        <v>0</v>
      </c>
      <c r="AB10" s="698">
        <v>0</v>
      </c>
      <c r="AC10" s="698">
        <v>0</v>
      </c>
      <c r="AD10" s="698">
        <f>SUM(R10:AC10)</f>
        <v>75142229</v>
      </c>
      <c r="AE10" s="360"/>
      <c r="AF10" s="361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1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I10" s="345"/>
      <c r="BJ10" s="345"/>
      <c r="BK10" s="345"/>
      <c r="BL10" s="345"/>
      <c r="BM10" s="345"/>
      <c r="BO10" s="345"/>
      <c r="BP10" s="345"/>
      <c r="BQ10" s="345"/>
      <c r="BR10" s="345"/>
      <c r="BS10" s="345"/>
      <c r="BU10" s="346"/>
      <c r="BV10" s="346"/>
      <c r="BW10" s="346"/>
      <c r="BX10" s="346"/>
      <c r="BY10" s="346"/>
      <c r="CA10" s="327"/>
      <c r="CB10" s="327"/>
    </row>
    <row r="11" spans="1:80" ht="16.5" thickBot="1">
      <c r="A11" s="879"/>
      <c r="B11" s="354" t="s">
        <v>71</v>
      </c>
      <c r="C11" s="342"/>
      <c r="D11" s="356">
        <f t="shared" ref="D11:P11" si="7">SUM(D9:D10)</f>
        <v>101068097.32039945</v>
      </c>
      <c r="E11" s="356">
        <f t="shared" si="7"/>
        <v>88817474.135881677</v>
      </c>
      <c r="F11" s="356">
        <f t="shared" si="7"/>
        <v>106580968.96305802</v>
      </c>
      <c r="G11" s="356">
        <f t="shared" si="7"/>
        <v>133226211.20382252</v>
      </c>
      <c r="H11" s="356">
        <f t="shared" si="7"/>
        <v>127897162.75566959</v>
      </c>
      <c r="I11" s="356">
        <f t="shared" si="7"/>
        <v>130455106.010783</v>
      </c>
      <c r="J11" s="356">
        <f t="shared" si="7"/>
        <v>136977861.31132218</v>
      </c>
      <c r="K11" s="356">
        <f t="shared" si="7"/>
        <v>150675647.4424544</v>
      </c>
      <c r="L11" s="356">
        <f t="shared" si="7"/>
        <v>180810776.93094528</v>
      </c>
      <c r="M11" s="356">
        <f t="shared" si="7"/>
        <v>207932393.47058702</v>
      </c>
      <c r="N11" s="356">
        <f t="shared" si="7"/>
        <v>270312111.5117631</v>
      </c>
      <c r="O11" s="356">
        <f t="shared" si="7"/>
        <v>351405744.9652921</v>
      </c>
      <c r="P11" s="356">
        <f t="shared" si="7"/>
        <v>1986159556.0219784</v>
      </c>
      <c r="Q11" s="357"/>
      <c r="R11" s="699">
        <f t="shared" ref="R11:AA11" si="8">SUM(R9:R10)</f>
        <v>83731674</v>
      </c>
      <c r="S11" s="699">
        <f t="shared" si="8"/>
        <v>80755802</v>
      </c>
      <c r="T11" s="699">
        <f t="shared" si="8"/>
        <v>103932465</v>
      </c>
      <c r="U11" s="699">
        <f t="shared" si="8"/>
        <v>111270105</v>
      </c>
      <c r="V11" s="699">
        <f t="shared" si="8"/>
        <v>106062922</v>
      </c>
      <c r="W11" s="699">
        <f t="shared" si="8"/>
        <v>96421756</v>
      </c>
      <c r="X11" s="699">
        <f t="shared" si="8"/>
        <v>142012046</v>
      </c>
      <c r="Y11" s="699">
        <f t="shared" si="8"/>
        <v>168781036</v>
      </c>
      <c r="Z11" s="699">
        <f t="shared" si="8"/>
        <v>154215658</v>
      </c>
      <c r="AA11" s="699">
        <f t="shared" si="8"/>
        <v>0</v>
      </c>
      <c r="AB11" s="699">
        <f>SUM(AB9:AB10)</f>
        <v>0</v>
      </c>
      <c r="AC11" s="699">
        <f>SUM(AC9:AC10)</f>
        <v>0</v>
      </c>
      <c r="AD11" s="699">
        <f t="shared" ref="AD11" si="9">SUM(AD9:AD10)</f>
        <v>1047183464</v>
      </c>
      <c r="AE11" s="360"/>
      <c r="AF11" s="361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1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I11" s="345"/>
      <c r="BJ11" s="345"/>
      <c r="BK11" s="345"/>
      <c r="BL11" s="345"/>
      <c r="BM11" s="345"/>
      <c r="BO11" s="345"/>
      <c r="BP11" s="345"/>
      <c r="BQ11" s="345"/>
      <c r="BR11" s="345"/>
      <c r="BS11" s="345"/>
      <c r="BU11" s="346"/>
      <c r="BV11" s="346"/>
      <c r="BW11" s="346"/>
      <c r="BX11" s="346"/>
      <c r="BY11" s="346"/>
      <c r="CA11" s="327"/>
      <c r="CB11" s="327"/>
    </row>
    <row r="12" spans="1:80" ht="15.75" hidden="1" thickTop="1">
      <c r="A12" s="879"/>
      <c r="B12" s="368"/>
      <c r="D12" s="369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1"/>
      <c r="X12" s="318"/>
      <c r="Y12" s="138"/>
      <c r="Z12" s="138"/>
      <c r="AA12" s="138"/>
      <c r="AB12" s="138"/>
      <c r="AC12" s="138"/>
      <c r="AH12" s="327"/>
      <c r="BI12" s="372"/>
      <c r="BJ12" s="372"/>
      <c r="BK12" s="372"/>
      <c r="BL12" s="372"/>
      <c r="BM12" s="372"/>
      <c r="BS12" s="372"/>
      <c r="BU12" s="373"/>
      <c r="BV12" s="373"/>
      <c r="BW12" s="373"/>
      <c r="BX12" s="373"/>
      <c r="BY12" s="373"/>
    </row>
    <row r="13" spans="1:80" ht="15.75" hidden="1" thickTop="1">
      <c r="A13" s="879"/>
      <c r="B13" s="340" t="s">
        <v>68</v>
      </c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>
        <f>SUM(D13:O13)</f>
        <v>0</v>
      </c>
      <c r="Q13" s="341"/>
      <c r="R13" s="367"/>
      <c r="S13" s="178"/>
      <c r="T13" s="367"/>
      <c r="U13" s="367"/>
      <c r="V13" s="178"/>
      <c r="W13" s="178"/>
      <c r="Y13" s="178"/>
      <c r="Z13" s="178"/>
      <c r="AA13" s="178"/>
      <c r="AB13" s="178"/>
      <c r="AC13" s="178"/>
      <c r="AD13" s="343">
        <f>SUM(R13:AC13)</f>
        <v>0</v>
      </c>
      <c r="AE13" s="343"/>
      <c r="AF13" s="341"/>
      <c r="AG13" s="343">
        <f t="shared" ref="AG13:AR14" si="10">R13-D13</f>
        <v>0</v>
      </c>
      <c r="AH13" s="343">
        <f t="shared" si="10"/>
        <v>0</v>
      </c>
      <c r="AI13" s="343">
        <f t="shared" si="10"/>
        <v>0</v>
      </c>
      <c r="AJ13" s="343">
        <f t="shared" si="10"/>
        <v>0</v>
      </c>
      <c r="AK13" s="343">
        <f t="shared" si="10"/>
        <v>0</v>
      </c>
      <c r="AL13" s="343">
        <f t="shared" si="10"/>
        <v>0</v>
      </c>
      <c r="AM13" s="343">
        <f t="shared" si="10"/>
        <v>0</v>
      </c>
      <c r="AN13" s="343">
        <f t="shared" si="10"/>
        <v>0</v>
      </c>
      <c r="AO13" s="343">
        <f t="shared" si="10"/>
        <v>0</v>
      </c>
      <c r="AP13" s="343">
        <f t="shared" si="10"/>
        <v>0</v>
      </c>
      <c r="AQ13" s="343">
        <f>AB13-N13</f>
        <v>0</v>
      </c>
      <c r="AR13" s="343">
        <f t="shared" si="10"/>
        <v>0</v>
      </c>
      <c r="AS13" s="343">
        <f>SUM(AG13:AR13)</f>
        <v>0</v>
      </c>
      <c r="AT13" s="341"/>
      <c r="AU13" s="344" t="e">
        <f t="shared" ref="AU13:BG15" si="11">R13/D13</f>
        <v>#DIV/0!</v>
      </c>
      <c r="AV13" s="344" t="e">
        <f t="shared" si="11"/>
        <v>#DIV/0!</v>
      </c>
      <c r="AW13" s="344" t="e">
        <f t="shared" si="11"/>
        <v>#DIV/0!</v>
      </c>
      <c r="AX13" s="344" t="e">
        <f t="shared" si="11"/>
        <v>#DIV/0!</v>
      </c>
      <c r="AY13" s="344" t="e">
        <f t="shared" si="11"/>
        <v>#DIV/0!</v>
      </c>
      <c r="AZ13" s="344" t="e">
        <f t="shared" si="11"/>
        <v>#DIV/0!</v>
      </c>
      <c r="BA13" s="344" t="e">
        <f t="shared" si="11"/>
        <v>#DIV/0!</v>
      </c>
      <c r="BB13" s="344" t="e">
        <f t="shared" si="11"/>
        <v>#DIV/0!</v>
      </c>
      <c r="BC13" s="344" t="e">
        <f t="shared" si="11"/>
        <v>#DIV/0!</v>
      </c>
      <c r="BD13" s="344" t="e">
        <f t="shared" si="11"/>
        <v>#DIV/0!</v>
      </c>
      <c r="BE13" s="344" t="e">
        <f>AB13/N13</f>
        <v>#DIV/0!</v>
      </c>
      <c r="BF13" s="344" t="e">
        <f t="shared" si="11"/>
        <v>#DIV/0!</v>
      </c>
      <c r="BG13" s="344" t="e">
        <f t="shared" si="11"/>
        <v>#DIV/0!</v>
      </c>
      <c r="BI13" s="345">
        <f>SUM(D13:F13)</f>
        <v>0</v>
      </c>
      <c r="BJ13" s="345">
        <f>SUM(G13:I13)</f>
        <v>0</v>
      </c>
      <c r="BK13" s="345">
        <f>SUM(J13:L13)</f>
        <v>0</v>
      </c>
      <c r="BL13" s="345">
        <f>SUM(M13:O13)</f>
        <v>0</v>
      </c>
      <c r="BM13" s="345">
        <f>SUM(BI13:BL13)</f>
        <v>0</v>
      </c>
      <c r="BO13" s="345">
        <f>SUM(R13:T13)</f>
        <v>0</v>
      </c>
      <c r="BP13" s="345">
        <f>SUM(U13:W13)</f>
        <v>0</v>
      </c>
      <c r="BQ13" s="345">
        <f>SUM(X13:Z13)</f>
        <v>0</v>
      </c>
      <c r="BR13" s="345">
        <f>SUM(AA13:AC13)</f>
        <v>0</v>
      </c>
      <c r="BS13" s="345">
        <f>SUM(BO13:BR13)</f>
        <v>0</v>
      </c>
      <c r="BU13" s="346" t="e">
        <f t="shared" ref="BU13:BY15" si="12">BO13/BI13</f>
        <v>#DIV/0!</v>
      </c>
      <c r="BV13" s="346" t="e">
        <f t="shared" si="12"/>
        <v>#DIV/0!</v>
      </c>
      <c r="BW13" s="346" t="e">
        <f t="shared" si="12"/>
        <v>#DIV/0!</v>
      </c>
      <c r="BX13" s="346" t="e">
        <f t="shared" si="12"/>
        <v>#DIV/0!</v>
      </c>
      <c r="BY13" s="346" t="e">
        <f t="shared" si="12"/>
        <v>#DIV/0!</v>
      </c>
      <c r="CA13" s="327" t="e">
        <f t="shared" ref="CA13:CB15" si="13">U13/G13</f>
        <v>#DIV/0!</v>
      </c>
      <c r="CB13" s="327" t="e">
        <f t="shared" si="13"/>
        <v>#DIV/0!</v>
      </c>
    </row>
    <row r="14" spans="1:80" ht="15.75" hidden="1" thickTop="1">
      <c r="A14" s="879"/>
      <c r="B14" s="347" t="s">
        <v>69</v>
      </c>
      <c r="C14" s="348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>
        <f>SUM(D14:O14)</f>
        <v>0</v>
      </c>
      <c r="Q14" s="341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50">
        <f>SUM(R14:AC14)</f>
        <v>0</v>
      </c>
      <c r="AE14" s="343"/>
      <c r="AF14" s="341"/>
      <c r="AG14" s="350">
        <f t="shared" si="10"/>
        <v>0</v>
      </c>
      <c r="AH14" s="350">
        <f t="shared" si="10"/>
        <v>0</v>
      </c>
      <c r="AI14" s="350">
        <f t="shared" si="10"/>
        <v>0</v>
      </c>
      <c r="AJ14" s="350">
        <f t="shared" si="10"/>
        <v>0</v>
      </c>
      <c r="AK14" s="350">
        <f t="shared" si="10"/>
        <v>0</v>
      </c>
      <c r="AL14" s="350">
        <f t="shared" si="10"/>
        <v>0</v>
      </c>
      <c r="AM14" s="350">
        <f t="shared" si="10"/>
        <v>0</v>
      </c>
      <c r="AN14" s="350">
        <f t="shared" si="10"/>
        <v>0</v>
      </c>
      <c r="AO14" s="350">
        <f t="shared" si="10"/>
        <v>0</v>
      </c>
      <c r="AP14" s="350">
        <f t="shared" si="10"/>
        <v>0</v>
      </c>
      <c r="AQ14" s="350">
        <f>AB14-N14</f>
        <v>0</v>
      </c>
      <c r="AR14" s="350">
        <f t="shared" si="10"/>
        <v>0</v>
      </c>
      <c r="AS14" s="350">
        <f>SUM(AG14:AR14)</f>
        <v>0</v>
      </c>
      <c r="AT14" s="341"/>
      <c r="AU14" s="351" t="e">
        <f t="shared" si="11"/>
        <v>#DIV/0!</v>
      </c>
      <c r="AV14" s="351" t="e">
        <f t="shared" si="11"/>
        <v>#DIV/0!</v>
      </c>
      <c r="AW14" s="351" t="e">
        <f t="shared" si="11"/>
        <v>#DIV/0!</v>
      </c>
      <c r="AX14" s="351" t="e">
        <f t="shared" si="11"/>
        <v>#DIV/0!</v>
      </c>
      <c r="AY14" s="351" t="e">
        <f t="shared" si="11"/>
        <v>#DIV/0!</v>
      </c>
      <c r="AZ14" s="351" t="e">
        <f t="shared" si="11"/>
        <v>#DIV/0!</v>
      </c>
      <c r="BA14" s="351" t="e">
        <f t="shared" si="11"/>
        <v>#DIV/0!</v>
      </c>
      <c r="BB14" s="351" t="e">
        <f t="shared" si="11"/>
        <v>#DIV/0!</v>
      </c>
      <c r="BC14" s="351" t="e">
        <f t="shared" si="11"/>
        <v>#DIV/0!</v>
      </c>
      <c r="BD14" s="351" t="e">
        <f t="shared" si="11"/>
        <v>#DIV/0!</v>
      </c>
      <c r="BE14" s="351" t="e">
        <f>AB14/N14</f>
        <v>#DIV/0!</v>
      </c>
      <c r="BF14" s="351" t="e">
        <f t="shared" si="11"/>
        <v>#DIV/0!</v>
      </c>
      <c r="BG14" s="351" t="e">
        <f t="shared" si="11"/>
        <v>#DIV/0!</v>
      </c>
      <c r="BI14" s="352">
        <f>SUM(D14:F14)</f>
        <v>0</v>
      </c>
      <c r="BJ14" s="352">
        <f>SUM(G14:I14)</f>
        <v>0</v>
      </c>
      <c r="BK14" s="352">
        <f>SUM(J14:L14)</f>
        <v>0</v>
      </c>
      <c r="BL14" s="352">
        <f>SUM(M14:O14)</f>
        <v>0</v>
      </c>
      <c r="BM14" s="352">
        <f>SUM(BI14:BL14)</f>
        <v>0</v>
      </c>
      <c r="BO14" s="352">
        <f>SUM(R14:T14)</f>
        <v>0</v>
      </c>
      <c r="BP14" s="352">
        <f>SUM(U14:W14)</f>
        <v>0</v>
      </c>
      <c r="BQ14" s="352">
        <f>SUM(X14:Z14)</f>
        <v>0</v>
      </c>
      <c r="BR14" s="352">
        <f>SUM(AA14:AC14)</f>
        <v>0</v>
      </c>
      <c r="BS14" s="352">
        <f>SUM(BO14:BR14)</f>
        <v>0</v>
      </c>
      <c r="BU14" s="353" t="e">
        <f t="shared" si="12"/>
        <v>#DIV/0!</v>
      </c>
      <c r="BV14" s="353" t="e">
        <f t="shared" si="12"/>
        <v>#DIV/0!</v>
      </c>
      <c r="BW14" s="353" t="e">
        <f t="shared" si="12"/>
        <v>#DIV/0!</v>
      </c>
      <c r="BX14" s="353" t="e">
        <f t="shared" si="12"/>
        <v>#DIV/0!</v>
      </c>
      <c r="BY14" s="353" t="e">
        <f t="shared" si="12"/>
        <v>#DIV/0!</v>
      </c>
      <c r="CA14" s="327" t="e">
        <f t="shared" si="13"/>
        <v>#DIV/0!</v>
      </c>
      <c r="CB14" s="327" t="e">
        <f t="shared" si="13"/>
        <v>#DIV/0!</v>
      </c>
    </row>
    <row r="15" spans="1:80" ht="17.25" hidden="1" thickTop="1" thickBot="1">
      <c r="A15" s="879"/>
      <c r="B15" s="354" t="s">
        <v>72</v>
      </c>
      <c r="C15" s="355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7"/>
      <c r="R15" s="358">
        <f t="shared" ref="R15:AD15" si="14">SUM(R13:R14)</f>
        <v>0</v>
      </c>
      <c r="S15" s="359">
        <f t="shared" si="14"/>
        <v>0</v>
      </c>
      <c r="T15" s="358">
        <f t="shared" si="14"/>
        <v>0</v>
      </c>
      <c r="U15" s="358">
        <f t="shared" si="14"/>
        <v>0</v>
      </c>
      <c r="V15" s="358">
        <f t="shared" si="14"/>
        <v>0</v>
      </c>
      <c r="W15" s="358">
        <f t="shared" si="14"/>
        <v>0</v>
      </c>
      <c r="X15" s="358">
        <f t="shared" si="14"/>
        <v>0</v>
      </c>
      <c r="Y15" s="358">
        <f t="shared" si="14"/>
        <v>0</v>
      </c>
      <c r="Z15" s="358">
        <f t="shared" si="14"/>
        <v>0</v>
      </c>
      <c r="AA15" s="358">
        <f t="shared" si="14"/>
        <v>0</v>
      </c>
      <c r="AB15" s="358">
        <f t="shared" si="14"/>
        <v>0</v>
      </c>
      <c r="AC15" s="358">
        <f t="shared" si="14"/>
        <v>0</v>
      </c>
      <c r="AD15" s="358">
        <f t="shared" si="14"/>
        <v>0</v>
      </c>
      <c r="AE15" s="360"/>
      <c r="AF15" s="361"/>
      <c r="AG15" s="362">
        <f t="shared" ref="AG15:AS15" si="15">SUM(AG13:AG14)</f>
        <v>0</v>
      </c>
      <c r="AH15" s="362">
        <f t="shared" si="15"/>
        <v>0</v>
      </c>
      <c r="AI15" s="362">
        <f t="shared" si="15"/>
        <v>0</v>
      </c>
      <c r="AJ15" s="362">
        <f t="shared" si="15"/>
        <v>0</v>
      </c>
      <c r="AK15" s="362">
        <f t="shared" si="15"/>
        <v>0</v>
      </c>
      <c r="AL15" s="362">
        <f t="shared" si="15"/>
        <v>0</v>
      </c>
      <c r="AM15" s="362">
        <f t="shared" si="15"/>
        <v>0</v>
      </c>
      <c r="AN15" s="362">
        <f t="shared" si="15"/>
        <v>0</v>
      </c>
      <c r="AO15" s="362">
        <f t="shared" si="15"/>
        <v>0</v>
      </c>
      <c r="AP15" s="362">
        <f t="shared" si="15"/>
        <v>0</v>
      </c>
      <c r="AQ15" s="362">
        <f t="shared" si="15"/>
        <v>0</v>
      </c>
      <c r="AR15" s="362">
        <f t="shared" si="15"/>
        <v>0</v>
      </c>
      <c r="AS15" s="363">
        <f t="shared" si="15"/>
        <v>0</v>
      </c>
      <c r="AT15" s="341"/>
      <c r="AU15" s="364" t="e">
        <f t="shared" si="11"/>
        <v>#DIV/0!</v>
      </c>
      <c r="AV15" s="364" t="e">
        <f t="shared" si="11"/>
        <v>#DIV/0!</v>
      </c>
      <c r="AW15" s="364" t="e">
        <f t="shared" si="11"/>
        <v>#DIV/0!</v>
      </c>
      <c r="AX15" s="364" t="e">
        <f t="shared" si="11"/>
        <v>#DIV/0!</v>
      </c>
      <c r="AY15" s="364" t="e">
        <f t="shared" si="11"/>
        <v>#DIV/0!</v>
      </c>
      <c r="AZ15" s="364" t="e">
        <f t="shared" si="11"/>
        <v>#DIV/0!</v>
      </c>
      <c r="BA15" s="364" t="e">
        <f t="shared" si="11"/>
        <v>#DIV/0!</v>
      </c>
      <c r="BB15" s="364" t="e">
        <f t="shared" si="11"/>
        <v>#DIV/0!</v>
      </c>
      <c r="BC15" s="364" t="e">
        <f t="shared" si="11"/>
        <v>#DIV/0!</v>
      </c>
      <c r="BD15" s="364" t="e">
        <f t="shared" si="11"/>
        <v>#DIV/0!</v>
      </c>
      <c r="BE15" s="364" t="e">
        <f>AB15/N15</f>
        <v>#DIV/0!</v>
      </c>
      <c r="BF15" s="364" t="e">
        <f t="shared" si="11"/>
        <v>#DIV/0!</v>
      </c>
      <c r="BG15" s="364" t="e">
        <f t="shared" si="11"/>
        <v>#DIV/0!</v>
      </c>
      <c r="BI15" s="365">
        <f>SUM(BI13:BI14)</f>
        <v>0</v>
      </c>
      <c r="BJ15" s="365">
        <f>SUM(BJ13:BJ14)</f>
        <v>0</v>
      </c>
      <c r="BK15" s="365">
        <f>SUM(BK13:BK14)</f>
        <v>0</v>
      </c>
      <c r="BL15" s="365">
        <f>SUM(BL13:BL14)</f>
        <v>0</v>
      </c>
      <c r="BM15" s="365">
        <f>SUM(BI15:BL15)</f>
        <v>0</v>
      </c>
      <c r="BO15" s="365">
        <f>SUM(BO13:BO14)</f>
        <v>0</v>
      </c>
      <c r="BP15" s="365">
        <f>SUM(BP13:BP14)</f>
        <v>0</v>
      </c>
      <c r="BQ15" s="365">
        <f>SUM(BQ13:BQ14)</f>
        <v>0</v>
      </c>
      <c r="BR15" s="365">
        <f>SUM(BR13:BR14)</f>
        <v>0</v>
      </c>
      <c r="BS15" s="365">
        <f>SUM(BO15:BR15)</f>
        <v>0</v>
      </c>
      <c r="BU15" s="366" t="e">
        <f t="shared" si="12"/>
        <v>#DIV/0!</v>
      </c>
      <c r="BV15" s="366" t="e">
        <f t="shared" si="12"/>
        <v>#DIV/0!</v>
      </c>
      <c r="BW15" s="366" t="e">
        <f t="shared" si="12"/>
        <v>#DIV/0!</v>
      </c>
      <c r="BX15" s="366" t="e">
        <f t="shared" si="12"/>
        <v>#DIV/0!</v>
      </c>
      <c r="BY15" s="366" t="e">
        <f t="shared" si="12"/>
        <v>#DIV/0!</v>
      </c>
      <c r="CA15" s="327" t="e">
        <f t="shared" si="13"/>
        <v>#DIV/0!</v>
      </c>
      <c r="CB15" s="327" t="e">
        <f t="shared" si="13"/>
        <v>#DIV/0!</v>
      </c>
    </row>
    <row r="16" spans="1:80" ht="16.5" hidden="1" thickTop="1">
      <c r="A16" s="879"/>
      <c r="B16" s="374"/>
      <c r="C16" s="341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57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1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1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I16" s="345"/>
      <c r="BJ16" s="345"/>
      <c r="BK16" s="345"/>
      <c r="BL16" s="345"/>
      <c r="BM16" s="345"/>
      <c r="BO16" s="345"/>
      <c r="BP16" s="345"/>
      <c r="BQ16" s="345"/>
      <c r="BR16" s="345"/>
      <c r="BS16" s="345"/>
      <c r="BU16" s="346"/>
      <c r="BV16" s="346"/>
      <c r="BW16" s="346"/>
      <c r="BX16" s="346"/>
      <c r="BY16" s="346"/>
    </row>
    <row r="17" spans="1:80" ht="15.75" hidden="1" thickTop="1">
      <c r="A17" s="879"/>
      <c r="B17" s="340" t="s">
        <v>68</v>
      </c>
      <c r="C17" s="341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>
        <f>SUM(D17:O17)</f>
        <v>0</v>
      </c>
      <c r="Q17" s="341"/>
      <c r="R17" s="343"/>
      <c r="S17" s="343"/>
      <c r="T17" s="367"/>
      <c r="U17" s="178"/>
      <c r="V17" s="178"/>
      <c r="W17" s="367"/>
      <c r="X17" s="367"/>
      <c r="Y17" s="367"/>
      <c r="Z17" s="367"/>
      <c r="AA17" s="367"/>
      <c r="AB17" s="367"/>
      <c r="AC17" s="367"/>
      <c r="AD17" s="343">
        <f>SUM(R17:AC17)</f>
        <v>0</v>
      </c>
      <c r="AE17" s="343"/>
      <c r="AF17" s="341"/>
      <c r="AG17" s="343">
        <f t="shared" ref="AG17:AR18" si="16">R17-D17</f>
        <v>0</v>
      </c>
      <c r="AH17" s="343">
        <f t="shared" si="16"/>
        <v>0</v>
      </c>
      <c r="AI17" s="343">
        <f t="shared" si="16"/>
        <v>0</v>
      </c>
      <c r="AJ17" s="343">
        <f t="shared" si="16"/>
        <v>0</v>
      </c>
      <c r="AK17" s="343">
        <f t="shared" si="16"/>
        <v>0</v>
      </c>
      <c r="AL17" s="343">
        <f t="shared" si="16"/>
        <v>0</v>
      </c>
      <c r="AM17" s="343">
        <f t="shared" si="16"/>
        <v>0</v>
      </c>
      <c r="AN17" s="343">
        <f t="shared" si="16"/>
        <v>0</v>
      </c>
      <c r="AO17" s="343">
        <f t="shared" si="16"/>
        <v>0</v>
      </c>
      <c r="AP17" s="343">
        <f t="shared" si="16"/>
        <v>0</v>
      </c>
      <c r="AQ17" s="343">
        <f>AB17-N17</f>
        <v>0</v>
      </c>
      <c r="AR17" s="343">
        <f t="shared" si="16"/>
        <v>0</v>
      </c>
      <c r="AS17" s="343">
        <f>SUM(AG17:AR17)</f>
        <v>0</v>
      </c>
      <c r="AT17" s="341"/>
      <c r="AU17" s="344" t="e">
        <f t="shared" ref="AU17:BD19" si="17">R17/D17</f>
        <v>#DIV/0!</v>
      </c>
      <c r="AV17" s="344" t="e">
        <f t="shared" si="17"/>
        <v>#DIV/0!</v>
      </c>
      <c r="AW17" s="344" t="e">
        <f t="shared" si="17"/>
        <v>#DIV/0!</v>
      </c>
      <c r="AX17" s="344" t="e">
        <f t="shared" si="17"/>
        <v>#DIV/0!</v>
      </c>
      <c r="AY17" s="344" t="e">
        <f t="shared" si="17"/>
        <v>#DIV/0!</v>
      </c>
      <c r="AZ17" s="344" t="e">
        <f t="shared" si="17"/>
        <v>#DIV/0!</v>
      </c>
      <c r="BA17" s="344" t="e">
        <f t="shared" si="17"/>
        <v>#DIV/0!</v>
      </c>
      <c r="BB17" s="344" t="e">
        <f t="shared" si="17"/>
        <v>#DIV/0!</v>
      </c>
      <c r="BC17" s="344" t="e">
        <f t="shared" si="17"/>
        <v>#DIV/0!</v>
      </c>
      <c r="BD17" s="344" t="e">
        <f t="shared" si="17"/>
        <v>#DIV/0!</v>
      </c>
      <c r="BE17" s="344" t="e">
        <f>AB17/N17</f>
        <v>#DIV/0!</v>
      </c>
      <c r="BF17" s="344" t="e">
        <f t="shared" ref="BF17:BG19" si="18">AC17/O17</f>
        <v>#DIV/0!</v>
      </c>
      <c r="BG17" s="344" t="e">
        <f t="shared" si="18"/>
        <v>#DIV/0!</v>
      </c>
      <c r="BI17" s="345">
        <f>SUM(D17:F17)</f>
        <v>0</v>
      </c>
      <c r="BJ17" s="345">
        <f>SUM(G17:I17)</f>
        <v>0</v>
      </c>
      <c r="BK17" s="345">
        <f>SUM(J17:L17)</f>
        <v>0</v>
      </c>
      <c r="BL17" s="345">
        <f>SUM(M17:O17)</f>
        <v>0</v>
      </c>
      <c r="BM17" s="345">
        <f>SUM(BI17:BL17)</f>
        <v>0</v>
      </c>
      <c r="BO17" s="345">
        <f>SUM(R17:T17)</f>
        <v>0</v>
      </c>
      <c r="BP17" s="345">
        <f>SUM(U17:W17)</f>
        <v>0</v>
      </c>
      <c r="BQ17" s="345">
        <f>SUM(X17:Z17)</f>
        <v>0</v>
      </c>
      <c r="BR17" s="345">
        <f>SUM(AA17:AC17)</f>
        <v>0</v>
      </c>
      <c r="BS17" s="345">
        <f>SUM(BO17:BR17)</f>
        <v>0</v>
      </c>
      <c r="BU17" s="346" t="e">
        <f t="shared" ref="BU17:BY19" si="19">BO17/BI17</f>
        <v>#DIV/0!</v>
      </c>
      <c r="BV17" s="346" t="e">
        <f t="shared" si="19"/>
        <v>#DIV/0!</v>
      </c>
      <c r="BW17" s="346" t="e">
        <f t="shared" si="19"/>
        <v>#DIV/0!</v>
      </c>
      <c r="BX17" s="346" t="e">
        <f t="shared" si="19"/>
        <v>#DIV/0!</v>
      </c>
      <c r="BY17" s="346" t="e">
        <f t="shared" si="19"/>
        <v>#DIV/0!</v>
      </c>
      <c r="CA17" s="327" t="e">
        <f t="shared" ref="CA17:CB19" si="20">U17/G17</f>
        <v>#DIV/0!</v>
      </c>
      <c r="CB17" s="327" t="e">
        <f t="shared" si="20"/>
        <v>#DIV/0!</v>
      </c>
    </row>
    <row r="18" spans="1:80" ht="15.75" hidden="1" thickTop="1">
      <c r="A18" s="879"/>
      <c r="B18" s="347" t="s">
        <v>69</v>
      </c>
      <c r="C18" s="348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>
        <f>SUM(D18:O18)</f>
        <v>0</v>
      </c>
      <c r="Q18" s="341"/>
      <c r="R18" s="350"/>
      <c r="S18" s="350"/>
      <c r="T18" s="367"/>
      <c r="U18" s="178"/>
      <c r="V18" s="178"/>
      <c r="W18" s="178"/>
      <c r="Y18" s="178"/>
      <c r="Z18" s="178"/>
      <c r="AA18" s="178"/>
      <c r="AB18" s="178"/>
      <c r="AC18" s="178"/>
      <c r="AD18" s="350">
        <f>SUM(R18:AC18)</f>
        <v>0</v>
      </c>
      <c r="AE18" s="343"/>
      <c r="AF18" s="341"/>
      <c r="AG18" s="350">
        <f t="shared" si="16"/>
        <v>0</v>
      </c>
      <c r="AH18" s="350">
        <f t="shared" si="16"/>
        <v>0</v>
      </c>
      <c r="AI18" s="350">
        <f t="shared" si="16"/>
        <v>0</v>
      </c>
      <c r="AJ18" s="350">
        <f t="shared" si="16"/>
        <v>0</v>
      </c>
      <c r="AK18" s="350">
        <f t="shared" si="16"/>
        <v>0</v>
      </c>
      <c r="AL18" s="350">
        <f t="shared" si="16"/>
        <v>0</v>
      </c>
      <c r="AM18" s="350">
        <f t="shared" si="16"/>
        <v>0</v>
      </c>
      <c r="AN18" s="350">
        <f t="shared" si="16"/>
        <v>0</v>
      </c>
      <c r="AO18" s="350">
        <f t="shared" si="16"/>
        <v>0</v>
      </c>
      <c r="AP18" s="350">
        <f t="shared" si="16"/>
        <v>0</v>
      </c>
      <c r="AQ18" s="350">
        <f>AB18-N18</f>
        <v>0</v>
      </c>
      <c r="AR18" s="350">
        <f t="shared" si="16"/>
        <v>0</v>
      </c>
      <c r="AS18" s="350">
        <f>SUM(AG18:AR18)</f>
        <v>0</v>
      </c>
      <c r="AT18" s="341"/>
      <c r="AU18" s="351" t="e">
        <f t="shared" si="17"/>
        <v>#DIV/0!</v>
      </c>
      <c r="AV18" s="351" t="e">
        <f t="shared" si="17"/>
        <v>#DIV/0!</v>
      </c>
      <c r="AW18" s="351" t="e">
        <f t="shared" si="17"/>
        <v>#DIV/0!</v>
      </c>
      <c r="AX18" s="351" t="e">
        <f t="shared" si="17"/>
        <v>#DIV/0!</v>
      </c>
      <c r="AY18" s="351" t="e">
        <f t="shared" si="17"/>
        <v>#DIV/0!</v>
      </c>
      <c r="AZ18" s="351" t="e">
        <f t="shared" si="17"/>
        <v>#DIV/0!</v>
      </c>
      <c r="BA18" s="351" t="e">
        <f t="shared" si="17"/>
        <v>#DIV/0!</v>
      </c>
      <c r="BB18" s="351" t="e">
        <f t="shared" si="17"/>
        <v>#DIV/0!</v>
      </c>
      <c r="BC18" s="351" t="e">
        <f t="shared" si="17"/>
        <v>#DIV/0!</v>
      </c>
      <c r="BD18" s="351" t="e">
        <f t="shared" si="17"/>
        <v>#DIV/0!</v>
      </c>
      <c r="BE18" s="351" t="e">
        <f>AB18/N18</f>
        <v>#DIV/0!</v>
      </c>
      <c r="BF18" s="351" t="e">
        <f t="shared" si="18"/>
        <v>#DIV/0!</v>
      </c>
      <c r="BG18" s="351" t="e">
        <f t="shared" si="18"/>
        <v>#DIV/0!</v>
      </c>
      <c r="BI18" s="352">
        <f>SUM(D18:F18)</f>
        <v>0</v>
      </c>
      <c r="BJ18" s="352">
        <f>SUM(G18:I18)</f>
        <v>0</v>
      </c>
      <c r="BK18" s="352">
        <f>SUM(J18:L18)</f>
        <v>0</v>
      </c>
      <c r="BL18" s="352">
        <f>SUM(M18:O18)</f>
        <v>0</v>
      </c>
      <c r="BM18" s="352">
        <f>SUM(BI18:BL18)</f>
        <v>0</v>
      </c>
      <c r="BO18" s="352">
        <f>SUM(R18:T18)</f>
        <v>0</v>
      </c>
      <c r="BP18" s="352">
        <f>SUM(U18:W18)</f>
        <v>0</v>
      </c>
      <c r="BQ18" s="352">
        <f>SUM(X18:Z18)</f>
        <v>0</v>
      </c>
      <c r="BR18" s="352">
        <f>SUM(AA18:AC18)</f>
        <v>0</v>
      </c>
      <c r="BS18" s="352">
        <f>SUM(BO18:BR18)</f>
        <v>0</v>
      </c>
      <c r="BU18" s="353" t="e">
        <f t="shared" si="19"/>
        <v>#DIV/0!</v>
      </c>
      <c r="BV18" s="353" t="e">
        <f t="shared" si="19"/>
        <v>#DIV/0!</v>
      </c>
      <c r="BW18" s="353" t="e">
        <f t="shared" si="19"/>
        <v>#DIV/0!</v>
      </c>
      <c r="BX18" s="353" t="e">
        <f t="shared" si="19"/>
        <v>#DIV/0!</v>
      </c>
      <c r="BY18" s="353" t="e">
        <f t="shared" si="19"/>
        <v>#DIV/0!</v>
      </c>
      <c r="CA18" s="327" t="e">
        <f t="shared" si="20"/>
        <v>#DIV/0!</v>
      </c>
      <c r="CB18" s="327" t="e">
        <f t="shared" si="20"/>
        <v>#DIV/0!</v>
      </c>
    </row>
    <row r="19" spans="1:80" ht="17.25" hidden="1" thickTop="1" thickBot="1">
      <c r="A19" s="879"/>
      <c r="B19" s="354" t="s">
        <v>73</v>
      </c>
      <c r="C19" s="355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7"/>
      <c r="R19" s="358">
        <f t="shared" ref="R19:AD19" si="21">SUM(R17:R18)</f>
        <v>0</v>
      </c>
      <c r="S19" s="358">
        <f t="shared" si="21"/>
        <v>0</v>
      </c>
      <c r="T19" s="358">
        <f t="shared" si="21"/>
        <v>0</v>
      </c>
      <c r="U19" s="358">
        <f t="shared" si="21"/>
        <v>0</v>
      </c>
      <c r="V19" s="358">
        <f t="shared" si="21"/>
        <v>0</v>
      </c>
      <c r="W19" s="358">
        <f t="shared" si="21"/>
        <v>0</v>
      </c>
      <c r="X19" s="358">
        <f t="shared" si="21"/>
        <v>0</v>
      </c>
      <c r="Y19" s="358">
        <f t="shared" si="21"/>
        <v>0</v>
      </c>
      <c r="Z19" s="358">
        <f t="shared" si="21"/>
        <v>0</v>
      </c>
      <c r="AA19" s="358">
        <f t="shared" si="21"/>
        <v>0</v>
      </c>
      <c r="AB19" s="358">
        <f t="shared" si="21"/>
        <v>0</v>
      </c>
      <c r="AC19" s="358">
        <f t="shared" si="21"/>
        <v>0</v>
      </c>
      <c r="AD19" s="358">
        <f t="shared" si="21"/>
        <v>0</v>
      </c>
      <c r="AE19" s="360"/>
      <c r="AF19" s="361"/>
      <c r="AG19" s="362">
        <f t="shared" ref="AG19:AS19" si="22">SUM(AG17:AG18)</f>
        <v>0</v>
      </c>
      <c r="AH19" s="362">
        <f t="shared" si="22"/>
        <v>0</v>
      </c>
      <c r="AI19" s="362">
        <f t="shared" si="22"/>
        <v>0</v>
      </c>
      <c r="AJ19" s="362">
        <f t="shared" si="22"/>
        <v>0</v>
      </c>
      <c r="AK19" s="362">
        <f t="shared" si="22"/>
        <v>0</v>
      </c>
      <c r="AL19" s="362">
        <f t="shared" si="22"/>
        <v>0</v>
      </c>
      <c r="AM19" s="362">
        <f t="shared" si="22"/>
        <v>0</v>
      </c>
      <c r="AN19" s="362">
        <f t="shared" si="22"/>
        <v>0</v>
      </c>
      <c r="AO19" s="362">
        <f t="shared" si="22"/>
        <v>0</v>
      </c>
      <c r="AP19" s="362">
        <f t="shared" si="22"/>
        <v>0</v>
      </c>
      <c r="AQ19" s="362">
        <f t="shared" si="22"/>
        <v>0</v>
      </c>
      <c r="AR19" s="362">
        <f t="shared" si="22"/>
        <v>0</v>
      </c>
      <c r="AS19" s="363">
        <f t="shared" si="22"/>
        <v>0</v>
      </c>
      <c r="AT19" s="341"/>
      <c r="AU19" s="364" t="e">
        <f t="shared" si="17"/>
        <v>#DIV/0!</v>
      </c>
      <c r="AV19" s="364" t="e">
        <f t="shared" si="17"/>
        <v>#DIV/0!</v>
      </c>
      <c r="AW19" s="364" t="e">
        <f t="shared" si="17"/>
        <v>#DIV/0!</v>
      </c>
      <c r="AX19" s="364" t="e">
        <f t="shared" si="17"/>
        <v>#DIV/0!</v>
      </c>
      <c r="AY19" s="364" t="e">
        <f t="shared" si="17"/>
        <v>#DIV/0!</v>
      </c>
      <c r="AZ19" s="364" t="e">
        <f t="shared" si="17"/>
        <v>#DIV/0!</v>
      </c>
      <c r="BA19" s="364" t="e">
        <f t="shared" si="17"/>
        <v>#DIV/0!</v>
      </c>
      <c r="BB19" s="364" t="e">
        <f t="shared" si="17"/>
        <v>#DIV/0!</v>
      </c>
      <c r="BC19" s="364" t="e">
        <f t="shared" si="17"/>
        <v>#DIV/0!</v>
      </c>
      <c r="BD19" s="364" t="e">
        <f t="shared" si="17"/>
        <v>#DIV/0!</v>
      </c>
      <c r="BE19" s="364" t="e">
        <f>AB19/N19</f>
        <v>#DIV/0!</v>
      </c>
      <c r="BF19" s="364" t="e">
        <f t="shared" si="18"/>
        <v>#DIV/0!</v>
      </c>
      <c r="BG19" s="364" t="e">
        <f t="shared" si="18"/>
        <v>#DIV/0!</v>
      </c>
      <c r="BI19" s="365">
        <f>SUM(BI17:BI18)</f>
        <v>0</v>
      </c>
      <c r="BJ19" s="365">
        <f>SUM(BJ17:BJ18)</f>
        <v>0</v>
      </c>
      <c r="BK19" s="365">
        <f>SUM(BK17:BK18)</f>
        <v>0</v>
      </c>
      <c r="BL19" s="365">
        <f>SUM(BL17:BL18)</f>
        <v>0</v>
      </c>
      <c r="BM19" s="365">
        <f>SUM(BI19:BL19)</f>
        <v>0</v>
      </c>
      <c r="BO19" s="365">
        <f>SUM(BO17:BO18)</f>
        <v>0</v>
      </c>
      <c r="BP19" s="365">
        <f>SUM(BP17:BP18)</f>
        <v>0</v>
      </c>
      <c r="BQ19" s="365">
        <f>SUM(BQ17:BQ18)</f>
        <v>0</v>
      </c>
      <c r="BR19" s="365">
        <f>SUM(BR17:BR18)</f>
        <v>0</v>
      </c>
      <c r="BS19" s="365">
        <f>SUM(BO19:BR19)</f>
        <v>0</v>
      </c>
      <c r="BU19" s="366" t="e">
        <f t="shared" si="19"/>
        <v>#DIV/0!</v>
      </c>
      <c r="BV19" s="366" t="e">
        <f t="shared" si="19"/>
        <v>#DIV/0!</v>
      </c>
      <c r="BW19" s="366" t="e">
        <f t="shared" si="19"/>
        <v>#DIV/0!</v>
      </c>
      <c r="BX19" s="366" t="e">
        <f t="shared" si="19"/>
        <v>#DIV/0!</v>
      </c>
      <c r="BY19" s="366" t="e">
        <f t="shared" si="19"/>
        <v>#DIV/0!</v>
      </c>
      <c r="CA19" s="327" t="e">
        <f t="shared" si="20"/>
        <v>#DIV/0!</v>
      </c>
      <c r="CB19" s="327" t="e">
        <f t="shared" si="20"/>
        <v>#DIV/0!</v>
      </c>
    </row>
    <row r="20" spans="1:80" ht="16.5" hidden="1" thickTop="1">
      <c r="A20" s="879"/>
      <c r="B20" s="374"/>
      <c r="C20" s="341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57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1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1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I20" s="345"/>
      <c r="BJ20" s="345"/>
      <c r="BK20" s="345"/>
      <c r="BL20" s="345"/>
      <c r="BM20" s="345"/>
      <c r="BO20" s="345"/>
      <c r="BP20" s="345"/>
      <c r="BQ20" s="345"/>
      <c r="BR20" s="345"/>
      <c r="BS20" s="345"/>
      <c r="BU20" s="346"/>
      <c r="BV20" s="346"/>
      <c r="BW20" s="346"/>
      <c r="BX20" s="346"/>
      <c r="BY20" s="346"/>
    </row>
    <row r="21" spans="1:80" ht="15.75" thickTop="1">
      <c r="A21" s="879"/>
      <c r="B21" s="340" t="s">
        <v>68</v>
      </c>
      <c r="C21" s="341"/>
      <c r="D21" s="342">
        <f t="shared" ref="D21:O21" si="23">D23*D100</f>
        <v>0</v>
      </c>
      <c r="E21" s="342">
        <f t="shared" si="23"/>
        <v>0</v>
      </c>
      <c r="F21" s="342">
        <f t="shared" si="23"/>
        <v>0</v>
      </c>
      <c r="G21" s="342">
        <f t="shared" si="23"/>
        <v>0</v>
      </c>
      <c r="H21" s="342">
        <f t="shared" si="23"/>
        <v>0</v>
      </c>
      <c r="I21" s="342">
        <f t="shared" si="23"/>
        <v>0</v>
      </c>
      <c r="J21" s="342">
        <f t="shared" si="23"/>
        <v>0</v>
      </c>
      <c r="K21" s="342">
        <f t="shared" si="23"/>
        <v>0</v>
      </c>
      <c r="L21" s="342">
        <f t="shared" si="23"/>
        <v>0</v>
      </c>
      <c r="M21" s="342">
        <f t="shared" si="23"/>
        <v>0</v>
      </c>
      <c r="N21" s="342">
        <f t="shared" si="23"/>
        <v>0</v>
      </c>
      <c r="O21" s="342">
        <f t="shared" si="23"/>
        <v>0</v>
      </c>
      <c r="P21" s="342">
        <f>SUM(D21:O21)</f>
        <v>0</v>
      </c>
      <c r="Q21" s="341"/>
      <c r="X21" s="318"/>
      <c r="AB21" s="318"/>
      <c r="AD21" s="343">
        <f>SUM(R21:AC21)</f>
        <v>0</v>
      </c>
      <c r="AE21" s="343"/>
      <c r="AF21" s="341"/>
      <c r="AG21" s="343">
        <f t="shared" ref="AG21:AR22" si="24">R21-D21</f>
        <v>0</v>
      </c>
      <c r="AH21" s="343">
        <f t="shared" si="24"/>
        <v>0</v>
      </c>
      <c r="AI21" s="343">
        <f t="shared" si="24"/>
        <v>0</v>
      </c>
      <c r="AJ21" s="343">
        <f t="shared" si="24"/>
        <v>0</v>
      </c>
      <c r="AK21" s="343">
        <f t="shared" si="24"/>
        <v>0</v>
      </c>
      <c r="AL21" s="343">
        <f t="shared" si="24"/>
        <v>0</v>
      </c>
      <c r="AM21" s="343">
        <f t="shared" si="24"/>
        <v>0</v>
      </c>
      <c r="AN21" s="343">
        <f t="shared" si="24"/>
        <v>0</v>
      </c>
      <c r="AO21" s="343">
        <f t="shared" si="24"/>
        <v>0</v>
      </c>
      <c r="AP21" s="343">
        <f t="shared" si="24"/>
        <v>0</v>
      </c>
      <c r="AQ21" s="343">
        <f>AB21-N21</f>
        <v>0</v>
      </c>
      <c r="AR21" s="343">
        <f t="shared" si="24"/>
        <v>0</v>
      </c>
      <c r="AS21" s="343">
        <f>SUM(AG21:AR21)</f>
        <v>0</v>
      </c>
      <c r="AT21" s="341"/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I21" s="345">
        <f>SUM(D21:F21)</f>
        <v>0</v>
      </c>
      <c r="BJ21" s="345">
        <f>SUM(G21:I21)</f>
        <v>0</v>
      </c>
      <c r="BK21" s="345">
        <f>SUM(J21:L21)</f>
        <v>0</v>
      </c>
      <c r="BL21" s="345">
        <f>SUM(M21:O21)</f>
        <v>0</v>
      </c>
      <c r="BM21" s="345">
        <f>SUM(BI21:BL21)</f>
        <v>0</v>
      </c>
      <c r="BO21" s="345">
        <f>SUM(R21:T21)</f>
        <v>0</v>
      </c>
      <c r="BP21" s="345">
        <f>SUM(U21:W21)</f>
        <v>0</v>
      </c>
      <c r="BQ21" s="345">
        <f>SUM(X21:Z21)</f>
        <v>0</v>
      </c>
      <c r="BR21" s="345">
        <f>SUM(AA21:AC21)</f>
        <v>0</v>
      </c>
      <c r="BS21" s="345">
        <f>SUM(BO21:BR21)</f>
        <v>0</v>
      </c>
      <c r="BU21" s="346" t="e">
        <f t="shared" ref="BU21:BY23" si="25">BO21/BI21</f>
        <v>#DIV/0!</v>
      </c>
      <c r="BV21" s="346" t="e">
        <f t="shared" si="25"/>
        <v>#DIV/0!</v>
      </c>
      <c r="BW21" s="346" t="e">
        <f t="shared" si="25"/>
        <v>#DIV/0!</v>
      </c>
      <c r="BX21" s="346" t="e">
        <f t="shared" si="25"/>
        <v>#DIV/0!</v>
      </c>
      <c r="BY21" s="346" t="e">
        <f t="shared" si="25"/>
        <v>#DIV/0!</v>
      </c>
      <c r="CA21" s="327" t="e">
        <f t="shared" ref="CA21:CB23" si="26">U21/G21</f>
        <v>#DIV/0!</v>
      </c>
      <c r="CB21" s="327" t="e">
        <f t="shared" si="26"/>
        <v>#DIV/0!</v>
      </c>
    </row>
    <row r="22" spans="1:80">
      <c r="A22" s="879"/>
      <c r="B22" s="347" t="s">
        <v>69</v>
      </c>
      <c r="C22" s="348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41"/>
      <c r="X22" s="318"/>
      <c r="AB22" s="318"/>
      <c r="AD22" s="350">
        <f>SUM(R22:AC22)</f>
        <v>0</v>
      </c>
      <c r="AE22" s="343"/>
      <c r="AF22" s="341"/>
      <c r="AG22" s="350">
        <f t="shared" si="24"/>
        <v>0</v>
      </c>
      <c r="AH22" s="350">
        <f t="shared" si="24"/>
        <v>0</v>
      </c>
      <c r="AI22" s="350">
        <f t="shared" si="24"/>
        <v>0</v>
      </c>
      <c r="AJ22" s="350">
        <f t="shared" si="24"/>
        <v>0</v>
      </c>
      <c r="AK22" s="350">
        <f t="shared" si="24"/>
        <v>0</v>
      </c>
      <c r="AL22" s="350">
        <f t="shared" si="24"/>
        <v>0</v>
      </c>
      <c r="AM22" s="350">
        <f t="shared" si="24"/>
        <v>0</v>
      </c>
      <c r="AN22" s="350">
        <f t="shared" si="24"/>
        <v>0</v>
      </c>
      <c r="AO22" s="350">
        <f t="shared" si="24"/>
        <v>0</v>
      </c>
      <c r="AP22" s="350">
        <f t="shared" si="24"/>
        <v>0</v>
      </c>
      <c r="AQ22" s="350">
        <f>AB22-N22</f>
        <v>0</v>
      </c>
      <c r="AR22" s="350">
        <f t="shared" si="24"/>
        <v>0</v>
      </c>
      <c r="AS22" s="350">
        <f>SUM(AG22:AR22)</f>
        <v>0</v>
      </c>
      <c r="AT22" s="341"/>
      <c r="AU22" s="376"/>
      <c r="AV22" s="376"/>
      <c r="AW22" s="376"/>
      <c r="AX22" s="376"/>
      <c r="AY22" s="376"/>
      <c r="AZ22" s="376"/>
      <c r="BA22" s="376"/>
      <c r="BB22" s="376"/>
      <c r="BC22" s="376"/>
      <c r="BD22" s="376"/>
      <c r="BE22" s="376"/>
      <c r="BF22" s="376"/>
      <c r="BG22" s="376"/>
      <c r="BI22" s="352">
        <f>SUM(D22:F22)</f>
        <v>0</v>
      </c>
      <c r="BJ22" s="352">
        <f>SUM(G22:I22)</f>
        <v>0</v>
      </c>
      <c r="BK22" s="352">
        <f>SUM(J22:L22)</f>
        <v>0</v>
      </c>
      <c r="BL22" s="352">
        <f>SUM(M22:O22)</f>
        <v>0</v>
      </c>
      <c r="BM22" s="352">
        <f>SUM(BI22:BL22)</f>
        <v>0</v>
      </c>
      <c r="BO22" s="352">
        <f>SUM(R22:T22)</f>
        <v>0</v>
      </c>
      <c r="BP22" s="352">
        <f>SUM(U22:W22)</f>
        <v>0</v>
      </c>
      <c r="BQ22" s="352">
        <f>SUM(X22:Z22)</f>
        <v>0</v>
      </c>
      <c r="BR22" s="352">
        <f>SUM(AA22:AC22)</f>
        <v>0</v>
      </c>
      <c r="BS22" s="352">
        <f>SUM(BO22:BR22)</f>
        <v>0</v>
      </c>
      <c r="BU22" s="353" t="e">
        <f t="shared" si="25"/>
        <v>#DIV/0!</v>
      </c>
      <c r="BV22" s="353" t="e">
        <f t="shared" si="25"/>
        <v>#DIV/0!</v>
      </c>
      <c r="BW22" s="353" t="e">
        <f t="shared" si="25"/>
        <v>#DIV/0!</v>
      </c>
      <c r="BX22" s="353" t="e">
        <f t="shared" si="25"/>
        <v>#DIV/0!</v>
      </c>
      <c r="BY22" s="353" t="e">
        <f t="shared" si="25"/>
        <v>#DIV/0!</v>
      </c>
      <c r="CA22" s="327" t="e">
        <f t="shared" si="26"/>
        <v>#DIV/0!</v>
      </c>
      <c r="CB22" s="327" t="e">
        <f t="shared" si="26"/>
        <v>#DIV/0!</v>
      </c>
    </row>
    <row r="23" spans="1:80" ht="16.5" thickBot="1">
      <c r="A23" s="879"/>
      <c r="B23" s="354" t="s">
        <v>74</v>
      </c>
      <c r="C23" s="355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7"/>
      <c r="R23" s="358">
        <f t="shared" ref="R23:AD23" si="27">SUM(R21:R22)</f>
        <v>0</v>
      </c>
      <c r="S23" s="358">
        <f t="shared" si="27"/>
        <v>0</v>
      </c>
      <c r="T23" s="358">
        <f t="shared" si="27"/>
        <v>0</v>
      </c>
      <c r="U23" s="358">
        <f t="shared" si="27"/>
        <v>0</v>
      </c>
      <c r="V23" s="358">
        <f t="shared" si="27"/>
        <v>0</v>
      </c>
      <c r="W23" s="358">
        <f t="shared" si="27"/>
        <v>0</v>
      </c>
      <c r="X23" s="358">
        <f t="shared" si="27"/>
        <v>0</v>
      </c>
      <c r="Y23" s="358">
        <f t="shared" si="27"/>
        <v>0</v>
      </c>
      <c r="Z23" s="358">
        <f t="shared" si="27"/>
        <v>0</v>
      </c>
      <c r="AA23" s="358">
        <f t="shared" si="27"/>
        <v>0</v>
      </c>
      <c r="AB23" s="358">
        <f t="shared" si="27"/>
        <v>0</v>
      </c>
      <c r="AC23" s="358">
        <f t="shared" si="27"/>
        <v>0</v>
      </c>
      <c r="AD23" s="358">
        <f t="shared" si="27"/>
        <v>0</v>
      </c>
      <c r="AE23" s="360"/>
      <c r="AF23" s="361"/>
      <c r="AG23" s="362">
        <f t="shared" ref="AG23:AS23" si="28">SUM(AG21:AG22)</f>
        <v>0</v>
      </c>
      <c r="AH23" s="362">
        <f t="shared" si="28"/>
        <v>0</v>
      </c>
      <c r="AI23" s="362">
        <f t="shared" si="28"/>
        <v>0</v>
      </c>
      <c r="AJ23" s="362">
        <f t="shared" si="28"/>
        <v>0</v>
      </c>
      <c r="AK23" s="362">
        <f t="shared" si="28"/>
        <v>0</v>
      </c>
      <c r="AL23" s="362">
        <f t="shared" si="28"/>
        <v>0</v>
      </c>
      <c r="AM23" s="362">
        <f t="shared" si="28"/>
        <v>0</v>
      </c>
      <c r="AN23" s="362">
        <f t="shared" si="28"/>
        <v>0</v>
      </c>
      <c r="AO23" s="362">
        <f t="shared" si="28"/>
        <v>0</v>
      </c>
      <c r="AP23" s="362">
        <f t="shared" si="28"/>
        <v>0</v>
      </c>
      <c r="AQ23" s="362">
        <f t="shared" si="28"/>
        <v>0</v>
      </c>
      <c r="AR23" s="362">
        <f t="shared" si="28"/>
        <v>0</v>
      </c>
      <c r="AS23" s="363">
        <f t="shared" si="28"/>
        <v>0</v>
      </c>
      <c r="AT23" s="341"/>
      <c r="AU23" s="377"/>
      <c r="AV23" s="377"/>
      <c r="AW23" s="377"/>
      <c r="AX23" s="377"/>
      <c r="AY23" s="377"/>
      <c r="AZ23" s="377"/>
      <c r="BA23" s="377"/>
      <c r="BB23" s="377"/>
      <c r="BC23" s="377"/>
      <c r="BD23" s="377"/>
      <c r="BE23" s="377"/>
      <c r="BF23" s="377"/>
      <c r="BG23" s="377"/>
      <c r="BI23" s="365">
        <f>SUM(BI21:BI22)</f>
        <v>0</v>
      </c>
      <c r="BJ23" s="365">
        <f>SUM(BJ21:BJ22)</f>
        <v>0</v>
      </c>
      <c r="BK23" s="365">
        <f>SUM(BK21:BK22)</f>
        <v>0</v>
      </c>
      <c r="BL23" s="365">
        <f>SUM(BL21:BL22)</f>
        <v>0</v>
      </c>
      <c r="BM23" s="365">
        <f>SUM(BI23:BL23)</f>
        <v>0</v>
      </c>
      <c r="BO23" s="365">
        <f>SUM(BO21:BO22)</f>
        <v>0</v>
      </c>
      <c r="BP23" s="365">
        <f>SUM(BP21:BP22)</f>
        <v>0</v>
      </c>
      <c r="BQ23" s="365">
        <f>SUM(BQ21:BQ22)</f>
        <v>0</v>
      </c>
      <c r="BR23" s="365">
        <f>SUM(BR21:BR22)</f>
        <v>0</v>
      </c>
      <c r="BS23" s="365">
        <f>SUM(BO23:BR23)</f>
        <v>0</v>
      </c>
      <c r="BU23" s="366" t="e">
        <f t="shared" si="25"/>
        <v>#DIV/0!</v>
      </c>
      <c r="BV23" s="366" t="e">
        <f t="shared" si="25"/>
        <v>#DIV/0!</v>
      </c>
      <c r="BW23" s="366" t="e">
        <f t="shared" si="25"/>
        <v>#DIV/0!</v>
      </c>
      <c r="BX23" s="366" t="e">
        <f t="shared" si="25"/>
        <v>#DIV/0!</v>
      </c>
      <c r="BY23" s="366" t="e">
        <f t="shared" si="25"/>
        <v>#DIV/0!</v>
      </c>
      <c r="CA23" s="327" t="e">
        <f t="shared" si="26"/>
        <v>#DIV/0!</v>
      </c>
      <c r="CB23" s="327" t="e">
        <f t="shared" si="26"/>
        <v>#DIV/0!</v>
      </c>
    </row>
    <row r="24" spans="1:80" ht="16.5" thickTop="1">
      <c r="A24" s="879"/>
      <c r="B24" s="374"/>
      <c r="C24" s="341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57"/>
      <c r="R24" s="360"/>
      <c r="S24" s="360"/>
      <c r="T24" s="360"/>
      <c r="U24" s="36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1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1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I24" s="345"/>
      <c r="BJ24" s="345"/>
      <c r="BK24" s="345"/>
      <c r="BL24" s="345"/>
      <c r="BM24" s="345"/>
      <c r="BO24" s="345"/>
      <c r="BP24" s="345"/>
      <c r="BQ24" s="345"/>
      <c r="BR24" s="345"/>
      <c r="BS24" s="345"/>
      <c r="BU24" s="346"/>
      <c r="BV24" s="346"/>
      <c r="BW24" s="346"/>
      <c r="BX24" s="346"/>
      <c r="BY24" s="346"/>
    </row>
    <row r="25" spans="1:80">
      <c r="A25" s="879"/>
      <c r="B25" s="340" t="s">
        <v>68</v>
      </c>
      <c r="C25" s="341"/>
      <c r="D25" s="342">
        <v>9265411.4280192014</v>
      </c>
      <c r="E25" s="342">
        <v>8142336.3225845424</v>
      </c>
      <c r="F25" s="342">
        <v>9770803.5871014521</v>
      </c>
      <c r="G25" s="342">
        <v>12213504.483876813</v>
      </c>
      <c r="H25" s="342">
        <v>11724964.304521739</v>
      </c>
      <c r="I25" s="342">
        <v>11959463.590612175</v>
      </c>
      <c r="J25" s="342">
        <v>12557436.770142784</v>
      </c>
      <c r="K25" s="342">
        <v>13813180.447157064</v>
      </c>
      <c r="L25" s="342">
        <v>16575816.536588477</v>
      </c>
      <c r="M25" s="342">
        <v>19062189.017076746</v>
      </c>
      <c r="N25" s="342">
        <v>24780845.722199768</v>
      </c>
      <c r="O25" s="342">
        <v>32215099.438859701</v>
      </c>
      <c r="P25" s="342">
        <f>SUM(D25:O25)</f>
        <v>182081051.64874047</v>
      </c>
      <c r="Q25" s="341"/>
      <c r="R25" s="698">
        <f t="array" ref="R25:AC25">TRANSPOSE('TH_YouTube Performance'!R6:R17)</f>
        <v>5853720</v>
      </c>
      <c r="S25" s="698">
        <v>5740417</v>
      </c>
      <c r="T25" s="698">
        <v>8280425</v>
      </c>
      <c r="U25" s="698">
        <v>11952318</v>
      </c>
      <c r="V25" s="698">
        <v>13828333</v>
      </c>
      <c r="W25" s="698">
        <v>14428229</v>
      </c>
      <c r="X25" s="698">
        <v>24704007</v>
      </c>
      <c r="Y25" s="698">
        <v>63006163</v>
      </c>
      <c r="Z25" s="698">
        <v>84278922</v>
      </c>
      <c r="AA25" s="698">
        <v>0</v>
      </c>
      <c r="AB25" s="698">
        <v>0</v>
      </c>
      <c r="AC25" s="698">
        <v>0</v>
      </c>
      <c r="AD25" s="698">
        <f>SUM(R25:AC25)</f>
        <v>232072534</v>
      </c>
      <c r="AE25" s="343"/>
      <c r="AF25" s="341"/>
      <c r="AG25" s="343">
        <f t="shared" ref="AG25:AR26" si="29">R25-D25</f>
        <v>-3411691.4280192014</v>
      </c>
      <c r="AH25" s="343">
        <f t="shared" si="29"/>
        <v>-2401919.3225845424</v>
      </c>
      <c r="AI25" s="343">
        <f t="shared" si="29"/>
        <v>-1490378.5871014521</v>
      </c>
      <c r="AJ25" s="343">
        <f t="shared" si="29"/>
        <v>-261186.4838768132</v>
      </c>
      <c r="AK25" s="343">
        <f t="shared" si="29"/>
        <v>2103368.6954782605</v>
      </c>
      <c r="AL25" s="343">
        <f t="shared" si="29"/>
        <v>2468765.4093878251</v>
      </c>
      <c r="AM25" s="343">
        <f t="shared" si="29"/>
        <v>12146570.229857216</v>
      </c>
      <c r="AN25" s="343">
        <f t="shared" si="29"/>
        <v>49192982.552842937</v>
      </c>
      <c r="AO25" s="343">
        <f t="shared" si="29"/>
        <v>67703105.463411525</v>
      </c>
      <c r="AP25" s="343">
        <f t="shared" si="29"/>
        <v>-19062189.017076746</v>
      </c>
      <c r="AQ25" s="343">
        <f>AB25-N25</f>
        <v>-24780845.722199768</v>
      </c>
      <c r="AR25" s="343">
        <f t="shared" si="29"/>
        <v>-32215099.438859701</v>
      </c>
      <c r="AS25" s="343">
        <f>SUM(AG25:AR25)</f>
        <v>49991482.351259544</v>
      </c>
      <c r="AT25" s="341"/>
      <c r="AU25" s="376">
        <f t="shared" ref="AU25:BG27" si="30">(R25-D25)/D25</f>
        <v>-0.36821801757254152</v>
      </c>
      <c r="AV25" s="376">
        <f t="shared" si="30"/>
        <v>-0.29499141615193375</v>
      </c>
      <c r="AW25" s="376">
        <f t="shared" si="30"/>
        <v>-0.1525338805365935</v>
      </c>
      <c r="AX25" s="376">
        <f t="shared" si="30"/>
        <v>-2.1385056534887956E-2</v>
      </c>
      <c r="AY25" s="376">
        <f t="shared" si="30"/>
        <v>0.17939233253504194</v>
      </c>
      <c r="AZ25" s="376">
        <f t="shared" si="30"/>
        <v>0.20642777083461611</v>
      </c>
      <c r="BA25" s="376">
        <f t="shared" si="30"/>
        <v>0.96728101858633553</v>
      </c>
      <c r="BB25" s="376">
        <f t="shared" si="30"/>
        <v>3.561307458556187</v>
      </c>
      <c r="BC25" s="376">
        <f t="shared" si="30"/>
        <v>4.0844507004507253</v>
      </c>
      <c r="BD25" s="376">
        <f t="shared" si="30"/>
        <v>-1</v>
      </c>
      <c r="BE25" s="376">
        <f>(AB25-N25)/N25</f>
        <v>-1</v>
      </c>
      <c r="BF25" s="376">
        <f t="shared" si="30"/>
        <v>-1</v>
      </c>
      <c r="BG25" s="376">
        <f t="shared" si="30"/>
        <v>0.27455620394647112</v>
      </c>
      <c r="BI25" s="345">
        <f>SUM(D25:F25)</f>
        <v>27178551.337705195</v>
      </c>
      <c r="BJ25" s="345">
        <f>SUM(G25:I25)</f>
        <v>35897932.379010729</v>
      </c>
      <c r="BK25" s="345">
        <f>SUM(J25:L25)</f>
        <v>42946433.753888324</v>
      </c>
      <c r="BL25" s="345">
        <f>SUM(M25:O25)</f>
        <v>76058134.178136215</v>
      </c>
      <c r="BM25" s="345">
        <f>SUM(BI25:BL25)</f>
        <v>182081051.64874047</v>
      </c>
      <c r="BO25" s="345">
        <f>SUM(R25:T25)</f>
        <v>19874562</v>
      </c>
      <c r="BP25" s="345">
        <f>SUM(U25:W25)</f>
        <v>40208880</v>
      </c>
      <c r="BQ25" s="345">
        <f>SUM(X25:Z25)</f>
        <v>171989092</v>
      </c>
      <c r="BR25" s="345">
        <f>SUM(AA25:AC25)</f>
        <v>0</v>
      </c>
      <c r="BS25" s="345">
        <f>SUM(BO25:BR25)</f>
        <v>232072534</v>
      </c>
      <c r="BU25" s="346">
        <f t="shared" ref="BU25:BY27" si="31">BO25/BI25</f>
        <v>0.7312590635553019</v>
      </c>
      <c r="BV25" s="346">
        <f t="shared" si="31"/>
        <v>1.1200890228293441</v>
      </c>
      <c r="BW25" s="346">
        <f t="shared" si="31"/>
        <v>4.0047351308751749</v>
      </c>
      <c r="BX25" s="346">
        <f t="shared" si="31"/>
        <v>0</v>
      </c>
      <c r="BY25" s="346">
        <f t="shared" si="31"/>
        <v>1.2745562039464711</v>
      </c>
      <c r="CA25" s="327">
        <f t="shared" ref="CA25:CB28" si="32">U25/G25</f>
        <v>0.97861494346511202</v>
      </c>
      <c r="CB25" s="327">
        <f t="shared" si="32"/>
        <v>1.1793923325350419</v>
      </c>
    </row>
    <row r="26" spans="1:80">
      <c r="A26" s="879"/>
      <c r="B26" s="347" t="s">
        <v>69</v>
      </c>
      <c r="C26" s="348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1"/>
      <c r="R26" s="698">
        <f t="array" ref="R26:AC26">TRANSPOSE('TH_YouTube Performance'!AA6:AA17)</f>
        <v>574123</v>
      </c>
      <c r="S26" s="698">
        <v>496473</v>
      </c>
      <c r="T26" s="698">
        <v>705808</v>
      </c>
      <c r="U26" s="698">
        <v>1035496</v>
      </c>
      <c r="V26" s="698">
        <v>1351092</v>
      </c>
      <c r="W26" s="698">
        <v>1901191</v>
      </c>
      <c r="X26" s="698">
        <v>2128570</v>
      </c>
      <c r="Y26" s="698">
        <v>3961672</v>
      </c>
      <c r="Z26" s="698">
        <v>5570840</v>
      </c>
      <c r="AA26" s="698">
        <v>0</v>
      </c>
      <c r="AB26" s="698">
        <v>0</v>
      </c>
      <c r="AC26" s="698">
        <v>0</v>
      </c>
      <c r="AD26" s="698">
        <f>SUM(R26:AC26)</f>
        <v>17725265</v>
      </c>
      <c r="AE26" s="343"/>
      <c r="AF26" s="341"/>
      <c r="AG26" s="350">
        <f t="shared" si="29"/>
        <v>574123</v>
      </c>
      <c r="AH26" s="350">
        <f t="shared" si="29"/>
        <v>496473</v>
      </c>
      <c r="AI26" s="350">
        <f t="shared" si="29"/>
        <v>705808</v>
      </c>
      <c r="AJ26" s="350">
        <f t="shared" si="29"/>
        <v>1035496</v>
      </c>
      <c r="AK26" s="350">
        <f t="shared" si="29"/>
        <v>1351092</v>
      </c>
      <c r="AL26" s="350">
        <f t="shared" si="29"/>
        <v>1901191</v>
      </c>
      <c r="AM26" s="350">
        <f t="shared" si="29"/>
        <v>2128570</v>
      </c>
      <c r="AN26" s="350">
        <f t="shared" si="29"/>
        <v>3961672</v>
      </c>
      <c r="AO26" s="350">
        <f t="shared" si="29"/>
        <v>5570840</v>
      </c>
      <c r="AP26" s="350">
        <f t="shared" si="29"/>
        <v>0</v>
      </c>
      <c r="AQ26" s="350">
        <f>AB26-N26</f>
        <v>0</v>
      </c>
      <c r="AR26" s="350">
        <f t="shared" si="29"/>
        <v>0</v>
      </c>
      <c r="AS26" s="350">
        <f>SUM(AG26:AR26)</f>
        <v>17725265</v>
      </c>
      <c r="AT26" s="341"/>
      <c r="AU26" s="376" t="e">
        <f t="shared" si="30"/>
        <v>#DIV/0!</v>
      </c>
      <c r="AV26" s="376" t="e">
        <f t="shared" si="30"/>
        <v>#DIV/0!</v>
      </c>
      <c r="AW26" s="376" t="e">
        <f t="shared" si="30"/>
        <v>#DIV/0!</v>
      </c>
      <c r="AX26" s="376" t="e">
        <f t="shared" si="30"/>
        <v>#DIV/0!</v>
      </c>
      <c r="AY26" s="376" t="e">
        <f t="shared" si="30"/>
        <v>#DIV/0!</v>
      </c>
      <c r="AZ26" s="376" t="e">
        <f t="shared" si="30"/>
        <v>#DIV/0!</v>
      </c>
      <c r="BA26" s="376" t="e">
        <f t="shared" si="30"/>
        <v>#DIV/0!</v>
      </c>
      <c r="BB26" s="376" t="e">
        <f t="shared" si="30"/>
        <v>#DIV/0!</v>
      </c>
      <c r="BC26" s="376" t="e">
        <f t="shared" si="30"/>
        <v>#DIV/0!</v>
      </c>
      <c r="BD26" s="376" t="e">
        <f t="shared" si="30"/>
        <v>#DIV/0!</v>
      </c>
      <c r="BE26" s="376" t="e">
        <f>(AB26-N26)/N26</f>
        <v>#DIV/0!</v>
      </c>
      <c r="BF26" s="376" t="e">
        <f t="shared" si="30"/>
        <v>#DIV/0!</v>
      </c>
      <c r="BG26" s="376" t="e">
        <f t="shared" si="30"/>
        <v>#DIV/0!</v>
      </c>
      <c r="BI26" s="352">
        <f>SUM(D26:F26)</f>
        <v>0</v>
      </c>
      <c r="BJ26" s="352">
        <f>SUM(G26:I26)</f>
        <v>0</v>
      </c>
      <c r="BK26" s="352">
        <f>SUM(J26:L26)</f>
        <v>0</v>
      </c>
      <c r="BL26" s="352">
        <f>SUM(M26:O26)</f>
        <v>0</v>
      </c>
      <c r="BM26" s="352">
        <f>SUM(BI26:BL26)</f>
        <v>0</v>
      </c>
      <c r="BO26" s="352">
        <f>SUM(R26:T26)</f>
        <v>1776404</v>
      </c>
      <c r="BP26" s="352">
        <f>SUM(U26:W26)</f>
        <v>4287779</v>
      </c>
      <c r="BQ26" s="352">
        <f>SUM(X26:Z26)</f>
        <v>11661082</v>
      </c>
      <c r="BR26" s="352">
        <f>SUM(AA26:AC26)</f>
        <v>0</v>
      </c>
      <c r="BS26" s="352">
        <f>SUM(BO26:BR26)</f>
        <v>17725265</v>
      </c>
      <c r="BU26" s="353" t="e">
        <f t="shared" si="31"/>
        <v>#DIV/0!</v>
      </c>
      <c r="BV26" s="353" t="e">
        <f t="shared" si="31"/>
        <v>#DIV/0!</v>
      </c>
      <c r="BW26" s="353" t="e">
        <f t="shared" si="31"/>
        <v>#DIV/0!</v>
      </c>
      <c r="BX26" s="353" t="e">
        <f t="shared" si="31"/>
        <v>#DIV/0!</v>
      </c>
      <c r="BY26" s="353" t="e">
        <f t="shared" si="31"/>
        <v>#DIV/0!</v>
      </c>
      <c r="CA26" s="327" t="e">
        <f t="shared" si="32"/>
        <v>#DIV/0!</v>
      </c>
      <c r="CB26" s="327" t="e">
        <f t="shared" si="32"/>
        <v>#DIV/0!</v>
      </c>
    </row>
    <row r="27" spans="1:80" ht="16.5" thickBot="1">
      <c r="A27" s="879"/>
      <c r="B27" s="354" t="s">
        <v>75</v>
      </c>
      <c r="C27" s="355"/>
      <c r="D27" s="356">
        <f t="shared" ref="D27:P27" si="33">SUM(D25:D26)</f>
        <v>9265411.4280192014</v>
      </c>
      <c r="E27" s="356">
        <f t="shared" si="33"/>
        <v>8142336.3225845424</v>
      </c>
      <c r="F27" s="356">
        <f t="shared" si="33"/>
        <v>9770803.5871014521</v>
      </c>
      <c r="G27" s="356">
        <f t="shared" si="33"/>
        <v>12213504.483876813</v>
      </c>
      <c r="H27" s="356">
        <f t="shared" si="33"/>
        <v>11724964.304521739</v>
      </c>
      <c r="I27" s="356">
        <f t="shared" si="33"/>
        <v>11959463.590612175</v>
      </c>
      <c r="J27" s="356">
        <f t="shared" si="33"/>
        <v>12557436.770142784</v>
      </c>
      <c r="K27" s="356">
        <f t="shared" si="33"/>
        <v>13813180.447157064</v>
      </c>
      <c r="L27" s="356">
        <f t="shared" si="33"/>
        <v>16575816.536588477</v>
      </c>
      <c r="M27" s="356">
        <f t="shared" si="33"/>
        <v>19062189.017076746</v>
      </c>
      <c r="N27" s="356">
        <f t="shared" si="33"/>
        <v>24780845.722199768</v>
      </c>
      <c r="O27" s="356">
        <f t="shared" si="33"/>
        <v>32215099.438859701</v>
      </c>
      <c r="P27" s="356">
        <f t="shared" si="33"/>
        <v>182081051.64874047</v>
      </c>
      <c r="Q27" s="357"/>
      <c r="R27" s="699">
        <f t="shared" ref="R27:AA27" si="34">SUM(R25:R26)</f>
        <v>6427843</v>
      </c>
      <c r="S27" s="699">
        <f t="shared" si="34"/>
        <v>6236890</v>
      </c>
      <c r="T27" s="699">
        <f t="shared" si="34"/>
        <v>8986233</v>
      </c>
      <c r="U27" s="699">
        <f t="shared" si="34"/>
        <v>12987814</v>
      </c>
      <c r="V27" s="699">
        <f t="shared" si="34"/>
        <v>15179425</v>
      </c>
      <c r="W27" s="699">
        <f t="shared" si="34"/>
        <v>16329420</v>
      </c>
      <c r="X27" s="699">
        <f t="shared" si="34"/>
        <v>26832577</v>
      </c>
      <c r="Y27" s="699">
        <f t="shared" si="34"/>
        <v>66967835</v>
      </c>
      <c r="Z27" s="699">
        <f t="shared" si="34"/>
        <v>89849762</v>
      </c>
      <c r="AA27" s="699">
        <f t="shared" si="34"/>
        <v>0</v>
      </c>
      <c r="AB27" s="699">
        <f>SUM(AB25:AB26)</f>
        <v>0</v>
      </c>
      <c r="AC27" s="699">
        <f>SUM(AC25:AC26)</f>
        <v>0</v>
      </c>
      <c r="AD27" s="699">
        <f t="shared" ref="AD27" si="35">SUM(AD25:AD26)</f>
        <v>249797799</v>
      </c>
      <c r="AE27" s="360"/>
      <c r="AF27" s="361"/>
      <c r="AG27" s="362">
        <f t="shared" ref="AG27:AS27" si="36">SUM(AG25:AG26)</f>
        <v>-2837568.4280192014</v>
      </c>
      <c r="AH27" s="362">
        <f t="shared" si="36"/>
        <v>-1905446.3225845424</v>
      </c>
      <c r="AI27" s="362">
        <f t="shared" si="36"/>
        <v>-784570.58710145205</v>
      </c>
      <c r="AJ27" s="362">
        <f t="shared" si="36"/>
        <v>774309.5161231868</v>
      </c>
      <c r="AK27" s="362">
        <f t="shared" si="36"/>
        <v>3454460.6954782605</v>
      </c>
      <c r="AL27" s="362">
        <f t="shared" si="36"/>
        <v>4369956.4093878251</v>
      </c>
      <c r="AM27" s="362">
        <f t="shared" si="36"/>
        <v>14275140.229857216</v>
      </c>
      <c r="AN27" s="362">
        <f t="shared" si="36"/>
        <v>53154654.552842937</v>
      </c>
      <c r="AO27" s="362">
        <f t="shared" si="36"/>
        <v>73273945.463411525</v>
      </c>
      <c r="AP27" s="362">
        <f t="shared" si="36"/>
        <v>-19062189.017076746</v>
      </c>
      <c r="AQ27" s="362">
        <f t="shared" si="36"/>
        <v>-24780845.722199768</v>
      </c>
      <c r="AR27" s="362">
        <f t="shared" si="36"/>
        <v>-32215099.438859701</v>
      </c>
      <c r="AS27" s="363">
        <f t="shared" si="36"/>
        <v>67716747.351259544</v>
      </c>
      <c r="AT27" s="341"/>
      <c r="AU27" s="377">
        <f t="shared" si="30"/>
        <v>-0.30625390464995561</v>
      </c>
      <c r="AV27" s="377">
        <f t="shared" si="30"/>
        <v>-0.23401714779324115</v>
      </c>
      <c r="AW27" s="377">
        <f t="shared" si="30"/>
        <v>-8.0297447401068686E-2</v>
      </c>
      <c r="AX27" s="377">
        <f t="shared" si="30"/>
        <v>6.3397816502655857E-2</v>
      </c>
      <c r="AY27" s="377">
        <f t="shared" si="30"/>
        <v>0.29462441042537296</v>
      </c>
      <c r="AZ27" s="377">
        <f t="shared" si="30"/>
        <v>0.36539735885964914</v>
      </c>
      <c r="BA27" s="377">
        <f t="shared" si="30"/>
        <v>1.1367877450753749</v>
      </c>
      <c r="BB27" s="377">
        <f t="shared" si="30"/>
        <v>3.8481112120549232</v>
      </c>
      <c r="BC27" s="377">
        <f t="shared" si="30"/>
        <v>4.420533088169198</v>
      </c>
      <c r="BD27" s="377">
        <f t="shared" si="30"/>
        <v>-1</v>
      </c>
      <c r="BE27" s="377">
        <f>(AB27-N27)/N27</f>
        <v>-1</v>
      </c>
      <c r="BF27" s="377">
        <f t="shared" si="30"/>
        <v>-1</v>
      </c>
      <c r="BG27" s="377">
        <f t="shared" si="30"/>
        <v>0.37190441695105375</v>
      </c>
      <c r="BI27" s="365">
        <f>SUM(BI25:BI26)</f>
        <v>27178551.337705195</v>
      </c>
      <c r="BJ27" s="365">
        <f>SUM(BJ25:BJ26)</f>
        <v>35897932.379010729</v>
      </c>
      <c r="BK27" s="365">
        <f>SUM(BK25:BK26)</f>
        <v>42946433.753888324</v>
      </c>
      <c r="BL27" s="365">
        <f>SUM(BL25:BL26)</f>
        <v>76058134.178136215</v>
      </c>
      <c r="BM27" s="365">
        <f>SUM(BI27:BL27)</f>
        <v>182081051.64874047</v>
      </c>
      <c r="BO27" s="365">
        <f>SUM(BO25:BO26)</f>
        <v>21650966</v>
      </c>
      <c r="BP27" s="365">
        <f>SUM(BP25:BP26)</f>
        <v>44496659</v>
      </c>
      <c r="BQ27" s="365">
        <f>SUM(BQ25:BQ26)</f>
        <v>183650174</v>
      </c>
      <c r="BR27" s="365">
        <f>SUM(BR25:BR26)</f>
        <v>0</v>
      </c>
      <c r="BS27" s="365">
        <f>SUM(BO27:BR27)</f>
        <v>249797799</v>
      </c>
      <c r="BU27" s="366">
        <f t="shared" si="31"/>
        <v>0.79661957442019005</v>
      </c>
      <c r="BV27" s="366">
        <f t="shared" si="31"/>
        <v>1.239532643000266</v>
      </c>
      <c r="BW27" s="366">
        <f t="shared" si="31"/>
        <v>4.27626133178922</v>
      </c>
      <c r="BX27" s="366">
        <f t="shared" si="31"/>
        <v>0</v>
      </c>
      <c r="BY27" s="366">
        <f t="shared" si="31"/>
        <v>1.3719044169510537</v>
      </c>
      <c r="CA27" s="327">
        <f t="shared" si="32"/>
        <v>1.0633978165026559</v>
      </c>
      <c r="CB27" s="327">
        <f t="shared" si="32"/>
        <v>1.294624410425373</v>
      </c>
    </row>
    <row r="28" spans="1:80" ht="16.5" thickTop="1">
      <c r="A28" s="378" t="s">
        <v>76</v>
      </c>
      <c r="B28" s="379"/>
      <c r="C28" s="380"/>
      <c r="D28" s="566">
        <f>SUM(D7,D11,D23,D27)</f>
        <v>110365962.40799999</v>
      </c>
      <c r="E28" s="566">
        <f t="shared" ref="E28:P28" si="37">SUM(E7,E11,E23,E27)</f>
        <v>96988330.35887894</v>
      </c>
      <c r="F28" s="566">
        <f t="shared" si="37"/>
        <v>116385996.43065473</v>
      </c>
      <c r="G28" s="566">
        <f t="shared" si="37"/>
        <v>145482495.53831843</v>
      </c>
      <c r="H28" s="566">
        <f t="shared" si="37"/>
        <v>139663195.71678567</v>
      </c>
      <c r="I28" s="566">
        <f t="shared" si="37"/>
        <v>142456459.6311214</v>
      </c>
      <c r="J28" s="566">
        <f t="shared" si="37"/>
        <v>149579282.61267748</v>
      </c>
      <c r="K28" s="566">
        <f t="shared" si="37"/>
        <v>164537210.87394524</v>
      </c>
      <c r="L28" s="566">
        <f t="shared" si="37"/>
        <v>197444653.04873431</v>
      </c>
      <c r="M28" s="566">
        <f t="shared" si="37"/>
        <v>227061351.00604439</v>
      </c>
      <c r="N28" s="566">
        <f t="shared" si="37"/>
        <v>295179756.30785763</v>
      </c>
      <c r="O28" s="566">
        <f t="shared" si="37"/>
        <v>383733683.20021504</v>
      </c>
      <c r="P28" s="566">
        <f t="shared" si="37"/>
        <v>2168878377.1332331</v>
      </c>
      <c r="Q28" s="382"/>
      <c r="R28" s="381">
        <f t="shared" ref="R28" si="38">SUM(R7,R11,R23,R27)</f>
        <v>90177502</v>
      </c>
      <c r="S28" s="381">
        <f t="shared" ref="S28" si="39">SUM(S7,S11,S23,S27)</f>
        <v>87016039</v>
      </c>
      <c r="T28" s="381">
        <f t="shared" ref="T28" si="40">SUM(T7,T11,T23,T27)</f>
        <v>112933032</v>
      </c>
      <c r="U28" s="381">
        <f t="shared" ref="U28" si="41">SUM(U7,U11,U23,U27)</f>
        <v>124267333</v>
      </c>
      <c r="V28" s="381">
        <f t="shared" ref="V28" si="42">SUM(V7,V11,V23,V27)</f>
        <v>121249638</v>
      </c>
      <c r="W28" s="381">
        <f t="shared" ref="W28" si="43">SUM(W7,W11,W23,W27)</f>
        <v>112757699</v>
      </c>
      <c r="X28" s="381">
        <f t="shared" ref="X28" si="44">SUM(X7,X11,X23,X27)</f>
        <v>168849854</v>
      </c>
      <c r="Y28" s="381">
        <f t="shared" ref="Y28" si="45">SUM(Y7,Y11,Y23,Y27)</f>
        <v>236306766</v>
      </c>
      <c r="Z28" s="381">
        <f t="shared" ref="Z28" si="46">SUM(Z7,Z11,Z23,Z27)</f>
        <v>250016753</v>
      </c>
      <c r="AA28" s="381">
        <f t="shared" ref="AA28" si="47">SUM(AA7,AA11,AA23,AA27)</f>
        <v>0</v>
      </c>
      <c r="AB28" s="381">
        <f t="shared" ref="AB28" si="48">SUM(AB7,AB11,AB23,AB27)</f>
        <v>0</v>
      </c>
      <c r="AC28" s="381">
        <f t="shared" ref="AC28" si="49">SUM(AC7,AC11,AC23,AC27)</f>
        <v>0</v>
      </c>
      <c r="AD28" s="381">
        <f t="shared" ref="AD28" si="50">SUM(AD7,AD11,AD23,AD27)</f>
        <v>1303574616</v>
      </c>
      <c r="AE28" s="383">
        <f>AD28/P28</f>
        <v>0.60103629126637836</v>
      </c>
      <c r="AF28" s="361"/>
      <c r="AG28" s="384">
        <f t="shared" ref="AG28:AS28" si="51">AG7+AG15</f>
        <v>-14468.65958135141</v>
      </c>
      <c r="AH28" s="384">
        <f t="shared" si="51"/>
        <v>-5172.9004127249682</v>
      </c>
      <c r="AI28" s="384">
        <f t="shared" si="51"/>
        <v>-19889.880495269965</v>
      </c>
      <c r="AJ28" s="384">
        <f t="shared" si="51"/>
        <v>-33365.850619087454</v>
      </c>
      <c r="AK28" s="384">
        <f t="shared" si="51"/>
        <v>-33777.656594323948</v>
      </c>
      <c r="AL28" s="384">
        <f t="shared" si="51"/>
        <v>-35367.029726210429</v>
      </c>
      <c r="AM28" s="384">
        <f t="shared" si="51"/>
        <v>-38753.53121252096</v>
      </c>
      <c r="AN28" s="384">
        <f t="shared" si="51"/>
        <v>509512.01566622697</v>
      </c>
      <c r="AO28" s="384">
        <f t="shared" si="51"/>
        <v>5893273.418799472</v>
      </c>
      <c r="AP28" s="384">
        <f t="shared" si="51"/>
        <v>-66768.518380606809</v>
      </c>
      <c r="AQ28" s="384">
        <f t="shared" si="51"/>
        <v>-86799.073894788846</v>
      </c>
      <c r="AR28" s="384">
        <f t="shared" si="51"/>
        <v>-112838.7960632255</v>
      </c>
      <c r="AS28" s="384">
        <f t="shared" si="51"/>
        <v>5955583.5374855893</v>
      </c>
      <c r="AT28" s="385"/>
      <c r="AU28" s="386">
        <f t="shared" ref="AU28:BF28" si="52">R28/D28</f>
        <v>0.81707711356362345</v>
      </c>
      <c r="AV28" s="386">
        <f t="shared" si="52"/>
        <v>0.89718050282978179</v>
      </c>
      <c r="AW28" s="386">
        <f t="shared" si="52"/>
        <v>0.97033178787353436</v>
      </c>
      <c r="AX28" s="386">
        <f t="shared" si="52"/>
        <v>0.85417377905281677</v>
      </c>
      <c r="AY28" s="386">
        <f t="shared" si="52"/>
        <v>0.86815740809679465</v>
      </c>
      <c r="AZ28" s="386">
        <f t="shared" si="52"/>
        <v>0.79152394557590611</v>
      </c>
      <c r="BA28" s="386">
        <f t="shared" si="52"/>
        <v>1.1288318211635096</v>
      </c>
      <c r="BB28" s="386">
        <f t="shared" si="52"/>
        <v>1.4361904200566438</v>
      </c>
      <c r="BC28" s="386">
        <f t="shared" si="52"/>
        <v>1.2662624646426337</v>
      </c>
      <c r="BD28" s="386">
        <f t="shared" si="52"/>
        <v>0</v>
      </c>
      <c r="BE28" s="386">
        <f>AB28/N28</f>
        <v>0</v>
      </c>
      <c r="BF28" s="386">
        <f t="shared" si="52"/>
        <v>0</v>
      </c>
      <c r="BG28" s="386">
        <f>AD28/P28</f>
        <v>0.60103629126637836</v>
      </c>
      <c r="BI28" s="387">
        <f>BI7+BI15</f>
        <v>95197.440489346336</v>
      </c>
      <c r="BJ28" s="387">
        <f>BJ7+BJ15</f>
        <v>125738.53693962183</v>
      </c>
      <c r="BK28" s="387">
        <f>BK7+BK15</f>
        <v>150427.09674682168</v>
      </c>
      <c r="BL28" s="387">
        <f>BL7+BL15</f>
        <v>266406.38833862112</v>
      </c>
      <c r="BM28" s="387">
        <f>SUM(BI28:BL28)</f>
        <v>637769.46251441096</v>
      </c>
      <c r="BO28" s="387" t="e">
        <f>BO7+BO15+BO19+#REF!+#REF!+BO27</f>
        <v>#REF!</v>
      </c>
      <c r="BP28" s="387" t="e">
        <f>BP7+BP15+BP19+#REF!+#REF!+BP27</f>
        <v>#REF!</v>
      </c>
      <c r="BQ28" s="387" t="e">
        <f>BQ7+BQ15+BQ19+#REF!+#REF!+BQ27</f>
        <v>#REF!</v>
      </c>
      <c r="BR28" s="387" t="e">
        <f>BR7+BR15+BR19+#REF!+#REF!+BR27</f>
        <v>#REF!</v>
      </c>
      <c r="BS28" s="387" t="e">
        <f>BS7+BS15+BS19+#REF!+#REF!+BS27</f>
        <v>#REF!</v>
      </c>
      <c r="BU28" s="388" t="e">
        <f>BO28/BI28</f>
        <v>#REF!</v>
      </c>
      <c r="BV28" s="388" t="e">
        <f>BP28/BJ28</f>
        <v>#REF!</v>
      </c>
      <c r="BW28" s="388" t="e">
        <f>BQ28/BK28</f>
        <v>#REF!</v>
      </c>
      <c r="BX28" s="388" t="e">
        <f>BR28/BL28</f>
        <v>#REF!</v>
      </c>
      <c r="BY28" s="388" t="e">
        <f>BS28/BM28</f>
        <v>#REF!</v>
      </c>
      <c r="CA28" s="327">
        <f t="shared" si="32"/>
        <v>0.85417377905281677</v>
      </c>
      <c r="CB28" s="327">
        <f t="shared" si="32"/>
        <v>0.86815740809679465</v>
      </c>
    </row>
    <row r="29" spans="1:80">
      <c r="A29" s="389"/>
      <c r="B29" s="390"/>
      <c r="C29" s="391"/>
      <c r="D29" s="390"/>
      <c r="E29" s="389"/>
      <c r="F29" s="389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W29" s="138"/>
      <c r="X29" s="138"/>
      <c r="Y29" s="138"/>
      <c r="Z29" s="138"/>
      <c r="AA29" s="138"/>
      <c r="AB29" s="138"/>
      <c r="AC29" s="178"/>
      <c r="AG29" s="327"/>
      <c r="AH29" s="327"/>
      <c r="BI29" s="394"/>
      <c r="BJ29" s="394"/>
      <c r="BK29" s="394"/>
      <c r="BL29" s="394"/>
      <c r="BM29" s="394"/>
      <c r="BS29" s="394"/>
      <c r="BY29" s="325"/>
    </row>
    <row r="30" spans="1:80">
      <c r="A30" s="878" t="s">
        <v>9</v>
      </c>
      <c r="B30" s="340" t="s">
        <v>68</v>
      </c>
      <c r="C30" s="395"/>
      <c r="D30" s="396">
        <f t="shared" ref="D30:O31" si="53">D5*D55</f>
        <v>5.8416587246432545</v>
      </c>
      <c r="E30" s="396">
        <f t="shared" si="53"/>
        <v>5.1335820742904943</v>
      </c>
      <c r="F30" s="396">
        <f t="shared" si="53"/>
        <v>6.1602984891485937</v>
      </c>
      <c r="G30" s="396">
        <f t="shared" si="53"/>
        <v>7.7003731114357423</v>
      </c>
      <c r="H30" s="396">
        <f t="shared" si="53"/>
        <v>7.3923581869783108</v>
      </c>
      <c r="I30" s="396">
        <f t="shared" si="53"/>
        <v>7.5402053507178772</v>
      </c>
      <c r="J30" s="396">
        <f t="shared" si="53"/>
        <v>7.9172156182537732</v>
      </c>
      <c r="K30" s="396">
        <f t="shared" si="53"/>
        <v>8.7089371800791504</v>
      </c>
      <c r="L30" s="396">
        <f t="shared" si="53"/>
        <v>10.450724616094979</v>
      </c>
      <c r="M30" s="396">
        <f t="shared" si="53"/>
        <v>12.018333308509227</v>
      </c>
      <c r="N30" s="396">
        <f t="shared" si="53"/>
        <v>15.623833301061993</v>
      </c>
      <c r="O30" s="396">
        <f t="shared" si="53"/>
        <v>20.310983291380591</v>
      </c>
      <c r="P30" s="396">
        <f>SUM(D30:O30)</f>
        <v>114.79850325259397</v>
      </c>
      <c r="Q30" s="397"/>
      <c r="R30" s="700">
        <f t="array" ref="R30:AC30">TRANSPOSE('TH_YouTube Performance'!O6:O17)</f>
        <v>0.51000000000000023</v>
      </c>
      <c r="S30" s="700">
        <v>0.97000000000000042</v>
      </c>
      <c r="T30" s="700">
        <v>0.17</v>
      </c>
      <c r="U30" s="700">
        <v>0</v>
      </c>
      <c r="V30" s="700">
        <v>0</v>
      </c>
      <c r="W30" s="700">
        <v>0</v>
      </c>
      <c r="X30" s="700">
        <v>0</v>
      </c>
      <c r="Y30" s="700">
        <v>280.82299999999998</v>
      </c>
      <c r="Z30" s="700">
        <v>2890.7240000000006</v>
      </c>
      <c r="AA30" s="700">
        <v>0</v>
      </c>
      <c r="AB30" s="700">
        <v>0</v>
      </c>
      <c r="AC30" s="700">
        <v>0</v>
      </c>
      <c r="AD30" s="700">
        <f>SUM(R30:AC30)</f>
        <v>3173.1970000000006</v>
      </c>
      <c r="AE30" s="396"/>
      <c r="AF30" s="397"/>
      <c r="AG30" s="398">
        <f t="shared" ref="AG30:AR31" si="54">R30-D30</f>
        <v>-5.3316587246432547</v>
      </c>
      <c r="AH30" s="398">
        <f t="shared" si="54"/>
        <v>-4.1635820742904937</v>
      </c>
      <c r="AI30" s="398">
        <f t="shared" si="54"/>
        <v>-5.9902984891485938</v>
      </c>
      <c r="AJ30" s="398">
        <f t="shared" si="54"/>
        <v>-7.7003731114357423</v>
      </c>
      <c r="AK30" s="398">
        <f t="shared" si="54"/>
        <v>-7.3923581869783108</v>
      </c>
      <c r="AL30" s="398">
        <f t="shared" si="54"/>
        <v>-7.5402053507178772</v>
      </c>
      <c r="AM30" s="398">
        <f t="shared" si="54"/>
        <v>-7.9172156182537732</v>
      </c>
      <c r="AN30" s="398">
        <f t="shared" si="54"/>
        <v>272.11406281992083</v>
      </c>
      <c r="AO30" s="398">
        <f t="shared" si="54"/>
        <v>2880.2732753839055</v>
      </c>
      <c r="AP30" s="398">
        <f t="shared" si="54"/>
        <v>-12.018333308509227</v>
      </c>
      <c r="AQ30" s="398">
        <f>AB30-N30</f>
        <v>-15.623833301061993</v>
      </c>
      <c r="AR30" s="398">
        <f t="shared" si="54"/>
        <v>-20.310983291380591</v>
      </c>
      <c r="AS30" s="398">
        <f>SUM(AG30:AR30)</f>
        <v>3058.3984967474066</v>
      </c>
      <c r="AT30" s="397"/>
      <c r="AU30" s="344">
        <f t="shared" ref="AU30:BG32" si="55">R30/D30</f>
        <v>8.7303970334409689E-2</v>
      </c>
      <c r="AV30" s="344">
        <f t="shared" si="55"/>
        <v>0.1889518831028065</v>
      </c>
      <c r="AW30" s="344">
        <f t="shared" si="55"/>
        <v>2.7596065401612621E-2</v>
      </c>
      <c r="AX30" s="344">
        <f t="shared" si="55"/>
        <v>0</v>
      </c>
      <c r="AY30" s="344">
        <f t="shared" si="55"/>
        <v>0</v>
      </c>
      <c r="AZ30" s="344">
        <f t="shared" si="55"/>
        <v>0</v>
      </c>
      <c r="BA30" s="344">
        <f t="shared" si="55"/>
        <v>0</v>
      </c>
      <c r="BB30" s="344">
        <f t="shared" si="55"/>
        <v>32.245381289734802</v>
      </c>
      <c r="BC30" s="344">
        <f t="shared" si="55"/>
        <v>276.60512607403768</v>
      </c>
      <c r="BD30" s="344">
        <f t="shared" si="55"/>
        <v>0</v>
      </c>
      <c r="BE30" s="344">
        <f>AB30/N30</f>
        <v>0</v>
      </c>
      <c r="BF30" s="344">
        <f t="shared" si="55"/>
        <v>0</v>
      </c>
      <c r="BG30" s="344">
        <f t="shared" si="55"/>
        <v>27.64144923577912</v>
      </c>
      <c r="BI30" s="399">
        <f>SUM(D30:F30)</f>
        <v>17.135539288082342</v>
      </c>
      <c r="BJ30" s="399">
        <f>SUM(G30:I30)</f>
        <v>22.632936649131931</v>
      </c>
      <c r="BK30" s="399">
        <f>SUM(J30:L30)</f>
        <v>27.076877414427905</v>
      </c>
      <c r="BL30" s="399">
        <f>SUM(M30:O30)</f>
        <v>47.953149900951814</v>
      </c>
      <c r="BM30" s="399">
        <f>SUM(BI30:BL30)</f>
        <v>114.798503252594</v>
      </c>
      <c r="BO30" s="400">
        <f>SUM(R30:T30)</f>
        <v>1.6500000000000006</v>
      </c>
      <c r="BP30" s="400">
        <f>SUM(U30:W30)</f>
        <v>0</v>
      </c>
      <c r="BQ30" s="400">
        <f>SUM(X30:Z30)</f>
        <v>3171.5470000000005</v>
      </c>
      <c r="BR30" s="400">
        <f>SUM(AA30:AC30)</f>
        <v>0</v>
      </c>
      <c r="BS30" s="399">
        <f>SUM(BO30:BR30)</f>
        <v>3173.1970000000006</v>
      </c>
      <c r="BU30" s="401">
        <f t="shared" ref="BU30:BY32" si="56">BO30/BI30</f>
        <v>9.6291104251826201E-2</v>
      </c>
      <c r="BV30" s="401">
        <f t="shared" si="56"/>
        <v>0</v>
      </c>
      <c r="BW30" s="401">
        <f t="shared" si="56"/>
        <v>117.13119468901694</v>
      </c>
      <c r="BX30" s="401">
        <f t="shared" si="56"/>
        <v>0</v>
      </c>
      <c r="BY30" s="401">
        <f t="shared" si="56"/>
        <v>27.641449235779113</v>
      </c>
      <c r="CA30" s="327">
        <f t="shared" ref="CA30:CB32" si="57">U30/G30</f>
        <v>0</v>
      </c>
      <c r="CB30" s="327">
        <f t="shared" si="57"/>
        <v>0</v>
      </c>
    </row>
    <row r="31" spans="1:80">
      <c r="A31" s="879"/>
      <c r="B31" s="347" t="s">
        <v>69</v>
      </c>
      <c r="C31" s="402"/>
      <c r="D31" s="403">
        <f t="shared" si="53"/>
        <v>0</v>
      </c>
      <c r="E31" s="403">
        <f t="shared" si="53"/>
        <v>0</v>
      </c>
      <c r="F31" s="403">
        <f t="shared" si="53"/>
        <v>0</v>
      </c>
      <c r="G31" s="403">
        <f t="shared" si="53"/>
        <v>0</v>
      </c>
      <c r="H31" s="403">
        <f t="shared" si="53"/>
        <v>0</v>
      </c>
      <c r="I31" s="403">
        <f t="shared" si="53"/>
        <v>0</v>
      </c>
      <c r="J31" s="403">
        <f t="shared" si="53"/>
        <v>0</v>
      </c>
      <c r="K31" s="403">
        <f t="shared" si="53"/>
        <v>0</v>
      </c>
      <c r="L31" s="403">
        <f t="shared" si="53"/>
        <v>0</v>
      </c>
      <c r="M31" s="403">
        <f t="shared" si="53"/>
        <v>0</v>
      </c>
      <c r="N31" s="403">
        <f t="shared" si="53"/>
        <v>0</v>
      </c>
      <c r="O31" s="403">
        <f t="shared" si="53"/>
        <v>0</v>
      </c>
      <c r="P31" s="403">
        <f>SUM(D31:O31)</f>
        <v>0</v>
      </c>
      <c r="Q31" s="397"/>
      <c r="R31" s="701">
        <f t="array" ref="R31:AC31">TRANSPOSE('TH_YouTube Performance'!X6:X17)</f>
        <v>0.33999999999999997</v>
      </c>
      <c r="S31" s="701">
        <v>0.40000000000000008</v>
      </c>
      <c r="T31" s="701">
        <v>0.35000000000000009</v>
      </c>
      <c r="U31" s="701">
        <v>0.22000000000000006</v>
      </c>
      <c r="V31" s="701">
        <v>0.18</v>
      </c>
      <c r="W31" s="701">
        <v>0.14000000000000001</v>
      </c>
      <c r="X31" s="701">
        <v>0.19000000000000006</v>
      </c>
      <c r="Y31" s="701">
        <v>8.0409999999999933</v>
      </c>
      <c r="Z31" s="701">
        <v>151.73999999999987</v>
      </c>
      <c r="AA31" s="701">
        <v>0</v>
      </c>
      <c r="AB31" s="701">
        <v>0</v>
      </c>
      <c r="AC31" s="701">
        <v>0</v>
      </c>
      <c r="AD31" s="701">
        <f>SUM(R31:AC31)</f>
        <v>161.60099999999986</v>
      </c>
      <c r="AE31" s="396"/>
      <c r="AF31" s="397"/>
      <c r="AG31" s="403">
        <f t="shared" si="54"/>
        <v>0.33999999999999997</v>
      </c>
      <c r="AH31" s="403">
        <f t="shared" si="54"/>
        <v>0.40000000000000008</v>
      </c>
      <c r="AI31" s="403">
        <f t="shared" si="54"/>
        <v>0.35000000000000009</v>
      </c>
      <c r="AJ31" s="403">
        <f t="shared" si="54"/>
        <v>0.22000000000000006</v>
      </c>
      <c r="AK31" s="403">
        <f t="shared" si="54"/>
        <v>0.18</v>
      </c>
      <c r="AL31" s="403">
        <f t="shared" si="54"/>
        <v>0.14000000000000001</v>
      </c>
      <c r="AM31" s="403">
        <f t="shared" si="54"/>
        <v>0.19000000000000006</v>
      </c>
      <c r="AN31" s="403">
        <f t="shared" si="54"/>
        <v>8.0409999999999933</v>
      </c>
      <c r="AO31" s="403">
        <f t="shared" si="54"/>
        <v>151.73999999999987</v>
      </c>
      <c r="AP31" s="403">
        <f t="shared" si="54"/>
        <v>0</v>
      </c>
      <c r="AQ31" s="403">
        <f>AB31-N31</f>
        <v>0</v>
      </c>
      <c r="AR31" s="403">
        <f t="shared" si="54"/>
        <v>0</v>
      </c>
      <c r="AS31" s="403">
        <f>SUM(AG31:AR31)</f>
        <v>161.60099999999986</v>
      </c>
      <c r="AT31" s="397"/>
      <c r="AU31" s="351" t="e">
        <f t="shared" si="55"/>
        <v>#DIV/0!</v>
      </c>
      <c r="AV31" s="351" t="e">
        <f t="shared" si="55"/>
        <v>#DIV/0!</v>
      </c>
      <c r="AW31" s="351" t="e">
        <f t="shared" si="55"/>
        <v>#DIV/0!</v>
      </c>
      <c r="AX31" s="351" t="e">
        <f t="shared" si="55"/>
        <v>#DIV/0!</v>
      </c>
      <c r="AY31" s="351" t="e">
        <f t="shared" si="55"/>
        <v>#DIV/0!</v>
      </c>
      <c r="AZ31" s="351" t="e">
        <f t="shared" si="55"/>
        <v>#DIV/0!</v>
      </c>
      <c r="BA31" s="351" t="e">
        <f t="shared" si="55"/>
        <v>#DIV/0!</v>
      </c>
      <c r="BB31" s="351" t="e">
        <f t="shared" si="55"/>
        <v>#DIV/0!</v>
      </c>
      <c r="BC31" s="351" t="e">
        <f t="shared" si="55"/>
        <v>#DIV/0!</v>
      </c>
      <c r="BD31" s="351" t="e">
        <f t="shared" si="55"/>
        <v>#DIV/0!</v>
      </c>
      <c r="BE31" s="351" t="e">
        <f>AB31/N31</f>
        <v>#DIV/0!</v>
      </c>
      <c r="BF31" s="351" t="e">
        <f t="shared" si="55"/>
        <v>#DIV/0!</v>
      </c>
      <c r="BG31" s="351" t="e">
        <f t="shared" si="55"/>
        <v>#DIV/0!</v>
      </c>
      <c r="BI31" s="404">
        <f>SUM(D31:F31)</f>
        <v>0</v>
      </c>
      <c r="BJ31" s="404">
        <f>SUM(G31:I31)</f>
        <v>0</v>
      </c>
      <c r="BK31" s="404">
        <f>SUM(J31:L31)</f>
        <v>0</v>
      </c>
      <c r="BL31" s="404">
        <f>SUM(M31:O31)</f>
        <v>0</v>
      </c>
      <c r="BM31" s="399">
        <f>SUM(BI31:BL31)</f>
        <v>0</v>
      </c>
      <c r="BO31" s="404">
        <f>SUM(R31:T31)</f>
        <v>1.0900000000000001</v>
      </c>
      <c r="BP31" s="404">
        <f>SUM(U31:W31)</f>
        <v>0.54</v>
      </c>
      <c r="BQ31" s="404">
        <f>SUM(X31:Z31)</f>
        <v>159.97099999999986</v>
      </c>
      <c r="BR31" s="404">
        <f>SUM(AA31:AC31)</f>
        <v>0</v>
      </c>
      <c r="BS31" s="399">
        <f>SUM(BO31:BR31)</f>
        <v>161.60099999999986</v>
      </c>
      <c r="BU31" s="353" t="e">
        <f t="shared" si="56"/>
        <v>#DIV/0!</v>
      </c>
      <c r="BV31" s="353" t="e">
        <f t="shared" si="56"/>
        <v>#DIV/0!</v>
      </c>
      <c r="BW31" s="353" t="e">
        <f t="shared" si="56"/>
        <v>#DIV/0!</v>
      </c>
      <c r="BX31" s="353" t="e">
        <f t="shared" si="56"/>
        <v>#DIV/0!</v>
      </c>
      <c r="BY31" s="353" t="e">
        <f t="shared" si="56"/>
        <v>#DIV/0!</v>
      </c>
      <c r="CA31" s="327" t="e">
        <f t="shared" si="57"/>
        <v>#DIV/0!</v>
      </c>
      <c r="CB31" s="327" t="e">
        <f t="shared" si="57"/>
        <v>#DIV/0!</v>
      </c>
    </row>
    <row r="32" spans="1:80" ht="15.75" thickBot="1">
      <c r="A32" s="879"/>
      <c r="B32" s="354" t="s">
        <v>70</v>
      </c>
      <c r="C32" s="405"/>
      <c r="D32" s="406">
        <f>SUM(D30:D31)</f>
        <v>5.8416587246432545</v>
      </c>
      <c r="E32" s="406">
        <f t="shared" ref="E32:AD32" si="58">SUM(E30:E31)</f>
        <v>5.1335820742904943</v>
      </c>
      <c r="F32" s="406">
        <f t="shared" si="58"/>
        <v>6.1602984891485937</v>
      </c>
      <c r="G32" s="406">
        <f t="shared" si="58"/>
        <v>7.7003731114357423</v>
      </c>
      <c r="H32" s="406">
        <f t="shared" si="58"/>
        <v>7.3923581869783108</v>
      </c>
      <c r="I32" s="406">
        <f t="shared" si="58"/>
        <v>7.5402053507178772</v>
      </c>
      <c r="J32" s="406">
        <f t="shared" si="58"/>
        <v>7.9172156182537732</v>
      </c>
      <c r="K32" s="406">
        <f t="shared" si="58"/>
        <v>8.7089371800791504</v>
      </c>
      <c r="L32" s="406">
        <f t="shared" si="58"/>
        <v>10.450724616094979</v>
      </c>
      <c r="M32" s="406">
        <f t="shared" si="58"/>
        <v>12.018333308509227</v>
      </c>
      <c r="N32" s="406">
        <f t="shared" si="58"/>
        <v>15.623833301061993</v>
      </c>
      <c r="O32" s="406">
        <f t="shared" si="58"/>
        <v>20.310983291380591</v>
      </c>
      <c r="P32" s="406">
        <f t="shared" si="58"/>
        <v>114.79850325259397</v>
      </c>
      <c r="Q32" s="397"/>
      <c r="R32" s="702">
        <f t="shared" si="58"/>
        <v>0.8500000000000002</v>
      </c>
      <c r="S32" s="702">
        <f t="shared" si="58"/>
        <v>1.3700000000000006</v>
      </c>
      <c r="T32" s="702">
        <f t="shared" si="58"/>
        <v>0.52000000000000013</v>
      </c>
      <c r="U32" s="702">
        <f t="shared" si="58"/>
        <v>0.22000000000000006</v>
      </c>
      <c r="V32" s="702">
        <f t="shared" si="58"/>
        <v>0.18</v>
      </c>
      <c r="W32" s="702">
        <f t="shared" si="58"/>
        <v>0.14000000000000001</v>
      </c>
      <c r="X32" s="702">
        <f t="shared" si="58"/>
        <v>0.19000000000000006</v>
      </c>
      <c r="Y32" s="702">
        <f t="shared" si="58"/>
        <v>288.86399999999998</v>
      </c>
      <c r="Z32" s="702">
        <f t="shared" si="58"/>
        <v>3042.4640000000004</v>
      </c>
      <c r="AA32" s="702">
        <f t="shared" si="58"/>
        <v>0</v>
      </c>
      <c r="AB32" s="702">
        <f t="shared" si="58"/>
        <v>0</v>
      </c>
      <c r="AC32" s="702">
        <f t="shared" si="58"/>
        <v>0</v>
      </c>
      <c r="AD32" s="702">
        <f t="shared" si="58"/>
        <v>3334.7980000000002</v>
      </c>
      <c r="AE32" s="396"/>
      <c r="AF32" s="397"/>
      <c r="AG32" s="406">
        <f t="shared" ref="AG32:AS32" si="59">SUM(AG30:AG31)</f>
        <v>-4.9916587246432549</v>
      </c>
      <c r="AH32" s="406">
        <f t="shared" si="59"/>
        <v>-3.7635820742904937</v>
      </c>
      <c r="AI32" s="406">
        <f t="shared" si="59"/>
        <v>-5.6402984891485932</v>
      </c>
      <c r="AJ32" s="406">
        <f t="shared" si="59"/>
        <v>-7.4803731114357426</v>
      </c>
      <c r="AK32" s="406">
        <f t="shared" si="59"/>
        <v>-7.2123581869783111</v>
      </c>
      <c r="AL32" s="406">
        <f t="shared" si="59"/>
        <v>-7.4002053507178776</v>
      </c>
      <c r="AM32" s="406">
        <f t="shared" si="59"/>
        <v>-7.7272156182537728</v>
      </c>
      <c r="AN32" s="406">
        <f t="shared" si="59"/>
        <v>280.15506281992083</v>
      </c>
      <c r="AO32" s="406">
        <f t="shared" si="59"/>
        <v>3032.0132753839052</v>
      </c>
      <c r="AP32" s="406">
        <f t="shared" si="59"/>
        <v>-12.018333308509227</v>
      </c>
      <c r="AQ32" s="406">
        <f t="shared" si="59"/>
        <v>-15.623833301061993</v>
      </c>
      <c r="AR32" s="406">
        <f t="shared" si="59"/>
        <v>-20.310983291380591</v>
      </c>
      <c r="AS32" s="406">
        <f t="shared" si="59"/>
        <v>3219.9994967474063</v>
      </c>
      <c r="AT32" s="397"/>
      <c r="AU32" s="364">
        <f t="shared" si="55"/>
        <v>0.14550661722401612</v>
      </c>
      <c r="AV32" s="364">
        <f t="shared" si="55"/>
        <v>0.26687018541324214</v>
      </c>
      <c r="AW32" s="364">
        <f t="shared" si="55"/>
        <v>8.4411494169638626E-2</v>
      </c>
      <c r="AX32" s="364">
        <f t="shared" si="55"/>
        <v>2.8570044180493071E-2</v>
      </c>
      <c r="AY32" s="364">
        <f t="shared" si="55"/>
        <v>2.4349469472011141E-2</v>
      </c>
      <c r="AZ32" s="364">
        <f t="shared" si="55"/>
        <v>1.8567133584322222E-2</v>
      </c>
      <c r="BA32" s="364">
        <f t="shared" si="55"/>
        <v>2.3998335925314435E-2</v>
      </c>
      <c r="BB32" s="364">
        <f t="shared" si="55"/>
        <v>33.168685687703473</v>
      </c>
      <c r="BC32" s="364">
        <f t="shared" si="55"/>
        <v>291.12469343172194</v>
      </c>
      <c r="BD32" s="364">
        <f t="shared" si="55"/>
        <v>0</v>
      </c>
      <c r="BE32" s="364">
        <f>AB32/N32</f>
        <v>0</v>
      </c>
      <c r="BF32" s="364">
        <f t="shared" si="55"/>
        <v>0</v>
      </c>
      <c r="BG32" s="364">
        <f t="shared" si="55"/>
        <v>29.049141805118854</v>
      </c>
      <c r="BI32" s="407">
        <f>SUM(BI30:BI31)</f>
        <v>17.135539288082342</v>
      </c>
      <c r="BJ32" s="407">
        <f>SUM(BJ30:BJ31)</f>
        <v>22.632936649131931</v>
      </c>
      <c r="BK32" s="407">
        <f>SUM(BK30:BK31)</f>
        <v>27.076877414427905</v>
      </c>
      <c r="BL32" s="407">
        <f>SUM(BL30:BL31)</f>
        <v>47.953149900951814</v>
      </c>
      <c r="BM32" s="407">
        <f>SUM(BM30:BM31)</f>
        <v>114.798503252594</v>
      </c>
      <c r="BO32" s="407">
        <f>SUM(BO30:BO31)</f>
        <v>2.7400000000000007</v>
      </c>
      <c r="BP32" s="407">
        <f>SUM(BP30:BP31)</f>
        <v>0.54</v>
      </c>
      <c r="BQ32" s="407">
        <f>SUM(BQ30:BQ31)</f>
        <v>3331.5180000000005</v>
      </c>
      <c r="BR32" s="407">
        <f>SUM(BR30:BR31)</f>
        <v>0</v>
      </c>
      <c r="BS32" s="407">
        <f>SUM(BS30:BS31)</f>
        <v>3334.7980000000002</v>
      </c>
      <c r="BU32" s="366">
        <f t="shared" si="56"/>
        <v>0.15990159130303258</v>
      </c>
      <c r="BV32" s="366">
        <f t="shared" si="56"/>
        <v>2.3859033777691916E-2</v>
      </c>
      <c r="BW32" s="366">
        <f t="shared" si="56"/>
        <v>123.03922453867602</v>
      </c>
      <c r="BX32" s="366">
        <f t="shared" si="56"/>
        <v>0</v>
      </c>
      <c r="BY32" s="366">
        <f t="shared" si="56"/>
        <v>29.049141805118847</v>
      </c>
      <c r="CA32" s="327">
        <f t="shared" si="57"/>
        <v>2.8570044180493071E-2</v>
      </c>
      <c r="CB32" s="327">
        <f t="shared" si="57"/>
        <v>2.4349469472011141E-2</v>
      </c>
    </row>
    <row r="33" spans="1:80" ht="15.75" thickTop="1">
      <c r="A33" s="879"/>
      <c r="B33" s="340"/>
      <c r="C33" s="395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/>
      <c r="Q33" s="397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7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7"/>
      <c r="AU33" s="344"/>
      <c r="AV33" s="344"/>
      <c r="AW33" s="344"/>
      <c r="AX33" s="344"/>
      <c r="AY33" s="344"/>
      <c r="AZ33" s="344"/>
      <c r="BA33" s="344"/>
      <c r="BB33" s="344"/>
      <c r="BC33" s="344"/>
      <c r="BD33" s="344"/>
      <c r="BE33" s="344"/>
      <c r="BF33" s="344"/>
      <c r="BG33" s="344"/>
      <c r="BI33" s="399"/>
      <c r="BJ33" s="399"/>
      <c r="BK33" s="399"/>
      <c r="BL33" s="399"/>
      <c r="BM33" s="399"/>
      <c r="BO33" s="399"/>
      <c r="BP33" s="399"/>
      <c r="BQ33" s="399"/>
      <c r="BR33" s="399"/>
      <c r="BS33" s="399"/>
      <c r="BU33" s="346"/>
      <c r="BV33" s="346"/>
      <c r="BW33" s="346"/>
      <c r="BX33" s="346"/>
      <c r="BY33" s="346"/>
      <c r="CA33" s="327"/>
      <c r="CB33" s="327"/>
    </row>
    <row r="34" spans="1:80">
      <c r="A34" s="879"/>
      <c r="B34" s="340" t="s">
        <v>68</v>
      </c>
      <c r="C34" s="395"/>
      <c r="D34" s="396">
        <f t="shared" ref="D34:O34" si="60">D9*D59</f>
        <v>18192.2575176719</v>
      </c>
      <c r="E34" s="396">
        <f t="shared" si="60"/>
        <v>15987.145344458702</v>
      </c>
      <c r="F34" s="396">
        <f t="shared" si="60"/>
        <v>19184.574413350445</v>
      </c>
      <c r="G34" s="396">
        <f t="shared" si="60"/>
        <v>23980.718016688057</v>
      </c>
      <c r="H34" s="396">
        <f t="shared" si="60"/>
        <v>23021.489296020529</v>
      </c>
      <c r="I34" s="396">
        <f t="shared" si="60"/>
        <v>23481.919081940941</v>
      </c>
      <c r="J34" s="396">
        <f t="shared" si="60"/>
        <v>24656.015036037996</v>
      </c>
      <c r="K34" s="396">
        <f t="shared" si="60"/>
        <v>27121.616539641793</v>
      </c>
      <c r="L34" s="396">
        <f t="shared" si="60"/>
        <v>32545.939847570153</v>
      </c>
      <c r="M34" s="396">
        <f t="shared" si="60"/>
        <v>37427.830824705663</v>
      </c>
      <c r="N34" s="396">
        <f t="shared" si="60"/>
        <v>48656.180072117357</v>
      </c>
      <c r="O34" s="396">
        <f t="shared" si="60"/>
        <v>63253.034093752583</v>
      </c>
      <c r="P34" s="396">
        <f>SUM(D34:O34)</f>
        <v>357508.72008395608</v>
      </c>
      <c r="Q34" s="397"/>
      <c r="R34" s="700">
        <f t="array" ref="R34:AC34">TRANSPOSE('TH_YouTube Performance'!Q6:Q17)</f>
        <v>10850.28</v>
      </c>
      <c r="S34" s="700">
        <v>16814.939999999999</v>
      </c>
      <c r="T34" s="700">
        <v>33332.479999999996</v>
      </c>
      <c r="U34" s="700">
        <v>32350.280000000002</v>
      </c>
      <c r="V34" s="700">
        <v>30542.560000000005</v>
      </c>
      <c r="W34" s="700">
        <v>28011.569999999996</v>
      </c>
      <c r="X34" s="700">
        <v>41863.799999999996</v>
      </c>
      <c r="Y34" s="700">
        <v>48666.327000000063</v>
      </c>
      <c r="Z34" s="700">
        <v>53181.013000000385</v>
      </c>
      <c r="AA34" s="700">
        <v>0</v>
      </c>
      <c r="AB34" s="700">
        <v>0</v>
      </c>
      <c r="AC34" s="700">
        <v>0</v>
      </c>
      <c r="AD34" s="700">
        <f>SUM(R34:AC34)</f>
        <v>295613.25000000047</v>
      </c>
      <c r="AE34" s="396"/>
      <c r="AF34" s="397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397"/>
      <c r="AU34" s="344"/>
      <c r="AV34" s="344"/>
      <c r="AW34" s="344"/>
      <c r="AX34" s="344"/>
      <c r="AY34" s="344"/>
      <c r="AZ34" s="344"/>
      <c r="BA34" s="344"/>
      <c r="BB34" s="344"/>
      <c r="BC34" s="344"/>
      <c r="BD34" s="344"/>
      <c r="BE34" s="344"/>
      <c r="BF34" s="344"/>
      <c r="BG34" s="344"/>
      <c r="BI34" s="399"/>
      <c r="BJ34" s="399"/>
      <c r="BK34" s="399"/>
      <c r="BL34" s="399"/>
      <c r="BM34" s="399"/>
      <c r="BO34" s="399"/>
      <c r="BP34" s="399"/>
      <c r="BQ34" s="399"/>
      <c r="BR34" s="399"/>
      <c r="BS34" s="399"/>
      <c r="BU34" s="346"/>
      <c r="BV34" s="346"/>
      <c r="BW34" s="346"/>
      <c r="BX34" s="346"/>
      <c r="BY34" s="346"/>
      <c r="CA34" s="327"/>
      <c r="CB34" s="327"/>
    </row>
    <row r="35" spans="1:80">
      <c r="A35" s="879"/>
      <c r="B35" s="347" t="s">
        <v>69</v>
      </c>
      <c r="C35" s="395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7"/>
      <c r="R35" s="701">
        <f t="array" ref="R35:AC35">TRANSPOSE('TH_YouTube Performance'!Z6:Z17)</f>
        <v>894.5</v>
      </c>
      <c r="S35" s="701">
        <v>1070.2599999999998</v>
      </c>
      <c r="T35" s="701">
        <v>1408.13</v>
      </c>
      <c r="U35" s="701">
        <v>965.81999999999948</v>
      </c>
      <c r="V35" s="701">
        <v>1376.2800000000002</v>
      </c>
      <c r="W35" s="701">
        <v>2393.6899999999996</v>
      </c>
      <c r="X35" s="701">
        <v>3531.6299999999997</v>
      </c>
      <c r="Y35" s="701">
        <v>6106.0669999996353</v>
      </c>
      <c r="Z35" s="701">
        <v>8611.6899999995239</v>
      </c>
      <c r="AA35" s="701">
        <v>0</v>
      </c>
      <c r="AB35" s="701">
        <v>0</v>
      </c>
      <c r="AC35" s="701">
        <v>0</v>
      </c>
      <c r="AD35" s="701">
        <f>SUM(R35:AC35)</f>
        <v>26358.066999999159</v>
      </c>
      <c r="AE35" s="396"/>
      <c r="AF35" s="397"/>
      <c r="AG35" s="396"/>
      <c r="AH35" s="396"/>
      <c r="AI35" s="396"/>
      <c r="AJ35" s="396"/>
      <c r="AK35" s="396"/>
      <c r="AL35" s="396"/>
      <c r="AM35" s="396"/>
      <c r="AN35" s="396"/>
      <c r="AO35" s="396"/>
      <c r="AP35" s="396"/>
      <c r="AQ35" s="396"/>
      <c r="AR35" s="396"/>
      <c r="AS35" s="396"/>
      <c r="AT35" s="397"/>
      <c r="AU35" s="344"/>
      <c r="AV35" s="344"/>
      <c r="AW35" s="344"/>
      <c r="AX35" s="344"/>
      <c r="AY35" s="344"/>
      <c r="AZ35" s="344"/>
      <c r="BA35" s="344"/>
      <c r="BB35" s="344"/>
      <c r="BC35" s="344"/>
      <c r="BD35" s="344"/>
      <c r="BE35" s="344"/>
      <c r="BF35" s="344"/>
      <c r="BG35" s="344"/>
      <c r="BI35" s="399"/>
      <c r="BJ35" s="399"/>
      <c r="BK35" s="399"/>
      <c r="BL35" s="399"/>
      <c r="BM35" s="399"/>
      <c r="BO35" s="399"/>
      <c r="BP35" s="399"/>
      <c r="BQ35" s="399"/>
      <c r="BR35" s="399"/>
      <c r="BS35" s="399"/>
      <c r="BU35" s="346"/>
      <c r="BV35" s="346"/>
      <c r="BW35" s="346"/>
      <c r="BX35" s="346"/>
      <c r="BY35" s="346"/>
      <c r="CA35" s="327"/>
      <c r="CB35" s="327"/>
    </row>
    <row r="36" spans="1:80" ht="15.75" thickBot="1">
      <c r="A36" s="879"/>
      <c r="B36" s="354" t="s">
        <v>71</v>
      </c>
      <c r="C36" s="405"/>
      <c r="D36" s="406">
        <f>SUM(D34:D35)</f>
        <v>18192.2575176719</v>
      </c>
      <c r="E36" s="406">
        <f t="shared" ref="E36:P36" si="61">SUM(E34:E35)</f>
        <v>15987.145344458702</v>
      </c>
      <c r="F36" s="406">
        <f t="shared" si="61"/>
        <v>19184.574413350445</v>
      </c>
      <c r="G36" s="406">
        <f t="shared" si="61"/>
        <v>23980.718016688057</v>
      </c>
      <c r="H36" s="406">
        <f t="shared" si="61"/>
        <v>23021.489296020529</v>
      </c>
      <c r="I36" s="406">
        <f t="shared" si="61"/>
        <v>23481.919081940941</v>
      </c>
      <c r="J36" s="406">
        <f t="shared" si="61"/>
        <v>24656.015036037996</v>
      </c>
      <c r="K36" s="406">
        <f t="shared" si="61"/>
        <v>27121.616539641793</v>
      </c>
      <c r="L36" s="406">
        <f t="shared" si="61"/>
        <v>32545.939847570153</v>
      </c>
      <c r="M36" s="406">
        <f t="shared" si="61"/>
        <v>37427.830824705663</v>
      </c>
      <c r="N36" s="406">
        <f t="shared" si="61"/>
        <v>48656.180072117357</v>
      </c>
      <c r="O36" s="406">
        <f t="shared" si="61"/>
        <v>63253.034093752583</v>
      </c>
      <c r="P36" s="406">
        <f t="shared" si="61"/>
        <v>357508.72008395608</v>
      </c>
      <c r="Q36" s="397"/>
      <c r="R36" s="702">
        <f t="shared" ref="R36:AD36" si="62">SUM(R34:R35)</f>
        <v>11744.78</v>
      </c>
      <c r="S36" s="702">
        <f t="shared" si="62"/>
        <v>17885.199999999997</v>
      </c>
      <c r="T36" s="702">
        <f t="shared" si="62"/>
        <v>34740.609999999993</v>
      </c>
      <c r="U36" s="702">
        <f t="shared" si="62"/>
        <v>33316.1</v>
      </c>
      <c r="V36" s="702">
        <f t="shared" si="62"/>
        <v>31918.840000000004</v>
      </c>
      <c r="W36" s="702">
        <f t="shared" si="62"/>
        <v>30405.259999999995</v>
      </c>
      <c r="X36" s="702">
        <f t="shared" si="62"/>
        <v>45395.429999999993</v>
      </c>
      <c r="Y36" s="702">
        <f t="shared" si="62"/>
        <v>54772.393999999695</v>
      </c>
      <c r="Z36" s="702">
        <f t="shared" si="62"/>
        <v>61792.702999999907</v>
      </c>
      <c r="AA36" s="702">
        <f t="shared" si="62"/>
        <v>0</v>
      </c>
      <c r="AB36" s="702">
        <f t="shared" si="62"/>
        <v>0</v>
      </c>
      <c r="AC36" s="702">
        <f t="shared" si="62"/>
        <v>0</v>
      </c>
      <c r="AD36" s="702">
        <f t="shared" si="62"/>
        <v>321971.31699999963</v>
      </c>
      <c r="AE36" s="396"/>
      <c r="AF36" s="397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7"/>
      <c r="AU36" s="344"/>
      <c r="AV36" s="344"/>
      <c r="AW36" s="344"/>
      <c r="AX36" s="344"/>
      <c r="AY36" s="344"/>
      <c r="AZ36" s="344"/>
      <c r="BA36" s="344"/>
      <c r="BB36" s="344"/>
      <c r="BC36" s="344"/>
      <c r="BD36" s="344"/>
      <c r="BE36" s="344"/>
      <c r="BF36" s="344"/>
      <c r="BG36" s="344"/>
      <c r="BI36" s="399"/>
      <c r="BJ36" s="399"/>
      <c r="BK36" s="399"/>
      <c r="BL36" s="399"/>
      <c r="BM36" s="399"/>
      <c r="BO36" s="399"/>
      <c r="BP36" s="399"/>
      <c r="BQ36" s="399"/>
      <c r="BR36" s="399"/>
      <c r="BS36" s="399"/>
      <c r="BU36" s="346"/>
      <c r="BV36" s="346"/>
      <c r="BW36" s="346"/>
      <c r="BX36" s="346"/>
      <c r="BY36" s="346"/>
      <c r="CA36" s="327"/>
      <c r="CB36" s="327"/>
    </row>
    <row r="37" spans="1:80" ht="15.75" thickTop="1">
      <c r="A37" s="879"/>
      <c r="B37" s="368"/>
      <c r="C37" s="408"/>
      <c r="D37" s="409"/>
      <c r="E37" s="409"/>
      <c r="F37" s="409"/>
      <c r="G37" s="409"/>
      <c r="H37" s="409"/>
      <c r="I37" s="409"/>
      <c r="J37" s="409"/>
      <c r="K37" s="409"/>
      <c r="L37" s="409"/>
      <c r="M37" s="409"/>
      <c r="N37" s="409"/>
      <c r="O37" s="409"/>
      <c r="P37" s="409"/>
      <c r="Q37" s="371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G37" s="410"/>
      <c r="AH37" s="410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U37" s="376"/>
      <c r="AV37" s="376"/>
      <c r="AW37" s="376"/>
      <c r="AX37" s="376"/>
      <c r="AY37" s="376"/>
      <c r="AZ37" s="376"/>
      <c r="BA37" s="376"/>
      <c r="BB37" s="376"/>
      <c r="BC37" s="376"/>
      <c r="BD37" s="376"/>
      <c r="BE37" s="376"/>
      <c r="BF37" s="376"/>
      <c r="BG37" s="376"/>
      <c r="BI37" s="372"/>
      <c r="BJ37" s="372"/>
      <c r="BK37" s="372"/>
      <c r="BL37" s="372"/>
      <c r="BM37" s="372"/>
      <c r="BS37" s="372"/>
      <c r="BU37" s="411"/>
      <c r="BV37" s="411"/>
      <c r="BW37" s="411"/>
      <c r="BX37" s="411"/>
      <c r="BY37" s="411"/>
    </row>
    <row r="38" spans="1:80">
      <c r="A38" s="879"/>
      <c r="B38" s="340" t="s">
        <v>68</v>
      </c>
      <c r="C38" s="395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7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>
        <f>SUM(R38:AC38)</f>
        <v>0</v>
      </c>
      <c r="AE38" s="396"/>
      <c r="AF38" s="397"/>
      <c r="AG38" s="396">
        <f t="shared" ref="AG38:AR39" si="63">R38-D38</f>
        <v>0</v>
      </c>
      <c r="AH38" s="396">
        <f t="shared" si="63"/>
        <v>0</v>
      </c>
      <c r="AI38" s="396">
        <f t="shared" si="63"/>
        <v>0</v>
      </c>
      <c r="AJ38" s="396">
        <f t="shared" si="63"/>
        <v>0</v>
      </c>
      <c r="AK38" s="396">
        <f t="shared" si="63"/>
        <v>0</v>
      </c>
      <c r="AL38" s="396">
        <f t="shared" si="63"/>
        <v>0</v>
      </c>
      <c r="AM38" s="396">
        <f t="shared" si="63"/>
        <v>0</v>
      </c>
      <c r="AN38" s="396">
        <f t="shared" si="63"/>
        <v>0</v>
      </c>
      <c r="AO38" s="396">
        <f t="shared" si="63"/>
        <v>0</v>
      </c>
      <c r="AP38" s="396">
        <f t="shared" si="63"/>
        <v>0</v>
      </c>
      <c r="AQ38" s="396">
        <f>AB38-N38</f>
        <v>0</v>
      </c>
      <c r="AR38" s="396">
        <f t="shared" si="63"/>
        <v>0</v>
      </c>
      <c r="AS38" s="396">
        <f>SUM(AG38:AR38)</f>
        <v>0</v>
      </c>
      <c r="AT38" s="397"/>
      <c r="AU38" s="344" t="e">
        <f t="shared" ref="AU38:BG40" si="64">R38/D38</f>
        <v>#DIV/0!</v>
      </c>
      <c r="AV38" s="344" t="e">
        <f t="shared" si="64"/>
        <v>#DIV/0!</v>
      </c>
      <c r="AW38" s="344" t="e">
        <f t="shared" si="64"/>
        <v>#DIV/0!</v>
      </c>
      <c r="AX38" s="344" t="e">
        <f t="shared" si="64"/>
        <v>#DIV/0!</v>
      </c>
      <c r="AY38" s="344" t="e">
        <f t="shared" si="64"/>
        <v>#DIV/0!</v>
      </c>
      <c r="AZ38" s="344" t="e">
        <f t="shared" si="64"/>
        <v>#DIV/0!</v>
      </c>
      <c r="BA38" s="344" t="e">
        <f t="shared" si="64"/>
        <v>#DIV/0!</v>
      </c>
      <c r="BB38" s="344" t="e">
        <f t="shared" si="64"/>
        <v>#DIV/0!</v>
      </c>
      <c r="BC38" s="344" t="e">
        <f t="shared" si="64"/>
        <v>#DIV/0!</v>
      </c>
      <c r="BD38" s="344" t="e">
        <f t="shared" si="64"/>
        <v>#DIV/0!</v>
      </c>
      <c r="BE38" s="344" t="e">
        <f>AB38/N38</f>
        <v>#DIV/0!</v>
      </c>
      <c r="BF38" s="344" t="e">
        <f t="shared" si="64"/>
        <v>#DIV/0!</v>
      </c>
      <c r="BG38" s="344" t="e">
        <f t="shared" si="64"/>
        <v>#DIV/0!</v>
      </c>
      <c r="BI38" s="399">
        <f>SUM(D38:F38)</f>
        <v>0</v>
      </c>
      <c r="BJ38" s="399">
        <f>SUM(G38:I38)</f>
        <v>0</v>
      </c>
      <c r="BK38" s="399">
        <f>SUM(J38:L38)</f>
        <v>0</v>
      </c>
      <c r="BL38" s="399">
        <f>SUM(M38:O38)</f>
        <v>0</v>
      </c>
      <c r="BM38" s="399">
        <f>SUM(BI38:BL38)</f>
        <v>0</v>
      </c>
      <c r="BO38" s="399">
        <f>SUM(R38:T38)</f>
        <v>0</v>
      </c>
      <c r="BP38" s="399">
        <f>SUM(U38:W38)</f>
        <v>0</v>
      </c>
      <c r="BQ38" s="399">
        <f>SUM(X38:Z38)</f>
        <v>0</v>
      </c>
      <c r="BR38" s="399">
        <f>SUM(AA38:AC38)</f>
        <v>0</v>
      </c>
      <c r="BS38" s="399">
        <f>SUM(BO38:BR38)</f>
        <v>0</v>
      </c>
      <c r="BU38" s="346" t="e">
        <f t="shared" ref="BU38:BY40" si="65">BO38/BI38</f>
        <v>#DIV/0!</v>
      </c>
      <c r="BV38" s="346" t="e">
        <f t="shared" si="65"/>
        <v>#DIV/0!</v>
      </c>
      <c r="BW38" s="346" t="e">
        <f t="shared" si="65"/>
        <v>#DIV/0!</v>
      </c>
      <c r="BX38" s="346" t="e">
        <f t="shared" si="65"/>
        <v>#DIV/0!</v>
      </c>
      <c r="BY38" s="346" t="e">
        <f t="shared" si="65"/>
        <v>#DIV/0!</v>
      </c>
      <c r="CA38" s="327" t="e">
        <f t="shared" ref="CA38:CB40" si="66">U38/G38</f>
        <v>#DIV/0!</v>
      </c>
      <c r="CB38" s="327" t="e">
        <f t="shared" si="66"/>
        <v>#DIV/0!</v>
      </c>
    </row>
    <row r="39" spans="1:80">
      <c r="A39" s="879"/>
      <c r="B39" s="347" t="s">
        <v>69</v>
      </c>
      <c r="C39" s="402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397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>
        <f>SUM(R39:AC39)</f>
        <v>0</v>
      </c>
      <c r="AE39" s="396"/>
      <c r="AF39" s="397"/>
      <c r="AG39" s="403">
        <f t="shared" si="63"/>
        <v>0</v>
      </c>
      <c r="AH39" s="403">
        <f t="shared" si="63"/>
        <v>0</v>
      </c>
      <c r="AI39" s="403">
        <f t="shared" si="63"/>
        <v>0</v>
      </c>
      <c r="AJ39" s="403">
        <f t="shared" si="63"/>
        <v>0</v>
      </c>
      <c r="AK39" s="403">
        <f t="shared" si="63"/>
        <v>0</v>
      </c>
      <c r="AL39" s="403">
        <f t="shared" si="63"/>
        <v>0</v>
      </c>
      <c r="AM39" s="403">
        <f t="shared" si="63"/>
        <v>0</v>
      </c>
      <c r="AN39" s="403">
        <f t="shared" si="63"/>
        <v>0</v>
      </c>
      <c r="AO39" s="403">
        <f t="shared" si="63"/>
        <v>0</v>
      </c>
      <c r="AP39" s="403">
        <f t="shared" si="63"/>
        <v>0</v>
      </c>
      <c r="AQ39" s="403">
        <f>AB39-N39</f>
        <v>0</v>
      </c>
      <c r="AR39" s="403">
        <f t="shared" si="63"/>
        <v>0</v>
      </c>
      <c r="AS39" s="403">
        <f>SUM(AG39:AR39)</f>
        <v>0</v>
      </c>
      <c r="AT39" s="397"/>
      <c r="AU39" s="351" t="e">
        <f t="shared" si="64"/>
        <v>#DIV/0!</v>
      </c>
      <c r="AV39" s="351" t="e">
        <f t="shared" si="64"/>
        <v>#DIV/0!</v>
      </c>
      <c r="AW39" s="351" t="e">
        <f t="shared" si="64"/>
        <v>#DIV/0!</v>
      </c>
      <c r="AX39" s="351" t="e">
        <f t="shared" si="64"/>
        <v>#DIV/0!</v>
      </c>
      <c r="AY39" s="351" t="e">
        <f t="shared" si="64"/>
        <v>#DIV/0!</v>
      </c>
      <c r="AZ39" s="351" t="e">
        <f t="shared" si="64"/>
        <v>#DIV/0!</v>
      </c>
      <c r="BA39" s="351" t="e">
        <f t="shared" si="64"/>
        <v>#DIV/0!</v>
      </c>
      <c r="BB39" s="351" t="e">
        <f t="shared" si="64"/>
        <v>#DIV/0!</v>
      </c>
      <c r="BC39" s="351" t="e">
        <f t="shared" si="64"/>
        <v>#DIV/0!</v>
      </c>
      <c r="BD39" s="351" t="e">
        <f t="shared" si="64"/>
        <v>#DIV/0!</v>
      </c>
      <c r="BE39" s="351" t="e">
        <f>AB39/N39</f>
        <v>#DIV/0!</v>
      </c>
      <c r="BF39" s="351" t="e">
        <f t="shared" si="64"/>
        <v>#DIV/0!</v>
      </c>
      <c r="BG39" s="351" t="e">
        <f t="shared" si="64"/>
        <v>#DIV/0!</v>
      </c>
      <c r="BI39" s="404">
        <f>SUM(D39:F39)</f>
        <v>0</v>
      </c>
      <c r="BJ39" s="404">
        <f>SUM(G39:I39)</f>
        <v>0</v>
      </c>
      <c r="BK39" s="404">
        <f>SUM(J39:L39)</f>
        <v>0</v>
      </c>
      <c r="BL39" s="404">
        <f>SUM(M39:O39)</f>
        <v>0</v>
      </c>
      <c r="BM39" s="399">
        <f>SUM(BI39:BL39)</f>
        <v>0</v>
      </c>
      <c r="BO39" s="404">
        <f>SUM(R39:T39)</f>
        <v>0</v>
      </c>
      <c r="BP39" s="404">
        <f>SUM(U39:W39)</f>
        <v>0</v>
      </c>
      <c r="BQ39" s="404">
        <f>SUM(X39:Z39)</f>
        <v>0</v>
      </c>
      <c r="BR39" s="404">
        <f>SUM(AA39:AC39)</f>
        <v>0</v>
      </c>
      <c r="BS39" s="399">
        <f>SUM(BO39:BR39)</f>
        <v>0</v>
      </c>
      <c r="BU39" s="353" t="e">
        <f t="shared" si="65"/>
        <v>#DIV/0!</v>
      </c>
      <c r="BV39" s="353" t="e">
        <f t="shared" si="65"/>
        <v>#DIV/0!</v>
      </c>
      <c r="BW39" s="353" t="e">
        <f t="shared" si="65"/>
        <v>#DIV/0!</v>
      </c>
      <c r="BX39" s="353" t="e">
        <f t="shared" si="65"/>
        <v>#DIV/0!</v>
      </c>
      <c r="BY39" s="353" t="e">
        <f t="shared" si="65"/>
        <v>#DIV/0!</v>
      </c>
      <c r="CA39" s="327" t="e">
        <f t="shared" si="66"/>
        <v>#DIV/0!</v>
      </c>
      <c r="CB39" s="327" t="e">
        <f t="shared" si="66"/>
        <v>#DIV/0!</v>
      </c>
    </row>
    <row r="40" spans="1:80" ht="15.75" thickBot="1">
      <c r="A40" s="879"/>
      <c r="B40" s="354" t="s">
        <v>72</v>
      </c>
      <c r="C40" s="405"/>
      <c r="D40" s="406">
        <f>SUM(D38:D39)</f>
        <v>0</v>
      </c>
      <c r="E40" s="406">
        <f t="shared" ref="E40:P40" si="67">SUM(E38:E39)</f>
        <v>0</v>
      </c>
      <c r="F40" s="406">
        <f t="shared" si="67"/>
        <v>0</v>
      </c>
      <c r="G40" s="406">
        <f t="shared" si="67"/>
        <v>0</v>
      </c>
      <c r="H40" s="406">
        <f t="shared" si="67"/>
        <v>0</v>
      </c>
      <c r="I40" s="406">
        <f t="shared" si="67"/>
        <v>0</v>
      </c>
      <c r="J40" s="406">
        <f t="shared" si="67"/>
        <v>0</v>
      </c>
      <c r="K40" s="406">
        <f t="shared" si="67"/>
        <v>0</v>
      </c>
      <c r="L40" s="406">
        <f t="shared" si="67"/>
        <v>0</v>
      </c>
      <c r="M40" s="406">
        <f t="shared" si="67"/>
        <v>0</v>
      </c>
      <c r="N40" s="406">
        <f t="shared" si="67"/>
        <v>0</v>
      </c>
      <c r="O40" s="406">
        <f t="shared" si="67"/>
        <v>0</v>
      </c>
      <c r="P40" s="406">
        <f t="shared" si="67"/>
        <v>0</v>
      </c>
      <c r="Q40" s="397"/>
      <c r="R40" s="406">
        <f t="shared" ref="R40:AD40" si="68">SUM(R38:R39)</f>
        <v>0</v>
      </c>
      <c r="S40" s="406">
        <f t="shared" si="68"/>
        <v>0</v>
      </c>
      <c r="T40" s="406">
        <f t="shared" si="68"/>
        <v>0</v>
      </c>
      <c r="U40" s="406">
        <f t="shared" si="68"/>
        <v>0</v>
      </c>
      <c r="V40" s="406">
        <f t="shared" si="68"/>
        <v>0</v>
      </c>
      <c r="W40" s="406">
        <f t="shared" si="68"/>
        <v>0</v>
      </c>
      <c r="X40" s="406">
        <f t="shared" si="68"/>
        <v>0</v>
      </c>
      <c r="Y40" s="406">
        <f t="shared" si="68"/>
        <v>0</v>
      </c>
      <c r="Z40" s="406">
        <f t="shared" si="68"/>
        <v>0</v>
      </c>
      <c r="AA40" s="406">
        <f t="shared" si="68"/>
        <v>0</v>
      </c>
      <c r="AB40" s="406">
        <f t="shared" si="68"/>
        <v>0</v>
      </c>
      <c r="AC40" s="406">
        <f t="shared" si="68"/>
        <v>0</v>
      </c>
      <c r="AD40" s="406">
        <f t="shared" si="68"/>
        <v>0</v>
      </c>
      <c r="AE40" s="396"/>
      <c r="AF40" s="397"/>
      <c r="AG40" s="406">
        <f t="shared" ref="AG40:AS40" si="69">SUM(AG38:AG39)</f>
        <v>0</v>
      </c>
      <c r="AH40" s="406">
        <f t="shared" si="69"/>
        <v>0</v>
      </c>
      <c r="AI40" s="406">
        <f t="shared" si="69"/>
        <v>0</v>
      </c>
      <c r="AJ40" s="406">
        <f t="shared" si="69"/>
        <v>0</v>
      </c>
      <c r="AK40" s="406">
        <f t="shared" si="69"/>
        <v>0</v>
      </c>
      <c r="AL40" s="406">
        <f t="shared" si="69"/>
        <v>0</v>
      </c>
      <c r="AM40" s="406">
        <f t="shared" si="69"/>
        <v>0</v>
      </c>
      <c r="AN40" s="406">
        <f t="shared" si="69"/>
        <v>0</v>
      </c>
      <c r="AO40" s="406">
        <f t="shared" si="69"/>
        <v>0</v>
      </c>
      <c r="AP40" s="406">
        <f t="shared" si="69"/>
        <v>0</v>
      </c>
      <c r="AQ40" s="406">
        <f t="shared" si="69"/>
        <v>0</v>
      </c>
      <c r="AR40" s="406">
        <f t="shared" si="69"/>
        <v>0</v>
      </c>
      <c r="AS40" s="406">
        <f t="shared" si="69"/>
        <v>0</v>
      </c>
      <c r="AT40" s="397"/>
      <c r="AU40" s="364" t="e">
        <f t="shared" si="64"/>
        <v>#DIV/0!</v>
      </c>
      <c r="AV40" s="364" t="e">
        <f t="shared" si="64"/>
        <v>#DIV/0!</v>
      </c>
      <c r="AW40" s="364" t="e">
        <f t="shared" si="64"/>
        <v>#DIV/0!</v>
      </c>
      <c r="AX40" s="364" t="e">
        <f t="shared" si="64"/>
        <v>#DIV/0!</v>
      </c>
      <c r="AY40" s="364" t="e">
        <f t="shared" si="64"/>
        <v>#DIV/0!</v>
      </c>
      <c r="AZ40" s="364" t="e">
        <f t="shared" si="64"/>
        <v>#DIV/0!</v>
      </c>
      <c r="BA40" s="364" t="e">
        <f t="shared" si="64"/>
        <v>#DIV/0!</v>
      </c>
      <c r="BB40" s="364" t="e">
        <f t="shared" si="64"/>
        <v>#DIV/0!</v>
      </c>
      <c r="BC40" s="364" t="e">
        <f t="shared" si="64"/>
        <v>#DIV/0!</v>
      </c>
      <c r="BD40" s="364" t="e">
        <f t="shared" si="64"/>
        <v>#DIV/0!</v>
      </c>
      <c r="BE40" s="364" t="e">
        <f>AB40/N40</f>
        <v>#DIV/0!</v>
      </c>
      <c r="BF40" s="364" t="e">
        <f t="shared" si="64"/>
        <v>#DIV/0!</v>
      </c>
      <c r="BG40" s="364" t="e">
        <f t="shared" si="64"/>
        <v>#DIV/0!</v>
      </c>
      <c r="BI40" s="407">
        <f>SUM(BI38:BI39)</f>
        <v>0</v>
      </c>
      <c r="BJ40" s="407">
        <f>SUM(BJ38:BJ39)</f>
        <v>0</v>
      </c>
      <c r="BK40" s="407">
        <f>SUM(BK38:BK39)</f>
        <v>0</v>
      </c>
      <c r="BL40" s="407">
        <f>SUM(BL38:BL39)</f>
        <v>0</v>
      </c>
      <c r="BM40" s="407">
        <f>SUM(BM38:BM39)</f>
        <v>0</v>
      </c>
      <c r="BO40" s="407">
        <f>SUM(BO38:BO39)</f>
        <v>0</v>
      </c>
      <c r="BP40" s="407">
        <f>SUM(BP38:BP39)</f>
        <v>0</v>
      </c>
      <c r="BQ40" s="407">
        <f>SUM(BQ38:BQ39)</f>
        <v>0</v>
      </c>
      <c r="BR40" s="407">
        <f>SUM(BR38:BR39)</f>
        <v>0</v>
      </c>
      <c r="BS40" s="407">
        <f>SUM(BS38:BS39)</f>
        <v>0</v>
      </c>
      <c r="BU40" s="366" t="e">
        <f t="shared" si="65"/>
        <v>#DIV/0!</v>
      </c>
      <c r="BV40" s="366" t="e">
        <f t="shared" si="65"/>
        <v>#DIV/0!</v>
      </c>
      <c r="BW40" s="366" t="e">
        <f t="shared" si="65"/>
        <v>#DIV/0!</v>
      </c>
      <c r="BX40" s="366" t="e">
        <f t="shared" si="65"/>
        <v>#DIV/0!</v>
      </c>
      <c r="BY40" s="366" t="e">
        <f t="shared" si="65"/>
        <v>#DIV/0!</v>
      </c>
      <c r="CA40" s="327" t="e">
        <f t="shared" si="66"/>
        <v>#DIV/0!</v>
      </c>
      <c r="CB40" s="327" t="e">
        <f t="shared" si="66"/>
        <v>#DIV/0!</v>
      </c>
    </row>
    <row r="41" spans="1:80" ht="16.5" thickTop="1">
      <c r="A41" s="879"/>
      <c r="B41" s="374"/>
      <c r="C41" s="341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3"/>
      <c r="P41" s="343"/>
      <c r="Q41" s="357"/>
      <c r="R41" s="360"/>
      <c r="S41" s="360"/>
      <c r="T41" s="360"/>
      <c r="U41" s="360"/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1"/>
      <c r="AG41" s="343"/>
      <c r="AH41" s="343"/>
      <c r="AI41" s="343"/>
      <c r="AJ41" s="343"/>
      <c r="AK41" s="343"/>
      <c r="AL41" s="343"/>
      <c r="AM41" s="343"/>
      <c r="AN41" s="343"/>
      <c r="AO41" s="343"/>
      <c r="AP41" s="343"/>
      <c r="AQ41" s="343"/>
      <c r="AR41" s="343"/>
      <c r="AS41" s="343"/>
      <c r="AT41" s="341"/>
      <c r="AU41" s="375"/>
      <c r="AV41" s="375"/>
      <c r="AW41" s="375"/>
      <c r="AX41" s="375"/>
      <c r="AY41" s="375"/>
      <c r="AZ41" s="375"/>
      <c r="BA41" s="375"/>
      <c r="BB41" s="375"/>
      <c r="BC41" s="375"/>
      <c r="BD41" s="375"/>
      <c r="BE41" s="375"/>
      <c r="BF41" s="375"/>
      <c r="BG41" s="375"/>
      <c r="BI41" s="345"/>
      <c r="BJ41" s="345"/>
      <c r="BK41" s="345"/>
      <c r="BL41" s="345"/>
      <c r="BM41" s="345"/>
      <c r="BO41" s="345"/>
      <c r="BP41" s="345"/>
      <c r="BQ41" s="345"/>
      <c r="BR41" s="345"/>
      <c r="BS41" s="345"/>
      <c r="BU41" s="346"/>
      <c r="BV41" s="346"/>
      <c r="BW41" s="346"/>
      <c r="BX41" s="346"/>
      <c r="BY41" s="346"/>
    </row>
    <row r="42" spans="1:80">
      <c r="A42" s="879"/>
      <c r="B42" s="340" t="s">
        <v>68</v>
      </c>
      <c r="C42" s="341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41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>
        <f>SUM(R42:AC42)</f>
        <v>0</v>
      </c>
      <c r="AE42" s="343"/>
      <c r="AF42" s="341"/>
      <c r="AG42" s="396">
        <f t="shared" ref="AG42:AR43" si="70">R42-D42</f>
        <v>0</v>
      </c>
      <c r="AH42" s="396">
        <f t="shared" si="70"/>
        <v>0</v>
      </c>
      <c r="AI42" s="396">
        <f t="shared" si="70"/>
        <v>0</v>
      </c>
      <c r="AJ42" s="396">
        <f t="shared" si="70"/>
        <v>0</v>
      </c>
      <c r="AK42" s="396">
        <f t="shared" si="70"/>
        <v>0</v>
      </c>
      <c r="AL42" s="396">
        <f t="shared" si="70"/>
        <v>0</v>
      </c>
      <c r="AM42" s="396">
        <f t="shared" si="70"/>
        <v>0</v>
      </c>
      <c r="AN42" s="396">
        <f t="shared" si="70"/>
        <v>0</v>
      </c>
      <c r="AO42" s="396">
        <f t="shared" si="70"/>
        <v>0</v>
      </c>
      <c r="AP42" s="396">
        <f t="shared" si="70"/>
        <v>0</v>
      </c>
      <c r="AQ42" s="396">
        <f>AB42-N42</f>
        <v>0</v>
      </c>
      <c r="AR42" s="396">
        <f t="shared" si="70"/>
        <v>0</v>
      </c>
      <c r="AS42" s="396">
        <f>SUM(AG42:AR42)</f>
        <v>0</v>
      </c>
      <c r="AT42" s="341"/>
      <c r="AU42" s="344" t="e">
        <f t="shared" ref="AU42:BD44" si="71">R42/D42</f>
        <v>#DIV/0!</v>
      </c>
      <c r="AV42" s="344" t="e">
        <f t="shared" si="71"/>
        <v>#DIV/0!</v>
      </c>
      <c r="AW42" s="344" t="e">
        <f t="shared" si="71"/>
        <v>#DIV/0!</v>
      </c>
      <c r="AX42" s="344" t="e">
        <f t="shared" si="71"/>
        <v>#DIV/0!</v>
      </c>
      <c r="AY42" s="344" t="e">
        <f t="shared" si="71"/>
        <v>#DIV/0!</v>
      </c>
      <c r="AZ42" s="344" t="e">
        <f t="shared" si="71"/>
        <v>#DIV/0!</v>
      </c>
      <c r="BA42" s="344" t="e">
        <f t="shared" si="71"/>
        <v>#DIV/0!</v>
      </c>
      <c r="BB42" s="344" t="e">
        <f t="shared" si="71"/>
        <v>#DIV/0!</v>
      </c>
      <c r="BC42" s="344" t="e">
        <f t="shared" si="71"/>
        <v>#DIV/0!</v>
      </c>
      <c r="BD42" s="344" t="e">
        <f t="shared" si="71"/>
        <v>#DIV/0!</v>
      </c>
      <c r="BE42" s="344" t="e">
        <f>AB42/N42</f>
        <v>#DIV/0!</v>
      </c>
      <c r="BF42" s="344" t="e">
        <f t="shared" ref="BF42:BG44" si="72">AC42/O42</f>
        <v>#DIV/0!</v>
      </c>
      <c r="BG42" s="344" t="e">
        <f t="shared" si="72"/>
        <v>#DIV/0!</v>
      </c>
      <c r="BI42" s="345">
        <f>SUM(D42:F42)</f>
        <v>0</v>
      </c>
      <c r="BJ42" s="345">
        <f>SUM(G42:I42)</f>
        <v>0</v>
      </c>
      <c r="BK42" s="345">
        <f>SUM(J42:L42)</f>
        <v>0</v>
      </c>
      <c r="BL42" s="345">
        <f>SUM(M42:O42)</f>
        <v>0</v>
      </c>
      <c r="BM42" s="345">
        <f>SUM(BI42:BL42)</f>
        <v>0</v>
      </c>
      <c r="BO42" s="412">
        <f>SUM(R42:T42)</f>
        <v>0</v>
      </c>
      <c r="BP42" s="399">
        <f>SUM(U42:W42)</f>
        <v>0</v>
      </c>
      <c r="BQ42" s="399">
        <f>SUM(X42:Z42)</f>
        <v>0</v>
      </c>
      <c r="BR42" s="345">
        <f>SUM(AA42:AC42)</f>
        <v>0</v>
      </c>
      <c r="BS42" s="345">
        <f>SUM(BO42:BR42)</f>
        <v>0</v>
      </c>
      <c r="BU42" s="346" t="e">
        <f t="shared" ref="BU42:BY44" si="73">BO42/BI42</f>
        <v>#DIV/0!</v>
      </c>
      <c r="BV42" s="346" t="e">
        <f t="shared" si="73"/>
        <v>#DIV/0!</v>
      </c>
      <c r="BW42" s="346" t="e">
        <f t="shared" si="73"/>
        <v>#DIV/0!</v>
      </c>
      <c r="BX42" s="346" t="e">
        <f t="shared" si="73"/>
        <v>#DIV/0!</v>
      </c>
      <c r="BY42" s="346" t="e">
        <f t="shared" si="73"/>
        <v>#DIV/0!</v>
      </c>
      <c r="CA42" s="327" t="e">
        <f t="shared" ref="CA42:CB44" si="74">U42/G42</f>
        <v>#DIV/0!</v>
      </c>
      <c r="CB42" s="327" t="e">
        <f t="shared" si="74"/>
        <v>#DIV/0!</v>
      </c>
    </row>
    <row r="43" spans="1:80">
      <c r="A43" s="879"/>
      <c r="B43" s="347" t="s">
        <v>69</v>
      </c>
      <c r="C43" s="348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341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>
        <f>SUM(R43:AC43)</f>
        <v>0</v>
      </c>
      <c r="AE43" s="343"/>
      <c r="AF43" s="341"/>
      <c r="AG43" s="403">
        <f t="shared" si="70"/>
        <v>0</v>
      </c>
      <c r="AH43" s="403">
        <f t="shared" si="70"/>
        <v>0</v>
      </c>
      <c r="AI43" s="403">
        <f t="shared" si="70"/>
        <v>0</v>
      </c>
      <c r="AJ43" s="403">
        <f t="shared" si="70"/>
        <v>0</v>
      </c>
      <c r="AK43" s="403">
        <f t="shared" si="70"/>
        <v>0</v>
      </c>
      <c r="AL43" s="403">
        <f t="shared" si="70"/>
        <v>0</v>
      </c>
      <c r="AM43" s="403">
        <f t="shared" si="70"/>
        <v>0</v>
      </c>
      <c r="AN43" s="403">
        <f t="shared" si="70"/>
        <v>0</v>
      </c>
      <c r="AO43" s="403">
        <f t="shared" si="70"/>
        <v>0</v>
      </c>
      <c r="AP43" s="403">
        <f t="shared" si="70"/>
        <v>0</v>
      </c>
      <c r="AQ43" s="403">
        <f>AB43-N43</f>
        <v>0</v>
      </c>
      <c r="AR43" s="403">
        <f t="shared" si="70"/>
        <v>0</v>
      </c>
      <c r="AS43" s="403">
        <f>SUM(AG43:AR43)</f>
        <v>0</v>
      </c>
      <c r="AT43" s="341"/>
      <c r="AU43" s="351" t="e">
        <f t="shared" si="71"/>
        <v>#DIV/0!</v>
      </c>
      <c r="AV43" s="351" t="e">
        <f t="shared" si="71"/>
        <v>#DIV/0!</v>
      </c>
      <c r="AW43" s="351" t="e">
        <f t="shared" si="71"/>
        <v>#DIV/0!</v>
      </c>
      <c r="AX43" s="351" t="e">
        <f t="shared" si="71"/>
        <v>#DIV/0!</v>
      </c>
      <c r="AY43" s="351" t="e">
        <f t="shared" si="71"/>
        <v>#DIV/0!</v>
      </c>
      <c r="AZ43" s="351" t="e">
        <f t="shared" si="71"/>
        <v>#DIV/0!</v>
      </c>
      <c r="BA43" s="351" t="e">
        <f t="shared" si="71"/>
        <v>#DIV/0!</v>
      </c>
      <c r="BB43" s="351" t="e">
        <f t="shared" si="71"/>
        <v>#DIV/0!</v>
      </c>
      <c r="BC43" s="351" t="e">
        <f t="shared" si="71"/>
        <v>#DIV/0!</v>
      </c>
      <c r="BD43" s="351" t="e">
        <f t="shared" si="71"/>
        <v>#DIV/0!</v>
      </c>
      <c r="BE43" s="351" t="e">
        <f>AB43/N43</f>
        <v>#DIV/0!</v>
      </c>
      <c r="BF43" s="351" t="e">
        <f t="shared" si="72"/>
        <v>#DIV/0!</v>
      </c>
      <c r="BG43" s="351" t="e">
        <f t="shared" si="72"/>
        <v>#DIV/0!</v>
      </c>
      <c r="BI43" s="352">
        <f>SUM(D43:F43)</f>
        <v>0</v>
      </c>
      <c r="BJ43" s="352">
        <f>SUM(G43:I43)</f>
        <v>0</v>
      </c>
      <c r="BK43" s="352">
        <f>SUM(J43:L43)</f>
        <v>0</v>
      </c>
      <c r="BL43" s="352">
        <f>SUM(M43:O43)</f>
        <v>0</v>
      </c>
      <c r="BM43" s="352">
        <f>SUM(BI43:BL43)</f>
        <v>0</v>
      </c>
      <c r="BO43" s="413">
        <f>SUM(R43:T43)</f>
        <v>0</v>
      </c>
      <c r="BP43" s="404">
        <f>SUM(U43:W43)</f>
        <v>0</v>
      </c>
      <c r="BQ43" s="404">
        <f>SUM(X43:Z43)</f>
        <v>0</v>
      </c>
      <c r="BR43" s="352">
        <f>SUM(AA43:AC43)</f>
        <v>0</v>
      </c>
      <c r="BS43" s="352">
        <f>SUM(BO43:BR43)</f>
        <v>0</v>
      </c>
      <c r="BU43" s="353" t="e">
        <f t="shared" si="73"/>
        <v>#DIV/0!</v>
      </c>
      <c r="BV43" s="353" t="e">
        <f t="shared" si="73"/>
        <v>#DIV/0!</v>
      </c>
      <c r="BW43" s="353" t="e">
        <f t="shared" si="73"/>
        <v>#DIV/0!</v>
      </c>
      <c r="BX43" s="353" t="e">
        <f t="shared" si="73"/>
        <v>#DIV/0!</v>
      </c>
      <c r="BY43" s="353" t="e">
        <f t="shared" si="73"/>
        <v>#DIV/0!</v>
      </c>
      <c r="CA43" s="327" t="e">
        <f t="shared" si="74"/>
        <v>#DIV/0!</v>
      </c>
      <c r="CB43" s="327" t="e">
        <f t="shared" si="74"/>
        <v>#DIV/0!</v>
      </c>
    </row>
    <row r="44" spans="1:80" ht="16.5" thickBot="1">
      <c r="A44" s="879"/>
      <c r="B44" s="354" t="s">
        <v>73</v>
      </c>
      <c r="C44" s="355"/>
      <c r="D44" s="406">
        <f t="shared" ref="D44:P44" si="75">SUM(D42:D43)</f>
        <v>0</v>
      </c>
      <c r="E44" s="406">
        <f t="shared" si="75"/>
        <v>0</v>
      </c>
      <c r="F44" s="406">
        <f t="shared" si="75"/>
        <v>0</v>
      </c>
      <c r="G44" s="406">
        <f t="shared" si="75"/>
        <v>0</v>
      </c>
      <c r="H44" s="406">
        <f t="shared" si="75"/>
        <v>0</v>
      </c>
      <c r="I44" s="406">
        <f t="shared" si="75"/>
        <v>0</v>
      </c>
      <c r="J44" s="406">
        <f t="shared" si="75"/>
        <v>0</v>
      </c>
      <c r="K44" s="406">
        <f t="shared" si="75"/>
        <v>0</v>
      </c>
      <c r="L44" s="406">
        <f t="shared" si="75"/>
        <v>0</v>
      </c>
      <c r="M44" s="406">
        <f t="shared" si="75"/>
        <v>0</v>
      </c>
      <c r="N44" s="406">
        <f t="shared" si="75"/>
        <v>0</v>
      </c>
      <c r="O44" s="406">
        <f t="shared" si="75"/>
        <v>0</v>
      </c>
      <c r="P44" s="406">
        <f t="shared" si="75"/>
        <v>0</v>
      </c>
      <c r="Q44" s="357"/>
      <c r="R44" s="406">
        <f t="shared" ref="R44:AD44" si="76">SUM(R42:R43)</f>
        <v>0</v>
      </c>
      <c r="S44" s="406">
        <f t="shared" si="76"/>
        <v>0</v>
      </c>
      <c r="T44" s="406">
        <f t="shared" si="76"/>
        <v>0</v>
      </c>
      <c r="U44" s="406">
        <f t="shared" si="76"/>
        <v>0</v>
      </c>
      <c r="V44" s="406">
        <f t="shared" si="76"/>
        <v>0</v>
      </c>
      <c r="W44" s="406">
        <f t="shared" si="76"/>
        <v>0</v>
      </c>
      <c r="X44" s="406">
        <f t="shared" si="76"/>
        <v>0</v>
      </c>
      <c r="Y44" s="406">
        <f t="shared" si="76"/>
        <v>0</v>
      </c>
      <c r="Z44" s="406">
        <f t="shared" si="76"/>
        <v>0</v>
      </c>
      <c r="AA44" s="406">
        <f t="shared" si="76"/>
        <v>0</v>
      </c>
      <c r="AB44" s="406">
        <f t="shared" si="76"/>
        <v>0</v>
      </c>
      <c r="AC44" s="406">
        <f t="shared" si="76"/>
        <v>0</v>
      </c>
      <c r="AD44" s="406">
        <f t="shared" si="76"/>
        <v>0</v>
      </c>
      <c r="AE44" s="360"/>
      <c r="AF44" s="361"/>
      <c r="AG44" s="406">
        <f t="shared" ref="AG44:AS44" si="77">SUM(AG42:AG43)</f>
        <v>0</v>
      </c>
      <c r="AH44" s="406">
        <f t="shared" si="77"/>
        <v>0</v>
      </c>
      <c r="AI44" s="406">
        <f t="shared" si="77"/>
        <v>0</v>
      </c>
      <c r="AJ44" s="406">
        <f t="shared" si="77"/>
        <v>0</v>
      </c>
      <c r="AK44" s="406">
        <f t="shared" si="77"/>
        <v>0</v>
      </c>
      <c r="AL44" s="406">
        <f t="shared" si="77"/>
        <v>0</v>
      </c>
      <c r="AM44" s="406">
        <f t="shared" si="77"/>
        <v>0</v>
      </c>
      <c r="AN44" s="406">
        <f t="shared" si="77"/>
        <v>0</v>
      </c>
      <c r="AO44" s="406">
        <f t="shared" si="77"/>
        <v>0</v>
      </c>
      <c r="AP44" s="406">
        <f t="shared" si="77"/>
        <v>0</v>
      </c>
      <c r="AQ44" s="406">
        <f t="shared" si="77"/>
        <v>0</v>
      </c>
      <c r="AR44" s="406">
        <f t="shared" si="77"/>
        <v>0</v>
      </c>
      <c r="AS44" s="406">
        <f t="shared" si="77"/>
        <v>0</v>
      </c>
      <c r="AT44" s="341"/>
      <c r="AU44" s="364" t="e">
        <f t="shared" si="71"/>
        <v>#DIV/0!</v>
      </c>
      <c r="AV44" s="364" t="e">
        <f t="shared" si="71"/>
        <v>#DIV/0!</v>
      </c>
      <c r="AW44" s="364" t="e">
        <f t="shared" si="71"/>
        <v>#DIV/0!</v>
      </c>
      <c r="AX44" s="364" t="e">
        <f t="shared" si="71"/>
        <v>#DIV/0!</v>
      </c>
      <c r="AY44" s="364" t="e">
        <f t="shared" si="71"/>
        <v>#DIV/0!</v>
      </c>
      <c r="AZ44" s="364" t="e">
        <f t="shared" si="71"/>
        <v>#DIV/0!</v>
      </c>
      <c r="BA44" s="364" t="e">
        <f t="shared" si="71"/>
        <v>#DIV/0!</v>
      </c>
      <c r="BB44" s="364" t="e">
        <f t="shared" si="71"/>
        <v>#DIV/0!</v>
      </c>
      <c r="BC44" s="364" t="e">
        <f t="shared" si="71"/>
        <v>#DIV/0!</v>
      </c>
      <c r="BD44" s="364" t="e">
        <f t="shared" si="71"/>
        <v>#DIV/0!</v>
      </c>
      <c r="BE44" s="364" t="e">
        <f>AB44/N44</f>
        <v>#DIV/0!</v>
      </c>
      <c r="BF44" s="364" t="e">
        <f t="shared" si="72"/>
        <v>#DIV/0!</v>
      </c>
      <c r="BG44" s="364" t="e">
        <f t="shared" si="72"/>
        <v>#DIV/0!</v>
      </c>
      <c r="BI44" s="365">
        <f>SUM(BI42:BI43)</f>
        <v>0</v>
      </c>
      <c r="BJ44" s="365">
        <f>SUM(BJ42:BJ43)</f>
        <v>0</v>
      </c>
      <c r="BK44" s="365">
        <f>SUM(BK42:BK43)</f>
        <v>0</v>
      </c>
      <c r="BL44" s="365">
        <f>SUM(BL42:BL43)</f>
        <v>0</v>
      </c>
      <c r="BM44" s="365">
        <f>SUM(BI44:BL44)</f>
        <v>0</v>
      </c>
      <c r="BO44" s="414">
        <f>SUM(BO42:BO43)</f>
        <v>0</v>
      </c>
      <c r="BP44" s="407">
        <f>SUM(BP42:BP43)</f>
        <v>0</v>
      </c>
      <c r="BQ44" s="407">
        <f>SUM(BQ42:BQ43)</f>
        <v>0</v>
      </c>
      <c r="BR44" s="365">
        <f>SUM(BR42:BR43)</f>
        <v>0</v>
      </c>
      <c r="BS44" s="365">
        <f>SUM(BO44:BR44)</f>
        <v>0</v>
      </c>
      <c r="BU44" s="366" t="e">
        <f t="shared" si="73"/>
        <v>#DIV/0!</v>
      </c>
      <c r="BV44" s="366" t="e">
        <f t="shared" si="73"/>
        <v>#DIV/0!</v>
      </c>
      <c r="BW44" s="366" t="e">
        <f t="shared" si="73"/>
        <v>#DIV/0!</v>
      </c>
      <c r="BX44" s="366" t="e">
        <f t="shared" si="73"/>
        <v>#DIV/0!</v>
      </c>
      <c r="BY44" s="366" t="e">
        <f t="shared" si="73"/>
        <v>#DIV/0!</v>
      </c>
      <c r="CA44" s="327" t="e">
        <f t="shared" si="74"/>
        <v>#DIV/0!</v>
      </c>
      <c r="CB44" s="327" t="e">
        <f t="shared" si="74"/>
        <v>#DIV/0!</v>
      </c>
    </row>
    <row r="45" spans="1:80" ht="16.5" thickTop="1">
      <c r="A45" s="879"/>
      <c r="B45" s="374"/>
      <c r="C45" s="341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3"/>
      <c r="P45" s="343"/>
      <c r="Q45" s="357"/>
      <c r="R45" s="360"/>
      <c r="S45" s="360"/>
      <c r="T45" s="360"/>
      <c r="U45" s="360"/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1"/>
      <c r="AG45" s="343"/>
      <c r="AH45" s="343"/>
      <c r="AI45" s="343"/>
      <c r="AJ45" s="343"/>
      <c r="AK45" s="343"/>
      <c r="AL45" s="343"/>
      <c r="AM45" s="343"/>
      <c r="AN45" s="343"/>
      <c r="AO45" s="343"/>
      <c r="AP45" s="343"/>
      <c r="AQ45" s="343"/>
      <c r="AR45" s="343"/>
      <c r="AS45" s="343"/>
      <c r="AT45" s="341"/>
      <c r="AU45" s="375"/>
      <c r="AV45" s="375"/>
      <c r="AW45" s="375"/>
      <c r="AX45" s="375"/>
      <c r="AY45" s="375"/>
      <c r="AZ45" s="375"/>
      <c r="BA45" s="375"/>
      <c r="BB45" s="375"/>
      <c r="BC45" s="375"/>
      <c r="BD45" s="375"/>
      <c r="BE45" s="375"/>
      <c r="BF45" s="375"/>
      <c r="BG45" s="375"/>
      <c r="BI45" s="345"/>
      <c r="BJ45" s="345"/>
      <c r="BK45" s="345"/>
      <c r="BL45" s="345"/>
      <c r="BM45" s="345"/>
      <c r="BO45" s="345"/>
      <c r="BP45" s="345"/>
      <c r="BQ45" s="345"/>
      <c r="BR45" s="345"/>
      <c r="BS45" s="345"/>
      <c r="BU45" s="346"/>
      <c r="BV45" s="346"/>
      <c r="BW45" s="346"/>
      <c r="BX45" s="346"/>
      <c r="BY45" s="346"/>
    </row>
    <row r="46" spans="1:80">
      <c r="A46" s="879"/>
      <c r="B46" s="340" t="s">
        <v>68</v>
      </c>
      <c r="C46" s="341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41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>
        <f>SUM(R46:AC46)</f>
        <v>0</v>
      </c>
      <c r="AE46" s="343"/>
      <c r="AF46" s="341"/>
      <c r="AG46" s="396">
        <f t="shared" ref="AG46:AR47" si="78">R46-D46</f>
        <v>0</v>
      </c>
      <c r="AH46" s="396">
        <f t="shared" si="78"/>
        <v>0</v>
      </c>
      <c r="AI46" s="396">
        <f t="shared" si="78"/>
        <v>0</v>
      </c>
      <c r="AJ46" s="396">
        <f t="shared" si="78"/>
        <v>0</v>
      </c>
      <c r="AK46" s="396">
        <f t="shared" si="78"/>
        <v>0</v>
      </c>
      <c r="AL46" s="396">
        <f t="shared" si="78"/>
        <v>0</v>
      </c>
      <c r="AM46" s="396">
        <f t="shared" si="78"/>
        <v>0</v>
      </c>
      <c r="AN46" s="396">
        <f t="shared" si="78"/>
        <v>0</v>
      </c>
      <c r="AO46" s="396">
        <f t="shared" si="78"/>
        <v>0</v>
      </c>
      <c r="AP46" s="396">
        <f t="shared" si="78"/>
        <v>0</v>
      </c>
      <c r="AQ46" s="396">
        <f>AB46-N46</f>
        <v>0</v>
      </c>
      <c r="AR46" s="396">
        <f t="shared" si="78"/>
        <v>0</v>
      </c>
      <c r="AS46" s="396">
        <f>SUM(AG46:AR46)</f>
        <v>0</v>
      </c>
      <c r="AT46" s="341"/>
      <c r="AU46" s="376"/>
      <c r="AV46" s="376"/>
      <c r="AW46" s="376"/>
      <c r="AX46" s="376"/>
      <c r="AY46" s="376"/>
      <c r="AZ46" s="376"/>
      <c r="BA46" s="376"/>
      <c r="BB46" s="376"/>
      <c r="BC46" s="376"/>
      <c r="BD46" s="376"/>
      <c r="BE46" s="376"/>
      <c r="BF46" s="376"/>
      <c r="BG46" s="376"/>
      <c r="BI46" s="345">
        <f>SUM(D46:F46)</f>
        <v>0</v>
      </c>
      <c r="BJ46" s="345">
        <f>SUM(G46:I46)</f>
        <v>0</v>
      </c>
      <c r="BK46" s="345">
        <f>SUM(J46:L46)</f>
        <v>0</v>
      </c>
      <c r="BL46" s="345">
        <f>SUM(M46:O46)</f>
        <v>0</v>
      </c>
      <c r="BM46" s="345">
        <f>SUM(BI46:BL46)</f>
        <v>0</v>
      </c>
      <c r="BO46" s="345">
        <f>SUM(R46:T46)</f>
        <v>0</v>
      </c>
      <c r="BP46" s="399">
        <f>SUM(U46:W46)</f>
        <v>0</v>
      </c>
      <c r="BQ46" s="399">
        <f>SUM(X46:Z46)</f>
        <v>0</v>
      </c>
      <c r="BR46" s="345">
        <f>SUM(AA46:AC46)</f>
        <v>0</v>
      </c>
      <c r="BS46" s="345">
        <f>SUM(BO46:BR46)</f>
        <v>0</v>
      </c>
      <c r="BU46" s="346" t="e">
        <f t="shared" ref="BU46:BY48" si="79">BO46/BI46</f>
        <v>#DIV/0!</v>
      </c>
      <c r="BV46" s="346" t="e">
        <f t="shared" si="79"/>
        <v>#DIV/0!</v>
      </c>
      <c r="BW46" s="346" t="e">
        <f t="shared" si="79"/>
        <v>#DIV/0!</v>
      </c>
      <c r="BX46" s="346" t="e">
        <f t="shared" si="79"/>
        <v>#DIV/0!</v>
      </c>
      <c r="BY46" s="346" t="e">
        <f t="shared" si="79"/>
        <v>#DIV/0!</v>
      </c>
      <c r="CA46" s="327" t="e">
        <f t="shared" ref="CA46:CB48" si="80">U46/G46</f>
        <v>#DIV/0!</v>
      </c>
      <c r="CB46" s="327" t="e">
        <f t="shared" si="80"/>
        <v>#DIV/0!</v>
      </c>
    </row>
    <row r="47" spans="1:80">
      <c r="A47" s="879"/>
      <c r="B47" s="347" t="s">
        <v>69</v>
      </c>
      <c r="C47" s="348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341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>
        <f>SUM(R47:AC47)</f>
        <v>0</v>
      </c>
      <c r="AE47" s="343"/>
      <c r="AF47" s="341"/>
      <c r="AG47" s="403">
        <f t="shared" si="78"/>
        <v>0</v>
      </c>
      <c r="AH47" s="403">
        <f t="shared" si="78"/>
        <v>0</v>
      </c>
      <c r="AI47" s="403">
        <f t="shared" si="78"/>
        <v>0</v>
      </c>
      <c r="AJ47" s="403">
        <f t="shared" si="78"/>
        <v>0</v>
      </c>
      <c r="AK47" s="403">
        <f t="shared" si="78"/>
        <v>0</v>
      </c>
      <c r="AL47" s="403">
        <f t="shared" si="78"/>
        <v>0</v>
      </c>
      <c r="AM47" s="403">
        <f t="shared" si="78"/>
        <v>0</v>
      </c>
      <c r="AN47" s="403">
        <f t="shared" si="78"/>
        <v>0</v>
      </c>
      <c r="AO47" s="403">
        <f t="shared" si="78"/>
        <v>0</v>
      </c>
      <c r="AP47" s="403">
        <f t="shared" si="78"/>
        <v>0</v>
      </c>
      <c r="AQ47" s="403">
        <f>AB47-N47</f>
        <v>0</v>
      </c>
      <c r="AR47" s="403">
        <f t="shared" si="78"/>
        <v>0</v>
      </c>
      <c r="AS47" s="403">
        <f>SUM(AG47:AR47)</f>
        <v>0</v>
      </c>
      <c r="AT47" s="341"/>
      <c r="AU47" s="376"/>
      <c r="AV47" s="376"/>
      <c r="AW47" s="376"/>
      <c r="AX47" s="376"/>
      <c r="AY47" s="376"/>
      <c r="AZ47" s="376"/>
      <c r="BA47" s="376"/>
      <c r="BB47" s="376"/>
      <c r="BC47" s="376"/>
      <c r="BD47" s="376"/>
      <c r="BE47" s="376"/>
      <c r="BF47" s="376"/>
      <c r="BG47" s="376"/>
      <c r="BI47" s="352">
        <f>SUM(D47:F47)</f>
        <v>0</v>
      </c>
      <c r="BJ47" s="352">
        <f>SUM(G47:I47)</f>
        <v>0</v>
      </c>
      <c r="BK47" s="352">
        <f>SUM(J47:L47)</f>
        <v>0</v>
      </c>
      <c r="BL47" s="352">
        <f>SUM(M47:O47)</f>
        <v>0</v>
      </c>
      <c r="BM47" s="352">
        <f>SUM(BI47:BL47)</f>
        <v>0</v>
      </c>
      <c r="BO47" s="352">
        <f>SUM(R47:T47)</f>
        <v>0</v>
      </c>
      <c r="BP47" s="404">
        <f>SUM(U47:W47)</f>
        <v>0</v>
      </c>
      <c r="BQ47" s="404">
        <f>SUM(X47:Z47)</f>
        <v>0</v>
      </c>
      <c r="BR47" s="352">
        <f>SUM(AA47:AC47)</f>
        <v>0</v>
      </c>
      <c r="BS47" s="352">
        <f>SUM(BO47:BR47)</f>
        <v>0</v>
      </c>
      <c r="BU47" s="353" t="e">
        <f t="shared" si="79"/>
        <v>#DIV/0!</v>
      </c>
      <c r="BV47" s="353" t="e">
        <f t="shared" si="79"/>
        <v>#DIV/0!</v>
      </c>
      <c r="BW47" s="353" t="e">
        <f t="shared" si="79"/>
        <v>#DIV/0!</v>
      </c>
      <c r="BX47" s="353" t="e">
        <f t="shared" si="79"/>
        <v>#DIV/0!</v>
      </c>
      <c r="BY47" s="353" t="e">
        <f t="shared" si="79"/>
        <v>#DIV/0!</v>
      </c>
      <c r="CA47" s="327" t="e">
        <f t="shared" si="80"/>
        <v>#DIV/0!</v>
      </c>
      <c r="CB47" s="327" t="e">
        <f t="shared" si="80"/>
        <v>#DIV/0!</v>
      </c>
    </row>
    <row r="48" spans="1:80" ht="16.5" thickBot="1">
      <c r="A48" s="879"/>
      <c r="B48" s="354" t="s">
        <v>74</v>
      </c>
      <c r="C48" s="355"/>
      <c r="D48" s="406">
        <f t="shared" ref="D48:P48" si="81">SUM(D46:D47)</f>
        <v>0</v>
      </c>
      <c r="E48" s="406">
        <f t="shared" si="81"/>
        <v>0</v>
      </c>
      <c r="F48" s="406">
        <f t="shared" si="81"/>
        <v>0</v>
      </c>
      <c r="G48" s="406">
        <f t="shared" si="81"/>
        <v>0</v>
      </c>
      <c r="H48" s="406">
        <f t="shared" si="81"/>
        <v>0</v>
      </c>
      <c r="I48" s="406">
        <f t="shared" si="81"/>
        <v>0</v>
      </c>
      <c r="J48" s="406">
        <f t="shared" si="81"/>
        <v>0</v>
      </c>
      <c r="K48" s="406">
        <f t="shared" si="81"/>
        <v>0</v>
      </c>
      <c r="L48" s="406">
        <f t="shared" si="81"/>
        <v>0</v>
      </c>
      <c r="M48" s="406">
        <f t="shared" si="81"/>
        <v>0</v>
      </c>
      <c r="N48" s="406">
        <f t="shared" si="81"/>
        <v>0</v>
      </c>
      <c r="O48" s="406">
        <f t="shared" si="81"/>
        <v>0</v>
      </c>
      <c r="P48" s="406">
        <f t="shared" si="81"/>
        <v>0</v>
      </c>
      <c r="Q48" s="357"/>
      <c r="R48" s="406">
        <f t="shared" ref="R48:AD48" si="82">SUM(R46:R47)</f>
        <v>0</v>
      </c>
      <c r="S48" s="406">
        <f t="shared" si="82"/>
        <v>0</v>
      </c>
      <c r="T48" s="406">
        <f t="shared" si="82"/>
        <v>0</v>
      </c>
      <c r="U48" s="406">
        <f t="shared" si="82"/>
        <v>0</v>
      </c>
      <c r="V48" s="406">
        <f t="shared" si="82"/>
        <v>0</v>
      </c>
      <c r="W48" s="406">
        <f t="shared" si="82"/>
        <v>0</v>
      </c>
      <c r="X48" s="406">
        <f t="shared" si="82"/>
        <v>0</v>
      </c>
      <c r="Y48" s="406">
        <f t="shared" si="82"/>
        <v>0</v>
      </c>
      <c r="Z48" s="406">
        <f t="shared" si="82"/>
        <v>0</v>
      </c>
      <c r="AA48" s="406">
        <f t="shared" si="82"/>
        <v>0</v>
      </c>
      <c r="AB48" s="406">
        <f t="shared" si="82"/>
        <v>0</v>
      </c>
      <c r="AC48" s="406">
        <f t="shared" si="82"/>
        <v>0</v>
      </c>
      <c r="AD48" s="406">
        <f t="shared" si="82"/>
        <v>0</v>
      </c>
      <c r="AE48" s="360"/>
      <c r="AF48" s="361"/>
      <c r="AG48" s="406">
        <f t="shared" ref="AG48:AS48" si="83">SUM(AG46:AG47)</f>
        <v>0</v>
      </c>
      <c r="AH48" s="406">
        <f t="shared" si="83"/>
        <v>0</v>
      </c>
      <c r="AI48" s="406">
        <f t="shared" si="83"/>
        <v>0</v>
      </c>
      <c r="AJ48" s="406">
        <f t="shared" si="83"/>
        <v>0</v>
      </c>
      <c r="AK48" s="406">
        <f t="shared" si="83"/>
        <v>0</v>
      </c>
      <c r="AL48" s="406">
        <f t="shared" si="83"/>
        <v>0</v>
      </c>
      <c r="AM48" s="406">
        <f t="shared" si="83"/>
        <v>0</v>
      </c>
      <c r="AN48" s="406">
        <f t="shared" si="83"/>
        <v>0</v>
      </c>
      <c r="AO48" s="406">
        <f t="shared" si="83"/>
        <v>0</v>
      </c>
      <c r="AP48" s="406">
        <f t="shared" si="83"/>
        <v>0</v>
      </c>
      <c r="AQ48" s="406">
        <f t="shared" si="83"/>
        <v>0</v>
      </c>
      <c r="AR48" s="406">
        <f t="shared" si="83"/>
        <v>0</v>
      </c>
      <c r="AS48" s="406">
        <f t="shared" si="83"/>
        <v>0</v>
      </c>
      <c r="AT48" s="341"/>
      <c r="AU48" s="377"/>
      <c r="AV48" s="377"/>
      <c r="AW48" s="377"/>
      <c r="AX48" s="377"/>
      <c r="AY48" s="377"/>
      <c r="AZ48" s="377"/>
      <c r="BA48" s="377"/>
      <c r="BB48" s="377"/>
      <c r="BC48" s="377"/>
      <c r="BD48" s="377"/>
      <c r="BE48" s="377"/>
      <c r="BF48" s="377"/>
      <c r="BG48" s="377"/>
      <c r="BI48" s="365">
        <f>SUM(BI46:BI47)</f>
        <v>0</v>
      </c>
      <c r="BJ48" s="365">
        <f>SUM(BJ46:BJ47)</f>
        <v>0</v>
      </c>
      <c r="BK48" s="365">
        <f>SUM(BK46:BK47)</f>
        <v>0</v>
      </c>
      <c r="BL48" s="365">
        <f>SUM(BL46:BL47)</f>
        <v>0</v>
      </c>
      <c r="BM48" s="365">
        <f>SUM(BI48:BL48)</f>
        <v>0</v>
      </c>
      <c r="BO48" s="365">
        <f>SUM(BO46:BO47)</f>
        <v>0</v>
      </c>
      <c r="BP48" s="407">
        <f>SUM(BP46:BP47)</f>
        <v>0</v>
      </c>
      <c r="BQ48" s="407">
        <f>SUM(BQ46:BQ47)</f>
        <v>0</v>
      </c>
      <c r="BR48" s="365">
        <f>SUM(BR46:BR47)</f>
        <v>0</v>
      </c>
      <c r="BS48" s="365">
        <f>SUM(BO48:BR48)</f>
        <v>0</v>
      </c>
      <c r="BU48" s="366" t="e">
        <f t="shared" si="79"/>
        <v>#DIV/0!</v>
      </c>
      <c r="BV48" s="366" t="e">
        <f t="shared" si="79"/>
        <v>#DIV/0!</v>
      </c>
      <c r="BW48" s="366" t="e">
        <f t="shared" si="79"/>
        <v>#DIV/0!</v>
      </c>
      <c r="BX48" s="366" t="e">
        <f t="shared" si="79"/>
        <v>#DIV/0!</v>
      </c>
      <c r="BY48" s="366" t="e">
        <f t="shared" si="79"/>
        <v>#DIV/0!</v>
      </c>
      <c r="CA48" s="327" t="e">
        <f t="shared" si="80"/>
        <v>#DIV/0!</v>
      </c>
      <c r="CB48" s="327" t="e">
        <f t="shared" si="80"/>
        <v>#DIV/0!</v>
      </c>
    </row>
    <row r="49" spans="1:87" ht="16.5" thickTop="1">
      <c r="A49" s="879"/>
      <c r="B49" s="374"/>
      <c r="C49" s="341"/>
      <c r="D49" s="343"/>
      <c r="E49" s="343"/>
      <c r="F49" s="343"/>
      <c r="G49" s="343"/>
      <c r="H49" s="343"/>
      <c r="I49" s="343"/>
      <c r="J49" s="343"/>
      <c r="K49" s="343"/>
      <c r="L49" s="343"/>
      <c r="M49" s="343"/>
      <c r="N49" s="343"/>
      <c r="O49" s="343"/>
      <c r="P49" s="343"/>
      <c r="Q49" s="357"/>
      <c r="R49" s="360"/>
      <c r="S49" s="360"/>
      <c r="T49" s="360"/>
      <c r="U49" s="360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1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1"/>
      <c r="AU49" s="375"/>
      <c r="AV49" s="375"/>
      <c r="AW49" s="375"/>
      <c r="AX49" s="375"/>
      <c r="AY49" s="375"/>
      <c r="AZ49" s="375"/>
      <c r="BA49" s="375"/>
      <c r="BB49" s="375"/>
      <c r="BC49" s="375"/>
      <c r="BD49" s="375"/>
      <c r="BE49" s="375"/>
      <c r="BF49" s="375"/>
      <c r="BG49" s="375"/>
      <c r="BI49" s="345"/>
      <c r="BJ49" s="345"/>
      <c r="BK49" s="345"/>
      <c r="BL49" s="345"/>
      <c r="BM49" s="345"/>
      <c r="BO49" s="345"/>
      <c r="BP49" s="345"/>
      <c r="BQ49" s="345"/>
      <c r="BR49" s="345"/>
      <c r="BS49" s="345"/>
      <c r="BU49" s="346"/>
      <c r="BV49" s="346"/>
      <c r="BW49" s="346"/>
      <c r="BX49" s="346"/>
      <c r="BY49" s="346"/>
    </row>
    <row r="50" spans="1:87">
      <c r="A50" s="879"/>
      <c r="B50" s="340" t="s">
        <v>68</v>
      </c>
      <c r="C50" s="341"/>
      <c r="D50" s="396">
        <f>D25*D71</f>
        <v>1667.7740570434564</v>
      </c>
      <c r="E50" s="396">
        <f t="shared" ref="E50:O50" si="84">E25*E71</f>
        <v>1465.6205380652177</v>
      </c>
      <c r="F50" s="396">
        <f t="shared" si="84"/>
        <v>1758.7446456782616</v>
      </c>
      <c r="G50" s="396">
        <f t="shared" si="84"/>
        <v>2198.4308070978263</v>
      </c>
      <c r="H50" s="396">
        <f t="shared" si="84"/>
        <v>2110.4935748139133</v>
      </c>
      <c r="I50" s="396">
        <f t="shared" si="84"/>
        <v>2152.7034463101918</v>
      </c>
      <c r="J50" s="396">
        <f t="shared" si="84"/>
        <v>2260.3386186257012</v>
      </c>
      <c r="K50" s="396">
        <f t="shared" si="84"/>
        <v>2486.3724804882718</v>
      </c>
      <c r="L50" s="396">
        <f t="shared" si="84"/>
        <v>2983.646976585926</v>
      </c>
      <c r="M50" s="396">
        <f t="shared" si="84"/>
        <v>3431.1940230738146</v>
      </c>
      <c r="N50" s="396">
        <f t="shared" si="84"/>
        <v>4460.5522299959584</v>
      </c>
      <c r="O50" s="396">
        <f t="shared" si="84"/>
        <v>5798.717898994747</v>
      </c>
      <c r="P50" s="396">
        <f>SUM(D50:O50)</f>
        <v>32774.589296773287</v>
      </c>
      <c r="Q50" s="341"/>
      <c r="R50" s="700">
        <f t="array" ref="R50:AC50">TRANSPOSE('TH_YouTube Performance'!S6:S17)</f>
        <v>501.09</v>
      </c>
      <c r="S50" s="700">
        <v>725.43000000000006</v>
      </c>
      <c r="T50" s="700">
        <v>1732.85</v>
      </c>
      <c r="U50" s="700">
        <v>2815.69</v>
      </c>
      <c r="V50" s="700">
        <v>2787.77</v>
      </c>
      <c r="W50" s="700">
        <v>3215.7100000000009</v>
      </c>
      <c r="X50" s="700">
        <v>8924.61</v>
      </c>
      <c r="Y50" s="700">
        <v>21761.083999999759</v>
      </c>
      <c r="Z50" s="700">
        <v>41305.100999999682</v>
      </c>
      <c r="AA50" s="700">
        <v>0</v>
      </c>
      <c r="AB50" s="700">
        <v>0</v>
      </c>
      <c r="AC50" s="700">
        <v>0</v>
      </c>
      <c r="AD50" s="700">
        <f>SUM(R50:AC50)</f>
        <v>83769.334999999439</v>
      </c>
      <c r="AE50" s="343"/>
      <c r="AF50" s="341"/>
      <c r="AG50" s="343">
        <f t="shared" ref="AG50:AR51" si="85">R50-D50</f>
        <v>-1166.6840570434565</v>
      </c>
      <c r="AH50" s="343">
        <f t="shared" si="85"/>
        <v>-740.19053806521765</v>
      </c>
      <c r="AI50" s="343">
        <f t="shared" si="85"/>
        <v>-25.894645678261668</v>
      </c>
      <c r="AJ50" s="343">
        <f t="shared" si="85"/>
        <v>617.25919290217371</v>
      </c>
      <c r="AK50" s="343">
        <f t="shared" si="85"/>
        <v>677.27642518608673</v>
      </c>
      <c r="AL50" s="343">
        <f t="shared" si="85"/>
        <v>1063.0065536898092</v>
      </c>
      <c r="AM50" s="343">
        <f t="shared" si="85"/>
        <v>6664.2713813742994</v>
      </c>
      <c r="AN50" s="343">
        <f t="shared" si="85"/>
        <v>19274.711519511486</v>
      </c>
      <c r="AO50" s="343">
        <f t="shared" si="85"/>
        <v>38321.454023413753</v>
      </c>
      <c r="AP50" s="343">
        <f t="shared" si="85"/>
        <v>-3431.1940230738146</v>
      </c>
      <c r="AQ50" s="343">
        <f>AB50-N50</f>
        <v>-4460.5522299959584</v>
      </c>
      <c r="AR50" s="343">
        <f t="shared" si="85"/>
        <v>-5798.717898994747</v>
      </c>
      <c r="AS50" s="343">
        <f>SUM(AG50:AR50)</f>
        <v>50994.745703226152</v>
      </c>
      <c r="AT50" s="341"/>
      <c r="AU50" s="376">
        <f t="shared" ref="AU50:BG52" si="86">(R50-D50)/D50</f>
        <v>-0.69954563216536281</v>
      </c>
      <c r="AV50" s="376">
        <f t="shared" si="86"/>
        <v>-0.50503559334829706</v>
      </c>
      <c r="AW50" s="376">
        <f t="shared" si="86"/>
        <v>-1.4723368592417447E-2</v>
      </c>
      <c r="AX50" s="376">
        <f t="shared" si="86"/>
        <v>0.28077262696160293</v>
      </c>
      <c r="AY50" s="376">
        <f t="shared" si="86"/>
        <v>0.32090902017827921</v>
      </c>
      <c r="AZ50" s="376">
        <f t="shared" si="86"/>
        <v>0.49380073948961206</v>
      </c>
      <c r="BA50" s="376">
        <f t="shared" si="86"/>
        <v>2.9483508915253656</v>
      </c>
      <c r="BB50" s="376">
        <f t="shared" si="86"/>
        <v>7.752141592126347</v>
      </c>
      <c r="BC50" s="376">
        <f t="shared" si="86"/>
        <v>12.843829824419624</v>
      </c>
      <c r="BD50" s="376">
        <f t="shared" si="86"/>
        <v>-1</v>
      </c>
      <c r="BE50" s="376">
        <f>(AB50-N50)/N50</f>
        <v>-1</v>
      </c>
      <c r="BF50" s="376">
        <f t="shared" si="86"/>
        <v>-1</v>
      </c>
      <c r="BG50" s="376">
        <f t="shared" si="86"/>
        <v>1.5559232563212217</v>
      </c>
      <c r="BI50" s="345">
        <f>SUM(D50:F50)</f>
        <v>4892.1392407869362</v>
      </c>
      <c r="BJ50" s="345">
        <f>SUM(G50:I50)</f>
        <v>6461.6278282219318</v>
      </c>
      <c r="BK50" s="345">
        <f>SUM(J50:L50)</f>
        <v>7730.3580756998981</v>
      </c>
      <c r="BL50" s="345">
        <f>SUM(M50:O50)</f>
        <v>13690.46415206452</v>
      </c>
      <c r="BM50" s="345">
        <f>SUM(BI50:BL50)</f>
        <v>32774.58929677328</v>
      </c>
      <c r="BO50" s="399">
        <f>SUM(R50:T50)</f>
        <v>2959.37</v>
      </c>
      <c r="BP50" s="399">
        <f>SUM(U50:W50)</f>
        <v>8819.1700000000019</v>
      </c>
      <c r="BQ50" s="399">
        <f>SUM(X50:Z50)</f>
        <v>71990.794999999445</v>
      </c>
      <c r="BR50" s="345">
        <f>SUM(AA50:AC50)</f>
        <v>0</v>
      </c>
      <c r="BS50" s="345">
        <f>SUM(BO50:BR50)</f>
        <v>83769.334999999439</v>
      </c>
      <c r="BU50" s="346">
        <f t="shared" ref="BU50:BY52" si="87">BO50/BI50</f>
        <v>0.60492350163033459</v>
      </c>
      <c r="BV50" s="346">
        <f t="shared" si="87"/>
        <v>1.3648526709448079</v>
      </c>
      <c r="BW50" s="346">
        <f t="shared" si="87"/>
        <v>9.31273743014569</v>
      </c>
      <c r="BX50" s="346">
        <f t="shared" si="87"/>
        <v>0</v>
      </c>
      <c r="BY50" s="346">
        <f t="shared" si="87"/>
        <v>2.5559232563212224</v>
      </c>
      <c r="CA50" s="327">
        <f t="shared" ref="CA50:CB53" si="88">U50/G50</f>
        <v>1.2807726269616029</v>
      </c>
      <c r="CB50" s="327">
        <f t="shared" si="88"/>
        <v>1.3209090201782792</v>
      </c>
    </row>
    <row r="51" spans="1:87">
      <c r="A51" s="879"/>
      <c r="B51" s="347" t="s">
        <v>69</v>
      </c>
      <c r="C51" s="348"/>
      <c r="D51" s="403">
        <f t="shared" ref="D51:O51" si="89">D26*D72</f>
        <v>0</v>
      </c>
      <c r="E51" s="403">
        <f t="shared" si="89"/>
        <v>0</v>
      </c>
      <c r="F51" s="403">
        <f t="shared" si="89"/>
        <v>0</v>
      </c>
      <c r="G51" s="403">
        <f t="shared" si="89"/>
        <v>0</v>
      </c>
      <c r="H51" s="403">
        <f t="shared" si="89"/>
        <v>0</v>
      </c>
      <c r="I51" s="403">
        <f t="shared" si="89"/>
        <v>0</v>
      </c>
      <c r="J51" s="403">
        <f t="shared" si="89"/>
        <v>0</v>
      </c>
      <c r="K51" s="403">
        <f t="shared" si="89"/>
        <v>0</v>
      </c>
      <c r="L51" s="403">
        <f t="shared" si="89"/>
        <v>0</v>
      </c>
      <c r="M51" s="403">
        <f t="shared" si="89"/>
        <v>0</v>
      </c>
      <c r="N51" s="403">
        <f t="shared" si="89"/>
        <v>0</v>
      </c>
      <c r="O51" s="403">
        <f t="shared" si="89"/>
        <v>0</v>
      </c>
      <c r="P51" s="403">
        <f>SUM(D51:O51)</f>
        <v>0</v>
      </c>
      <c r="Q51" s="341"/>
      <c r="R51" s="701">
        <f t="array" ref="R51:AC51">TRANSPOSE('TH_YouTube Performance'!AB6:AB17)</f>
        <v>70.61</v>
      </c>
      <c r="S51" s="701">
        <v>101.17999999999998</v>
      </c>
      <c r="T51" s="701">
        <v>128.76</v>
      </c>
      <c r="U51" s="701">
        <v>153.67000000000007</v>
      </c>
      <c r="V51" s="701">
        <v>234.56000000000006</v>
      </c>
      <c r="W51" s="701">
        <v>395.14000000000004</v>
      </c>
      <c r="X51" s="701">
        <v>745.53</v>
      </c>
      <c r="Y51" s="701">
        <v>1891.6739999999013</v>
      </c>
      <c r="Z51" s="701">
        <v>4717.7329999999683</v>
      </c>
      <c r="AA51" s="701">
        <v>0</v>
      </c>
      <c r="AB51" s="701">
        <v>0</v>
      </c>
      <c r="AC51" s="701">
        <v>0</v>
      </c>
      <c r="AD51" s="701">
        <f>SUM(R51:AC51)</f>
        <v>8438.856999999869</v>
      </c>
      <c r="AE51" s="343"/>
      <c r="AF51" s="341"/>
      <c r="AG51" s="350">
        <f t="shared" si="85"/>
        <v>70.61</v>
      </c>
      <c r="AH51" s="350">
        <f t="shared" si="85"/>
        <v>101.17999999999998</v>
      </c>
      <c r="AI51" s="350">
        <f t="shared" si="85"/>
        <v>128.76</v>
      </c>
      <c r="AJ51" s="350">
        <f t="shared" si="85"/>
        <v>153.67000000000007</v>
      </c>
      <c r="AK51" s="350">
        <f t="shared" si="85"/>
        <v>234.56000000000006</v>
      </c>
      <c r="AL51" s="350">
        <f t="shared" si="85"/>
        <v>395.14000000000004</v>
      </c>
      <c r="AM51" s="350">
        <f t="shared" si="85"/>
        <v>745.53</v>
      </c>
      <c r="AN51" s="350">
        <f t="shared" si="85"/>
        <v>1891.6739999999013</v>
      </c>
      <c r="AO51" s="350">
        <f t="shared" si="85"/>
        <v>4717.7329999999683</v>
      </c>
      <c r="AP51" s="350">
        <f t="shared" si="85"/>
        <v>0</v>
      </c>
      <c r="AQ51" s="350">
        <f>AB51-N51</f>
        <v>0</v>
      </c>
      <c r="AR51" s="350">
        <f t="shared" si="85"/>
        <v>0</v>
      </c>
      <c r="AS51" s="350">
        <f>SUM(AG51:AR51)</f>
        <v>8438.856999999869</v>
      </c>
      <c r="AT51" s="341"/>
      <c r="AU51" s="376" t="e">
        <f t="shared" si="86"/>
        <v>#DIV/0!</v>
      </c>
      <c r="AV51" s="376" t="e">
        <f t="shared" si="86"/>
        <v>#DIV/0!</v>
      </c>
      <c r="AW51" s="376" t="e">
        <f t="shared" si="86"/>
        <v>#DIV/0!</v>
      </c>
      <c r="AX51" s="376" t="e">
        <f t="shared" si="86"/>
        <v>#DIV/0!</v>
      </c>
      <c r="AY51" s="376" t="e">
        <f t="shared" si="86"/>
        <v>#DIV/0!</v>
      </c>
      <c r="AZ51" s="376" t="e">
        <f t="shared" si="86"/>
        <v>#DIV/0!</v>
      </c>
      <c r="BA51" s="376" t="e">
        <f t="shared" si="86"/>
        <v>#DIV/0!</v>
      </c>
      <c r="BB51" s="376" t="e">
        <f t="shared" si="86"/>
        <v>#DIV/0!</v>
      </c>
      <c r="BC51" s="376" t="e">
        <f t="shared" si="86"/>
        <v>#DIV/0!</v>
      </c>
      <c r="BD51" s="376" t="e">
        <f t="shared" si="86"/>
        <v>#DIV/0!</v>
      </c>
      <c r="BE51" s="376" t="e">
        <f>(AB51-N51)/N51</f>
        <v>#DIV/0!</v>
      </c>
      <c r="BF51" s="376" t="e">
        <f t="shared" si="86"/>
        <v>#DIV/0!</v>
      </c>
      <c r="BG51" s="376" t="e">
        <f t="shared" si="86"/>
        <v>#DIV/0!</v>
      </c>
      <c r="BI51" s="352">
        <f>SUM(D51:F51)</f>
        <v>0</v>
      </c>
      <c r="BJ51" s="352">
        <f>SUM(G51:I51)</f>
        <v>0</v>
      </c>
      <c r="BK51" s="352">
        <f>SUM(J51:L51)</f>
        <v>0</v>
      </c>
      <c r="BL51" s="352">
        <f>SUM(M51:O51)</f>
        <v>0</v>
      </c>
      <c r="BM51" s="352">
        <f>SUM(BI51:BL51)</f>
        <v>0</v>
      </c>
      <c r="BO51" s="404">
        <f>SUM(R51:T51)</f>
        <v>300.54999999999995</v>
      </c>
      <c r="BP51" s="404">
        <f>SUM(U51:W51)</f>
        <v>783.37000000000012</v>
      </c>
      <c r="BQ51" s="404">
        <f>SUM(X51:Z51)</f>
        <v>7354.9369999998698</v>
      </c>
      <c r="BR51" s="352">
        <f>SUM(AA51:AC51)</f>
        <v>0</v>
      </c>
      <c r="BS51" s="352">
        <f>SUM(BO51:BR51)</f>
        <v>8438.856999999869</v>
      </c>
      <c r="BU51" s="353" t="e">
        <f t="shared" si="87"/>
        <v>#DIV/0!</v>
      </c>
      <c r="BV51" s="353" t="e">
        <f t="shared" si="87"/>
        <v>#DIV/0!</v>
      </c>
      <c r="BW51" s="353" t="e">
        <f t="shared" si="87"/>
        <v>#DIV/0!</v>
      </c>
      <c r="BX51" s="353" t="e">
        <f t="shared" si="87"/>
        <v>#DIV/0!</v>
      </c>
      <c r="BY51" s="353" t="e">
        <f t="shared" si="87"/>
        <v>#DIV/0!</v>
      </c>
      <c r="CA51" s="327" t="e">
        <f t="shared" si="88"/>
        <v>#DIV/0!</v>
      </c>
      <c r="CB51" s="327" t="e">
        <f t="shared" si="88"/>
        <v>#DIV/0!</v>
      </c>
    </row>
    <row r="52" spans="1:87" ht="16.5" thickBot="1">
      <c r="A52" s="879"/>
      <c r="B52" s="354" t="s">
        <v>75</v>
      </c>
      <c r="C52" s="355"/>
      <c r="D52" s="406">
        <f t="shared" ref="D52:P52" si="90">SUM(D50:D51)</f>
        <v>1667.7740570434564</v>
      </c>
      <c r="E52" s="406">
        <f t="shared" si="90"/>
        <v>1465.6205380652177</v>
      </c>
      <c r="F52" s="406">
        <f t="shared" si="90"/>
        <v>1758.7446456782616</v>
      </c>
      <c r="G52" s="406">
        <f t="shared" si="90"/>
        <v>2198.4308070978263</v>
      </c>
      <c r="H52" s="406">
        <f t="shared" si="90"/>
        <v>2110.4935748139133</v>
      </c>
      <c r="I52" s="406">
        <f t="shared" si="90"/>
        <v>2152.7034463101918</v>
      </c>
      <c r="J52" s="406">
        <f t="shared" si="90"/>
        <v>2260.3386186257012</v>
      </c>
      <c r="K52" s="406">
        <f t="shared" si="90"/>
        <v>2486.3724804882718</v>
      </c>
      <c r="L52" s="406">
        <f t="shared" si="90"/>
        <v>2983.646976585926</v>
      </c>
      <c r="M52" s="406">
        <f t="shared" si="90"/>
        <v>3431.1940230738146</v>
      </c>
      <c r="N52" s="406">
        <f t="shared" si="90"/>
        <v>4460.5522299959584</v>
      </c>
      <c r="O52" s="406">
        <f t="shared" si="90"/>
        <v>5798.717898994747</v>
      </c>
      <c r="P52" s="406">
        <f t="shared" si="90"/>
        <v>32774.589296773287</v>
      </c>
      <c r="Q52" s="357"/>
      <c r="R52" s="702">
        <f t="shared" ref="R52:AD52" si="91">SUM(R50:R51)</f>
        <v>571.69999999999993</v>
      </c>
      <c r="S52" s="702">
        <f t="shared" si="91"/>
        <v>826.61</v>
      </c>
      <c r="T52" s="702">
        <f t="shared" si="91"/>
        <v>1861.61</v>
      </c>
      <c r="U52" s="702">
        <f t="shared" si="91"/>
        <v>2969.36</v>
      </c>
      <c r="V52" s="702">
        <f t="shared" si="91"/>
        <v>3022.33</v>
      </c>
      <c r="W52" s="702">
        <f t="shared" si="91"/>
        <v>3610.8500000000008</v>
      </c>
      <c r="X52" s="702">
        <f t="shared" si="91"/>
        <v>9670.1400000000012</v>
      </c>
      <c r="Y52" s="702">
        <f t="shared" si="91"/>
        <v>23652.75799999966</v>
      </c>
      <c r="Z52" s="702">
        <f t="shared" si="91"/>
        <v>46022.833999999653</v>
      </c>
      <c r="AA52" s="702">
        <f t="shared" si="91"/>
        <v>0</v>
      </c>
      <c r="AB52" s="702">
        <f t="shared" si="91"/>
        <v>0</v>
      </c>
      <c r="AC52" s="702">
        <f t="shared" si="91"/>
        <v>0</v>
      </c>
      <c r="AD52" s="702">
        <f t="shared" si="91"/>
        <v>92208.191999999312</v>
      </c>
      <c r="AE52" s="360"/>
      <c r="AF52" s="361"/>
      <c r="AG52" s="362">
        <f t="shared" ref="AG52:AS52" si="92">SUM(AG50:AG51)</f>
        <v>-1096.0740570434566</v>
      </c>
      <c r="AH52" s="362">
        <f t="shared" si="92"/>
        <v>-639.0105380652177</v>
      </c>
      <c r="AI52" s="362">
        <f t="shared" si="92"/>
        <v>102.86535432173832</v>
      </c>
      <c r="AJ52" s="362">
        <f t="shared" si="92"/>
        <v>770.92919290217378</v>
      </c>
      <c r="AK52" s="362">
        <f t="shared" si="92"/>
        <v>911.83642518608679</v>
      </c>
      <c r="AL52" s="362">
        <f t="shared" si="92"/>
        <v>1458.1465536898093</v>
      </c>
      <c r="AM52" s="362">
        <f t="shared" si="92"/>
        <v>7409.8013813742991</v>
      </c>
      <c r="AN52" s="362">
        <f t="shared" si="92"/>
        <v>21166.385519511387</v>
      </c>
      <c r="AO52" s="362">
        <f t="shared" si="92"/>
        <v>43039.187023413724</v>
      </c>
      <c r="AP52" s="362">
        <f t="shared" si="92"/>
        <v>-3431.1940230738146</v>
      </c>
      <c r="AQ52" s="362">
        <f t="shared" si="92"/>
        <v>-4460.5522299959584</v>
      </c>
      <c r="AR52" s="362">
        <f t="shared" si="92"/>
        <v>-5798.717898994747</v>
      </c>
      <c r="AS52" s="363">
        <f t="shared" si="92"/>
        <v>59433.602703226017</v>
      </c>
      <c r="AT52" s="341"/>
      <c r="AU52" s="377">
        <f t="shared" si="86"/>
        <v>-0.65720776289476512</v>
      </c>
      <c r="AV52" s="377">
        <f t="shared" si="86"/>
        <v>-0.43599998872067031</v>
      </c>
      <c r="AW52" s="377">
        <f t="shared" si="86"/>
        <v>5.8487941711440547E-2</v>
      </c>
      <c r="AX52" s="377">
        <f t="shared" si="86"/>
        <v>0.35067248439803583</v>
      </c>
      <c r="AY52" s="377">
        <f t="shared" si="86"/>
        <v>0.43204889892473863</v>
      </c>
      <c r="AZ52" s="377">
        <f t="shared" si="86"/>
        <v>0.67735598054117607</v>
      </c>
      <c r="BA52" s="377">
        <f t="shared" si="86"/>
        <v>3.2781820034909201</v>
      </c>
      <c r="BB52" s="377">
        <f t="shared" si="86"/>
        <v>8.5129584105414278</v>
      </c>
      <c r="BC52" s="377">
        <f t="shared" si="86"/>
        <v>14.425026607089366</v>
      </c>
      <c r="BD52" s="377">
        <f t="shared" si="86"/>
        <v>-1</v>
      </c>
      <c r="BE52" s="377">
        <f>(AB52-N52)/N52</f>
        <v>-1</v>
      </c>
      <c r="BF52" s="377">
        <f t="shared" si="86"/>
        <v>-1</v>
      </c>
      <c r="BG52" s="377">
        <f t="shared" si="86"/>
        <v>1.813404957269056</v>
      </c>
      <c r="BI52" s="365">
        <f>SUM(BI50:BI51)</f>
        <v>4892.1392407869362</v>
      </c>
      <c r="BJ52" s="365">
        <f>SUM(BJ50:BJ51)</f>
        <v>6461.6278282219318</v>
      </c>
      <c r="BK52" s="365">
        <f>SUM(BK50:BK51)</f>
        <v>7730.3580756998981</v>
      </c>
      <c r="BL52" s="365">
        <f>SUM(BL50:BL51)</f>
        <v>13690.46415206452</v>
      </c>
      <c r="BM52" s="365">
        <f>SUM(BI52:BL52)</f>
        <v>32774.58929677328</v>
      </c>
      <c r="BO52" s="407">
        <f>SUM(BO50:BO51)</f>
        <v>3259.92</v>
      </c>
      <c r="BP52" s="407">
        <f>SUM(BP50:BP51)</f>
        <v>9602.5400000000027</v>
      </c>
      <c r="BQ52" s="407">
        <f>SUM(BQ50:BQ51)</f>
        <v>79345.73199999932</v>
      </c>
      <c r="BR52" s="365">
        <f>SUM(BR50:BR51)</f>
        <v>0</v>
      </c>
      <c r="BS52" s="365">
        <f>SUM(BO52:BR52)</f>
        <v>92208.191999999326</v>
      </c>
      <c r="BU52" s="366">
        <f t="shared" si="87"/>
        <v>0.66635879306567292</v>
      </c>
      <c r="BV52" s="366">
        <f t="shared" si="87"/>
        <v>1.486086827542088</v>
      </c>
      <c r="BW52" s="366">
        <f t="shared" si="87"/>
        <v>10.264172917089024</v>
      </c>
      <c r="BX52" s="366">
        <f t="shared" si="87"/>
        <v>0</v>
      </c>
      <c r="BY52" s="366">
        <f t="shared" si="87"/>
        <v>2.8134049572690571</v>
      </c>
      <c r="CA52" s="327">
        <f t="shared" si="88"/>
        <v>1.3506724843980358</v>
      </c>
      <c r="CB52" s="327">
        <f t="shared" si="88"/>
        <v>1.4320488989247386</v>
      </c>
    </row>
    <row r="53" spans="1:87" ht="16.5" thickTop="1">
      <c r="A53" s="880" t="s">
        <v>77</v>
      </c>
      <c r="B53" s="880"/>
      <c r="C53" s="415"/>
      <c r="D53" s="416">
        <f>SUM(D32,D36,D48,D52)</f>
        <v>19865.873233440001</v>
      </c>
      <c r="E53" s="416">
        <f t="shared" ref="E53:AD53" si="93">SUM(E32,E36,E48,E52)</f>
        <v>17457.899464598209</v>
      </c>
      <c r="F53" s="416">
        <f t="shared" si="93"/>
        <v>20949.479357517852</v>
      </c>
      <c r="G53" s="416">
        <f t="shared" si="93"/>
        <v>26186.849196897318</v>
      </c>
      <c r="H53" s="416">
        <f t="shared" si="93"/>
        <v>25139.375229021422</v>
      </c>
      <c r="I53" s="416">
        <f t="shared" si="93"/>
        <v>25642.16273360185</v>
      </c>
      <c r="J53" s="416">
        <f t="shared" si="93"/>
        <v>26924.270870281951</v>
      </c>
      <c r="K53" s="416">
        <f t="shared" si="93"/>
        <v>29616.697957310145</v>
      </c>
      <c r="L53" s="416">
        <f t="shared" si="93"/>
        <v>35540.037548772176</v>
      </c>
      <c r="M53" s="416">
        <f t="shared" si="93"/>
        <v>40871.043181087982</v>
      </c>
      <c r="N53" s="416">
        <f t="shared" si="93"/>
        <v>53132.356135414375</v>
      </c>
      <c r="O53" s="416">
        <f t="shared" si="93"/>
        <v>69072.062976038709</v>
      </c>
      <c r="P53" s="416">
        <f t="shared" si="93"/>
        <v>390398.10788398201</v>
      </c>
      <c r="Q53" s="417"/>
      <c r="R53" s="416">
        <f t="shared" si="93"/>
        <v>12317.330000000002</v>
      </c>
      <c r="S53" s="416">
        <f t="shared" si="93"/>
        <v>18713.179999999997</v>
      </c>
      <c r="T53" s="416">
        <f t="shared" si="93"/>
        <v>36602.739999999991</v>
      </c>
      <c r="U53" s="416">
        <f t="shared" si="93"/>
        <v>36285.68</v>
      </c>
      <c r="V53" s="416">
        <f t="shared" si="93"/>
        <v>34941.350000000006</v>
      </c>
      <c r="W53" s="416">
        <f t="shared" si="93"/>
        <v>34016.249999999993</v>
      </c>
      <c r="X53" s="416">
        <f t="shared" si="93"/>
        <v>55065.759999999995</v>
      </c>
      <c r="Y53" s="416">
        <f t="shared" si="93"/>
        <v>78714.015999999363</v>
      </c>
      <c r="Z53" s="416">
        <f t="shared" si="93"/>
        <v>110858.00099999955</v>
      </c>
      <c r="AA53" s="416">
        <f t="shared" si="93"/>
        <v>0</v>
      </c>
      <c r="AB53" s="416">
        <f t="shared" si="93"/>
        <v>0</v>
      </c>
      <c r="AC53" s="416">
        <f t="shared" si="93"/>
        <v>0</v>
      </c>
      <c r="AD53" s="416">
        <f t="shared" si="93"/>
        <v>417514.30699999898</v>
      </c>
      <c r="AE53" s="418"/>
      <c r="AF53" s="417"/>
      <c r="AG53" s="416">
        <f t="shared" ref="AG53:AS53" si="94">AG40+AG32</f>
        <v>-4.9916587246432549</v>
      </c>
      <c r="AH53" s="416">
        <f t="shared" si="94"/>
        <v>-3.7635820742904937</v>
      </c>
      <c r="AI53" s="416">
        <f t="shared" si="94"/>
        <v>-5.6402984891485932</v>
      </c>
      <c r="AJ53" s="416">
        <f t="shared" si="94"/>
        <v>-7.4803731114357426</v>
      </c>
      <c r="AK53" s="416">
        <f t="shared" si="94"/>
        <v>-7.2123581869783111</v>
      </c>
      <c r="AL53" s="416">
        <f t="shared" si="94"/>
        <v>-7.4002053507178776</v>
      </c>
      <c r="AM53" s="416">
        <f t="shared" si="94"/>
        <v>-7.7272156182537728</v>
      </c>
      <c r="AN53" s="416">
        <f t="shared" si="94"/>
        <v>280.15506281992083</v>
      </c>
      <c r="AO53" s="416">
        <f t="shared" si="94"/>
        <v>3032.0132753839052</v>
      </c>
      <c r="AP53" s="416">
        <f t="shared" si="94"/>
        <v>-12.018333308509227</v>
      </c>
      <c r="AQ53" s="416">
        <f t="shared" si="94"/>
        <v>-15.623833301061993</v>
      </c>
      <c r="AR53" s="416">
        <f t="shared" si="94"/>
        <v>-20.310983291380591</v>
      </c>
      <c r="AS53" s="416">
        <f t="shared" si="94"/>
        <v>3219.9994967474063</v>
      </c>
      <c r="AT53" s="417"/>
      <c r="AU53" s="386">
        <f>R53/D53</f>
        <v>0.62002459470376459</v>
      </c>
      <c r="AV53" s="386">
        <f t="shared" ref="AV53:BG53" si="95">S53/E53</f>
        <v>1.0719032972980107</v>
      </c>
      <c r="AW53" s="386">
        <f t="shared" si="95"/>
        <v>1.7471909146450872</v>
      </c>
      <c r="AX53" s="386">
        <f t="shared" si="95"/>
        <v>1.3856451277192683</v>
      </c>
      <c r="AY53" s="386">
        <f t="shared" si="95"/>
        <v>1.3899052654126018</v>
      </c>
      <c r="AZ53" s="386">
        <f t="shared" si="95"/>
        <v>1.3265749208987205</v>
      </c>
      <c r="BA53" s="386">
        <f t="shared" si="95"/>
        <v>2.0452089590578146</v>
      </c>
      <c r="BB53" s="386">
        <f t="shared" si="95"/>
        <v>2.6577580023761822</v>
      </c>
      <c r="BC53" s="386">
        <f t="shared" si="95"/>
        <v>3.1192426526805805</v>
      </c>
      <c r="BD53" s="386">
        <f t="shared" si="95"/>
        <v>0</v>
      </c>
      <c r="BE53" s="386">
        <f>AB53/N53</f>
        <v>0</v>
      </c>
      <c r="BF53" s="386">
        <f t="shared" si="95"/>
        <v>0</v>
      </c>
      <c r="BG53" s="386">
        <f t="shared" si="95"/>
        <v>1.0694578138787376</v>
      </c>
      <c r="BI53" s="419">
        <f>BI40+BI32</f>
        <v>17.135539288082342</v>
      </c>
      <c r="BJ53" s="419">
        <f>BJ40+BJ32</f>
        <v>22.632936649131931</v>
      </c>
      <c r="BK53" s="419">
        <f>BK40+BK32</f>
        <v>27.076877414427905</v>
      </c>
      <c r="BL53" s="419">
        <f>BL40+BL32</f>
        <v>47.953149900951814</v>
      </c>
      <c r="BM53" s="419">
        <f>BM40+BM32</f>
        <v>114.798503252594</v>
      </c>
      <c r="BO53" s="419" t="e">
        <f>BO40+BO32+BO44+#REF!+BO52</f>
        <v>#REF!</v>
      </c>
      <c r="BP53" s="419" t="e">
        <f>BP40+BP32+BP44+#REF!+BP52</f>
        <v>#REF!</v>
      </c>
      <c r="BQ53" s="419" t="e">
        <f>BQ40+BQ32+BQ44+#REF!+BQ52</f>
        <v>#REF!</v>
      </c>
      <c r="BR53" s="419" t="e">
        <f>BR40+BR32+BR44+#REF!+BR52</f>
        <v>#REF!</v>
      </c>
      <c r="BS53" s="419" t="e">
        <f>BS40+BS32+BS44+#REF!+BS52</f>
        <v>#REF!</v>
      </c>
      <c r="BU53" s="420" t="e">
        <f>BO53/BI53</f>
        <v>#REF!</v>
      </c>
      <c r="BV53" s="420" t="e">
        <f>BP53/BJ53</f>
        <v>#REF!</v>
      </c>
      <c r="BW53" s="420" t="e">
        <f>BQ53/BK53</f>
        <v>#REF!</v>
      </c>
      <c r="BX53" s="420" t="e">
        <f>BR53/BL53</f>
        <v>#REF!</v>
      </c>
      <c r="BY53" s="420" t="e">
        <f>BS53/BM53</f>
        <v>#REF!</v>
      </c>
      <c r="CA53" s="327">
        <f t="shared" si="88"/>
        <v>1.3856451277192683</v>
      </c>
      <c r="CB53" s="327">
        <f t="shared" si="88"/>
        <v>1.3899052654126018</v>
      </c>
      <c r="CH53" s="421"/>
    </row>
    <row r="54" spans="1:87">
      <c r="A54" s="422"/>
      <c r="B54" s="389"/>
      <c r="C54" s="423"/>
      <c r="D54" s="389"/>
      <c r="E54" s="389"/>
      <c r="F54" s="389"/>
      <c r="G54" s="389"/>
      <c r="H54" s="389"/>
      <c r="I54" s="389"/>
      <c r="J54" s="424"/>
      <c r="K54" s="424"/>
      <c r="L54" s="425"/>
      <c r="M54" s="424"/>
      <c r="N54" s="424"/>
      <c r="O54" s="424"/>
      <c r="P54" s="424"/>
      <c r="Q54" s="426"/>
      <c r="X54" s="318"/>
      <c r="AG54" s="327"/>
      <c r="AU54" s="376"/>
      <c r="AV54" s="376"/>
      <c r="AW54" s="376"/>
      <c r="AX54" s="376"/>
      <c r="AY54" s="376"/>
      <c r="AZ54" s="376"/>
      <c r="BA54" s="376"/>
      <c r="BB54" s="376"/>
      <c r="BC54" s="376"/>
      <c r="BD54" s="376"/>
      <c r="BE54" s="376"/>
      <c r="BF54" s="376"/>
      <c r="BG54" s="376"/>
      <c r="BI54" s="427"/>
      <c r="BJ54" s="427"/>
      <c r="BK54" s="427"/>
      <c r="BL54" s="427"/>
      <c r="BM54" s="427"/>
      <c r="BS54" s="427"/>
      <c r="BU54" s="411"/>
      <c r="BV54" s="411"/>
      <c r="BW54" s="411"/>
      <c r="BX54" s="411"/>
      <c r="BY54" s="411"/>
      <c r="CH54" s="421"/>
    </row>
    <row r="55" spans="1:87" ht="15.75">
      <c r="A55" s="881" t="s">
        <v>61</v>
      </c>
      <c r="B55" s="340" t="s">
        <v>68</v>
      </c>
      <c r="C55" s="395"/>
      <c r="D55" s="428">
        <v>1.8000000000000001E-4</v>
      </c>
      <c r="E55" s="428">
        <v>1.8000000000000001E-4</v>
      </c>
      <c r="F55" s="428">
        <v>1.8000000000000001E-4</v>
      </c>
      <c r="G55" s="428">
        <v>1.8000000000000001E-4</v>
      </c>
      <c r="H55" s="428">
        <v>1.8000000000000001E-4</v>
      </c>
      <c r="I55" s="428">
        <v>1.8000000000000001E-4</v>
      </c>
      <c r="J55" s="428">
        <v>1.8000000000000001E-4</v>
      </c>
      <c r="K55" s="428">
        <v>1.8000000000000001E-4</v>
      </c>
      <c r="L55" s="428">
        <v>1.8000000000000001E-4</v>
      </c>
      <c r="M55" s="428">
        <v>1.8000000000000001E-4</v>
      </c>
      <c r="N55" s="428">
        <v>1.8000000000000001E-4</v>
      </c>
      <c r="O55" s="428">
        <v>1.8000000000000001E-4</v>
      </c>
      <c r="P55" s="429">
        <f>AVERAGE(D55:O55)</f>
        <v>1.8000000000000001E-4</v>
      </c>
      <c r="Q55" s="430"/>
      <c r="R55" s="431">
        <f t="shared" ref="R55:AD56" si="96">R30/R5</f>
        <v>7.7085852478839213E-5</v>
      </c>
      <c r="S55" s="431">
        <f t="shared" si="96"/>
        <v>9.5954100306657481E-5</v>
      </c>
      <c r="T55" s="431">
        <f t="shared" si="96"/>
        <v>8.3210964268232995E-5</v>
      </c>
      <c r="U55" s="431">
        <f t="shared" si="96"/>
        <v>0</v>
      </c>
      <c r="V55" s="431">
        <f t="shared" si="96"/>
        <v>0</v>
      </c>
      <c r="W55" s="431">
        <f t="shared" si="96"/>
        <v>0</v>
      </c>
      <c r="X55" s="431">
        <f t="shared" si="96"/>
        <v>0</v>
      </c>
      <c r="Y55" s="431">
        <f t="shared" si="96"/>
        <v>5.2248666912259941E-4</v>
      </c>
      <c r="Z55" s="431">
        <f t="shared" si="96"/>
        <v>5.0403765560880448E-4</v>
      </c>
      <c r="AA55" s="431" t="e">
        <f t="shared" si="96"/>
        <v>#DIV/0!</v>
      </c>
      <c r="AB55" s="432" t="e">
        <f>AB30/AB5</f>
        <v>#DIV/0!</v>
      </c>
      <c r="AC55" s="431" t="e">
        <f t="shared" si="96"/>
        <v>#DIV/0!</v>
      </c>
      <c r="AD55" s="431">
        <f t="shared" si="96"/>
        <v>5.0422374385689268E-4</v>
      </c>
      <c r="AE55" s="429"/>
      <c r="AF55" s="430"/>
      <c r="AG55" s="431">
        <f t="shared" ref="AG55:AR56" si="97">R55-D55</f>
        <v>-1.029141475211608E-4</v>
      </c>
      <c r="AH55" s="431">
        <f t="shared" si="97"/>
        <v>-8.4045899693342531E-5</v>
      </c>
      <c r="AI55" s="431">
        <f t="shared" si="97"/>
        <v>-9.6789035731767017E-5</v>
      </c>
      <c r="AJ55" s="431">
        <f t="shared" si="97"/>
        <v>-1.8000000000000001E-4</v>
      </c>
      <c r="AK55" s="431">
        <f t="shared" si="97"/>
        <v>-1.8000000000000001E-4</v>
      </c>
      <c r="AL55" s="431">
        <f t="shared" si="97"/>
        <v>-1.8000000000000001E-4</v>
      </c>
      <c r="AM55" s="431">
        <f t="shared" si="97"/>
        <v>-1.8000000000000001E-4</v>
      </c>
      <c r="AN55" s="431">
        <f t="shared" si="97"/>
        <v>3.4248666912259937E-4</v>
      </c>
      <c r="AO55" s="431">
        <f t="shared" si="97"/>
        <v>3.2403765560880444E-4</v>
      </c>
      <c r="AP55" s="431" t="e">
        <f t="shared" si="97"/>
        <v>#DIV/0!</v>
      </c>
      <c r="AQ55" s="431" t="e">
        <f>AB55-N55</f>
        <v>#DIV/0!</v>
      </c>
      <c r="AR55" s="431" t="e">
        <f t="shared" si="97"/>
        <v>#DIV/0!</v>
      </c>
      <c r="AS55" s="431">
        <f>AS30/AS5</f>
        <v>5.4078662469704314E-4</v>
      </c>
      <c r="AT55" s="430"/>
      <c r="AU55" s="433">
        <f>R55/D55</f>
        <v>0.42825473599355118</v>
      </c>
      <c r="AV55" s="433">
        <f t="shared" ref="AV55:BG56" si="98">S55/E55</f>
        <v>0.53307833503698598</v>
      </c>
      <c r="AW55" s="433">
        <f t="shared" si="98"/>
        <v>0.46228313482351663</v>
      </c>
      <c r="AX55" s="433">
        <f t="shared" si="98"/>
        <v>0</v>
      </c>
      <c r="AY55" s="433">
        <f t="shared" si="98"/>
        <v>0</v>
      </c>
      <c r="AZ55" s="433">
        <f t="shared" si="98"/>
        <v>0</v>
      </c>
      <c r="BA55" s="433">
        <f t="shared" si="98"/>
        <v>0</v>
      </c>
      <c r="BB55" s="433">
        <f t="shared" si="98"/>
        <v>2.9027037173477743</v>
      </c>
      <c r="BC55" s="433">
        <f t="shared" si="98"/>
        <v>2.8002091978266912</v>
      </c>
      <c r="BD55" s="433" t="e">
        <f t="shared" si="98"/>
        <v>#DIV/0!</v>
      </c>
      <c r="BE55" s="433" t="e">
        <f>AB55/N55</f>
        <v>#DIV/0!</v>
      </c>
      <c r="BF55" s="433" t="e">
        <f t="shared" si="98"/>
        <v>#DIV/0!</v>
      </c>
      <c r="BG55" s="433">
        <f t="shared" si="98"/>
        <v>2.8012430214271813</v>
      </c>
      <c r="BI55" s="434">
        <f t="shared" ref="BI55:BM56" si="99">BI30/BI5</f>
        <v>1.8000000000000001E-4</v>
      </c>
      <c r="BJ55" s="434">
        <f t="shared" si="99"/>
        <v>1.8000000000000001E-4</v>
      </c>
      <c r="BK55" s="434">
        <f t="shared" si="99"/>
        <v>1.8000000000000001E-4</v>
      </c>
      <c r="BL55" s="434">
        <f t="shared" si="99"/>
        <v>1.8000000000000004E-4</v>
      </c>
      <c r="BM55" s="434">
        <f t="shared" si="99"/>
        <v>1.8000000000000004E-4</v>
      </c>
      <c r="BO55" s="435">
        <f t="shared" ref="BO55:BS56" si="100">BO30/BO5</f>
        <v>8.7915601023017936E-5</v>
      </c>
      <c r="BP55" s="435">
        <f t="shared" si="100"/>
        <v>0</v>
      </c>
      <c r="BQ55" s="435">
        <f t="shared" si="100"/>
        <v>5.0559163467476674E-4</v>
      </c>
      <c r="BR55" s="435" t="e">
        <f t="shared" si="100"/>
        <v>#DIV/0!</v>
      </c>
      <c r="BS55" s="434">
        <f t="shared" si="100"/>
        <v>5.0422374385689268E-4</v>
      </c>
      <c r="BU55" s="401">
        <f t="shared" ref="BU55:BY56" si="101">BO55/BI55</f>
        <v>0.48842000568343297</v>
      </c>
      <c r="BV55" s="401">
        <f t="shared" si="101"/>
        <v>0</v>
      </c>
      <c r="BW55" s="401">
        <f t="shared" si="101"/>
        <v>2.8088424148598152</v>
      </c>
      <c r="BX55" s="401" t="e">
        <f t="shared" si="101"/>
        <v>#DIV/0!</v>
      </c>
      <c r="BY55" s="401">
        <f t="shared" si="101"/>
        <v>2.8012430214271808</v>
      </c>
      <c r="CA55" s="327">
        <f>U55/G55</f>
        <v>0</v>
      </c>
      <c r="CB55" s="327">
        <f>V55/H55</f>
        <v>0</v>
      </c>
    </row>
    <row r="56" spans="1:87">
      <c r="A56" s="882"/>
      <c r="B56" s="347" t="s">
        <v>69</v>
      </c>
      <c r="C56" s="402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29" t="e">
        <f>AVERAGE(D56:O56)</f>
        <v>#DIV/0!</v>
      </c>
      <c r="Q56" s="430"/>
      <c r="R56" s="436">
        <f t="shared" si="96"/>
        <v>2.9905884422552551E-5</v>
      </c>
      <c r="S56" s="436">
        <f t="shared" si="96"/>
        <v>3.021604471974619E-5</v>
      </c>
      <c r="T56" s="436">
        <f t="shared" si="96"/>
        <v>2.847612073875194E-5</v>
      </c>
      <c r="U56" s="436">
        <f t="shared" si="96"/>
        <v>2.4213075060532693E-5</v>
      </c>
      <c r="V56" s="436">
        <f t="shared" si="96"/>
        <v>2.5776886724903335E-5</v>
      </c>
      <c r="W56" s="436">
        <f t="shared" si="96"/>
        <v>2.4835905623558633E-5</v>
      </c>
      <c r="X56" s="436">
        <f t="shared" si="96"/>
        <v>3.8791343405471636E-5</v>
      </c>
      <c r="Y56" s="436">
        <f t="shared" si="96"/>
        <v>3.937613241271237E-4</v>
      </c>
      <c r="Z56" s="436">
        <f t="shared" si="96"/>
        <v>7.0185663142119663E-4</v>
      </c>
      <c r="AA56" s="436" t="e">
        <f t="shared" si="96"/>
        <v>#DIV/0!</v>
      </c>
      <c r="AB56" s="437" t="e">
        <f>AB31/AB6</f>
        <v>#DIV/0!</v>
      </c>
      <c r="AC56" s="436" t="e">
        <f t="shared" si="96"/>
        <v>#DIV/0!</v>
      </c>
      <c r="AD56" s="436">
        <f t="shared" si="96"/>
        <v>5.3845282402764172E-4</v>
      </c>
      <c r="AE56" s="429"/>
      <c r="AF56" s="430"/>
      <c r="AG56" s="436">
        <f t="shared" si="97"/>
        <v>2.9905884422552551E-5</v>
      </c>
      <c r="AH56" s="436">
        <f t="shared" si="97"/>
        <v>3.021604471974619E-5</v>
      </c>
      <c r="AI56" s="436">
        <f t="shared" si="97"/>
        <v>2.847612073875194E-5</v>
      </c>
      <c r="AJ56" s="436">
        <f t="shared" si="97"/>
        <v>2.4213075060532693E-5</v>
      </c>
      <c r="AK56" s="436">
        <f t="shared" si="97"/>
        <v>2.5776886724903335E-5</v>
      </c>
      <c r="AL56" s="436">
        <f t="shared" si="97"/>
        <v>2.4835905623558633E-5</v>
      </c>
      <c r="AM56" s="436">
        <f t="shared" si="97"/>
        <v>3.8791343405471636E-5</v>
      </c>
      <c r="AN56" s="436">
        <f t="shared" si="97"/>
        <v>3.937613241271237E-4</v>
      </c>
      <c r="AO56" s="436">
        <f t="shared" si="97"/>
        <v>7.0185663142119663E-4</v>
      </c>
      <c r="AP56" s="436" t="e">
        <f t="shared" si="97"/>
        <v>#DIV/0!</v>
      </c>
      <c r="AQ56" s="436" t="e">
        <f>AB56-N56</f>
        <v>#DIV/0!</v>
      </c>
      <c r="AR56" s="436" t="e">
        <f t="shared" si="97"/>
        <v>#DIV/0!</v>
      </c>
      <c r="AS56" s="436">
        <f>AS31/AS6</f>
        <v>5.3845282402764172E-4</v>
      </c>
      <c r="AT56" s="430"/>
      <c r="AU56" s="376" t="e">
        <f>R56/D56</f>
        <v>#DIV/0!</v>
      </c>
      <c r="AV56" s="376" t="e">
        <f t="shared" si="98"/>
        <v>#DIV/0!</v>
      </c>
      <c r="AW56" s="376" t="e">
        <f t="shared" si="98"/>
        <v>#DIV/0!</v>
      </c>
      <c r="AX56" s="376" t="e">
        <f t="shared" si="98"/>
        <v>#DIV/0!</v>
      </c>
      <c r="AY56" s="376" t="e">
        <f t="shared" si="98"/>
        <v>#DIV/0!</v>
      </c>
      <c r="AZ56" s="376" t="e">
        <f t="shared" si="98"/>
        <v>#DIV/0!</v>
      </c>
      <c r="BA56" s="376" t="e">
        <f t="shared" si="98"/>
        <v>#DIV/0!</v>
      </c>
      <c r="BB56" s="376" t="e">
        <f t="shared" si="98"/>
        <v>#DIV/0!</v>
      </c>
      <c r="BC56" s="376" t="e">
        <f t="shared" si="98"/>
        <v>#DIV/0!</v>
      </c>
      <c r="BD56" s="376" t="e">
        <f t="shared" si="98"/>
        <v>#DIV/0!</v>
      </c>
      <c r="BE56" s="376" t="e">
        <f>AB56/N56</f>
        <v>#DIV/0!</v>
      </c>
      <c r="BF56" s="376" t="e">
        <f t="shared" si="98"/>
        <v>#DIV/0!</v>
      </c>
      <c r="BG56" s="376" t="e">
        <f t="shared" si="98"/>
        <v>#DIV/0!</v>
      </c>
      <c r="BI56" s="438" t="e">
        <f t="shared" si="99"/>
        <v>#DIV/0!</v>
      </c>
      <c r="BJ56" s="438" t="e">
        <f t="shared" si="99"/>
        <v>#DIV/0!</v>
      </c>
      <c r="BK56" s="438" t="e">
        <f t="shared" si="99"/>
        <v>#DIV/0!</v>
      </c>
      <c r="BL56" s="438" t="e">
        <f t="shared" si="99"/>
        <v>#DIV/0!</v>
      </c>
      <c r="BM56" s="438" t="e">
        <f t="shared" si="99"/>
        <v>#DIV/0!</v>
      </c>
      <c r="BO56" s="438">
        <f t="shared" si="100"/>
        <v>2.9540896525556943E-5</v>
      </c>
      <c r="BP56" s="438">
        <f t="shared" si="100"/>
        <v>2.4877913940845851E-5</v>
      </c>
      <c r="BQ56" s="438">
        <f t="shared" si="100"/>
        <v>6.6235917140408283E-4</v>
      </c>
      <c r="BR56" s="438" t="e">
        <f t="shared" si="100"/>
        <v>#DIV/0!</v>
      </c>
      <c r="BS56" s="438">
        <f t="shared" si="100"/>
        <v>5.3845282402764172E-4</v>
      </c>
      <c r="BU56" s="353" t="e">
        <f t="shared" si="101"/>
        <v>#DIV/0!</v>
      </c>
      <c r="BV56" s="353" t="e">
        <f t="shared" si="101"/>
        <v>#DIV/0!</v>
      </c>
      <c r="BW56" s="353" t="e">
        <f t="shared" si="101"/>
        <v>#DIV/0!</v>
      </c>
      <c r="BX56" s="353" t="e">
        <f t="shared" si="101"/>
        <v>#DIV/0!</v>
      </c>
      <c r="BY56" s="353" t="e">
        <f t="shared" si="101"/>
        <v>#DIV/0!</v>
      </c>
      <c r="CA56" s="327" t="e">
        <f>U56/G56</f>
        <v>#DIV/0!</v>
      </c>
      <c r="CB56" s="327" t="e">
        <f>V56/H56</f>
        <v>#DIV/0!</v>
      </c>
      <c r="CH56" s="327"/>
    </row>
    <row r="57" spans="1:87" ht="15.75" thickBot="1">
      <c r="A57" s="882"/>
      <c r="B57" s="354" t="s">
        <v>78</v>
      </c>
      <c r="C57" s="439"/>
      <c r="D57" s="440"/>
      <c r="E57" s="440"/>
      <c r="F57" s="440"/>
      <c r="G57" s="440"/>
      <c r="H57" s="440"/>
      <c r="I57" s="440"/>
      <c r="J57" s="440"/>
      <c r="K57" s="440"/>
      <c r="L57" s="440"/>
      <c r="M57" s="440"/>
      <c r="N57" s="440"/>
      <c r="O57" s="440"/>
      <c r="P57" s="440"/>
      <c r="Q57" s="441"/>
      <c r="R57" s="440"/>
      <c r="S57" s="440"/>
      <c r="T57" s="440"/>
      <c r="U57" s="440"/>
      <c r="V57" s="440"/>
      <c r="W57" s="440"/>
      <c r="X57" s="440"/>
      <c r="Y57" s="440"/>
      <c r="Z57" s="440"/>
      <c r="AA57" s="440"/>
      <c r="AB57" s="442"/>
      <c r="AC57" s="440"/>
      <c r="AD57" s="440"/>
      <c r="AE57" s="443"/>
      <c r="AF57" s="441"/>
      <c r="AG57" s="440"/>
      <c r="AH57" s="440"/>
      <c r="AI57" s="440"/>
      <c r="AJ57" s="440"/>
      <c r="AK57" s="440"/>
      <c r="AL57" s="440"/>
      <c r="AM57" s="440"/>
      <c r="AN57" s="440"/>
      <c r="AO57" s="440"/>
      <c r="AP57" s="440"/>
      <c r="AQ57" s="440"/>
      <c r="AR57" s="440"/>
      <c r="AS57" s="440"/>
      <c r="AT57" s="441"/>
      <c r="AU57" s="377"/>
      <c r="AV57" s="377"/>
      <c r="AW57" s="377"/>
      <c r="AX57" s="377"/>
      <c r="AY57" s="377"/>
      <c r="AZ57" s="377"/>
      <c r="BA57" s="377"/>
      <c r="BB57" s="377"/>
      <c r="BC57" s="377"/>
      <c r="BD57" s="377"/>
      <c r="BE57" s="377"/>
      <c r="BF57" s="377"/>
      <c r="BG57" s="377"/>
      <c r="BI57" s="444"/>
      <c r="BJ57" s="444"/>
      <c r="BK57" s="444"/>
      <c r="BL57" s="444"/>
      <c r="BM57" s="444"/>
      <c r="BO57" s="444"/>
      <c r="BP57" s="444"/>
      <c r="BQ57" s="444"/>
      <c r="BR57" s="444"/>
      <c r="BS57" s="444"/>
      <c r="BU57" s="445"/>
      <c r="BV57" s="445"/>
      <c r="BW57" s="445"/>
      <c r="BX57" s="445"/>
      <c r="BY57" s="445"/>
      <c r="CI57" s="446" t="s">
        <v>79</v>
      </c>
    </row>
    <row r="58" spans="1:87" ht="15.75" thickTop="1">
      <c r="A58" s="882"/>
      <c r="B58" s="368"/>
      <c r="C58" s="371"/>
      <c r="X58" s="318"/>
      <c r="AU58" s="376"/>
      <c r="AV58" s="376"/>
      <c r="AW58" s="376"/>
      <c r="AX58" s="376"/>
      <c r="AY58" s="376"/>
      <c r="AZ58" s="376"/>
      <c r="BA58" s="376"/>
      <c r="BB58" s="376"/>
      <c r="BC58" s="376"/>
      <c r="BD58" s="376"/>
      <c r="BE58" s="376"/>
      <c r="BF58" s="376"/>
      <c r="BG58" s="376"/>
      <c r="BU58" s="411"/>
      <c r="BV58" s="411"/>
      <c r="BW58" s="411"/>
      <c r="BX58" s="411"/>
      <c r="BY58" s="411"/>
    </row>
    <row r="59" spans="1:87" ht="15.75">
      <c r="A59" s="882"/>
      <c r="B59" s="340" t="s">
        <v>68</v>
      </c>
      <c r="C59" s="395"/>
      <c r="D59" s="428">
        <v>1.8000000000000001E-4</v>
      </c>
      <c r="E59" s="428">
        <v>1.8000000000000001E-4</v>
      </c>
      <c r="F59" s="428">
        <v>1.8000000000000001E-4</v>
      </c>
      <c r="G59" s="428">
        <v>1.8000000000000001E-4</v>
      </c>
      <c r="H59" s="428">
        <v>1.8000000000000001E-4</v>
      </c>
      <c r="I59" s="428">
        <v>1.8000000000000001E-4</v>
      </c>
      <c r="J59" s="428">
        <v>1.8000000000000001E-4</v>
      </c>
      <c r="K59" s="428">
        <v>1.8000000000000001E-4</v>
      </c>
      <c r="L59" s="428">
        <v>1.8000000000000001E-4</v>
      </c>
      <c r="M59" s="428">
        <v>1.8000000000000001E-4</v>
      </c>
      <c r="N59" s="428">
        <v>1.8000000000000001E-4</v>
      </c>
      <c r="O59" s="428">
        <v>1.8000000000000001E-4</v>
      </c>
      <c r="P59" s="429">
        <f>AVERAGE(D59:O59)</f>
        <v>1.8000000000000001E-4</v>
      </c>
      <c r="Q59" s="430"/>
      <c r="R59" s="429" t="e">
        <f t="shared" ref="R59:AD60" si="102">R38/R13</f>
        <v>#DIV/0!</v>
      </c>
      <c r="S59" s="429" t="e">
        <f t="shared" si="102"/>
        <v>#DIV/0!</v>
      </c>
      <c r="T59" s="429" t="e">
        <f t="shared" si="102"/>
        <v>#DIV/0!</v>
      </c>
      <c r="U59" s="429" t="e">
        <f t="shared" si="102"/>
        <v>#DIV/0!</v>
      </c>
      <c r="V59" s="429" t="e">
        <f t="shared" si="102"/>
        <v>#DIV/0!</v>
      </c>
      <c r="W59" s="429" t="e">
        <f t="shared" si="102"/>
        <v>#DIV/0!</v>
      </c>
      <c r="X59" s="429" t="e">
        <f t="shared" si="102"/>
        <v>#DIV/0!</v>
      </c>
      <c r="Y59" s="429" t="e">
        <f t="shared" si="102"/>
        <v>#DIV/0!</v>
      </c>
      <c r="Z59" s="429" t="e">
        <f t="shared" si="102"/>
        <v>#DIV/0!</v>
      </c>
      <c r="AA59" s="429" t="e">
        <f t="shared" si="102"/>
        <v>#DIV/0!</v>
      </c>
      <c r="AB59" s="447" t="e">
        <f t="shared" si="102"/>
        <v>#DIV/0!</v>
      </c>
      <c r="AC59" s="429" t="e">
        <f t="shared" si="102"/>
        <v>#DIV/0!</v>
      </c>
      <c r="AD59" s="429" t="e">
        <f t="shared" si="102"/>
        <v>#DIV/0!</v>
      </c>
      <c r="AE59" s="429"/>
      <c r="AF59" s="430"/>
      <c r="AG59" s="429" t="e">
        <f t="shared" ref="AG59:AR60" si="103">R59-D59</f>
        <v>#DIV/0!</v>
      </c>
      <c r="AH59" s="429" t="e">
        <f t="shared" si="103"/>
        <v>#DIV/0!</v>
      </c>
      <c r="AI59" s="429" t="e">
        <f t="shared" si="103"/>
        <v>#DIV/0!</v>
      </c>
      <c r="AJ59" s="429" t="e">
        <f t="shared" si="103"/>
        <v>#DIV/0!</v>
      </c>
      <c r="AK59" s="429" t="e">
        <f t="shared" si="103"/>
        <v>#DIV/0!</v>
      </c>
      <c r="AL59" s="429" t="e">
        <f t="shared" si="103"/>
        <v>#DIV/0!</v>
      </c>
      <c r="AM59" s="429" t="e">
        <f t="shared" si="103"/>
        <v>#DIV/0!</v>
      </c>
      <c r="AN59" s="429" t="e">
        <f t="shared" si="103"/>
        <v>#DIV/0!</v>
      </c>
      <c r="AO59" s="429" t="e">
        <f t="shared" si="103"/>
        <v>#DIV/0!</v>
      </c>
      <c r="AP59" s="429" t="e">
        <f t="shared" si="103"/>
        <v>#DIV/0!</v>
      </c>
      <c r="AQ59" s="429" t="e">
        <f>AB59-N59</f>
        <v>#DIV/0!</v>
      </c>
      <c r="AR59" s="429" t="e">
        <f t="shared" si="103"/>
        <v>#DIV/0!</v>
      </c>
      <c r="AS59" s="429" t="e">
        <f>AS38/AS13</f>
        <v>#DIV/0!</v>
      </c>
      <c r="AT59" s="430"/>
      <c r="AU59" s="433" t="e">
        <f>R59/D59</f>
        <v>#DIV/0!</v>
      </c>
      <c r="AV59" s="433" t="e">
        <f t="shared" ref="AV59:BG60" si="104">S59/E59</f>
        <v>#DIV/0!</v>
      </c>
      <c r="AW59" s="433" t="e">
        <f t="shared" si="104"/>
        <v>#DIV/0!</v>
      </c>
      <c r="AX59" s="433" t="e">
        <f t="shared" si="104"/>
        <v>#DIV/0!</v>
      </c>
      <c r="AY59" s="433" t="e">
        <f t="shared" si="104"/>
        <v>#DIV/0!</v>
      </c>
      <c r="AZ59" s="433" t="e">
        <f t="shared" si="104"/>
        <v>#DIV/0!</v>
      </c>
      <c r="BA59" s="433" t="e">
        <f t="shared" si="104"/>
        <v>#DIV/0!</v>
      </c>
      <c r="BB59" s="433" t="e">
        <f t="shared" si="104"/>
        <v>#DIV/0!</v>
      </c>
      <c r="BC59" s="433" t="e">
        <f t="shared" si="104"/>
        <v>#DIV/0!</v>
      </c>
      <c r="BD59" s="433" t="e">
        <f t="shared" si="104"/>
        <v>#DIV/0!</v>
      </c>
      <c r="BE59" s="433" t="e">
        <f>AB59/N59</f>
        <v>#DIV/0!</v>
      </c>
      <c r="BF59" s="433" t="e">
        <f t="shared" si="104"/>
        <v>#DIV/0!</v>
      </c>
      <c r="BG59" s="433" t="e">
        <f t="shared" si="104"/>
        <v>#DIV/0!</v>
      </c>
      <c r="BI59" s="434" t="e">
        <f t="shared" ref="BI59:BM60" si="105">BI38/BI13</f>
        <v>#DIV/0!</v>
      </c>
      <c r="BJ59" s="434" t="e">
        <f t="shared" si="105"/>
        <v>#DIV/0!</v>
      </c>
      <c r="BK59" s="434" t="e">
        <f t="shared" si="105"/>
        <v>#DIV/0!</v>
      </c>
      <c r="BL59" s="434" t="e">
        <f t="shared" si="105"/>
        <v>#DIV/0!</v>
      </c>
      <c r="BM59" s="434" t="e">
        <f t="shared" si="105"/>
        <v>#DIV/0!</v>
      </c>
      <c r="BO59" s="434" t="e">
        <f t="shared" ref="BO59:BS60" si="106">BO38/BO13</f>
        <v>#DIV/0!</v>
      </c>
      <c r="BP59" s="434" t="e">
        <f t="shared" si="106"/>
        <v>#DIV/0!</v>
      </c>
      <c r="BQ59" s="434" t="e">
        <f t="shared" si="106"/>
        <v>#DIV/0!</v>
      </c>
      <c r="BR59" s="434" t="e">
        <f t="shared" si="106"/>
        <v>#DIV/0!</v>
      </c>
      <c r="BS59" s="434" t="e">
        <f t="shared" si="106"/>
        <v>#DIV/0!</v>
      </c>
      <c r="BU59" s="346" t="e">
        <f t="shared" ref="BU59:BY60" si="107">BO59/BI59</f>
        <v>#DIV/0!</v>
      </c>
      <c r="BV59" s="346" t="e">
        <f t="shared" si="107"/>
        <v>#DIV/0!</v>
      </c>
      <c r="BW59" s="346" t="e">
        <f t="shared" si="107"/>
        <v>#DIV/0!</v>
      </c>
      <c r="BX59" s="346" t="e">
        <f t="shared" si="107"/>
        <v>#DIV/0!</v>
      </c>
      <c r="BY59" s="346" t="e">
        <f t="shared" si="107"/>
        <v>#DIV/0!</v>
      </c>
      <c r="CA59" s="327" t="e">
        <f>U59/G59</f>
        <v>#DIV/0!</v>
      </c>
      <c r="CB59" s="327" t="e">
        <f>V59/H59</f>
        <v>#DIV/0!</v>
      </c>
    </row>
    <row r="60" spans="1:87">
      <c r="A60" s="882"/>
      <c r="B60" s="347" t="s">
        <v>69</v>
      </c>
      <c r="C60" s="402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29" t="e">
        <f>AVERAGE(D60:O60)</f>
        <v>#DIV/0!</v>
      </c>
      <c r="Q60" s="430"/>
      <c r="R60" s="436" t="e">
        <f t="shared" si="102"/>
        <v>#DIV/0!</v>
      </c>
      <c r="S60" s="436" t="e">
        <f t="shared" si="102"/>
        <v>#DIV/0!</v>
      </c>
      <c r="T60" s="436" t="e">
        <f t="shared" si="102"/>
        <v>#DIV/0!</v>
      </c>
      <c r="U60" s="436" t="e">
        <f t="shared" si="102"/>
        <v>#DIV/0!</v>
      </c>
      <c r="V60" s="436" t="e">
        <f t="shared" si="102"/>
        <v>#DIV/0!</v>
      </c>
      <c r="W60" s="436" t="e">
        <f t="shared" si="102"/>
        <v>#DIV/0!</v>
      </c>
      <c r="X60" s="436" t="e">
        <f t="shared" si="102"/>
        <v>#DIV/0!</v>
      </c>
      <c r="Y60" s="436" t="e">
        <f t="shared" si="102"/>
        <v>#DIV/0!</v>
      </c>
      <c r="Z60" s="436" t="e">
        <f t="shared" si="102"/>
        <v>#DIV/0!</v>
      </c>
      <c r="AA60" s="436" t="e">
        <f t="shared" si="102"/>
        <v>#DIV/0!</v>
      </c>
      <c r="AB60" s="437" t="e">
        <f t="shared" si="102"/>
        <v>#DIV/0!</v>
      </c>
      <c r="AC60" s="436" t="e">
        <f t="shared" si="102"/>
        <v>#DIV/0!</v>
      </c>
      <c r="AD60" s="436" t="e">
        <f t="shared" si="102"/>
        <v>#DIV/0!</v>
      </c>
      <c r="AE60" s="429"/>
      <c r="AF60" s="430"/>
      <c r="AG60" s="436" t="e">
        <f t="shared" si="103"/>
        <v>#DIV/0!</v>
      </c>
      <c r="AH60" s="436" t="e">
        <f t="shared" si="103"/>
        <v>#DIV/0!</v>
      </c>
      <c r="AI60" s="436" t="e">
        <f t="shared" si="103"/>
        <v>#DIV/0!</v>
      </c>
      <c r="AJ60" s="436" t="e">
        <f t="shared" si="103"/>
        <v>#DIV/0!</v>
      </c>
      <c r="AK60" s="436" t="e">
        <f t="shared" si="103"/>
        <v>#DIV/0!</v>
      </c>
      <c r="AL60" s="436" t="e">
        <f t="shared" si="103"/>
        <v>#DIV/0!</v>
      </c>
      <c r="AM60" s="436" t="e">
        <f t="shared" si="103"/>
        <v>#DIV/0!</v>
      </c>
      <c r="AN60" s="436" t="e">
        <f t="shared" si="103"/>
        <v>#DIV/0!</v>
      </c>
      <c r="AO60" s="436" t="e">
        <f t="shared" si="103"/>
        <v>#DIV/0!</v>
      </c>
      <c r="AP60" s="436" t="e">
        <f t="shared" si="103"/>
        <v>#DIV/0!</v>
      </c>
      <c r="AQ60" s="436" t="e">
        <f>AB60-N60</f>
        <v>#DIV/0!</v>
      </c>
      <c r="AR60" s="436" t="e">
        <f t="shared" si="103"/>
        <v>#DIV/0!</v>
      </c>
      <c r="AS60" s="436" t="e">
        <f>AS39/AS14</f>
        <v>#DIV/0!</v>
      </c>
      <c r="AT60" s="430"/>
      <c r="AU60" s="376" t="e">
        <f>R60/D60</f>
        <v>#DIV/0!</v>
      </c>
      <c r="AV60" s="376" t="e">
        <f t="shared" si="104"/>
        <v>#DIV/0!</v>
      </c>
      <c r="AW60" s="376" t="e">
        <f t="shared" si="104"/>
        <v>#DIV/0!</v>
      </c>
      <c r="AX60" s="376" t="e">
        <f t="shared" si="104"/>
        <v>#DIV/0!</v>
      </c>
      <c r="AY60" s="376" t="e">
        <f t="shared" si="104"/>
        <v>#DIV/0!</v>
      </c>
      <c r="AZ60" s="376" t="e">
        <f t="shared" si="104"/>
        <v>#DIV/0!</v>
      </c>
      <c r="BA60" s="376" t="e">
        <f t="shared" si="104"/>
        <v>#DIV/0!</v>
      </c>
      <c r="BB60" s="376" t="e">
        <f t="shared" si="104"/>
        <v>#DIV/0!</v>
      </c>
      <c r="BC60" s="376" t="e">
        <f t="shared" si="104"/>
        <v>#DIV/0!</v>
      </c>
      <c r="BD60" s="376" t="e">
        <f t="shared" si="104"/>
        <v>#DIV/0!</v>
      </c>
      <c r="BE60" s="376" t="e">
        <f>AB60/N60</f>
        <v>#DIV/0!</v>
      </c>
      <c r="BF60" s="376" t="e">
        <f t="shared" si="104"/>
        <v>#DIV/0!</v>
      </c>
      <c r="BG60" s="376" t="e">
        <f t="shared" si="104"/>
        <v>#DIV/0!</v>
      </c>
      <c r="BI60" s="438" t="e">
        <f t="shared" si="105"/>
        <v>#DIV/0!</v>
      </c>
      <c r="BJ60" s="438" t="e">
        <f t="shared" si="105"/>
        <v>#DIV/0!</v>
      </c>
      <c r="BK60" s="438" t="e">
        <f t="shared" si="105"/>
        <v>#DIV/0!</v>
      </c>
      <c r="BL60" s="438" t="e">
        <f t="shared" si="105"/>
        <v>#DIV/0!</v>
      </c>
      <c r="BM60" s="438" t="e">
        <f t="shared" si="105"/>
        <v>#DIV/0!</v>
      </c>
      <c r="BO60" s="438" t="e">
        <f t="shared" si="106"/>
        <v>#DIV/0!</v>
      </c>
      <c r="BP60" s="438" t="e">
        <f t="shared" si="106"/>
        <v>#DIV/0!</v>
      </c>
      <c r="BQ60" s="438" t="e">
        <f t="shared" si="106"/>
        <v>#DIV/0!</v>
      </c>
      <c r="BR60" s="438" t="e">
        <f t="shared" si="106"/>
        <v>#DIV/0!</v>
      </c>
      <c r="BS60" s="438" t="e">
        <f t="shared" si="106"/>
        <v>#DIV/0!</v>
      </c>
      <c r="BU60" s="353" t="e">
        <f t="shared" si="107"/>
        <v>#DIV/0!</v>
      </c>
      <c r="BV60" s="353" t="e">
        <f t="shared" si="107"/>
        <v>#DIV/0!</v>
      </c>
      <c r="BW60" s="353" t="e">
        <f t="shared" si="107"/>
        <v>#DIV/0!</v>
      </c>
      <c r="BX60" s="353" t="e">
        <f t="shared" si="107"/>
        <v>#DIV/0!</v>
      </c>
      <c r="BY60" s="353" t="e">
        <f t="shared" si="107"/>
        <v>#DIV/0!</v>
      </c>
      <c r="CA60" s="327" t="e">
        <f>U60/G60</f>
        <v>#DIV/0!</v>
      </c>
      <c r="CB60" s="327" t="e">
        <f>V60/H60</f>
        <v>#DIV/0!</v>
      </c>
    </row>
    <row r="61" spans="1:87" ht="15.75" thickBot="1">
      <c r="A61" s="882"/>
      <c r="B61" s="354" t="s">
        <v>72</v>
      </c>
      <c r="C61" s="439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0"/>
      <c r="P61" s="440"/>
      <c r="Q61" s="441"/>
      <c r="R61" s="440"/>
      <c r="S61" s="440"/>
      <c r="T61" s="440"/>
      <c r="U61" s="440"/>
      <c r="V61" s="440"/>
      <c r="W61" s="440"/>
      <c r="X61" s="440"/>
      <c r="Y61" s="440"/>
      <c r="Z61" s="440"/>
      <c r="AA61" s="440"/>
      <c r="AB61" s="442"/>
      <c r="AC61" s="440"/>
      <c r="AD61" s="440"/>
      <c r="AE61" s="443"/>
      <c r="AF61" s="441"/>
      <c r="AG61" s="440"/>
      <c r="AH61" s="440"/>
      <c r="AI61" s="440"/>
      <c r="AJ61" s="440"/>
      <c r="AK61" s="440"/>
      <c r="AL61" s="440"/>
      <c r="AM61" s="440"/>
      <c r="AN61" s="440"/>
      <c r="AO61" s="440"/>
      <c r="AP61" s="440"/>
      <c r="AQ61" s="440"/>
      <c r="AR61" s="440"/>
      <c r="AS61" s="440"/>
      <c r="AT61" s="441"/>
      <c r="AU61" s="377"/>
      <c r="AV61" s="377"/>
      <c r="AW61" s="377"/>
      <c r="AX61" s="377"/>
      <c r="AY61" s="377"/>
      <c r="AZ61" s="377"/>
      <c r="BA61" s="377"/>
      <c r="BB61" s="377"/>
      <c r="BC61" s="377"/>
      <c r="BD61" s="377"/>
      <c r="BE61" s="377"/>
      <c r="BF61" s="377"/>
      <c r="BG61" s="377"/>
      <c r="BI61" s="444"/>
      <c r="BJ61" s="444"/>
      <c r="BK61" s="444"/>
      <c r="BL61" s="444"/>
      <c r="BM61" s="444"/>
      <c r="BO61" s="444"/>
      <c r="BP61" s="444"/>
      <c r="BQ61" s="444"/>
      <c r="BR61" s="444"/>
      <c r="BS61" s="444"/>
      <c r="BU61" s="444"/>
      <c r="BV61" s="444"/>
      <c r="BW61" s="444"/>
      <c r="BX61" s="444"/>
      <c r="BY61" s="444"/>
    </row>
    <row r="62" spans="1:87" ht="15.75" thickTop="1">
      <c r="A62" s="882"/>
      <c r="B62" s="340"/>
      <c r="C62" s="395"/>
      <c r="D62" s="443"/>
      <c r="E62" s="443"/>
      <c r="F62" s="443"/>
      <c r="G62" s="443"/>
      <c r="H62" s="443"/>
      <c r="I62" s="443"/>
      <c r="J62" s="443"/>
      <c r="K62" s="443"/>
      <c r="L62" s="443"/>
      <c r="M62" s="443"/>
      <c r="N62" s="443"/>
      <c r="O62" s="443"/>
      <c r="P62" s="443"/>
      <c r="Q62" s="441"/>
      <c r="R62" s="443"/>
      <c r="S62" s="443"/>
      <c r="T62" s="443"/>
      <c r="U62" s="443"/>
      <c r="V62" s="443"/>
      <c r="W62" s="443"/>
      <c r="X62" s="443"/>
      <c r="Y62" s="443"/>
      <c r="Z62" s="443"/>
      <c r="AA62" s="443"/>
      <c r="AB62" s="448"/>
      <c r="AC62" s="443"/>
      <c r="AD62" s="443"/>
      <c r="AE62" s="443"/>
      <c r="AF62" s="441"/>
      <c r="AG62" s="443"/>
      <c r="AH62" s="443"/>
      <c r="AI62" s="443"/>
      <c r="AJ62" s="443"/>
      <c r="AK62" s="443"/>
      <c r="AL62" s="443"/>
      <c r="AM62" s="443"/>
      <c r="AN62" s="443"/>
      <c r="AO62" s="443"/>
      <c r="AP62" s="443"/>
      <c r="AQ62" s="443"/>
      <c r="AR62" s="443"/>
      <c r="AS62" s="443"/>
      <c r="AT62" s="441"/>
      <c r="AU62" s="375"/>
      <c r="AV62" s="375"/>
      <c r="AW62" s="375"/>
      <c r="AX62" s="375"/>
      <c r="AY62" s="375"/>
      <c r="AZ62" s="375"/>
      <c r="BA62" s="375"/>
      <c r="BB62" s="375"/>
      <c r="BC62" s="375"/>
      <c r="BD62" s="375"/>
      <c r="BE62" s="375"/>
      <c r="BF62" s="375"/>
      <c r="BG62" s="375"/>
      <c r="BI62" s="449"/>
      <c r="BJ62" s="449"/>
      <c r="BK62" s="449"/>
      <c r="BL62" s="449"/>
      <c r="BM62" s="449"/>
      <c r="BO62" s="449"/>
      <c r="BP62" s="449"/>
      <c r="BQ62" s="449"/>
      <c r="BR62" s="449"/>
      <c r="BS62" s="449"/>
      <c r="BU62" s="449"/>
      <c r="BV62" s="449"/>
      <c r="BW62" s="449"/>
      <c r="BX62" s="449"/>
      <c r="BY62" s="449"/>
    </row>
    <row r="63" spans="1:87" ht="15.75">
      <c r="A63" s="882"/>
      <c r="B63" s="340" t="s">
        <v>68</v>
      </c>
      <c r="C63" s="341"/>
      <c r="D63" s="428">
        <v>1.8000000000000001E-4</v>
      </c>
      <c r="E63" s="428">
        <v>1.8000000000000001E-4</v>
      </c>
      <c r="F63" s="428">
        <v>1.8000000000000001E-4</v>
      </c>
      <c r="G63" s="428">
        <v>1.8000000000000001E-4</v>
      </c>
      <c r="H63" s="428">
        <v>1.8000000000000001E-4</v>
      </c>
      <c r="I63" s="428">
        <v>1.8000000000000001E-4</v>
      </c>
      <c r="J63" s="428">
        <v>1.8000000000000001E-4</v>
      </c>
      <c r="K63" s="428">
        <v>1.8000000000000001E-4</v>
      </c>
      <c r="L63" s="428">
        <v>1.8000000000000001E-4</v>
      </c>
      <c r="M63" s="428">
        <v>1.8000000000000001E-4</v>
      </c>
      <c r="N63" s="428">
        <v>1.8000000000000001E-4</v>
      </c>
      <c r="O63" s="428">
        <v>1.8000000000000001E-4</v>
      </c>
      <c r="P63" s="429">
        <f>AVERAGE(D63:O63)</f>
        <v>1.8000000000000001E-4</v>
      </c>
      <c r="Q63" s="341"/>
      <c r="R63" s="429" t="e">
        <f t="shared" ref="R63:AD64" si="108">R42/R17</f>
        <v>#DIV/0!</v>
      </c>
      <c r="S63" s="429" t="e">
        <f t="shared" si="108"/>
        <v>#DIV/0!</v>
      </c>
      <c r="T63" s="429" t="e">
        <f t="shared" si="108"/>
        <v>#DIV/0!</v>
      </c>
      <c r="U63" s="429" t="e">
        <f t="shared" si="108"/>
        <v>#DIV/0!</v>
      </c>
      <c r="V63" s="429" t="e">
        <f t="shared" si="108"/>
        <v>#DIV/0!</v>
      </c>
      <c r="W63" s="429" t="e">
        <f t="shared" si="108"/>
        <v>#DIV/0!</v>
      </c>
      <c r="X63" s="429" t="e">
        <f t="shared" si="108"/>
        <v>#DIV/0!</v>
      </c>
      <c r="Y63" s="429" t="e">
        <f t="shared" si="108"/>
        <v>#DIV/0!</v>
      </c>
      <c r="Z63" s="429" t="e">
        <f t="shared" si="108"/>
        <v>#DIV/0!</v>
      </c>
      <c r="AA63" s="429" t="e">
        <f t="shared" si="108"/>
        <v>#DIV/0!</v>
      </c>
      <c r="AB63" s="447" t="e">
        <f t="shared" si="108"/>
        <v>#DIV/0!</v>
      </c>
      <c r="AC63" s="429" t="e">
        <f t="shared" si="108"/>
        <v>#DIV/0!</v>
      </c>
      <c r="AD63" s="429" t="e">
        <f t="shared" si="108"/>
        <v>#DIV/0!</v>
      </c>
      <c r="AE63" s="343"/>
      <c r="AF63" s="341"/>
      <c r="AG63" s="343" t="e">
        <f t="shared" ref="AG63:AR64" si="109">R63-D63</f>
        <v>#DIV/0!</v>
      </c>
      <c r="AH63" s="343" t="e">
        <f t="shared" si="109"/>
        <v>#DIV/0!</v>
      </c>
      <c r="AI63" s="343" t="e">
        <f t="shared" si="109"/>
        <v>#DIV/0!</v>
      </c>
      <c r="AJ63" s="343" t="e">
        <f t="shared" si="109"/>
        <v>#DIV/0!</v>
      </c>
      <c r="AK63" s="343" t="e">
        <f t="shared" si="109"/>
        <v>#DIV/0!</v>
      </c>
      <c r="AL63" s="343" t="e">
        <f t="shared" si="109"/>
        <v>#DIV/0!</v>
      </c>
      <c r="AM63" s="343" t="e">
        <f t="shared" si="109"/>
        <v>#DIV/0!</v>
      </c>
      <c r="AN63" s="343" t="e">
        <f t="shared" si="109"/>
        <v>#DIV/0!</v>
      </c>
      <c r="AO63" s="343" t="e">
        <f t="shared" si="109"/>
        <v>#DIV/0!</v>
      </c>
      <c r="AP63" s="343" t="e">
        <f t="shared" si="109"/>
        <v>#DIV/0!</v>
      </c>
      <c r="AQ63" s="343" t="e">
        <f>AB63-N63</f>
        <v>#DIV/0!</v>
      </c>
      <c r="AR63" s="343" t="e">
        <f t="shared" si="109"/>
        <v>#DIV/0!</v>
      </c>
      <c r="AS63" s="343" t="e">
        <f>SUM(AG63:AR63)</f>
        <v>#DIV/0!</v>
      </c>
      <c r="AT63" s="341"/>
      <c r="AU63" s="376" t="e">
        <f t="shared" ref="AU63:BG65" si="110">(R63-D63)/D63</f>
        <v>#DIV/0!</v>
      </c>
      <c r="AV63" s="376" t="e">
        <f t="shared" si="110"/>
        <v>#DIV/0!</v>
      </c>
      <c r="AW63" s="376" t="e">
        <f t="shared" si="110"/>
        <v>#DIV/0!</v>
      </c>
      <c r="AX63" s="376" t="e">
        <f t="shared" si="110"/>
        <v>#DIV/0!</v>
      </c>
      <c r="AY63" s="376" t="e">
        <f t="shared" si="110"/>
        <v>#DIV/0!</v>
      </c>
      <c r="AZ63" s="376" t="e">
        <f t="shared" si="110"/>
        <v>#DIV/0!</v>
      </c>
      <c r="BA63" s="376" t="e">
        <f t="shared" si="110"/>
        <v>#DIV/0!</v>
      </c>
      <c r="BB63" s="376" t="e">
        <f t="shared" si="110"/>
        <v>#DIV/0!</v>
      </c>
      <c r="BC63" s="376" t="e">
        <f t="shared" si="110"/>
        <v>#DIV/0!</v>
      </c>
      <c r="BD63" s="376" t="e">
        <f t="shared" si="110"/>
        <v>#DIV/0!</v>
      </c>
      <c r="BE63" s="376" t="e">
        <f>(AB63-N63)/N63</f>
        <v>#DIV/0!</v>
      </c>
      <c r="BF63" s="376" t="e">
        <f t="shared" si="110"/>
        <v>#DIV/0!</v>
      </c>
      <c r="BG63" s="376" t="e">
        <f t="shared" si="110"/>
        <v>#DIV/0!</v>
      </c>
      <c r="BI63" s="429" t="e">
        <f t="shared" ref="BI63:BM64" si="111">BI42/BI17</f>
        <v>#DIV/0!</v>
      </c>
      <c r="BJ63" s="429" t="e">
        <f t="shared" si="111"/>
        <v>#DIV/0!</v>
      </c>
      <c r="BK63" s="429" t="e">
        <f t="shared" si="111"/>
        <v>#DIV/0!</v>
      </c>
      <c r="BL63" s="429" t="e">
        <f t="shared" si="111"/>
        <v>#DIV/0!</v>
      </c>
      <c r="BM63" s="429" t="e">
        <f t="shared" si="111"/>
        <v>#DIV/0!</v>
      </c>
      <c r="BO63" s="429" t="e">
        <f t="shared" ref="BO63:BS64" si="112">BO42/BO17</f>
        <v>#DIV/0!</v>
      </c>
      <c r="BP63" s="429" t="e">
        <f t="shared" si="112"/>
        <v>#DIV/0!</v>
      </c>
      <c r="BQ63" s="429" t="e">
        <f t="shared" si="112"/>
        <v>#DIV/0!</v>
      </c>
      <c r="BR63" s="429" t="e">
        <f t="shared" si="112"/>
        <v>#DIV/0!</v>
      </c>
      <c r="BS63" s="429" t="e">
        <f t="shared" si="112"/>
        <v>#DIV/0!</v>
      </c>
      <c r="BU63" s="346" t="e">
        <f t="shared" ref="BU63:BY65" si="113">BO63/BI63</f>
        <v>#DIV/0!</v>
      </c>
      <c r="BV63" s="346" t="e">
        <f t="shared" si="113"/>
        <v>#DIV/0!</v>
      </c>
      <c r="BW63" s="346" t="e">
        <f t="shared" si="113"/>
        <v>#DIV/0!</v>
      </c>
      <c r="BX63" s="346" t="e">
        <f t="shared" si="113"/>
        <v>#DIV/0!</v>
      </c>
      <c r="BY63" s="346" t="e">
        <f t="shared" si="113"/>
        <v>#DIV/0!</v>
      </c>
      <c r="CA63" s="327" t="e">
        <f>U63/G63</f>
        <v>#DIV/0!</v>
      </c>
      <c r="CB63" s="327" t="e">
        <f>V63/H63</f>
        <v>#DIV/0!</v>
      </c>
    </row>
    <row r="64" spans="1:87">
      <c r="A64" s="882"/>
      <c r="B64" s="347" t="s">
        <v>69</v>
      </c>
      <c r="C64" s="348"/>
      <c r="D64" s="436"/>
      <c r="E64" s="436"/>
      <c r="F64" s="436"/>
      <c r="G64" s="436"/>
      <c r="H64" s="436"/>
      <c r="I64" s="436"/>
      <c r="J64" s="436"/>
      <c r="K64" s="436"/>
      <c r="L64" s="436"/>
      <c r="M64" s="436"/>
      <c r="N64" s="436"/>
      <c r="O64" s="436"/>
      <c r="P64" s="436" t="e">
        <f>AVERAGE(D64:O64)</f>
        <v>#DIV/0!</v>
      </c>
      <c r="Q64" s="341"/>
      <c r="R64" s="436" t="e">
        <f t="shared" si="108"/>
        <v>#DIV/0!</v>
      </c>
      <c r="S64" s="436" t="e">
        <f t="shared" si="108"/>
        <v>#DIV/0!</v>
      </c>
      <c r="T64" s="436" t="e">
        <f t="shared" si="108"/>
        <v>#DIV/0!</v>
      </c>
      <c r="U64" s="436" t="e">
        <f t="shared" si="108"/>
        <v>#DIV/0!</v>
      </c>
      <c r="V64" s="436" t="e">
        <f t="shared" si="108"/>
        <v>#DIV/0!</v>
      </c>
      <c r="W64" s="436" t="e">
        <f t="shared" si="108"/>
        <v>#DIV/0!</v>
      </c>
      <c r="X64" s="436" t="e">
        <f t="shared" si="108"/>
        <v>#DIV/0!</v>
      </c>
      <c r="Y64" s="436" t="e">
        <f t="shared" si="108"/>
        <v>#DIV/0!</v>
      </c>
      <c r="Z64" s="436" t="e">
        <f t="shared" si="108"/>
        <v>#DIV/0!</v>
      </c>
      <c r="AA64" s="436" t="e">
        <f t="shared" si="108"/>
        <v>#DIV/0!</v>
      </c>
      <c r="AB64" s="437" t="e">
        <f t="shared" si="108"/>
        <v>#DIV/0!</v>
      </c>
      <c r="AC64" s="436" t="e">
        <f t="shared" si="108"/>
        <v>#DIV/0!</v>
      </c>
      <c r="AD64" s="436" t="e">
        <f t="shared" si="108"/>
        <v>#DIV/0!</v>
      </c>
      <c r="AE64" s="343"/>
      <c r="AF64" s="341"/>
      <c r="AG64" s="350" t="e">
        <f t="shared" si="109"/>
        <v>#DIV/0!</v>
      </c>
      <c r="AH64" s="350" t="e">
        <f t="shared" si="109"/>
        <v>#DIV/0!</v>
      </c>
      <c r="AI64" s="350" t="e">
        <f t="shared" si="109"/>
        <v>#DIV/0!</v>
      </c>
      <c r="AJ64" s="350" t="e">
        <f t="shared" si="109"/>
        <v>#DIV/0!</v>
      </c>
      <c r="AK64" s="350" t="e">
        <f t="shared" si="109"/>
        <v>#DIV/0!</v>
      </c>
      <c r="AL64" s="350" t="e">
        <f t="shared" si="109"/>
        <v>#DIV/0!</v>
      </c>
      <c r="AM64" s="350" t="e">
        <f t="shared" si="109"/>
        <v>#DIV/0!</v>
      </c>
      <c r="AN64" s="350" t="e">
        <f t="shared" si="109"/>
        <v>#DIV/0!</v>
      </c>
      <c r="AO64" s="350" t="e">
        <f t="shared" si="109"/>
        <v>#DIV/0!</v>
      </c>
      <c r="AP64" s="350" t="e">
        <f t="shared" si="109"/>
        <v>#DIV/0!</v>
      </c>
      <c r="AQ64" s="350" t="e">
        <f>AB64-N64</f>
        <v>#DIV/0!</v>
      </c>
      <c r="AR64" s="350" t="e">
        <f t="shared" si="109"/>
        <v>#DIV/0!</v>
      </c>
      <c r="AS64" s="350" t="e">
        <f>SUM(AG64:AR64)</f>
        <v>#DIV/0!</v>
      </c>
      <c r="AT64" s="341"/>
      <c r="AU64" s="376" t="e">
        <f t="shared" si="110"/>
        <v>#DIV/0!</v>
      </c>
      <c r="AV64" s="376" t="e">
        <f t="shared" si="110"/>
        <v>#DIV/0!</v>
      </c>
      <c r="AW64" s="376" t="e">
        <f t="shared" si="110"/>
        <v>#DIV/0!</v>
      </c>
      <c r="AX64" s="376" t="e">
        <f t="shared" si="110"/>
        <v>#DIV/0!</v>
      </c>
      <c r="AY64" s="376" t="e">
        <f t="shared" si="110"/>
        <v>#DIV/0!</v>
      </c>
      <c r="AZ64" s="376" t="e">
        <f t="shared" si="110"/>
        <v>#DIV/0!</v>
      </c>
      <c r="BA64" s="376" t="e">
        <f t="shared" si="110"/>
        <v>#DIV/0!</v>
      </c>
      <c r="BB64" s="376" t="e">
        <f t="shared" si="110"/>
        <v>#DIV/0!</v>
      </c>
      <c r="BC64" s="376" t="e">
        <f t="shared" si="110"/>
        <v>#DIV/0!</v>
      </c>
      <c r="BD64" s="376" t="e">
        <f t="shared" si="110"/>
        <v>#DIV/0!</v>
      </c>
      <c r="BE64" s="376" t="e">
        <f>(AB64-N64)/N64</f>
        <v>#DIV/0!</v>
      </c>
      <c r="BF64" s="376" t="e">
        <f t="shared" si="110"/>
        <v>#DIV/0!</v>
      </c>
      <c r="BG64" s="376" t="e">
        <f t="shared" si="110"/>
        <v>#DIV/0!</v>
      </c>
      <c r="BI64" s="436" t="e">
        <f t="shared" si="111"/>
        <v>#DIV/0!</v>
      </c>
      <c r="BJ64" s="436" t="e">
        <f t="shared" si="111"/>
        <v>#DIV/0!</v>
      </c>
      <c r="BK64" s="436" t="e">
        <f t="shared" si="111"/>
        <v>#DIV/0!</v>
      </c>
      <c r="BL64" s="436" t="e">
        <f t="shared" si="111"/>
        <v>#DIV/0!</v>
      </c>
      <c r="BM64" s="436" t="e">
        <f t="shared" si="111"/>
        <v>#DIV/0!</v>
      </c>
      <c r="BO64" s="436" t="e">
        <f t="shared" si="112"/>
        <v>#DIV/0!</v>
      </c>
      <c r="BP64" s="436" t="e">
        <f t="shared" si="112"/>
        <v>#DIV/0!</v>
      </c>
      <c r="BQ64" s="436" t="e">
        <f t="shared" si="112"/>
        <v>#DIV/0!</v>
      </c>
      <c r="BR64" s="436" t="e">
        <f t="shared" si="112"/>
        <v>#DIV/0!</v>
      </c>
      <c r="BS64" s="436" t="e">
        <f t="shared" si="112"/>
        <v>#DIV/0!</v>
      </c>
      <c r="BU64" s="353" t="e">
        <f t="shared" si="113"/>
        <v>#DIV/0!</v>
      </c>
      <c r="BV64" s="353" t="e">
        <f t="shared" si="113"/>
        <v>#DIV/0!</v>
      </c>
      <c r="BW64" s="353" t="e">
        <f t="shared" si="113"/>
        <v>#DIV/0!</v>
      </c>
      <c r="BX64" s="353" t="e">
        <f t="shared" si="113"/>
        <v>#DIV/0!</v>
      </c>
      <c r="BY64" s="353" t="e">
        <f t="shared" si="113"/>
        <v>#DIV/0!</v>
      </c>
      <c r="CA64" s="327" t="e">
        <f>U64/G64</f>
        <v>#DIV/0!</v>
      </c>
      <c r="CB64" s="327" t="e">
        <f>V64/H64</f>
        <v>#DIV/0!</v>
      </c>
    </row>
    <row r="65" spans="1:80" ht="16.5" thickBot="1">
      <c r="A65" s="882"/>
      <c r="B65" s="354" t="s">
        <v>73</v>
      </c>
      <c r="C65" s="355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57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450"/>
      <c r="AC65" s="362"/>
      <c r="AD65" s="362"/>
      <c r="AE65" s="360"/>
      <c r="AF65" s="361"/>
      <c r="AG65" s="362" t="e">
        <f t="shared" ref="AG65:AS65" si="114">SUM(AG63:AG64)</f>
        <v>#DIV/0!</v>
      </c>
      <c r="AH65" s="362" t="e">
        <f t="shared" si="114"/>
        <v>#DIV/0!</v>
      </c>
      <c r="AI65" s="362" t="e">
        <f t="shared" si="114"/>
        <v>#DIV/0!</v>
      </c>
      <c r="AJ65" s="362" t="e">
        <f t="shared" si="114"/>
        <v>#DIV/0!</v>
      </c>
      <c r="AK65" s="362" t="e">
        <f t="shared" si="114"/>
        <v>#DIV/0!</v>
      </c>
      <c r="AL65" s="362" t="e">
        <f t="shared" si="114"/>
        <v>#DIV/0!</v>
      </c>
      <c r="AM65" s="362" t="e">
        <f t="shared" si="114"/>
        <v>#DIV/0!</v>
      </c>
      <c r="AN65" s="362" t="e">
        <f t="shared" si="114"/>
        <v>#DIV/0!</v>
      </c>
      <c r="AO65" s="362" t="e">
        <f t="shared" si="114"/>
        <v>#DIV/0!</v>
      </c>
      <c r="AP65" s="362" t="e">
        <f t="shared" si="114"/>
        <v>#DIV/0!</v>
      </c>
      <c r="AQ65" s="362" t="e">
        <f t="shared" si="114"/>
        <v>#DIV/0!</v>
      </c>
      <c r="AR65" s="362" t="e">
        <f t="shared" si="114"/>
        <v>#DIV/0!</v>
      </c>
      <c r="AS65" s="363" t="e">
        <f t="shared" si="114"/>
        <v>#DIV/0!</v>
      </c>
      <c r="AT65" s="341"/>
      <c r="AU65" s="377" t="e">
        <f t="shared" si="110"/>
        <v>#DIV/0!</v>
      </c>
      <c r="AV65" s="377" t="e">
        <f t="shared" si="110"/>
        <v>#DIV/0!</v>
      </c>
      <c r="AW65" s="377" t="e">
        <f t="shared" si="110"/>
        <v>#DIV/0!</v>
      </c>
      <c r="AX65" s="377" t="e">
        <f t="shared" si="110"/>
        <v>#DIV/0!</v>
      </c>
      <c r="AY65" s="377" t="e">
        <f t="shared" si="110"/>
        <v>#DIV/0!</v>
      </c>
      <c r="AZ65" s="377" t="e">
        <f t="shared" si="110"/>
        <v>#DIV/0!</v>
      </c>
      <c r="BA65" s="377" t="e">
        <f t="shared" si="110"/>
        <v>#DIV/0!</v>
      </c>
      <c r="BB65" s="377" t="e">
        <f t="shared" si="110"/>
        <v>#DIV/0!</v>
      </c>
      <c r="BC65" s="377" t="e">
        <f t="shared" si="110"/>
        <v>#DIV/0!</v>
      </c>
      <c r="BD65" s="377" t="e">
        <f t="shared" si="110"/>
        <v>#DIV/0!</v>
      </c>
      <c r="BE65" s="377" t="e">
        <f>(AB65-N65)/N65</f>
        <v>#DIV/0!</v>
      </c>
      <c r="BF65" s="377" t="e">
        <f t="shared" si="110"/>
        <v>#DIV/0!</v>
      </c>
      <c r="BG65" s="377" t="e">
        <f t="shared" si="110"/>
        <v>#DIV/0!</v>
      </c>
      <c r="BI65" s="362"/>
      <c r="BJ65" s="362"/>
      <c r="BK65" s="362"/>
      <c r="BL65" s="362"/>
      <c r="BM65" s="362"/>
      <c r="BO65" s="362"/>
      <c r="BP65" s="362"/>
      <c r="BQ65" s="362"/>
      <c r="BR65" s="362"/>
      <c r="BS65" s="362"/>
      <c r="BU65" s="366" t="e">
        <f t="shared" si="113"/>
        <v>#DIV/0!</v>
      </c>
      <c r="BV65" s="366" t="e">
        <f t="shared" si="113"/>
        <v>#DIV/0!</v>
      </c>
      <c r="BW65" s="366" t="e">
        <f t="shared" si="113"/>
        <v>#DIV/0!</v>
      </c>
      <c r="BX65" s="366" t="e">
        <f t="shared" si="113"/>
        <v>#DIV/0!</v>
      </c>
      <c r="BY65" s="366" t="e">
        <f t="shared" si="113"/>
        <v>#DIV/0!</v>
      </c>
    </row>
    <row r="66" spans="1:80" ht="15.75" thickTop="1">
      <c r="A66" s="882"/>
      <c r="B66" s="340"/>
      <c r="C66" s="395"/>
      <c r="D66" s="443"/>
      <c r="E66" s="443"/>
      <c r="F66" s="443"/>
      <c r="G66" s="443"/>
      <c r="H66" s="443"/>
      <c r="I66" s="443"/>
      <c r="J66" s="443"/>
      <c r="K66" s="443"/>
      <c r="L66" s="443"/>
      <c r="M66" s="443"/>
      <c r="N66" s="443"/>
      <c r="O66" s="443"/>
      <c r="P66" s="443"/>
      <c r="Q66" s="441"/>
      <c r="R66" s="443"/>
      <c r="S66" s="443"/>
      <c r="T66" s="443"/>
      <c r="U66" s="443"/>
      <c r="V66" s="443"/>
      <c r="W66" s="443"/>
      <c r="X66" s="443"/>
      <c r="Y66" s="443"/>
      <c r="Z66" s="443"/>
      <c r="AA66" s="443"/>
      <c r="AB66" s="448"/>
      <c r="AC66" s="443"/>
      <c r="AD66" s="443"/>
      <c r="AE66" s="443"/>
      <c r="AF66" s="441"/>
      <c r="AG66" s="443"/>
      <c r="AH66" s="443"/>
      <c r="AI66" s="443"/>
      <c r="AJ66" s="443"/>
      <c r="AK66" s="443"/>
      <c r="AL66" s="443"/>
      <c r="AM66" s="443"/>
      <c r="AN66" s="443"/>
      <c r="AO66" s="443"/>
      <c r="AP66" s="443"/>
      <c r="AQ66" s="443"/>
      <c r="AR66" s="443"/>
      <c r="AS66" s="443"/>
      <c r="AT66" s="441"/>
      <c r="AU66" s="375"/>
      <c r="AV66" s="375"/>
      <c r="AW66" s="375"/>
      <c r="AX66" s="375"/>
      <c r="AY66" s="375"/>
      <c r="AZ66" s="375"/>
      <c r="BA66" s="375"/>
      <c r="BB66" s="375"/>
      <c r="BC66" s="375"/>
      <c r="BD66" s="375"/>
      <c r="BE66" s="375"/>
      <c r="BF66" s="375"/>
      <c r="BG66" s="375"/>
      <c r="BI66" s="449"/>
      <c r="BJ66" s="449"/>
      <c r="BK66" s="449"/>
      <c r="BL66" s="449"/>
      <c r="BM66" s="449"/>
      <c r="BO66" s="449"/>
      <c r="BP66" s="449"/>
      <c r="BQ66" s="449"/>
      <c r="BR66" s="449"/>
      <c r="BS66" s="449"/>
      <c r="BU66" s="449"/>
      <c r="BV66" s="449"/>
      <c r="BW66" s="449"/>
      <c r="BX66" s="449"/>
      <c r="BY66" s="449"/>
    </row>
    <row r="67" spans="1:80" ht="15.75">
      <c r="A67" s="882"/>
      <c r="B67" s="340" t="s">
        <v>68</v>
      </c>
      <c r="C67" s="341"/>
      <c r="D67" s="428">
        <v>1.8000000000000001E-4</v>
      </c>
      <c r="E67" s="428">
        <v>1.8000000000000001E-4</v>
      </c>
      <c r="F67" s="428">
        <v>1.8000000000000001E-4</v>
      </c>
      <c r="G67" s="428">
        <v>1.8000000000000001E-4</v>
      </c>
      <c r="H67" s="428">
        <v>1.8000000000000001E-4</v>
      </c>
      <c r="I67" s="428">
        <v>1.8000000000000001E-4</v>
      </c>
      <c r="J67" s="428">
        <v>1.8000000000000001E-4</v>
      </c>
      <c r="K67" s="428">
        <v>1.8000000000000001E-4</v>
      </c>
      <c r="L67" s="428">
        <v>1.8000000000000001E-4</v>
      </c>
      <c r="M67" s="428">
        <v>1.8000000000000001E-4</v>
      </c>
      <c r="N67" s="428">
        <v>1.8000000000000001E-4</v>
      </c>
      <c r="O67" s="428">
        <v>1.8000000000000001E-4</v>
      </c>
      <c r="P67" s="429"/>
      <c r="Q67" s="341"/>
      <c r="R67" s="429" t="e">
        <f t="shared" ref="R67:AD68" si="115">R46/R21</f>
        <v>#DIV/0!</v>
      </c>
      <c r="S67" s="429" t="e">
        <f t="shared" si="115"/>
        <v>#DIV/0!</v>
      </c>
      <c r="T67" s="429" t="e">
        <f t="shared" si="115"/>
        <v>#DIV/0!</v>
      </c>
      <c r="U67" s="429" t="e">
        <f t="shared" si="115"/>
        <v>#DIV/0!</v>
      </c>
      <c r="V67" s="429" t="e">
        <f t="shared" si="115"/>
        <v>#DIV/0!</v>
      </c>
      <c r="W67" s="429" t="e">
        <f t="shared" si="115"/>
        <v>#DIV/0!</v>
      </c>
      <c r="X67" s="429" t="e">
        <f t="shared" si="115"/>
        <v>#DIV/0!</v>
      </c>
      <c r="Y67" s="429" t="e">
        <f t="shared" si="115"/>
        <v>#DIV/0!</v>
      </c>
      <c r="Z67" s="429" t="e">
        <f t="shared" si="115"/>
        <v>#DIV/0!</v>
      </c>
      <c r="AA67" s="429" t="e">
        <f t="shared" si="115"/>
        <v>#DIV/0!</v>
      </c>
      <c r="AB67" s="447" t="e">
        <f t="shared" si="115"/>
        <v>#DIV/0!</v>
      </c>
      <c r="AC67" s="429" t="e">
        <f t="shared" si="115"/>
        <v>#DIV/0!</v>
      </c>
      <c r="AD67" s="429" t="e">
        <f t="shared" si="115"/>
        <v>#DIV/0!</v>
      </c>
      <c r="AE67" s="343"/>
      <c r="AF67" s="341"/>
      <c r="AG67" s="343" t="e">
        <f t="shared" ref="AG67:AR68" si="116">R67-D67</f>
        <v>#DIV/0!</v>
      </c>
      <c r="AH67" s="343" t="e">
        <f t="shared" si="116"/>
        <v>#DIV/0!</v>
      </c>
      <c r="AI67" s="343" t="e">
        <f t="shared" si="116"/>
        <v>#DIV/0!</v>
      </c>
      <c r="AJ67" s="343" t="e">
        <f t="shared" si="116"/>
        <v>#DIV/0!</v>
      </c>
      <c r="AK67" s="343" t="e">
        <f t="shared" si="116"/>
        <v>#DIV/0!</v>
      </c>
      <c r="AL67" s="343" t="e">
        <f t="shared" si="116"/>
        <v>#DIV/0!</v>
      </c>
      <c r="AM67" s="343" t="e">
        <f t="shared" si="116"/>
        <v>#DIV/0!</v>
      </c>
      <c r="AN67" s="343" t="e">
        <f t="shared" si="116"/>
        <v>#DIV/0!</v>
      </c>
      <c r="AO67" s="343" t="e">
        <f t="shared" si="116"/>
        <v>#DIV/0!</v>
      </c>
      <c r="AP67" s="343" t="e">
        <f t="shared" si="116"/>
        <v>#DIV/0!</v>
      </c>
      <c r="AQ67" s="343" t="e">
        <f>AB67-N67</f>
        <v>#DIV/0!</v>
      </c>
      <c r="AR67" s="343" t="e">
        <f t="shared" si="116"/>
        <v>#DIV/0!</v>
      </c>
      <c r="AS67" s="343" t="e">
        <f>SUM(AG67:AR67)</f>
        <v>#DIV/0!</v>
      </c>
      <c r="AT67" s="341"/>
      <c r="AU67" s="376" t="e">
        <f t="shared" ref="AU67:BG69" si="117">(R67-D67)/D67</f>
        <v>#DIV/0!</v>
      </c>
      <c r="AV67" s="376" t="e">
        <f t="shared" si="117"/>
        <v>#DIV/0!</v>
      </c>
      <c r="AW67" s="376" t="e">
        <f t="shared" si="117"/>
        <v>#DIV/0!</v>
      </c>
      <c r="AX67" s="376" t="e">
        <f t="shared" si="117"/>
        <v>#DIV/0!</v>
      </c>
      <c r="AY67" s="376" t="e">
        <f t="shared" si="117"/>
        <v>#DIV/0!</v>
      </c>
      <c r="AZ67" s="376" t="e">
        <f t="shared" si="117"/>
        <v>#DIV/0!</v>
      </c>
      <c r="BA67" s="376" t="e">
        <f t="shared" si="117"/>
        <v>#DIV/0!</v>
      </c>
      <c r="BB67" s="376" t="e">
        <f t="shared" si="117"/>
        <v>#DIV/0!</v>
      </c>
      <c r="BC67" s="376" t="e">
        <f t="shared" si="117"/>
        <v>#DIV/0!</v>
      </c>
      <c r="BD67" s="376" t="e">
        <f t="shared" si="117"/>
        <v>#DIV/0!</v>
      </c>
      <c r="BE67" s="376" t="e">
        <f>(AB67-N67)/N67</f>
        <v>#DIV/0!</v>
      </c>
      <c r="BF67" s="376" t="e">
        <f t="shared" si="117"/>
        <v>#DIV/0!</v>
      </c>
      <c r="BG67" s="376" t="e">
        <f t="shared" si="117"/>
        <v>#DIV/0!</v>
      </c>
      <c r="BI67" s="429" t="e">
        <f t="shared" ref="BI67:BM68" si="118">BI46/BI21</f>
        <v>#DIV/0!</v>
      </c>
      <c r="BJ67" s="429" t="e">
        <f t="shared" si="118"/>
        <v>#DIV/0!</v>
      </c>
      <c r="BK67" s="429" t="e">
        <f t="shared" si="118"/>
        <v>#DIV/0!</v>
      </c>
      <c r="BL67" s="429" t="e">
        <f t="shared" si="118"/>
        <v>#DIV/0!</v>
      </c>
      <c r="BM67" s="429" t="e">
        <f t="shared" si="118"/>
        <v>#DIV/0!</v>
      </c>
      <c r="BO67" s="429" t="e">
        <f t="shared" ref="BO67:BS68" si="119">BO46/BO21</f>
        <v>#DIV/0!</v>
      </c>
      <c r="BP67" s="429" t="e">
        <f t="shared" si="119"/>
        <v>#DIV/0!</v>
      </c>
      <c r="BQ67" s="429" t="e">
        <f t="shared" si="119"/>
        <v>#DIV/0!</v>
      </c>
      <c r="BR67" s="429" t="e">
        <f t="shared" si="119"/>
        <v>#DIV/0!</v>
      </c>
      <c r="BS67" s="429" t="e">
        <f t="shared" si="119"/>
        <v>#DIV/0!</v>
      </c>
      <c r="BU67" s="346" t="e">
        <f t="shared" ref="BU67:BY69" si="120">BO67/BI67</f>
        <v>#DIV/0!</v>
      </c>
      <c r="BV67" s="346" t="e">
        <f t="shared" si="120"/>
        <v>#DIV/0!</v>
      </c>
      <c r="BW67" s="346" t="e">
        <f t="shared" si="120"/>
        <v>#DIV/0!</v>
      </c>
      <c r="BX67" s="346" t="e">
        <f t="shared" si="120"/>
        <v>#DIV/0!</v>
      </c>
      <c r="BY67" s="346" t="e">
        <f t="shared" si="120"/>
        <v>#DIV/0!</v>
      </c>
      <c r="CA67" s="327" t="e">
        <f>U67/G67</f>
        <v>#DIV/0!</v>
      </c>
      <c r="CB67" s="327" t="e">
        <f>V67/H67</f>
        <v>#DIV/0!</v>
      </c>
    </row>
    <row r="68" spans="1:80">
      <c r="A68" s="882"/>
      <c r="B68" s="347" t="s">
        <v>69</v>
      </c>
      <c r="C68" s="348"/>
      <c r="D68" s="436"/>
      <c r="E68" s="436"/>
      <c r="F68" s="436"/>
      <c r="G68" s="436"/>
      <c r="H68" s="436"/>
      <c r="I68" s="436"/>
      <c r="J68" s="436"/>
      <c r="K68" s="436"/>
      <c r="L68" s="436"/>
      <c r="M68" s="436"/>
      <c r="N68" s="436"/>
      <c r="O68" s="436"/>
      <c r="P68" s="436" t="e">
        <f>AVERAGE(D68:O68)</f>
        <v>#DIV/0!</v>
      </c>
      <c r="Q68" s="341"/>
      <c r="R68" s="436" t="e">
        <f t="shared" si="115"/>
        <v>#DIV/0!</v>
      </c>
      <c r="S68" s="436" t="e">
        <f t="shared" si="115"/>
        <v>#DIV/0!</v>
      </c>
      <c r="T68" s="436" t="e">
        <f t="shared" si="115"/>
        <v>#DIV/0!</v>
      </c>
      <c r="U68" s="436" t="e">
        <f t="shared" si="115"/>
        <v>#DIV/0!</v>
      </c>
      <c r="V68" s="436" t="e">
        <f t="shared" si="115"/>
        <v>#DIV/0!</v>
      </c>
      <c r="W68" s="436" t="e">
        <f t="shared" si="115"/>
        <v>#DIV/0!</v>
      </c>
      <c r="X68" s="436" t="e">
        <f t="shared" si="115"/>
        <v>#DIV/0!</v>
      </c>
      <c r="Y68" s="436" t="e">
        <f t="shared" si="115"/>
        <v>#DIV/0!</v>
      </c>
      <c r="Z68" s="436" t="e">
        <f t="shared" si="115"/>
        <v>#DIV/0!</v>
      </c>
      <c r="AA68" s="436" t="e">
        <f t="shared" si="115"/>
        <v>#DIV/0!</v>
      </c>
      <c r="AB68" s="437" t="e">
        <f t="shared" si="115"/>
        <v>#DIV/0!</v>
      </c>
      <c r="AC68" s="436" t="e">
        <f t="shared" si="115"/>
        <v>#DIV/0!</v>
      </c>
      <c r="AD68" s="436" t="e">
        <f t="shared" si="115"/>
        <v>#DIV/0!</v>
      </c>
      <c r="AE68" s="343"/>
      <c r="AF68" s="341"/>
      <c r="AG68" s="350" t="e">
        <f t="shared" si="116"/>
        <v>#DIV/0!</v>
      </c>
      <c r="AH68" s="350" t="e">
        <f t="shared" si="116"/>
        <v>#DIV/0!</v>
      </c>
      <c r="AI68" s="350" t="e">
        <f t="shared" si="116"/>
        <v>#DIV/0!</v>
      </c>
      <c r="AJ68" s="350" t="e">
        <f t="shared" si="116"/>
        <v>#DIV/0!</v>
      </c>
      <c r="AK68" s="350" t="e">
        <f t="shared" si="116"/>
        <v>#DIV/0!</v>
      </c>
      <c r="AL68" s="350" t="e">
        <f t="shared" si="116"/>
        <v>#DIV/0!</v>
      </c>
      <c r="AM68" s="350" t="e">
        <f t="shared" si="116"/>
        <v>#DIV/0!</v>
      </c>
      <c r="AN68" s="350" t="e">
        <f t="shared" si="116"/>
        <v>#DIV/0!</v>
      </c>
      <c r="AO68" s="350" t="e">
        <f t="shared" si="116"/>
        <v>#DIV/0!</v>
      </c>
      <c r="AP68" s="350" t="e">
        <f t="shared" si="116"/>
        <v>#DIV/0!</v>
      </c>
      <c r="AQ68" s="350" t="e">
        <f>AB68-N68</f>
        <v>#DIV/0!</v>
      </c>
      <c r="AR68" s="350" t="e">
        <f t="shared" si="116"/>
        <v>#DIV/0!</v>
      </c>
      <c r="AS68" s="350" t="e">
        <f>SUM(AG68:AR68)</f>
        <v>#DIV/0!</v>
      </c>
      <c r="AT68" s="341"/>
      <c r="AU68" s="376" t="e">
        <f t="shared" si="117"/>
        <v>#DIV/0!</v>
      </c>
      <c r="AV68" s="376" t="e">
        <f t="shared" si="117"/>
        <v>#DIV/0!</v>
      </c>
      <c r="AW68" s="376" t="e">
        <f t="shared" si="117"/>
        <v>#DIV/0!</v>
      </c>
      <c r="AX68" s="376" t="e">
        <f t="shared" si="117"/>
        <v>#DIV/0!</v>
      </c>
      <c r="AY68" s="376" t="e">
        <f t="shared" si="117"/>
        <v>#DIV/0!</v>
      </c>
      <c r="AZ68" s="376" t="e">
        <f t="shared" si="117"/>
        <v>#DIV/0!</v>
      </c>
      <c r="BA68" s="376" t="e">
        <f t="shared" si="117"/>
        <v>#DIV/0!</v>
      </c>
      <c r="BB68" s="376" t="e">
        <f t="shared" si="117"/>
        <v>#DIV/0!</v>
      </c>
      <c r="BC68" s="376" t="e">
        <f t="shared" si="117"/>
        <v>#DIV/0!</v>
      </c>
      <c r="BD68" s="376" t="e">
        <f t="shared" si="117"/>
        <v>#DIV/0!</v>
      </c>
      <c r="BE68" s="376" t="e">
        <f>(AB68-N68)/N68</f>
        <v>#DIV/0!</v>
      </c>
      <c r="BF68" s="376" t="e">
        <f t="shared" si="117"/>
        <v>#DIV/0!</v>
      </c>
      <c r="BG68" s="376" t="e">
        <f t="shared" si="117"/>
        <v>#DIV/0!</v>
      </c>
      <c r="BI68" s="436" t="e">
        <f t="shared" si="118"/>
        <v>#DIV/0!</v>
      </c>
      <c r="BJ68" s="436" t="e">
        <f t="shared" si="118"/>
        <v>#DIV/0!</v>
      </c>
      <c r="BK68" s="436" t="e">
        <f t="shared" si="118"/>
        <v>#DIV/0!</v>
      </c>
      <c r="BL68" s="436" t="e">
        <f t="shared" si="118"/>
        <v>#DIV/0!</v>
      </c>
      <c r="BM68" s="436" t="e">
        <f t="shared" si="118"/>
        <v>#DIV/0!</v>
      </c>
      <c r="BO68" s="436" t="e">
        <f t="shared" si="119"/>
        <v>#DIV/0!</v>
      </c>
      <c r="BP68" s="436" t="e">
        <f t="shared" si="119"/>
        <v>#DIV/0!</v>
      </c>
      <c r="BQ68" s="436" t="e">
        <f t="shared" si="119"/>
        <v>#DIV/0!</v>
      </c>
      <c r="BR68" s="436" t="e">
        <f t="shared" si="119"/>
        <v>#DIV/0!</v>
      </c>
      <c r="BS68" s="436" t="e">
        <f t="shared" si="119"/>
        <v>#DIV/0!</v>
      </c>
      <c r="BU68" s="353" t="e">
        <f t="shared" si="120"/>
        <v>#DIV/0!</v>
      </c>
      <c r="BV68" s="353" t="e">
        <f t="shared" si="120"/>
        <v>#DIV/0!</v>
      </c>
      <c r="BW68" s="353" t="e">
        <f t="shared" si="120"/>
        <v>#DIV/0!</v>
      </c>
      <c r="BX68" s="353" t="e">
        <f t="shared" si="120"/>
        <v>#DIV/0!</v>
      </c>
      <c r="BY68" s="353" t="e">
        <f t="shared" si="120"/>
        <v>#DIV/0!</v>
      </c>
      <c r="CA68" s="327" t="e">
        <f>U68/G68</f>
        <v>#DIV/0!</v>
      </c>
      <c r="CB68" s="327" t="e">
        <f>V68/H68</f>
        <v>#DIV/0!</v>
      </c>
    </row>
    <row r="69" spans="1:80" ht="16.5" thickBot="1">
      <c r="A69" s="882"/>
      <c r="B69" s="354" t="s">
        <v>74</v>
      </c>
      <c r="C69" s="355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57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450"/>
      <c r="AC69" s="362"/>
      <c r="AD69" s="362"/>
      <c r="AE69" s="360"/>
      <c r="AF69" s="361"/>
      <c r="AG69" s="362" t="e">
        <f t="shared" ref="AG69:AS69" si="121">SUM(AG67:AG68)</f>
        <v>#DIV/0!</v>
      </c>
      <c r="AH69" s="362" t="e">
        <f t="shared" si="121"/>
        <v>#DIV/0!</v>
      </c>
      <c r="AI69" s="362" t="e">
        <f t="shared" si="121"/>
        <v>#DIV/0!</v>
      </c>
      <c r="AJ69" s="362" t="e">
        <f t="shared" si="121"/>
        <v>#DIV/0!</v>
      </c>
      <c r="AK69" s="362" t="e">
        <f t="shared" si="121"/>
        <v>#DIV/0!</v>
      </c>
      <c r="AL69" s="362" t="e">
        <f t="shared" si="121"/>
        <v>#DIV/0!</v>
      </c>
      <c r="AM69" s="362" t="e">
        <f t="shared" si="121"/>
        <v>#DIV/0!</v>
      </c>
      <c r="AN69" s="362" t="e">
        <f t="shared" si="121"/>
        <v>#DIV/0!</v>
      </c>
      <c r="AO69" s="362" t="e">
        <f t="shared" si="121"/>
        <v>#DIV/0!</v>
      </c>
      <c r="AP69" s="362" t="e">
        <f t="shared" si="121"/>
        <v>#DIV/0!</v>
      </c>
      <c r="AQ69" s="362" t="e">
        <f t="shared" si="121"/>
        <v>#DIV/0!</v>
      </c>
      <c r="AR69" s="362" t="e">
        <f t="shared" si="121"/>
        <v>#DIV/0!</v>
      </c>
      <c r="AS69" s="363" t="e">
        <f t="shared" si="121"/>
        <v>#DIV/0!</v>
      </c>
      <c r="AT69" s="341"/>
      <c r="AU69" s="377" t="e">
        <f t="shared" si="117"/>
        <v>#DIV/0!</v>
      </c>
      <c r="AV69" s="377" t="e">
        <f t="shared" si="117"/>
        <v>#DIV/0!</v>
      </c>
      <c r="AW69" s="377" t="e">
        <f t="shared" si="117"/>
        <v>#DIV/0!</v>
      </c>
      <c r="AX69" s="377" t="e">
        <f t="shared" si="117"/>
        <v>#DIV/0!</v>
      </c>
      <c r="AY69" s="377" t="e">
        <f t="shared" si="117"/>
        <v>#DIV/0!</v>
      </c>
      <c r="AZ69" s="377" t="e">
        <f t="shared" si="117"/>
        <v>#DIV/0!</v>
      </c>
      <c r="BA69" s="377" t="e">
        <f t="shared" si="117"/>
        <v>#DIV/0!</v>
      </c>
      <c r="BB69" s="377" t="e">
        <f t="shared" si="117"/>
        <v>#DIV/0!</v>
      </c>
      <c r="BC69" s="377" t="e">
        <f t="shared" si="117"/>
        <v>#DIV/0!</v>
      </c>
      <c r="BD69" s="377" t="e">
        <f t="shared" si="117"/>
        <v>#DIV/0!</v>
      </c>
      <c r="BE69" s="377" t="e">
        <f>(AB69-N69)/N69</f>
        <v>#DIV/0!</v>
      </c>
      <c r="BF69" s="377" t="e">
        <f t="shared" si="117"/>
        <v>#DIV/0!</v>
      </c>
      <c r="BG69" s="377" t="e">
        <f t="shared" si="117"/>
        <v>#DIV/0!</v>
      </c>
      <c r="BI69" s="362"/>
      <c r="BJ69" s="362"/>
      <c r="BK69" s="362"/>
      <c r="BL69" s="362"/>
      <c r="BM69" s="362"/>
      <c r="BO69" s="362"/>
      <c r="BP69" s="362"/>
      <c r="BQ69" s="362"/>
      <c r="BR69" s="362"/>
      <c r="BS69" s="362"/>
      <c r="BU69" s="366" t="e">
        <f t="shared" si="120"/>
        <v>#DIV/0!</v>
      </c>
      <c r="BV69" s="366" t="e">
        <f t="shared" si="120"/>
        <v>#DIV/0!</v>
      </c>
      <c r="BW69" s="366" t="e">
        <f t="shared" si="120"/>
        <v>#DIV/0!</v>
      </c>
      <c r="BX69" s="366" t="e">
        <f t="shared" si="120"/>
        <v>#DIV/0!</v>
      </c>
      <c r="BY69" s="366" t="e">
        <f t="shared" si="120"/>
        <v>#DIV/0!</v>
      </c>
    </row>
    <row r="70" spans="1:80" ht="16.5" thickTop="1">
      <c r="A70" s="882"/>
      <c r="B70" s="374"/>
      <c r="C70" s="341"/>
      <c r="D70" s="343"/>
      <c r="E70" s="343"/>
      <c r="F70" s="343"/>
      <c r="G70" s="343"/>
      <c r="H70" s="343"/>
      <c r="I70" s="343"/>
      <c r="J70" s="343"/>
      <c r="K70" s="343"/>
      <c r="L70" s="343"/>
      <c r="M70" s="343"/>
      <c r="N70" s="343"/>
      <c r="O70" s="343"/>
      <c r="P70" s="343"/>
      <c r="Q70" s="357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451"/>
      <c r="AC70" s="343"/>
      <c r="AD70" s="343"/>
      <c r="AE70" s="360"/>
      <c r="AF70" s="361"/>
      <c r="AG70" s="343"/>
      <c r="AH70" s="343"/>
      <c r="AI70" s="343"/>
      <c r="AJ70" s="343"/>
      <c r="AK70" s="343"/>
      <c r="AL70" s="343"/>
      <c r="AM70" s="343"/>
      <c r="AN70" s="343"/>
      <c r="AO70" s="343"/>
      <c r="AP70" s="343"/>
      <c r="AQ70" s="343"/>
      <c r="AR70" s="343"/>
      <c r="AS70" s="343"/>
      <c r="AT70" s="341"/>
      <c r="AU70" s="375"/>
      <c r="AV70" s="375"/>
      <c r="AW70" s="375"/>
      <c r="AX70" s="375"/>
      <c r="AY70" s="375"/>
      <c r="AZ70" s="375"/>
      <c r="BA70" s="375"/>
      <c r="BB70" s="375"/>
      <c r="BC70" s="375"/>
      <c r="BD70" s="375"/>
      <c r="BE70" s="375"/>
      <c r="BF70" s="375"/>
      <c r="BG70" s="375"/>
      <c r="BI70" s="343"/>
      <c r="BJ70" s="343"/>
      <c r="BK70" s="343"/>
      <c r="BL70" s="343"/>
      <c r="BM70" s="343"/>
      <c r="BO70" s="343"/>
      <c r="BP70" s="343"/>
      <c r="BQ70" s="343"/>
      <c r="BR70" s="343"/>
      <c r="BS70" s="343"/>
      <c r="BU70" s="346"/>
      <c r="BV70" s="346"/>
      <c r="BW70" s="346"/>
      <c r="BX70" s="346"/>
      <c r="BY70" s="346"/>
    </row>
    <row r="71" spans="1:80" ht="15.75">
      <c r="A71" s="882"/>
      <c r="B71" s="340" t="s">
        <v>68</v>
      </c>
      <c r="C71" s="341"/>
      <c r="D71" s="428">
        <v>1.8000000000000001E-4</v>
      </c>
      <c r="E71" s="428">
        <v>1.8000000000000001E-4</v>
      </c>
      <c r="F71" s="428">
        <v>1.8000000000000001E-4</v>
      </c>
      <c r="G71" s="428">
        <v>1.8000000000000001E-4</v>
      </c>
      <c r="H71" s="428">
        <v>1.8000000000000001E-4</v>
      </c>
      <c r="I71" s="428">
        <v>1.8000000000000001E-4</v>
      </c>
      <c r="J71" s="428">
        <v>1.8000000000000001E-4</v>
      </c>
      <c r="K71" s="428">
        <v>1.8000000000000001E-4</v>
      </c>
      <c r="L71" s="428">
        <v>1.8000000000000001E-4</v>
      </c>
      <c r="M71" s="428">
        <v>1.8000000000000001E-4</v>
      </c>
      <c r="N71" s="428">
        <v>1.8000000000000001E-4</v>
      </c>
      <c r="O71" s="428">
        <v>1.8000000000000001E-4</v>
      </c>
      <c r="P71" s="429">
        <f>AVERAGE(D71:O71)</f>
        <v>1.8000000000000001E-4</v>
      </c>
      <c r="Q71" s="341"/>
      <c r="R71" s="429">
        <f t="shared" ref="R71:AD72" si="122">R50/R25</f>
        <v>8.5601976179250114E-5</v>
      </c>
      <c r="S71" s="429">
        <f t="shared" si="122"/>
        <v>1.2637235239182102E-4</v>
      </c>
      <c r="T71" s="429">
        <f t="shared" si="122"/>
        <v>2.0927065941663621E-4</v>
      </c>
      <c r="U71" s="429">
        <f t="shared" si="122"/>
        <v>2.3557689813808502E-4</v>
      </c>
      <c r="V71" s="429">
        <f t="shared" si="122"/>
        <v>2.0159841392306649E-4</v>
      </c>
      <c r="W71" s="429">
        <f t="shared" si="122"/>
        <v>2.2287627954893153E-4</v>
      </c>
      <c r="X71" s="452">
        <f t="shared" si="122"/>
        <v>3.6126163662437435E-4</v>
      </c>
      <c r="Y71" s="429">
        <f t="shared" si="122"/>
        <v>3.4538024478652601E-4</v>
      </c>
      <c r="Z71" s="429">
        <f t="shared" si="122"/>
        <v>4.9010001575482522E-4</v>
      </c>
      <c r="AA71" s="429" t="e">
        <f t="shared" si="122"/>
        <v>#DIV/0!</v>
      </c>
      <c r="AB71" s="447" t="e">
        <f t="shared" si="122"/>
        <v>#DIV/0!</v>
      </c>
      <c r="AC71" s="429" t="e">
        <f t="shared" si="122"/>
        <v>#DIV/0!</v>
      </c>
      <c r="AD71" s="429">
        <f t="shared" si="122"/>
        <v>3.6096186634476717E-4</v>
      </c>
      <c r="AE71" s="343"/>
      <c r="AF71" s="341"/>
      <c r="AG71" s="343">
        <f t="shared" ref="AG71:AR72" si="123">R71-D71</f>
        <v>-9.4398023820749897E-5</v>
      </c>
      <c r="AH71" s="343">
        <f t="shared" si="123"/>
        <v>-5.362764760817899E-5</v>
      </c>
      <c r="AI71" s="343">
        <f t="shared" si="123"/>
        <v>2.92706594166362E-5</v>
      </c>
      <c r="AJ71" s="343">
        <f t="shared" si="123"/>
        <v>5.5576898138085006E-5</v>
      </c>
      <c r="AK71" s="343">
        <f t="shared" si="123"/>
        <v>2.1598413923066482E-5</v>
      </c>
      <c r="AL71" s="343">
        <f t="shared" si="123"/>
        <v>4.2876279548931517E-5</v>
      </c>
      <c r="AM71" s="343">
        <f t="shared" si="123"/>
        <v>1.8126163662437434E-4</v>
      </c>
      <c r="AN71" s="343">
        <f t="shared" si="123"/>
        <v>1.65380244786526E-4</v>
      </c>
      <c r="AO71" s="343">
        <f t="shared" si="123"/>
        <v>3.1010001575482518E-4</v>
      </c>
      <c r="AP71" s="343" t="e">
        <f t="shared" si="123"/>
        <v>#DIV/0!</v>
      </c>
      <c r="AQ71" s="343" t="e">
        <f>AB71-N71</f>
        <v>#DIV/0!</v>
      </c>
      <c r="AR71" s="343" t="e">
        <f t="shared" si="123"/>
        <v>#DIV/0!</v>
      </c>
      <c r="AS71" s="343" t="e">
        <f>SUM(AG71:AR71)</f>
        <v>#DIV/0!</v>
      </c>
      <c r="AT71" s="341"/>
      <c r="AU71" s="376">
        <f t="shared" ref="AU71:BG73" si="124">(R71-D71)/D71</f>
        <v>-0.52443346567083271</v>
      </c>
      <c r="AV71" s="376">
        <f t="shared" si="124"/>
        <v>-0.29793137560099436</v>
      </c>
      <c r="AW71" s="376">
        <f t="shared" si="124"/>
        <v>0.16261477453686776</v>
      </c>
      <c r="AX71" s="376">
        <f t="shared" si="124"/>
        <v>0.30876054521158336</v>
      </c>
      <c r="AY71" s="376">
        <f t="shared" si="124"/>
        <v>0.11999118846148045</v>
      </c>
      <c r="AZ71" s="376">
        <f t="shared" si="124"/>
        <v>0.23820155304961951</v>
      </c>
      <c r="BA71" s="376">
        <f t="shared" si="124"/>
        <v>1.0070090923576351</v>
      </c>
      <c r="BB71" s="376">
        <f t="shared" si="124"/>
        <v>0.91877913770292219</v>
      </c>
      <c r="BC71" s="376">
        <f t="shared" si="124"/>
        <v>1.7227778653045842</v>
      </c>
      <c r="BD71" s="376" t="e">
        <f t="shared" si="124"/>
        <v>#DIV/0!</v>
      </c>
      <c r="BE71" s="376" t="e">
        <f>(AB71-N71)/N71</f>
        <v>#DIV/0!</v>
      </c>
      <c r="BF71" s="376" t="e">
        <f t="shared" si="124"/>
        <v>#DIV/0!</v>
      </c>
      <c r="BG71" s="376">
        <f t="shared" si="124"/>
        <v>1.005343701915373</v>
      </c>
      <c r="BI71" s="429">
        <f t="shared" ref="BI71:BM72" si="125">BI50/BI25</f>
        <v>1.8000000000000004E-4</v>
      </c>
      <c r="BJ71" s="429">
        <f t="shared" si="125"/>
        <v>1.8000000000000001E-4</v>
      </c>
      <c r="BK71" s="429">
        <f t="shared" si="125"/>
        <v>1.7999999999999998E-4</v>
      </c>
      <c r="BL71" s="429">
        <f t="shared" si="125"/>
        <v>1.8000000000000001E-4</v>
      </c>
      <c r="BM71" s="429">
        <f t="shared" si="125"/>
        <v>1.7999999999999998E-4</v>
      </c>
      <c r="BO71" s="429">
        <f t="shared" ref="BO71:BS72" si="126">BO50/BO25</f>
        <v>1.4890240096863519E-4</v>
      </c>
      <c r="BP71" s="429">
        <f t="shared" si="126"/>
        <v>2.1933388843459461E-4</v>
      </c>
      <c r="BQ71" s="429">
        <f t="shared" si="126"/>
        <v>4.1857767933328846E-4</v>
      </c>
      <c r="BR71" s="429" t="e">
        <f t="shared" si="126"/>
        <v>#DIV/0!</v>
      </c>
      <c r="BS71" s="429">
        <f t="shared" si="126"/>
        <v>3.6096186634476717E-4</v>
      </c>
      <c r="BU71" s="346">
        <f t="shared" ref="BU71:BY73" si="127">BO71/BI71</f>
        <v>0.82723556093686201</v>
      </c>
      <c r="BV71" s="346">
        <f t="shared" si="127"/>
        <v>1.2185216024144143</v>
      </c>
      <c r="BW71" s="346">
        <f t="shared" si="127"/>
        <v>2.3254315518516027</v>
      </c>
      <c r="BX71" s="346" t="e">
        <f t="shared" si="127"/>
        <v>#DIV/0!</v>
      </c>
      <c r="BY71" s="346">
        <f t="shared" si="127"/>
        <v>2.0053437019153733</v>
      </c>
      <c r="CA71" s="327">
        <f>U71/G71</f>
        <v>1.3087605452115834</v>
      </c>
      <c r="CB71" s="327">
        <f>V71/H71</f>
        <v>1.1199911884614804</v>
      </c>
    </row>
    <row r="72" spans="1:80">
      <c r="A72" s="882"/>
      <c r="B72" s="347" t="s">
        <v>69</v>
      </c>
      <c r="C72" s="348"/>
      <c r="D72" s="436"/>
      <c r="E72" s="436"/>
      <c r="F72" s="436"/>
      <c r="G72" s="436"/>
      <c r="H72" s="436"/>
      <c r="I72" s="436"/>
      <c r="J72" s="436"/>
      <c r="K72" s="436"/>
      <c r="L72" s="436"/>
      <c r="M72" s="436"/>
      <c r="N72" s="436"/>
      <c r="O72" s="436"/>
      <c r="P72" s="436" t="e">
        <f>AVERAGE(D72:O72)</f>
        <v>#DIV/0!</v>
      </c>
      <c r="Q72" s="341"/>
      <c r="R72" s="436">
        <f t="shared" si="122"/>
        <v>1.2298758280020135E-4</v>
      </c>
      <c r="S72" s="436">
        <f t="shared" si="122"/>
        <v>2.0379758818707156E-4</v>
      </c>
      <c r="T72" s="436">
        <f t="shared" si="122"/>
        <v>1.8242921587740575E-4</v>
      </c>
      <c r="U72" s="436">
        <f t="shared" si="122"/>
        <v>1.4840231154924797E-4</v>
      </c>
      <c r="V72" s="436">
        <f t="shared" si="122"/>
        <v>1.7360771879339088E-4</v>
      </c>
      <c r="W72" s="436">
        <f t="shared" si="122"/>
        <v>2.0783813935580384E-4</v>
      </c>
      <c r="X72" s="453">
        <f t="shared" si="122"/>
        <v>3.5024922835518682E-4</v>
      </c>
      <c r="Y72" s="436">
        <f t="shared" si="122"/>
        <v>4.7749384603266027E-4</v>
      </c>
      <c r="Z72" s="436">
        <f t="shared" si="122"/>
        <v>8.4686205311945207E-4</v>
      </c>
      <c r="AA72" s="436" t="e">
        <f t="shared" si="122"/>
        <v>#DIV/0!</v>
      </c>
      <c r="AB72" s="437" t="e">
        <f t="shared" si="122"/>
        <v>#DIV/0!</v>
      </c>
      <c r="AC72" s="436" t="e">
        <f t="shared" si="122"/>
        <v>#DIV/0!</v>
      </c>
      <c r="AD72" s="436">
        <f t="shared" si="122"/>
        <v>4.7609200765121815E-4</v>
      </c>
      <c r="AE72" s="343"/>
      <c r="AF72" s="341"/>
      <c r="AG72" s="350">
        <f t="shared" si="123"/>
        <v>1.2298758280020135E-4</v>
      </c>
      <c r="AH72" s="350">
        <f t="shared" si="123"/>
        <v>2.0379758818707156E-4</v>
      </c>
      <c r="AI72" s="350">
        <f t="shared" si="123"/>
        <v>1.8242921587740575E-4</v>
      </c>
      <c r="AJ72" s="350">
        <f t="shared" si="123"/>
        <v>1.4840231154924797E-4</v>
      </c>
      <c r="AK72" s="350">
        <f t="shared" si="123"/>
        <v>1.7360771879339088E-4</v>
      </c>
      <c r="AL72" s="350">
        <f t="shared" si="123"/>
        <v>2.0783813935580384E-4</v>
      </c>
      <c r="AM72" s="350">
        <f t="shared" si="123"/>
        <v>3.5024922835518682E-4</v>
      </c>
      <c r="AN72" s="350">
        <f t="shared" si="123"/>
        <v>4.7749384603266027E-4</v>
      </c>
      <c r="AO72" s="350">
        <f t="shared" si="123"/>
        <v>8.4686205311945207E-4</v>
      </c>
      <c r="AP72" s="350" t="e">
        <f t="shared" si="123"/>
        <v>#DIV/0!</v>
      </c>
      <c r="AQ72" s="350" t="e">
        <f>AB72-N72</f>
        <v>#DIV/0!</v>
      </c>
      <c r="AR72" s="350" t="e">
        <f t="shared" si="123"/>
        <v>#DIV/0!</v>
      </c>
      <c r="AS72" s="350" t="e">
        <f>SUM(AG72:AR72)</f>
        <v>#DIV/0!</v>
      </c>
      <c r="AT72" s="341"/>
      <c r="AU72" s="376" t="e">
        <f t="shared" si="124"/>
        <v>#DIV/0!</v>
      </c>
      <c r="AV72" s="376" t="e">
        <f t="shared" si="124"/>
        <v>#DIV/0!</v>
      </c>
      <c r="AW72" s="376" t="e">
        <f t="shared" si="124"/>
        <v>#DIV/0!</v>
      </c>
      <c r="AX72" s="376" t="e">
        <f t="shared" si="124"/>
        <v>#DIV/0!</v>
      </c>
      <c r="AY72" s="376" t="e">
        <f t="shared" si="124"/>
        <v>#DIV/0!</v>
      </c>
      <c r="AZ72" s="376" t="e">
        <f t="shared" si="124"/>
        <v>#DIV/0!</v>
      </c>
      <c r="BA72" s="376" t="e">
        <f t="shared" si="124"/>
        <v>#DIV/0!</v>
      </c>
      <c r="BB72" s="376" t="e">
        <f t="shared" si="124"/>
        <v>#DIV/0!</v>
      </c>
      <c r="BC72" s="376" t="e">
        <f t="shared" si="124"/>
        <v>#DIV/0!</v>
      </c>
      <c r="BD72" s="376" t="e">
        <f t="shared" si="124"/>
        <v>#DIV/0!</v>
      </c>
      <c r="BE72" s="376" t="e">
        <f>(AB72-N72)/N72</f>
        <v>#DIV/0!</v>
      </c>
      <c r="BF72" s="376" t="e">
        <f t="shared" si="124"/>
        <v>#DIV/0!</v>
      </c>
      <c r="BG72" s="376" t="e">
        <f t="shared" si="124"/>
        <v>#DIV/0!</v>
      </c>
      <c r="BI72" s="436" t="e">
        <f t="shared" si="125"/>
        <v>#DIV/0!</v>
      </c>
      <c r="BJ72" s="436" t="e">
        <f t="shared" si="125"/>
        <v>#DIV/0!</v>
      </c>
      <c r="BK72" s="436" t="e">
        <f t="shared" si="125"/>
        <v>#DIV/0!</v>
      </c>
      <c r="BL72" s="436" t="e">
        <f t="shared" si="125"/>
        <v>#DIV/0!</v>
      </c>
      <c r="BM72" s="436" t="e">
        <f t="shared" si="125"/>
        <v>#DIV/0!</v>
      </c>
      <c r="BO72" s="436">
        <f t="shared" si="126"/>
        <v>1.6919011666265103E-4</v>
      </c>
      <c r="BP72" s="436">
        <f t="shared" si="126"/>
        <v>1.8269831537492956E-4</v>
      </c>
      <c r="BQ72" s="436">
        <f t="shared" si="126"/>
        <v>6.307250905190333E-4</v>
      </c>
      <c r="BR72" s="436" t="e">
        <f t="shared" si="126"/>
        <v>#DIV/0!</v>
      </c>
      <c r="BS72" s="436">
        <f t="shared" si="126"/>
        <v>4.7609200765121815E-4</v>
      </c>
      <c r="BU72" s="353" t="e">
        <f t="shared" si="127"/>
        <v>#DIV/0!</v>
      </c>
      <c r="BV72" s="353" t="e">
        <f t="shared" si="127"/>
        <v>#DIV/0!</v>
      </c>
      <c r="BW72" s="353" t="e">
        <f t="shared" si="127"/>
        <v>#DIV/0!</v>
      </c>
      <c r="BX72" s="353" t="e">
        <f t="shared" si="127"/>
        <v>#DIV/0!</v>
      </c>
      <c r="BY72" s="353" t="e">
        <f t="shared" si="127"/>
        <v>#DIV/0!</v>
      </c>
      <c r="CA72" s="327" t="e">
        <f>U72/G72</f>
        <v>#DIV/0!</v>
      </c>
      <c r="CB72" s="327" t="e">
        <f>V72/H72</f>
        <v>#DIV/0!</v>
      </c>
    </row>
    <row r="73" spans="1:80" ht="16.5" thickBot="1">
      <c r="A73" s="883"/>
      <c r="B73" s="354" t="s">
        <v>80</v>
      </c>
      <c r="C73" s="355"/>
      <c r="D73" s="362"/>
      <c r="E73" s="362"/>
      <c r="F73" s="362"/>
      <c r="G73" s="362"/>
      <c r="H73" s="362"/>
      <c r="I73" s="362"/>
      <c r="J73" s="362"/>
      <c r="K73" s="362"/>
      <c r="L73" s="362"/>
      <c r="M73" s="362"/>
      <c r="N73" s="362"/>
      <c r="O73" s="362"/>
      <c r="P73" s="362"/>
      <c r="Q73" s="357"/>
      <c r="R73" s="362"/>
      <c r="S73" s="362"/>
      <c r="T73" s="362"/>
      <c r="U73" s="362"/>
      <c r="V73" s="362"/>
      <c r="W73" s="362"/>
      <c r="X73" s="362"/>
      <c r="Y73" s="362"/>
      <c r="Z73" s="362"/>
      <c r="AA73" s="362"/>
      <c r="AB73" s="450"/>
      <c r="AC73" s="362"/>
      <c r="AD73" s="362"/>
      <c r="AE73" s="360"/>
      <c r="AF73" s="361"/>
      <c r="AG73" s="362">
        <f t="shared" ref="AG73:AS73" si="128">SUM(AG71:AG72)</f>
        <v>2.8589558979451451E-5</v>
      </c>
      <c r="AH73" s="362">
        <f t="shared" si="128"/>
        <v>1.5016994057889257E-4</v>
      </c>
      <c r="AI73" s="362">
        <f t="shared" si="128"/>
        <v>2.1169987529404195E-4</v>
      </c>
      <c r="AJ73" s="362">
        <f t="shared" si="128"/>
        <v>2.0397920968733297E-4</v>
      </c>
      <c r="AK73" s="362">
        <f t="shared" si="128"/>
        <v>1.9520613271645736E-4</v>
      </c>
      <c r="AL73" s="362">
        <f t="shared" si="128"/>
        <v>2.5071441890473536E-4</v>
      </c>
      <c r="AM73" s="362">
        <f t="shared" si="128"/>
        <v>5.3151086497956119E-4</v>
      </c>
      <c r="AN73" s="362">
        <f t="shared" si="128"/>
        <v>6.4287409081918625E-4</v>
      </c>
      <c r="AO73" s="362">
        <f t="shared" si="128"/>
        <v>1.1569620688742773E-3</v>
      </c>
      <c r="AP73" s="362" t="e">
        <f t="shared" si="128"/>
        <v>#DIV/0!</v>
      </c>
      <c r="AQ73" s="362" t="e">
        <f t="shared" si="128"/>
        <v>#DIV/0!</v>
      </c>
      <c r="AR73" s="362" t="e">
        <f t="shared" si="128"/>
        <v>#DIV/0!</v>
      </c>
      <c r="AS73" s="363" t="e">
        <f t="shared" si="128"/>
        <v>#DIV/0!</v>
      </c>
      <c r="AT73" s="341"/>
      <c r="AU73" s="377" t="e">
        <f t="shared" si="124"/>
        <v>#DIV/0!</v>
      </c>
      <c r="AV73" s="377" t="e">
        <f t="shared" si="124"/>
        <v>#DIV/0!</v>
      </c>
      <c r="AW73" s="377" t="e">
        <f t="shared" si="124"/>
        <v>#DIV/0!</v>
      </c>
      <c r="AX73" s="377" t="e">
        <f t="shared" si="124"/>
        <v>#DIV/0!</v>
      </c>
      <c r="AY73" s="377" t="e">
        <f t="shared" si="124"/>
        <v>#DIV/0!</v>
      </c>
      <c r="AZ73" s="377" t="e">
        <f t="shared" si="124"/>
        <v>#DIV/0!</v>
      </c>
      <c r="BA73" s="377" t="e">
        <f t="shared" si="124"/>
        <v>#DIV/0!</v>
      </c>
      <c r="BB73" s="377" t="e">
        <f t="shared" si="124"/>
        <v>#DIV/0!</v>
      </c>
      <c r="BC73" s="377" t="e">
        <f t="shared" si="124"/>
        <v>#DIV/0!</v>
      </c>
      <c r="BD73" s="377" t="e">
        <f t="shared" si="124"/>
        <v>#DIV/0!</v>
      </c>
      <c r="BE73" s="377" t="e">
        <f>(AB73-N73)/N73</f>
        <v>#DIV/0!</v>
      </c>
      <c r="BF73" s="377" t="e">
        <f t="shared" si="124"/>
        <v>#DIV/0!</v>
      </c>
      <c r="BG73" s="377" t="e">
        <f t="shared" si="124"/>
        <v>#DIV/0!</v>
      </c>
      <c r="BI73" s="362"/>
      <c r="BJ73" s="362"/>
      <c r="BK73" s="362"/>
      <c r="BL73" s="362"/>
      <c r="BM73" s="362"/>
      <c r="BO73" s="362"/>
      <c r="BP73" s="362"/>
      <c r="BQ73" s="362"/>
      <c r="BR73" s="362"/>
      <c r="BS73" s="362"/>
      <c r="BU73" s="366" t="e">
        <f t="shared" si="127"/>
        <v>#DIV/0!</v>
      </c>
      <c r="BV73" s="366" t="e">
        <f t="shared" si="127"/>
        <v>#DIV/0!</v>
      </c>
      <c r="BW73" s="366" t="e">
        <f t="shared" si="127"/>
        <v>#DIV/0!</v>
      </c>
      <c r="BX73" s="366" t="e">
        <f t="shared" si="127"/>
        <v>#DIV/0!</v>
      </c>
      <c r="BY73" s="366" t="e">
        <f t="shared" si="127"/>
        <v>#DIV/0!</v>
      </c>
    </row>
    <row r="74" spans="1:80" ht="16.5" thickTop="1">
      <c r="A74" s="326" t="s">
        <v>64</v>
      </c>
      <c r="L74" s="319"/>
      <c r="X74" s="318"/>
    </row>
    <row r="75" spans="1:80">
      <c r="A75" s="874" t="s">
        <v>54</v>
      </c>
      <c r="B75" s="454" t="s">
        <v>68</v>
      </c>
      <c r="C75" s="455"/>
      <c r="D75" s="456">
        <f t="shared" ref="D75:P76" si="129">D55*1000</f>
        <v>0.18000000000000002</v>
      </c>
      <c r="E75" s="456">
        <f t="shared" si="129"/>
        <v>0.18000000000000002</v>
      </c>
      <c r="F75" s="456">
        <f t="shared" si="129"/>
        <v>0.18000000000000002</v>
      </c>
      <c r="G75" s="456">
        <f t="shared" si="129"/>
        <v>0.18000000000000002</v>
      </c>
      <c r="H75" s="456">
        <f t="shared" si="129"/>
        <v>0.18000000000000002</v>
      </c>
      <c r="I75" s="456">
        <f t="shared" si="129"/>
        <v>0.18000000000000002</v>
      </c>
      <c r="J75" s="456">
        <f t="shared" si="129"/>
        <v>0.18000000000000002</v>
      </c>
      <c r="K75" s="456">
        <f t="shared" si="129"/>
        <v>0.18000000000000002</v>
      </c>
      <c r="L75" s="456">
        <f t="shared" si="129"/>
        <v>0.18000000000000002</v>
      </c>
      <c r="M75" s="456">
        <f t="shared" si="129"/>
        <v>0.18000000000000002</v>
      </c>
      <c r="N75" s="456">
        <f t="shared" si="129"/>
        <v>0.18000000000000002</v>
      </c>
      <c r="O75" s="456">
        <f t="shared" si="129"/>
        <v>0.18000000000000002</v>
      </c>
      <c r="P75" s="456">
        <f t="shared" si="129"/>
        <v>0.18000000000000002</v>
      </c>
      <c r="Q75" s="430"/>
      <c r="R75" s="456">
        <f t="shared" ref="R75:AD76" si="130">R55*1000</f>
        <v>7.7085852478839215E-2</v>
      </c>
      <c r="S75" s="456">
        <f t="shared" si="130"/>
        <v>9.5954100306657478E-2</v>
      </c>
      <c r="T75" s="456">
        <f t="shared" si="130"/>
        <v>8.321096426823299E-2</v>
      </c>
      <c r="U75" s="456">
        <f t="shared" si="130"/>
        <v>0</v>
      </c>
      <c r="V75" s="456">
        <f t="shared" si="130"/>
        <v>0</v>
      </c>
      <c r="W75" s="456">
        <f t="shared" si="130"/>
        <v>0</v>
      </c>
      <c r="X75" s="456">
        <f t="shared" si="130"/>
        <v>0</v>
      </c>
      <c r="Y75" s="456">
        <f t="shared" si="130"/>
        <v>0.52248666912259945</v>
      </c>
      <c r="Z75" s="456">
        <f t="shared" si="130"/>
        <v>0.50403765560880454</v>
      </c>
      <c r="AA75" s="456" t="e">
        <f t="shared" si="130"/>
        <v>#DIV/0!</v>
      </c>
      <c r="AB75" s="457" t="e">
        <f t="shared" si="130"/>
        <v>#DIV/0!</v>
      </c>
      <c r="AC75" s="456" t="e">
        <f t="shared" si="130"/>
        <v>#DIV/0!</v>
      </c>
      <c r="AD75" s="456">
        <f t="shared" si="130"/>
        <v>0.50422374385689273</v>
      </c>
      <c r="AE75" s="429"/>
      <c r="AF75" s="430"/>
      <c r="AG75" s="431">
        <f t="shared" ref="AG75:AR76" si="131">R75-D75</f>
        <v>-0.10291414752116081</v>
      </c>
      <c r="AH75" s="431">
        <f t="shared" si="131"/>
        <v>-8.4045899693342543E-2</v>
      </c>
      <c r="AI75" s="431">
        <f t="shared" si="131"/>
        <v>-9.6789035731767031E-2</v>
      </c>
      <c r="AJ75" s="431">
        <f t="shared" si="131"/>
        <v>-0.18000000000000002</v>
      </c>
      <c r="AK75" s="431">
        <f t="shared" si="131"/>
        <v>-0.18000000000000002</v>
      </c>
      <c r="AL75" s="431">
        <f t="shared" si="131"/>
        <v>-0.18000000000000002</v>
      </c>
      <c r="AM75" s="431">
        <f t="shared" si="131"/>
        <v>-0.18000000000000002</v>
      </c>
      <c r="AN75" s="431">
        <f t="shared" si="131"/>
        <v>0.3424866691225994</v>
      </c>
      <c r="AO75" s="431">
        <f t="shared" si="131"/>
        <v>0.32403765560880449</v>
      </c>
      <c r="AP75" s="431" t="e">
        <f t="shared" si="131"/>
        <v>#DIV/0!</v>
      </c>
      <c r="AQ75" s="431" t="e">
        <f>AB75-N75</f>
        <v>#DIV/0!</v>
      </c>
      <c r="AR75" s="431" t="e">
        <f t="shared" si="131"/>
        <v>#DIV/0!</v>
      </c>
      <c r="AS75" s="431" t="e">
        <f>AS54/AS29</f>
        <v>#DIV/0!</v>
      </c>
      <c r="AT75" s="430"/>
      <c r="AU75" s="433">
        <f>R75/D75</f>
        <v>0.42825473599355113</v>
      </c>
      <c r="AV75" s="433">
        <f t="shared" ref="AV75:BG76" si="132">S75/E75</f>
        <v>0.53307833503698587</v>
      </c>
      <c r="AW75" s="433">
        <f t="shared" si="132"/>
        <v>0.46228313482351657</v>
      </c>
      <c r="AX75" s="433">
        <f t="shared" si="132"/>
        <v>0</v>
      </c>
      <c r="AY75" s="433">
        <f t="shared" si="132"/>
        <v>0</v>
      </c>
      <c r="AZ75" s="433">
        <f t="shared" si="132"/>
        <v>0</v>
      </c>
      <c r="BA75" s="433">
        <f t="shared" si="132"/>
        <v>0</v>
      </c>
      <c r="BB75" s="433">
        <f t="shared" si="132"/>
        <v>2.9027037173477743</v>
      </c>
      <c r="BC75" s="433">
        <f t="shared" si="132"/>
        <v>2.8002091978266916</v>
      </c>
      <c r="BD75" s="433" t="e">
        <f t="shared" si="132"/>
        <v>#DIV/0!</v>
      </c>
      <c r="BE75" s="433" t="e">
        <f>AB75/N75</f>
        <v>#DIV/0!</v>
      </c>
      <c r="BF75" s="433" t="e">
        <f t="shared" si="132"/>
        <v>#DIV/0!</v>
      </c>
      <c r="BG75" s="433">
        <f t="shared" si="132"/>
        <v>2.8012430214271813</v>
      </c>
      <c r="BI75" s="458">
        <f t="shared" ref="BI75:BM76" si="133">BI55*1000</f>
        <v>0.18000000000000002</v>
      </c>
      <c r="BJ75" s="458">
        <f t="shared" si="133"/>
        <v>0.18000000000000002</v>
      </c>
      <c r="BK75" s="458">
        <f t="shared" si="133"/>
        <v>0.18000000000000002</v>
      </c>
      <c r="BL75" s="458">
        <f t="shared" si="133"/>
        <v>0.18000000000000005</v>
      </c>
      <c r="BM75" s="458">
        <f t="shared" si="133"/>
        <v>0.18000000000000005</v>
      </c>
      <c r="BO75" s="458">
        <f t="shared" ref="BO75:BS76" si="134">BO55*1000</f>
        <v>8.7915601023017931E-2</v>
      </c>
      <c r="BP75" s="458">
        <f t="shared" si="134"/>
        <v>0</v>
      </c>
      <c r="BQ75" s="458">
        <f t="shared" si="134"/>
        <v>0.50559163467476675</v>
      </c>
      <c r="BR75" s="458" t="e">
        <f t="shared" si="134"/>
        <v>#DIV/0!</v>
      </c>
      <c r="BS75" s="458">
        <f t="shared" si="134"/>
        <v>0.50422374385689273</v>
      </c>
      <c r="BU75" s="401">
        <f>BO75/BI75</f>
        <v>0.48842000568343291</v>
      </c>
      <c r="BV75" s="401">
        <f>BP75/BJ75</f>
        <v>0</v>
      </c>
      <c r="BW75" s="401">
        <f t="shared" ref="BW75:BY76" si="135">BQ75/BK75</f>
        <v>2.8088424148598148</v>
      </c>
      <c r="BX75" s="401" t="e">
        <f t="shared" si="135"/>
        <v>#DIV/0!</v>
      </c>
      <c r="BY75" s="401">
        <f t="shared" si="135"/>
        <v>2.8012430214271808</v>
      </c>
      <c r="CA75" s="327">
        <f>U75/G75</f>
        <v>0</v>
      </c>
      <c r="CB75" s="327">
        <f>V75/H75</f>
        <v>0</v>
      </c>
    </row>
    <row r="76" spans="1:80" ht="15.75" thickBot="1">
      <c r="A76" s="875"/>
      <c r="B76" s="459" t="s">
        <v>69</v>
      </c>
      <c r="C76" s="460"/>
      <c r="D76" s="461">
        <f t="shared" si="129"/>
        <v>0</v>
      </c>
      <c r="E76" s="461">
        <f t="shared" si="129"/>
        <v>0</v>
      </c>
      <c r="F76" s="461">
        <f t="shared" si="129"/>
        <v>0</v>
      </c>
      <c r="G76" s="461">
        <f t="shared" si="129"/>
        <v>0</v>
      </c>
      <c r="H76" s="461">
        <f t="shared" si="129"/>
        <v>0</v>
      </c>
      <c r="I76" s="461">
        <f t="shared" si="129"/>
        <v>0</v>
      </c>
      <c r="J76" s="461">
        <f t="shared" si="129"/>
        <v>0</v>
      </c>
      <c r="K76" s="461">
        <f t="shared" si="129"/>
        <v>0</v>
      </c>
      <c r="L76" s="461">
        <f t="shared" si="129"/>
        <v>0</v>
      </c>
      <c r="M76" s="461">
        <f t="shared" si="129"/>
        <v>0</v>
      </c>
      <c r="N76" s="461">
        <f t="shared" si="129"/>
        <v>0</v>
      </c>
      <c r="O76" s="461">
        <f t="shared" si="129"/>
        <v>0</v>
      </c>
      <c r="P76" s="461" t="e">
        <f t="shared" si="129"/>
        <v>#DIV/0!</v>
      </c>
      <c r="Q76" s="430"/>
      <c r="R76" s="461">
        <f t="shared" si="130"/>
        <v>2.9905884422552549E-2</v>
      </c>
      <c r="S76" s="461">
        <f t="shared" si="130"/>
        <v>3.0216044719746191E-2</v>
      </c>
      <c r="T76" s="461">
        <f t="shared" si="130"/>
        <v>2.8476120738751939E-2</v>
      </c>
      <c r="U76" s="461">
        <f t="shared" si="130"/>
        <v>2.4213075060532694E-2</v>
      </c>
      <c r="V76" s="461">
        <f t="shared" si="130"/>
        <v>2.5776886724903334E-2</v>
      </c>
      <c r="W76" s="461">
        <f t="shared" si="130"/>
        <v>2.4835905623558634E-2</v>
      </c>
      <c r="X76" s="461">
        <f t="shared" si="130"/>
        <v>3.8791343405471634E-2</v>
      </c>
      <c r="Y76" s="461">
        <f t="shared" si="130"/>
        <v>0.39376132412712372</v>
      </c>
      <c r="Z76" s="461">
        <f t="shared" si="130"/>
        <v>0.70185663142119659</v>
      </c>
      <c r="AA76" s="461" t="e">
        <f t="shared" si="130"/>
        <v>#DIV/0!</v>
      </c>
      <c r="AB76" s="462" t="e">
        <f t="shared" si="130"/>
        <v>#DIV/0!</v>
      </c>
      <c r="AC76" s="461" t="e">
        <f t="shared" si="130"/>
        <v>#DIV/0!</v>
      </c>
      <c r="AD76" s="461">
        <f t="shared" si="130"/>
        <v>0.53845282402764172</v>
      </c>
      <c r="AE76" s="429"/>
      <c r="AF76" s="430"/>
      <c r="AG76" s="436">
        <f t="shared" si="131"/>
        <v>2.9905884422552549E-2</v>
      </c>
      <c r="AH76" s="436">
        <f t="shared" si="131"/>
        <v>3.0216044719746191E-2</v>
      </c>
      <c r="AI76" s="436">
        <f t="shared" si="131"/>
        <v>2.8476120738751939E-2</v>
      </c>
      <c r="AJ76" s="436">
        <f t="shared" si="131"/>
        <v>2.4213075060532694E-2</v>
      </c>
      <c r="AK76" s="436">
        <f t="shared" si="131"/>
        <v>2.5776886724903334E-2</v>
      </c>
      <c r="AL76" s="436">
        <f t="shared" si="131"/>
        <v>2.4835905623558634E-2</v>
      </c>
      <c r="AM76" s="436">
        <f t="shared" si="131"/>
        <v>3.8791343405471634E-2</v>
      </c>
      <c r="AN76" s="436">
        <f t="shared" si="131"/>
        <v>0.39376132412712372</v>
      </c>
      <c r="AO76" s="436">
        <f t="shared" si="131"/>
        <v>0.70185663142119659</v>
      </c>
      <c r="AP76" s="436" t="e">
        <f t="shared" si="131"/>
        <v>#DIV/0!</v>
      </c>
      <c r="AQ76" s="436" t="e">
        <f>AB76-N76</f>
        <v>#DIV/0!</v>
      </c>
      <c r="AR76" s="436" t="e">
        <f t="shared" si="131"/>
        <v>#DIV/0!</v>
      </c>
      <c r="AS76" s="436">
        <f>AS55/AS91</f>
        <v>5.694847942127871E-4</v>
      </c>
      <c r="AT76" s="430"/>
      <c r="AU76" s="376" t="e">
        <f>R76/D76</f>
        <v>#DIV/0!</v>
      </c>
      <c r="AV76" s="376" t="e">
        <f t="shared" si="132"/>
        <v>#DIV/0!</v>
      </c>
      <c r="AW76" s="376" t="e">
        <f t="shared" si="132"/>
        <v>#DIV/0!</v>
      </c>
      <c r="AX76" s="376" t="e">
        <f t="shared" si="132"/>
        <v>#DIV/0!</v>
      </c>
      <c r="AY76" s="376" t="e">
        <f t="shared" si="132"/>
        <v>#DIV/0!</v>
      </c>
      <c r="AZ76" s="376" t="e">
        <f t="shared" si="132"/>
        <v>#DIV/0!</v>
      </c>
      <c r="BA76" s="376" t="e">
        <f t="shared" si="132"/>
        <v>#DIV/0!</v>
      </c>
      <c r="BB76" s="376" t="e">
        <f t="shared" si="132"/>
        <v>#DIV/0!</v>
      </c>
      <c r="BC76" s="376" t="e">
        <f t="shared" si="132"/>
        <v>#DIV/0!</v>
      </c>
      <c r="BD76" s="376" t="e">
        <f t="shared" si="132"/>
        <v>#DIV/0!</v>
      </c>
      <c r="BE76" s="376" t="e">
        <f>AB76/N76</f>
        <v>#DIV/0!</v>
      </c>
      <c r="BF76" s="376" t="e">
        <f t="shared" si="132"/>
        <v>#DIV/0!</v>
      </c>
      <c r="BG76" s="376" t="e">
        <f t="shared" si="132"/>
        <v>#DIV/0!</v>
      </c>
      <c r="BI76" s="458" t="e">
        <f t="shared" si="133"/>
        <v>#DIV/0!</v>
      </c>
      <c r="BJ76" s="458" t="e">
        <f t="shared" si="133"/>
        <v>#DIV/0!</v>
      </c>
      <c r="BK76" s="458" t="e">
        <f t="shared" si="133"/>
        <v>#DIV/0!</v>
      </c>
      <c r="BL76" s="458" t="e">
        <f t="shared" si="133"/>
        <v>#DIV/0!</v>
      </c>
      <c r="BM76" s="458" t="e">
        <f t="shared" si="133"/>
        <v>#DIV/0!</v>
      </c>
      <c r="BO76" s="458">
        <f t="shared" si="134"/>
        <v>2.9540896525556942E-2</v>
      </c>
      <c r="BP76" s="458">
        <f t="shared" si="134"/>
        <v>2.4877913940845851E-2</v>
      </c>
      <c r="BQ76" s="458">
        <f t="shared" si="134"/>
        <v>0.66235917140408285</v>
      </c>
      <c r="BR76" s="458" t="e">
        <f t="shared" si="134"/>
        <v>#DIV/0!</v>
      </c>
      <c r="BS76" s="458">
        <f t="shared" si="134"/>
        <v>0.53845282402764172</v>
      </c>
      <c r="BU76" s="353" t="e">
        <f>BO76/BI76</f>
        <v>#DIV/0!</v>
      </c>
      <c r="BV76" s="353" t="e">
        <f>BP76/BJ76</f>
        <v>#DIV/0!</v>
      </c>
      <c r="BW76" s="353" t="e">
        <f t="shared" si="135"/>
        <v>#DIV/0!</v>
      </c>
      <c r="BX76" s="353" t="e">
        <f t="shared" si="135"/>
        <v>#DIV/0!</v>
      </c>
      <c r="BY76" s="353" t="e">
        <f t="shared" si="135"/>
        <v>#DIV/0!</v>
      </c>
      <c r="CA76" s="327" t="e">
        <f>U76/G76</f>
        <v>#DIV/0!</v>
      </c>
      <c r="CB76" s="327" t="e">
        <f>V76/H76</f>
        <v>#DIV/0!</v>
      </c>
    </row>
    <row r="77" spans="1:80" ht="15.75" thickTop="1">
      <c r="A77" s="463"/>
      <c r="B77" s="464"/>
      <c r="C77" s="371"/>
      <c r="D77" s="465"/>
      <c r="E77" s="465"/>
      <c r="F77" s="465"/>
      <c r="G77" s="465"/>
      <c r="H77" s="465"/>
      <c r="I77" s="465"/>
      <c r="J77" s="465"/>
      <c r="K77" s="465"/>
      <c r="L77" s="465"/>
      <c r="M77" s="465"/>
      <c r="N77" s="465"/>
      <c r="O77" s="465"/>
      <c r="P77" s="465"/>
      <c r="X77" s="318"/>
      <c r="AU77" s="376"/>
      <c r="AV77" s="376"/>
      <c r="AW77" s="376"/>
      <c r="AX77" s="376"/>
      <c r="AY77" s="376"/>
      <c r="AZ77" s="376"/>
      <c r="BA77" s="376"/>
      <c r="BB77" s="376"/>
      <c r="BC77" s="376"/>
      <c r="BD77" s="376"/>
      <c r="BE77" s="376"/>
      <c r="BF77" s="376"/>
      <c r="BG77" s="376"/>
      <c r="BI77" s="318"/>
      <c r="BJ77" s="318"/>
      <c r="BK77" s="318"/>
      <c r="BL77" s="318"/>
      <c r="BM77" s="318"/>
      <c r="BO77" s="318"/>
      <c r="BP77" s="318"/>
      <c r="BQ77" s="318"/>
      <c r="BR77" s="318"/>
      <c r="BS77" s="318"/>
      <c r="BU77" s="411"/>
      <c r="BV77" s="411"/>
      <c r="BW77" s="411"/>
      <c r="BX77" s="411"/>
      <c r="BY77" s="411"/>
    </row>
    <row r="78" spans="1:80">
      <c r="A78" s="874" t="s">
        <v>62</v>
      </c>
      <c r="B78" s="454" t="s">
        <v>68</v>
      </c>
      <c r="C78" s="455"/>
      <c r="D78" s="456">
        <f t="shared" ref="D78:P79" si="136">D59*1000</f>
        <v>0.18000000000000002</v>
      </c>
      <c r="E78" s="456">
        <f t="shared" si="136"/>
        <v>0.18000000000000002</v>
      </c>
      <c r="F78" s="456">
        <f t="shared" si="136"/>
        <v>0.18000000000000002</v>
      </c>
      <c r="G78" s="456">
        <f t="shared" si="136"/>
        <v>0.18000000000000002</v>
      </c>
      <c r="H78" s="456">
        <f t="shared" si="136"/>
        <v>0.18000000000000002</v>
      </c>
      <c r="I78" s="456">
        <f t="shared" si="136"/>
        <v>0.18000000000000002</v>
      </c>
      <c r="J78" s="456">
        <f t="shared" si="136"/>
        <v>0.18000000000000002</v>
      </c>
      <c r="K78" s="456">
        <f t="shared" si="136"/>
        <v>0.18000000000000002</v>
      </c>
      <c r="L78" s="456">
        <f t="shared" si="136"/>
        <v>0.18000000000000002</v>
      </c>
      <c r="M78" s="456">
        <f t="shared" si="136"/>
        <v>0.18000000000000002</v>
      </c>
      <c r="N78" s="456">
        <f t="shared" si="136"/>
        <v>0.18000000000000002</v>
      </c>
      <c r="O78" s="456">
        <f t="shared" si="136"/>
        <v>0.18000000000000002</v>
      </c>
      <c r="P78" s="456">
        <f t="shared" si="136"/>
        <v>0.18000000000000002</v>
      </c>
      <c r="Q78" s="430"/>
      <c r="R78" s="456" t="e">
        <f t="shared" ref="R78:AD79" si="137">R59*1000</f>
        <v>#DIV/0!</v>
      </c>
      <c r="S78" s="456" t="e">
        <f t="shared" si="137"/>
        <v>#DIV/0!</v>
      </c>
      <c r="T78" s="456" t="e">
        <f t="shared" si="137"/>
        <v>#DIV/0!</v>
      </c>
      <c r="U78" s="456" t="e">
        <f t="shared" si="137"/>
        <v>#DIV/0!</v>
      </c>
      <c r="V78" s="456" t="e">
        <f t="shared" si="137"/>
        <v>#DIV/0!</v>
      </c>
      <c r="W78" s="456" t="e">
        <f t="shared" si="137"/>
        <v>#DIV/0!</v>
      </c>
      <c r="X78" s="456" t="e">
        <f t="shared" si="137"/>
        <v>#DIV/0!</v>
      </c>
      <c r="Y78" s="456" t="e">
        <f t="shared" si="137"/>
        <v>#DIV/0!</v>
      </c>
      <c r="Z78" s="456" t="e">
        <f t="shared" si="137"/>
        <v>#DIV/0!</v>
      </c>
      <c r="AA78" s="456" t="e">
        <f t="shared" si="137"/>
        <v>#DIV/0!</v>
      </c>
      <c r="AB78" s="457" t="e">
        <f t="shared" si="137"/>
        <v>#DIV/0!</v>
      </c>
      <c r="AC78" s="456" t="e">
        <f t="shared" si="137"/>
        <v>#DIV/0!</v>
      </c>
      <c r="AD78" s="456" t="e">
        <f t="shared" si="137"/>
        <v>#DIV/0!</v>
      </c>
      <c r="AE78" s="429"/>
      <c r="AF78" s="430"/>
      <c r="AG78" s="431" t="e">
        <f t="shared" ref="AG78:AR79" si="138">R78-D78</f>
        <v>#DIV/0!</v>
      </c>
      <c r="AH78" s="431" t="e">
        <f t="shared" si="138"/>
        <v>#DIV/0!</v>
      </c>
      <c r="AI78" s="431" t="e">
        <f t="shared" si="138"/>
        <v>#DIV/0!</v>
      </c>
      <c r="AJ78" s="431" t="e">
        <f t="shared" si="138"/>
        <v>#DIV/0!</v>
      </c>
      <c r="AK78" s="431" t="e">
        <f t="shared" si="138"/>
        <v>#DIV/0!</v>
      </c>
      <c r="AL78" s="431" t="e">
        <f t="shared" si="138"/>
        <v>#DIV/0!</v>
      </c>
      <c r="AM78" s="431" t="e">
        <f t="shared" si="138"/>
        <v>#DIV/0!</v>
      </c>
      <c r="AN78" s="431" t="e">
        <f t="shared" si="138"/>
        <v>#DIV/0!</v>
      </c>
      <c r="AO78" s="431" t="e">
        <f t="shared" si="138"/>
        <v>#DIV/0!</v>
      </c>
      <c r="AP78" s="431" t="e">
        <f t="shared" si="138"/>
        <v>#DIV/0!</v>
      </c>
      <c r="AQ78" s="431" t="e">
        <f>AB78-N78</f>
        <v>#DIV/0!</v>
      </c>
      <c r="AR78" s="431" t="e">
        <f t="shared" si="138"/>
        <v>#DIV/0!</v>
      </c>
      <c r="AS78" s="431" t="e">
        <f>AS58/AS93</f>
        <v>#DIV/0!</v>
      </c>
      <c r="AT78" s="430"/>
      <c r="AU78" s="433" t="e">
        <f>R78/D78</f>
        <v>#DIV/0!</v>
      </c>
      <c r="AV78" s="433" t="e">
        <f t="shared" ref="AV78:BG79" si="139">S78/E78</f>
        <v>#DIV/0!</v>
      </c>
      <c r="AW78" s="433" t="e">
        <f t="shared" si="139"/>
        <v>#DIV/0!</v>
      </c>
      <c r="AX78" s="433" t="e">
        <f t="shared" si="139"/>
        <v>#DIV/0!</v>
      </c>
      <c r="AY78" s="433" t="e">
        <f t="shared" si="139"/>
        <v>#DIV/0!</v>
      </c>
      <c r="AZ78" s="433" t="e">
        <f t="shared" si="139"/>
        <v>#DIV/0!</v>
      </c>
      <c r="BA78" s="433" t="e">
        <f t="shared" si="139"/>
        <v>#DIV/0!</v>
      </c>
      <c r="BB78" s="433" t="e">
        <f t="shared" si="139"/>
        <v>#DIV/0!</v>
      </c>
      <c r="BC78" s="433" t="e">
        <f t="shared" si="139"/>
        <v>#DIV/0!</v>
      </c>
      <c r="BD78" s="433" t="e">
        <f t="shared" si="139"/>
        <v>#DIV/0!</v>
      </c>
      <c r="BE78" s="433" t="e">
        <f>AB78/N78</f>
        <v>#DIV/0!</v>
      </c>
      <c r="BF78" s="433" t="e">
        <f t="shared" si="139"/>
        <v>#DIV/0!</v>
      </c>
      <c r="BG78" s="433" t="e">
        <f t="shared" si="139"/>
        <v>#DIV/0!</v>
      </c>
      <c r="BI78" s="458" t="e">
        <f t="shared" ref="BI78:BM79" si="140">BI59*1000</f>
        <v>#DIV/0!</v>
      </c>
      <c r="BJ78" s="458" t="e">
        <f t="shared" si="140"/>
        <v>#DIV/0!</v>
      </c>
      <c r="BK78" s="458" t="e">
        <f t="shared" si="140"/>
        <v>#DIV/0!</v>
      </c>
      <c r="BL78" s="458" t="e">
        <f t="shared" si="140"/>
        <v>#DIV/0!</v>
      </c>
      <c r="BM78" s="458" t="e">
        <f t="shared" si="140"/>
        <v>#DIV/0!</v>
      </c>
      <c r="BO78" s="458" t="e">
        <f t="shared" ref="BO78:BS79" si="141">BO59*1000</f>
        <v>#DIV/0!</v>
      </c>
      <c r="BP78" s="458" t="e">
        <f t="shared" si="141"/>
        <v>#DIV/0!</v>
      </c>
      <c r="BQ78" s="458" t="e">
        <f t="shared" si="141"/>
        <v>#DIV/0!</v>
      </c>
      <c r="BR78" s="458" t="e">
        <f t="shared" si="141"/>
        <v>#DIV/0!</v>
      </c>
      <c r="BS78" s="458" t="e">
        <f t="shared" si="141"/>
        <v>#DIV/0!</v>
      </c>
      <c r="BU78" s="401" t="e">
        <f>BO78/BI78</f>
        <v>#DIV/0!</v>
      </c>
      <c r="BV78" s="401" t="e">
        <f>BP78/BJ78</f>
        <v>#DIV/0!</v>
      </c>
      <c r="BW78" s="401" t="e">
        <f t="shared" ref="BW78:BY79" si="142">BQ78/BK78</f>
        <v>#DIV/0!</v>
      </c>
      <c r="BX78" s="401" t="e">
        <f t="shared" si="142"/>
        <v>#DIV/0!</v>
      </c>
      <c r="BY78" s="401" t="e">
        <f t="shared" si="142"/>
        <v>#DIV/0!</v>
      </c>
      <c r="CA78" s="327" t="e">
        <f>U78/G78</f>
        <v>#DIV/0!</v>
      </c>
      <c r="CB78" s="327" t="e">
        <f>V78/H78</f>
        <v>#DIV/0!</v>
      </c>
    </row>
    <row r="79" spans="1:80" ht="15.75" thickBot="1">
      <c r="A79" s="875"/>
      <c r="B79" s="459" t="s">
        <v>69</v>
      </c>
      <c r="C79" s="460"/>
      <c r="D79" s="461">
        <f t="shared" si="136"/>
        <v>0</v>
      </c>
      <c r="E79" s="461">
        <f t="shared" si="136"/>
        <v>0</v>
      </c>
      <c r="F79" s="461">
        <f t="shared" si="136"/>
        <v>0</v>
      </c>
      <c r="G79" s="461">
        <f t="shared" si="136"/>
        <v>0</v>
      </c>
      <c r="H79" s="461">
        <f t="shared" si="136"/>
        <v>0</v>
      </c>
      <c r="I79" s="461">
        <f t="shared" si="136"/>
        <v>0</v>
      </c>
      <c r="J79" s="461">
        <f t="shared" si="136"/>
        <v>0</v>
      </c>
      <c r="K79" s="461">
        <f t="shared" si="136"/>
        <v>0</v>
      </c>
      <c r="L79" s="461">
        <f t="shared" si="136"/>
        <v>0</v>
      </c>
      <c r="M79" s="461">
        <f t="shared" si="136"/>
        <v>0</v>
      </c>
      <c r="N79" s="461">
        <f t="shared" si="136"/>
        <v>0</v>
      </c>
      <c r="O79" s="461">
        <f t="shared" si="136"/>
        <v>0</v>
      </c>
      <c r="P79" s="461" t="e">
        <f t="shared" si="136"/>
        <v>#DIV/0!</v>
      </c>
      <c r="Q79" s="430"/>
      <c r="R79" s="461" t="e">
        <f t="shared" si="137"/>
        <v>#DIV/0!</v>
      </c>
      <c r="S79" s="461" t="e">
        <f t="shared" si="137"/>
        <v>#DIV/0!</v>
      </c>
      <c r="T79" s="461" t="e">
        <f t="shared" si="137"/>
        <v>#DIV/0!</v>
      </c>
      <c r="U79" s="461" t="e">
        <f t="shared" si="137"/>
        <v>#DIV/0!</v>
      </c>
      <c r="V79" s="461" t="e">
        <f t="shared" si="137"/>
        <v>#DIV/0!</v>
      </c>
      <c r="W79" s="461" t="e">
        <f t="shared" si="137"/>
        <v>#DIV/0!</v>
      </c>
      <c r="X79" s="461" t="e">
        <f t="shared" si="137"/>
        <v>#DIV/0!</v>
      </c>
      <c r="Y79" s="461" t="e">
        <f t="shared" si="137"/>
        <v>#DIV/0!</v>
      </c>
      <c r="Z79" s="461" t="e">
        <f t="shared" si="137"/>
        <v>#DIV/0!</v>
      </c>
      <c r="AA79" s="461" t="e">
        <f t="shared" si="137"/>
        <v>#DIV/0!</v>
      </c>
      <c r="AB79" s="462" t="e">
        <f t="shared" si="137"/>
        <v>#DIV/0!</v>
      </c>
      <c r="AC79" s="461" t="e">
        <f t="shared" si="137"/>
        <v>#DIV/0!</v>
      </c>
      <c r="AD79" s="461" t="e">
        <f>AD59/AD94</f>
        <v>#DIV/0!</v>
      </c>
      <c r="AE79" s="429"/>
      <c r="AF79" s="430"/>
      <c r="AG79" s="436" t="e">
        <f t="shared" si="138"/>
        <v>#DIV/0!</v>
      </c>
      <c r="AH79" s="436" t="e">
        <f t="shared" si="138"/>
        <v>#DIV/0!</v>
      </c>
      <c r="AI79" s="436" t="e">
        <f t="shared" si="138"/>
        <v>#DIV/0!</v>
      </c>
      <c r="AJ79" s="436" t="e">
        <f t="shared" si="138"/>
        <v>#DIV/0!</v>
      </c>
      <c r="AK79" s="436" t="e">
        <f t="shared" si="138"/>
        <v>#DIV/0!</v>
      </c>
      <c r="AL79" s="436" t="e">
        <f t="shared" si="138"/>
        <v>#DIV/0!</v>
      </c>
      <c r="AM79" s="436" t="e">
        <f t="shared" si="138"/>
        <v>#DIV/0!</v>
      </c>
      <c r="AN79" s="436" t="e">
        <f t="shared" si="138"/>
        <v>#DIV/0!</v>
      </c>
      <c r="AO79" s="436" t="e">
        <f t="shared" si="138"/>
        <v>#DIV/0!</v>
      </c>
      <c r="AP79" s="436" t="e">
        <f t="shared" si="138"/>
        <v>#DIV/0!</v>
      </c>
      <c r="AQ79" s="436" t="e">
        <f>AB79-N79</f>
        <v>#DIV/0!</v>
      </c>
      <c r="AR79" s="436" t="e">
        <f t="shared" si="138"/>
        <v>#DIV/0!</v>
      </c>
      <c r="AS79" s="436" t="e">
        <f>AS59/AS94</f>
        <v>#DIV/0!</v>
      </c>
      <c r="AT79" s="430"/>
      <c r="AU79" s="376" t="e">
        <f>R79/D79</f>
        <v>#DIV/0!</v>
      </c>
      <c r="AV79" s="376" t="e">
        <f t="shared" si="139"/>
        <v>#DIV/0!</v>
      </c>
      <c r="AW79" s="376" t="e">
        <f t="shared" si="139"/>
        <v>#DIV/0!</v>
      </c>
      <c r="AX79" s="376" t="e">
        <f t="shared" si="139"/>
        <v>#DIV/0!</v>
      </c>
      <c r="AY79" s="376" t="e">
        <f t="shared" si="139"/>
        <v>#DIV/0!</v>
      </c>
      <c r="AZ79" s="376" t="e">
        <f t="shared" si="139"/>
        <v>#DIV/0!</v>
      </c>
      <c r="BA79" s="376" t="e">
        <f t="shared" si="139"/>
        <v>#DIV/0!</v>
      </c>
      <c r="BB79" s="376" t="e">
        <f t="shared" si="139"/>
        <v>#DIV/0!</v>
      </c>
      <c r="BC79" s="376" t="e">
        <f t="shared" si="139"/>
        <v>#DIV/0!</v>
      </c>
      <c r="BD79" s="376" t="e">
        <f t="shared" si="139"/>
        <v>#DIV/0!</v>
      </c>
      <c r="BE79" s="376" t="e">
        <f>AB79/N79</f>
        <v>#DIV/0!</v>
      </c>
      <c r="BF79" s="376" t="e">
        <f t="shared" si="139"/>
        <v>#DIV/0!</v>
      </c>
      <c r="BG79" s="376" t="e">
        <f t="shared" si="139"/>
        <v>#DIV/0!</v>
      </c>
      <c r="BI79" s="458" t="e">
        <f t="shared" si="140"/>
        <v>#DIV/0!</v>
      </c>
      <c r="BJ79" s="458" t="e">
        <f t="shared" si="140"/>
        <v>#DIV/0!</v>
      </c>
      <c r="BK79" s="458" t="e">
        <f t="shared" si="140"/>
        <v>#DIV/0!</v>
      </c>
      <c r="BL79" s="458" t="e">
        <f t="shared" si="140"/>
        <v>#DIV/0!</v>
      </c>
      <c r="BM79" s="458" t="e">
        <f t="shared" si="140"/>
        <v>#DIV/0!</v>
      </c>
      <c r="BO79" s="458" t="e">
        <f t="shared" si="141"/>
        <v>#DIV/0!</v>
      </c>
      <c r="BP79" s="458" t="e">
        <f t="shared" si="141"/>
        <v>#DIV/0!</v>
      </c>
      <c r="BQ79" s="458" t="e">
        <f t="shared" si="141"/>
        <v>#DIV/0!</v>
      </c>
      <c r="BR79" s="458" t="e">
        <f t="shared" si="141"/>
        <v>#DIV/0!</v>
      </c>
      <c r="BS79" s="458" t="e">
        <f t="shared" si="141"/>
        <v>#DIV/0!</v>
      </c>
      <c r="BU79" s="353" t="e">
        <f>BO79/BI79</f>
        <v>#DIV/0!</v>
      </c>
      <c r="BV79" s="353" t="e">
        <f>BP79/BJ79</f>
        <v>#DIV/0!</v>
      </c>
      <c r="BW79" s="353" t="e">
        <f t="shared" si="142"/>
        <v>#DIV/0!</v>
      </c>
      <c r="BX79" s="353" t="e">
        <f t="shared" si="142"/>
        <v>#DIV/0!</v>
      </c>
      <c r="BY79" s="353" t="e">
        <f t="shared" si="142"/>
        <v>#DIV/0!</v>
      </c>
      <c r="CA79" s="327" t="e">
        <f>U79/G79</f>
        <v>#DIV/0!</v>
      </c>
      <c r="CB79" s="327" t="e">
        <f>V79/H79</f>
        <v>#DIV/0!</v>
      </c>
    </row>
    <row r="80" spans="1:80" ht="15.75" thickTop="1">
      <c r="A80" s="466"/>
      <c r="B80" s="340"/>
      <c r="C80" s="395"/>
      <c r="D80" s="443"/>
      <c r="E80" s="443"/>
      <c r="F80" s="443"/>
      <c r="G80" s="443"/>
      <c r="H80" s="443"/>
      <c r="I80" s="443"/>
      <c r="J80" s="443"/>
      <c r="K80" s="443"/>
      <c r="L80" s="443"/>
      <c r="M80" s="443"/>
      <c r="N80" s="443"/>
      <c r="O80" s="443"/>
      <c r="P80" s="443"/>
      <c r="Q80" s="441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48"/>
      <c r="AC80" s="443"/>
      <c r="AD80" s="443"/>
      <c r="AE80" s="443"/>
      <c r="AF80" s="441"/>
      <c r="AG80" s="443"/>
      <c r="AH80" s="443"/>
      <c r="AI80" s="443"/>
      <c r="AJ80" s="443"/>
      <c r="AK80" s="443"/>
      <c r="AL80" s="443"/>
      <c r="AM80" s="443"/>
      <c r="AN80" s="443"/>
      <c r="AO80" s="443"/>
      <c r="AP80" s="443"/>
      <c r="AQ80" s="443"/>
      <c r="AR80" s="443"/>
      <c r="AS80" s="443"/>
      <c r="AT80" s="441"/>
      <c r="AU80" s="375"/>
      <c r="AV80" s="375"/>
      <c r="AW80" s="375"/>
      <c r="AX80" s="375"/>
      <c r="AY80" s="375"/>
      <c r="AZ80" s="375"/>
      <c r="BA80" s="375"/>
      <c r="BB80" s="375"/>
      <c r="BC80" s="375"/>
      <c r="BD80" s="375"/>
      <c r="BE80" s="375"/>
      <c r="BF80" s="375"/>
      <c r="BG80" s="375"/>
      <c r="BI80" s="449"/>
      <c r="BJ80" s="449"/>
      <c r="BK80" s="449"/>
      <c r="BL80" s="449"/>
      <c r="BM80" s="449"/>
      <c r="BO80" s="449"/>
      <c r="BP80" s="449"/>
      <c r="BQ80" s="449"/>
      <c r="BR80" s="449"/>
      <c r="BS80" s="449"/>
      <c r="BU80" s="449"/>
      <c r="BV80" s="449"/>
      <c r="BW80" s="449"/>
      <c r="BX80" s="449"/>
      <c r="BY80" s="449"/>
    </row>
    <row r="81" spans="1:80">
      <c r="A81" s="874" t="s">
        <v>63</v>
      </c>
      <c r="B81" s="454" t="s">
        <v>68</v>
      </c>
      <c r="C81" s="455"/>
      <c r="D81" s="456">
        <f t="shared" ref="D81:P82" si="143">D63*1000</f>
        <v>0.18000000000000002</v>
      </c>
      <c r="E81" s="456">
        <f t="shared" si="143"/>
        <v>0.18000000000000002</v>
      </c>
      <c r="F81" s="456">
        <f t="shared" si="143"/>
        <v>0.18000000000000002</v>
      </c>
      <c r="G81" s="456">
        <f t="shared" si="143"/>
        <v>0.18000000000000002</v>
      </c>
      <c r="H81" s="456">
        <f t="shared" si="143"/>
        <v>0.18000000000000002</v>
      </c>
      <c r="I81" s="456">
        <f t="shared" si="143"/>
        <v>0.18000000000000002</v>
      </c>
      <c r="J81" s="456">
        <f t="shared" si="143"/>
        <v>0.18000000000000002</v>
      </c>
      <c r="K81" s="456">
        <f t="shared" si="143"/>
        <v>0.18000000000000002</v>
      </c>
      <c r="L81" s="456">
        <f t="shared" si="143"/>
        <v>0.18000000000000002</v>
      </c>
      <c r="M81" s="456">
        <f t="shared" si="143"/>
        <v>0.18000000000000002</v>
      </c>
      <c r="N81" s="456">
        <f t="shared" si="143"/>
        <v>0.18000000000000002</v>
      </c>
      <c r="O81" s="456">
        <f t="shared" si="143"/>
        <v>0.18000000000000002</v>
      </c>
      <c r="P81" s="456">
        <f t="shared" si="143"/>
        <v>0.18000000000000002</v>
      </c>
      <c r="Q81" s="430"/>
      <c r="R81" s="467" t="e">
        <f t="shared" ref="R81:AD82" si="144">R63*1000</f>
        <v>#DIV/0!</v>
      </c>
      <c r="S81" s="467" t="e">
        <f t="shared" si="144"/>
        <v>#DIV/0!</v>
      </c>
      <c r="T81" s="467" t="e">
        <f t="shared" si="144"/>
        <v>#DIV/0!</v>
      </c>
      <c r="U81" s="467" t="e">
        <f t="shared" si="144"/>
        <v>#DIV/0!</v>
      </c>
      <c r="V81" s="467" t="e">
        <f t="shared" si="144"/>
        <v>#DIV/0!</v>
      </c>
      <c r="W81" s="467" t="e">
        <f t="shared" si="144"/>
        <v>#DIV/0!</v>
      </c>
      <c r="X81" s="467" t="e">
        <f t="shared" si="144"/>
        <v>#DIV/0!</v>
      </c>
      <c r="Y81" s="467" t="e">
        <f t="shared" si="144"/>
        <v>#DIV/0!</v>
      </c>
      <c r="Z81" s="467" t="e">
        <f t="shared" si="144"/>
        <v>#DIV/0!</v>
      </c>
      <c r="AA81" s="467" t="e">
        <f t="shared" si="144"/>
        <v>#DIV/0!</v>
      </c>
      <c r="AB81" s="468" t="e">
        <f t="shared" si="144"/>
        <v>#DIV/0!</v>
      </c>
      <c r="AC81" s="467" t="e">
        <f t="shared" si="144"/>
        <v>#DIV/0!</v>
      </c>
      <c r="AD81" s="467" t="e">
        <f t="shared" si="144"/>
        <v>#DIV/0!</v>
      </c>
      <c r="AE81" s="429"/>
      <c r="AF81" s="430"/>
      <c r="AG81" s="431" t="e">
        <f t="shared" ref="AG81:AP82" si="145">R81-D81</f>
        <v>#DIV/0!</v>
      </c>
      <c r="AH81" s="431" t="e">
        <f t="shared" si="145"/>
        <v>#DIV/0!</v>
      </c>
      <c r="AI81" s="431" t="e">
        <f t="shared" si="145"/>
        <v>#DIV/0!</v>
      </c>
      <c r="AJ81" s="431" t="e">
        <f t="shared" si="145"/>
        <v>#DIV/0!</v>
      </c>
      <c r="AK81" s="431" t="e">
        <f t="shared" si="145"/>
        <v>#DIV/0!</v>
      </c>
      <c r="AL81" s="431" t="e">
        <f t="shared" si="145"/>
        <v>#DIV/0!</v>
      </c>
      <c r="AM81" s="431" t="e">
        <f t="shared" si="145"/>
        <v>#DIV/0!</v>
      </c>
      <c r="AN81" s="431" t="e">
        <f t="shared" si="145"/>
        <v>#DIV/0!</v>
      </c>
      <c r="AO81" s="431" t="e">
        <f t="shared" si="145"/>
        <v>#DIV/0!</v>
      </c>
      <c r="AP81" s="431" t="e">
        <f t="shared" si="145"/>
        <v>#DIV/0!</v>
      </c>
      <c r="AQ81" s="431" t="e">
        <f>AB81-N81</f>
        <v>#DIV/0!</v>
      </c>
      <c r="AR81" s="431" t="e">
        <f t="shared" ref="AR81:AR82" si="146">AC81-O81</f>
        <v>#DIV/0!</v>
      </c>
      <c r="AS81" s="431" t="e">
        <f>AS61/AS96</f>
        <v>#DIV/0!</v>
      </c>
      <c r="AT81" s="430"/>
      <c r="AU81" s="433" t="e">
        <f>R81/D81</f>
        <v>#DIV/0!</v>
      </c>
      <c r="AV81" s="433" t="e">
        <f t="shared" ref="AV81:AZ82" si="147">S81/E81</f>
        <v>#DIV/0!</v>
      </c>
      <c r="AW81" s="433" t="e">
        <f t="shared" si="147"/>
        <v>#DIV/0!</v>
      </c>
      <c r="AX81" s="433" t="e">
        <f t="shared" si="147"/>
        <v>#DIV/0!</v>
      </c>
      <c r="AY81" s="433" t="e">
        <f t="shared" si="147"/>
        <v>#DIV/0!</v>
      </c>
      <c r="AZ81" s="433" t="e">
        <f t="shared" si="147"/>
        <v>#DIV/0!</v>
      </c>
      <c r="BA81" s="433" t="e">
        <f t="shared" ref="BA81:BG82" si="148">(X81-J81)/J81</f>
        <v>#DIV/0!</v>
      </c>
      <c r="BB81" s="433" t="e">
        <f t="shared" si="148"/>
        <v>#DIV/0!</v>
      </c>
      <c r="BC81" s="433" t="e">
        <f t="shared" si="148"/>
        <v>#DIV/0!</v>
      </c>
      <c r="BD81" s="433" t="e">
        <f t="shared" si="148"/>
        <v>#DIV/0!</v>
      </c>
      <c r="BE81" s="433" t="e">
        <f>(AB81-N81)/N81</f>
        <v>#DIV/0!</v>
      </c>
      <c r="BF81" s="433" t="e">
        <f t="shared" si="148"/>
        <v>#DIV/0!</v>
      </c>
      <c r="BG81" s="433" t="e">
        <f t="shared" si="148"/>
        <v>#DIV/0!</v>
      </c>
      <c r="BI81" s="469" t="e">
        <f t="shared" ref="BI81:BM82" si="149">BI63*1000</f>
        <v>#DIV/0!</v>
      </c>
      <c r="BJ81" s="469" t="e">
        <f t="shared" si="149"/>
        <v>#DIV/0!</v>
      </c>
      <c r="BK81" s="469" t="e">
        <f t="shared" si="149"/>
        <v>#DIV/0!</v>
      </c>
      <c r="BL81" s="469" t="e">
        <f t="shared" si="149"/>
        <v>#DIV/0!</v>
      </c>
      <c r="BM81" s="469" t="e">
        <f t="shared" si="149"/>
        <v>#DIV/0!</v>
      </c>
      <c r="BO81" s="458" t="e">
        <f t="shared" ref="BO81:BS82" si="150">BO63*1000</f>
        <v>#DIV/0!</v>
      </c>
      <c r="BP81" s="458" t="e">
        <f t="shared" si="150"/>
        <v>#DIV/0!</v>
      </c>
      <c r="BQ81" s="458" t="e">
        <f t="shared" si="150"/>
        <v>#DIV/0!</v>
      </c>
      <c r="BR81" s="458" t="e">
        <f t="shared" si="150"/>
        <v>#DIV/0!</v>
      </c>
      <c r="BS81" s="458" t="e">
        <f t="shared" si="150"/>
        <v>#DIV/0!</v>
      </c>
      <c r="BU81" s="401" t="e">
        <f t="shared" ref="BU81:BY82" si="151">BO81/BI81</f>
        <v>#DIV/0!</v>
      </c>
      <c r="BV81" s="401" t="e">
        <f t="shared" si="151"/>
        <v>#DIV/0!</v>
      </c>
      <c r="BW81" s="401" t="e">
        <f t="shared" si="151"/>
        <v>#DIV/0!</v>
      </c>
      <c r="BX81" s="401" t="e">
        <f t="shared" si="151"/>
        <v>#DIV/0!</v>
      </c>
      <c r="BY81" s="401" t="e">
        <f t="shared" si="151"/>
        <v>#DIV/0!</v>
      </c>
      <c r="CA81" s="327" t="e">
        <f>U81/G81</f>
        <v>#DIV/0!</v>
      </c>
      <c r="CB81" s="327" t="e">
        <f>V81/H81</f>
        <v>#DIV/0!</v>
      </c>
    </row>
    <row r="82" spans="1:80" ht="15.75" thickBot="1">
      <c r="A82" s="875"/>
      <c r="B82" s="459" t="s">
        <v>69</v>
      </c>
      <c r="C82" s="460"/>
      <c r="D82" s="461">
        <f t="shared" si="143"/>
        <v>0</v>
      </c>
      <c r="E82" s="461">
        <f t="shared" si="143"/>
        <v>0</v>
      </c>
      <c r="F82" s="461">
        <f t="shared" si="143"/>
        <v>0</v>
      </c>
      <c r="G82" s="461">
        <f t="shared" si="143"/>
        <v>0</v>
      </c>
      <c r="H82" s="461">
        <f t="shared" si="143"/>
        <v>0</v>
      </c>
      <c r="I82" s="461">
        <f t="shared" si="143"/>
        <v>0</v>
      </c>
      <c r="J82" s="461">
        <f t="shared" si="143"/>
        <v>0</v>
      </c>
      <c r="K82" s="461">
        <f t="shared" si="143"/>
        <v>0</v>
      </c>
      <c r="L82" s="461">
        <f t="shared" si="143"/>
        <v>0</v>
      </c>
      <c r="M82" s="461">
        <f t="shared" si="143"/>
        <v>0</v>
      </c>
      <c r="N82" s="461">
        <f t="shared" si="143"/>
        <v>0</v>
      </c>
      <c r="O82" s="461">
        <f t="shared" si="143"/>
        <v>0</v>
      </c>
      <c r="P82" s="461" t="e">
        <f t="shared" si="143"/>
        <v>#DIV/0!</v>
      </c>
      <c r="Q82" s="430"/>
      <c r="R82" s="470" t="e">
        <f t="shared" si="144"/>
        <v>#DIV/0!</v>
      </c>
      <c r="S82" s="470" t="e">
        <f t="shared" si="144"/>
        <v>#DIV/0!</v>
      </c>
      <c r="T82" s="470" t="e">
        <f t="shared" si="144"/>
        <v>#DIV/0!</v>
      </c>
      <c r="U82" s="470" t="e">
        <f t="shared" si="144"/>
        <v>#DIV/0!</v>
      </c>
      <c r="V82" s="470" t="e">
        <f t="shared" si="144"/>
        <v>#DIV/0!</v>
      </c>
      <c r="W82" s="470" t="e">
        <f t="shared" si="144"/>
        <v>#DIV/0!</v>
      </c>
      <c r="X82" s="470" t="e">
        <f t="shared" si="144"/>
        <v>#DIV/0!</v>
      </c>
      <c r="Y82" s="470" t="e">
        <f t="shared" si="144"/>
        <v>#DIV/0!</v>
      </c>
      <c r="Z82" s="470" t="e">
        <f t="shared" si="144"/>
        <v>#DIV/0!</v>
      </c>
      <c r="AA82" s="470" t="e">
        <f t="shared" si="144"/>
        <v>#DIV/0!</v>
      </c>
      <c r="AB82" s="471" t="e">
        <f t="shared" si="144"/>
        <v>#DIV/0!</v>
      </c>
      <c r="AC82" s="470" t="e">
        <f t="shared" si="144"/>
        <v>#DIV/0!</v>
      </c>
      <c r="AD82" s="470" t="e">
        <f t="shared" si="144"/>
        <v>#DIV/0!</v>
      </c>
      <c r="AE82" s="429"/>
      <c r="AF82" s="430"/>
      <c r="AG82" s="436" t="e">
        <f t="shared" si="145"/>
        <v>#DIV/0!</v>
      </c>
      <c r="AH82" s="436" t="e">
        <f t="shared" si="145"/>
        <v>#DIV/0!</v>
      </c>
      <c r="AI82" s="436" t="e">
        <f t="shared" si="145"/>
        <v>#DIV/0!</v>
      </c>
      <c r="AJ82" s="436" t="e">
        <f t="shared" si="145"/>
        <v>#DIV/0!</v>
      </c>
      <c r="AK82" s="436" t="e">
        <f t="shared" si="145"/>
        <v>#DIV/0!</v>
      </c>
      <c r="AL82" s="436" t="e">
        <f t="shared" si="145"/>
        <v>#DIV/0!</v>
      </c>
      <c r="AM82" s="436" t="e">
        <f t="shared" si="145"/>
        <v>#DIV/0!</v>
      </c>
      <c r="AN82" s="436" t="e">
        <f t="shared" si="145"/>
        <v>#DIV/0!</v>
      </c>
      <c r="AO82" s="436" t="e">
        <f t="shared" si="145"/>
        <v>#DIV/0!</v>
      </c>
      <c r="AP82" s="436" t="e">
        <f t="shared" si="145"/>
        <v>#DIV/0!</v>
      </c>
      <c r="AQ82" s="436" t="e">
        <f>AB82-N82</f>
        <v>#DIV/0!</v>
      </c>
      <c r="AR82" s="436" t="e">
        <f t="shared" si="146"/>
        <v>#DIV/0!</v>
      </c>
      <c r="AS82" s="436" t="e">
        <f>AS62/AS97</f>
        <v>#DIV/0!</v>
      </c>
      <c r="AT82" s="430"/>
      <c r="AU82" s="376" t="e">
        <f>R82/D82</f>
        <v>#DIV/0!</v>
      </c>
      <c r="AV82" s="376" t="e">
        <f t="shared" si="147"/>
        <v>#DIV/0!</v>
      </c>
      <c r="AW82" s="376" t="e">
        <f t="shared" si="147"/>
        <v>#DIV/0!</v>
      </c>
      <c r="AX82" s="376" t="e">
        <f t="shared" si="147"/>
        <v>#DIV/0!</v>
      </c>
      <c r="AY82" s="376" t="e">
        <f t="shared" si="147"/>
        <v>#DIV/0!</v>
      </c>
      <c r="AZ82" s="376" t="e">
        <f t="shared" si="147"/>
        <v>#DIV/0!</v>
      </c>
      <c r="BA82" s="376" t="e">
        <f t="shared" si="148"/>
        <v>#DIV/0!</v>
      </c>
      <c r="BB82" s="376" t="e">
        <f t="shared" si="148"/>
        <v>#DIV/0!</v>
      </c>
      <c r="BC82" s="376" t="e">
        <f t="shared" si="148"/>
        <v>#DIV/0!</v>
      </c>
      <c r="BD82" s="376" t="e">
        <f t="shared" si="148"/>
        <v>#DIV/0!</v>
      </c>
      <c r="BE82" s="376" t="e">
        <f>(AB82-N82)/N82</f>
        <v>#DIV/0!</v>
      </c>
      <c r="BF82" s="376" t="e">
        <f t="shared" si="148"/>
        <v>#DIV/0!</v>
      </c>
      <c r="BG82" s="376" t="e">
        <f t="shared" si="148"/>
        <v>#DIV/0!</v>
      </c>
      <c r="BI82" s="472" t="e">
        <f t="shared" si="149"/>
        <v>#DIV/0!</v>
      </c>
      <c r="BJ82" s="472" t="e">
        <f t="shared" si="149"/>
        <v>#DIV/0!</v>
      </c>
      <c r="BK82" s="472" t="e">
        <f t="shared" si="149"/>
        <v>#DIV/0!</v>
      </c>
      <c r="BL82" s="472" t="e">
        <f t="shared" si="149"/>
        <v>#DIV/0!</v>
      </c>
      <c r="BM82" s="472" t="e">
        <f t="shared" si="149"/>
        <v>#DIV/0!</v>
      </c>
      <c r="BO82" s="458" t="e">
        <f t="shared" si="150"/>
        <v>#DIV/0!</v>
      </c>
      <c r="BP82" s="458" t="e">
        <f t="shared" si="150"/>
        <v>#DIV/0!</v>
      </c>
      <c r="BQ82" s="458" t="e">
        <f t="shared" si="150"/>
        <v>#DIV/0!</v>
      </c>
      <c r="BR82" s="458" t="e">
        <f t="shared" si="150"/>
        <v>#DIV/0!</v>
      </c>
      <c r="BS82" s="458" t="e">
        <f t="shared" si="150"/>
        <v>#DIV/0!</v>
      </c>
      <c r="BU82" s="353" t="e">
        <f t="shared" si="151"/>
        <v>#DIV/0!</v>
      </c>
      <c r="BV82" s="353" t="e">
        <f t="shared" si="151"/>
        <v>#DIV/0!</v>
      </c>
      <c r="BW82" s="353" t="e">
        <f t="shared" si="151"/>
        <v>#DIV/0!</v>
      </c>
      <c r="BX82" s="353" t="e">
        <f t="shared" si="151"/>
        <v>#DIV/0!</v>
      </c>
      <c r="BY82" s="353" t="e">
        <f t="shared" si="151"/>
        <v>#DIV/0!</v>
      </c>
      <c r="CA82" s="327" t="e">
        <f>U82/G82</f>
        <v>#DIV/0!</v>
      </c>
      <c r="CB82" s="327" t="e">
        <f>V82/H82</f>
        <v>#DIV/0!</v>
      </c>
    </row>
    <row r="83" spans="1:80" ht="15.75" thickTop="1">
      <c r="A83" s="466"/>
      <c r="B83" s="340"/>
      <c r="C83" s="395"/>
      <c r="D83" s="443"/>
      <c r="E83" s="443"/>
      <c r="F83" s="443"/>
      <c r="G83" s="443"/>
      <c r="H83" s="443"/>
      <c r="I83" s="443"/>
      <c r="J83" s="443"/>
      <c r="K83" s="443"/>
      <c r="L83" s="443"/>
      <c r="M83" s="443"/>
      <c r="N83" s="443"/>
      <c r="O83" s="443"/>
      <c r="P83" s="443"/>
      <c r="Q83" s="441"/>
      <c r="R83" s="443"/>
      <c r="S83" s="443"/>
      <c r="T83" s="443"/>
      <c r="U83" s="443"/>
      <c r="V83" s="443"/>
      <c r="W83" s="443"/>
      <c r="X83" s="443"/>
      <c r="Y83" s="443"/>
      <c r="Z83" s="443"/>
      <c r="AA83" s="443"/>
      <c r="AB83" s="448"/>
      <c r="AC83" s="443"/>
      <c r="AD83" s="443"/>
      <c r="AE83" s="443"/>
      <c r="AF83" s="441"/>
      <c r="AG83" s="443"/>
      <c r="AH83" s="443"/>
      <c r="AI83" s="443"/>
      <c r="AJ83" s="443"/>
      <c r="AK83" s="443"/>
      <c r="AL83" s="443"/>
      <c r="AM83" s="443"/>
      <c r="AN83" s="443"/>
      <c r="AO83" s="443"/>
      <c r="AP83" s="443"/>
      <c r="AQ83" s="443"/>
      <c r="AR83" s="443"/>
      <c r="AS83" s="443"/>
      <c r="AT83" s="441"/>
      <c r="AU83" s="375"/>
      <c r="AV83" s="375"/>
      <c r="AW83" s="375"/>
      <c r="AX83" s="375"/>
      <c r="AY83" s="375"/>
      <c r="AZ83" s="375"/>
      <c r="BA83" s="375"/>
      <c r="BB83" s="375"/>
      <c r="BC83" s="375"/>
      <c r="BD83" s="375"/>
      <c r="BE83" s="375"/>
      <c r="BF83" s="375"/>
      <c r="BG83" s="375"/>
      <c r="BI83" s="449"/>
      <c r="BJ83" s="449"/>
      <c r="BK83" s="449"/>
      <c r="BL83" s="449"/>
      <c r="BM83" s="449"/>
      <c r="BO83" s="449"/>
      <c r="BP83" s="449"/>
      <c r="BQ83" s="449"/>
      <c r="BR83" s="449"/>
      <c r="BS83" s="449"/>
      <c r="BU83" s="449"/>
      <c r="BV83" s="449"/>
      <c r="BW83" s="449"/>
      <c r="BX83" s="449"/>
      <c r="BY83" s="449"/>
    </row>
    <row r="84" spans="1:80">
      <c r="A84" s="874" t="s">
        <v>74</v>
      </c>
      <c r="B84" s="454" t="s">
        <v>68</v>
      </c>
      <c r="C84" s="455"/>
      <c r="D84" s="456">
        <f>D67*1000</f>
        <v>0.18000000000000002</v>
      </c>
      <c r="E84" s="456">
        <f t="shared" ref="E84:P85" si="152">E67*1000</f>
        <v>0.18000000000000002</v>
      </c>
      <c r="F84" s="456">
        <f t="shared" si="152"/>
        <v>0.18000000000000002</v>
      </c>
      <c r="G84" s="456">
        <f t="shared" si="152"/>
        <v>0.18000000000000002</v>
      </c>
      <c r="H84" s="456">
        <f t="shared" si="152"/>
        <v>0.18000000000000002</v>
      </c>
      <c r="I84" s="456">
        <f t="shared" si="152"/>
        <v>0.18000000000000002</v>
      </c>
      <c r="J84" s="456">
        <f t="shared" si="152"/>
        <v>0.18000000000000002</v>
      </c>
      <c r="K84" s="456">
        <f t="shared" si="152"/>
        <v>0.18000000000000002</v>
      </c>
      <c r="L84" s="456">
        <f t="shared" si="152"/>
        <v>0.18000000000000002</v>
      </c>
      <c r="M84" s="456">
        <f t="shared" si="152"/>
        <v>0.18000000000000002</v>
      </c>
      <c r="N84" s="456">
        <f t="shared" si="152"/>
        <v>0.18000000000000002</v>
      </c>
      <c r="O84" s="456">
        <f t="shared" si="152"/>
        <v>0.18000000000000002</v>
      </c>
      <c r="P84" s="456">
        <f t="shared" si="152"/>
        <v>0</v>
      </c>
      <c r="Q84" s="430"/>
      <c r="R84" s="467">
        <f t="shared" ref="R84:AD85" si="153">R66*1000</f>
        <v>0</v>
      </c>
      <c r="S84" s="467">
        <f t="shared" si="153"/>
        <v>0</v>
      </c>
      <c r="T84" s="467">
        <f t="shared" si="153"/>
        <v>0</v>
      </c>
      <c r="U84" s="467">
        <f t="shared" si="153"/>
        <v>0</v>
      </c>
      <c r="V84" s="467">
        <f t="shared" si="153"/>
        <v>0</v>
      </c>
      <c r="W84" s="467">
        <f t="shared" si="153"/>
        <v>0</v>
      </c>
      <c r="X84" s="467">
        <f t="shared" si="153"/>
        <v>0</v>
      </c>
      <c r="Y84" s="467">
        <f t="shared" si="153"/>
        <v>0</v>
      </c>
      <c r="Z84" s="467">
        <f t="shared" si="153"/>
        <v>0</v>
      </c>
      <c r="AA84" s="467">
        <f t="shared" si="153"/>
        <v>0</v>
      </c>
      <c r="AB84" s="468">
        <f t="shared" si="153"/>
        <v>0</v>
      </c>
      <c r="AC84" s="467">
        <f t="shared" si="153"/>
        <v>0</v>
      </c>
      <c r="AD84" s="467">
        <f t="shared" si="153"/>
        <v>0</v>
      </c>
      <c r="AE84" s="429"/>
      <c r="AF84" s="430"/>
      <c r="AG84" s="431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0"/>
      <c r="AU84" s="433">
        <f>R84/D84</f>
        <v>0</v>
      </c>
      <c r="AV84" s="433">
        <f t="shared" ref="AV84:AZ85" si="154">S84/E84</f>
        <v>0</v>
      </c>
      <c r="AW84" s="433">
        <f t="shared" si="154"/>
        <v>0</v>
      </c>
      <c r="AX84" s="433">
        <f t="shared" si="154"/>
        <v>0</v>
      </c>
      <c r="AY84" s="433">
        <f t="shared" si="154"/>
        <v>0</v>
      </c>
      <c r="AZ84" s="433">
        <f t="shared" si="154"/>
        <v>0</v>
      </c>
      <c r="BA84" s="433">
        <f t="shared" ref="BA84:BG85" si="155">(X84-J84)/J84</f>
        <v>-1</v>
      </c>
      <c r="BB84" s="433">
        <f t="shared" si="155"/>
        <v>-1</v>
      </c>
      <c r="BC84" s="433">
        <f t="shared" si="155"/>
        <v>-1</v>
      </c>
      <c r="BD84" s="433">
        <f t="shared" si="155"/>
        <v>-1</v>
      </c>
      <c r="BE84" s="433">
        <f>(AB84-N84)/N84</f>
        <v>-1</v>
      </c>
      <c r="BF84" s="433">
        <f t="shared" si="155"/>
        <v>-1</v>
      </c>
      <c r="BG84" s="433" t="e">
        <f t="shared" si="155"/>
        <v>#DIV/0!</v>
      </c>
      <c r="BI84" s="469">
        <f t="shared" ref="BI84:BM85" si="156">BI66*1000</f>
        <v>0</v>
      </c>
      <c r="BJ84" s="469">
        <f t="shared" si="156"/>
        <v>0</v>
      </c>
      <c r="BK84" s="469">
        <f t="shared" si="156"/>
        <v>0</v>
      </c>
      <c r="BL84" s="469">
        <f t="shared" si="156"/>
        <v>0</v>
      </c>
      <c r="BM84" s="469">
        <f t="shared" si="156"/>
        <v>0</v>
      </c>
      <c r="BO84" s="458">
        <f t="shared" ref="BO84:BS85" si="157">BO66*1000</f>
        <v>0</v>
      </c>
      <c r="BP84" s="458">
        <f t="shared" si="157"/>
        <v>0</v>
      </c>
      <c r="BQ84" s="458">
        <f t="shared" si="157"/>
        <v>0</v>
      </c>
      <c r="BR84" s="458">
        <f t="shared" si="157"/>
        <v>0</v>
      </c>
      <c r="BS84" s="458">
        <f t="shared" si="157"/>
        <v>0</v>
      </c>
      <c r="BU84" s="401" t="e">
        <f t="shared" ref="BU84:BY85" si="158">BO84/BI84</f>
        <v>#DIV/0!</v>
      </c>
      <c r="BV84" s="401" t="e">
        <f t="shared" si="158"/>
        <v>#DIV/0!</v>
      </c>
      <c r="BW84" s="401" t="e">
        <f t="shared" si="158"/>
        <v>#DIV/0!</v>
      </c>
      <c r="BX84" s="401" t="e">
        <f t="shared" si="158"/>
        <v>#DIV/0!</v>
      </c>
      <c r="BY84" s="401" t="e">
        <f t="shared" si="158"/>
        <v>#DIV/0!</v>
      </c>
      <c r="CA84" s="327">
        <f>U84/G84</f>
        <v>0</v>
      </c>
      <c r="CB84" s="327">
        <f>V84/H84</f>
        <v>0</v>
      </c>
    </row>
    <row r="85" spans="1:80" ht="15.75" thickBot="1">
      <c r="A85" s="875"/>
      <c r="B85" s="459" t="s">
        <v>69</v>
      </c>
      <c r="C85" s="460"/>
      <c r="D85" s="461">
        <f>D68*1000</f>
        <v>0</v>
      </c>
      <c r="E85" s="461">
        <f t="shared" si="152"/>
        <v>0</v>
      </c>
      <c r="F85" s="461">
        <f t="shared" si="152"/>
        <v>0</v>
      </c>
      <c r="G85" s="461">
        <f t="shared" si="152"/>
        <v>0</v>
      </c>
      <c r="H85" s="461">
        <f t="shared" si="152"/>
        <v>0</v>
      </c>
      <c r="I85" s="461">
        <f t="shared" si="152"/>
        <v>0</v>
      </c>
      <c r="J85" s="461">
        <f t="shared" si="152"/>
        <v>0</v>
      </c>
      <c r="K85" s="461">
        <f t="shared" si="152"/>
        <v>0</v>
      </c>
      <c r="L85" s="461">
        <f t="shared" si="152"/>
        <v>0</v>
      </c>
      <c r="M85" s="461">
        <f t="shared" si="152"/>
        <v>0</v>
      </c>
      <c r="N85" s="461">
        <f t="shared" si="152"/>
        <v>0</v>
      </c>
      <c r="O85" s="461">
        <f t="shared" si="152"/>
        <v>0</v>
      </c>
      <c r="P85" s="461" t="e">
        <f t="shared" si="152"/>
        <v>#DIV/0!</v>
      </c>
      <c r="Q85" s="430"/>
      <c r="R85" s="470" t="e">
        <f t="shared" si="153"/>
        <v>#DIV/0!</v>
      </c>
      <c r="S85" s="470" t="e">
        <f t="shared" si="153"/>
        <v>#DIV/0!</v>
      </c>
      <c r="T85" s="470" t="e">
        <f t="shared" si="153"/>
        <v>#DIV/0!</v>
      </c>
      <c r="U85" s="470" t="e">
        <f t="shared" si="153"/>
        <v>#DIV/0!</v>
      </c>
      <c r="V85" s="470" t="e">
        <f t="shared" si="153"/>
        <v>#DIV/0!</v>
      </c>
      <c r="W85" s="470" t="e">
        <f t="shared" si="153"/>
        <v>#DIV/0!</v>
      </c>
      <c r="X85" s="470" t="e">
        <f t="shared" si="153"/>
        <v>#DIV/0!</v>
      </c>
      <c r="Y85" s="470" t="e">
        <f t="shared" si="153"/>
        <v>#DIV/0!</v>
      </c>
      <c r="Z85" s="470" t="e">
        <f t="shared" si="153"/>
        <v>#DIV/0!</v>
      </c>
      <c r="AA85" s="470" t="e">
        <f t="shared" si="153"/>
        <v>#DIV/0!</v>
      </c>
      <c r="AB85" s="471" t="e">
        <f t="shared" si="153"/>
        <v>#DIV/0!</v>
      </c>
      <c r="AC85" s="470" t="e">
        <f t="shared" si="153"/>
        <v>#DIV/0!</v>
      </c>
      <c r="AD85" s="470" t="e">
        <f t="shared" si="153"/>
        <v>#DIV/0!</v>
      </c>
      <c r="AE85" s="429"/>
      <c r="AF85" s="430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0"/>
      <c r="AU85" s="376" t="e">
        <f>R85/D85</f>
        <v>#DIV/0!</v>
      </c>
      <c r="AV85" s="376" t="e">
        <f t="shared" si="154"/>
        <v>#DIV/0!</v>
      </c>
      <c r="AW85" s="376" t="e">
        <f t="shared" si="154"/>
        <v>#DIV/0!</v>
      </c>
      <c r="AX85" s="376" t="e">
        <f t="shared" si="154"/>
        <v>#DIV/0!</v>
      </c>
      <c r="AY85" s="376" t="e">
        <f t="shared" si="154"/>
        <v>#DIV/0!</v>
      </c>
      <c r="AZ85" s="376" t="e">
        <f t="shared" si="154"/>
        <v>#DIV/0!</v>
      </c>
      <c r="BA85" s="376" t="e">
        <f t="shared" si="155"/>
        <v>#DIV/0!</v>
      </c>
      <c r="BB85" s="376" t="e">
        <f t="shared" si="155"/>
        <v>#DIV/0!</v>
      </c>
      <c r="BC85" s="376" t="e">
        <f t="shared" si="155"/>
        <v>#DIV/0!</v>
      </c>
      <c r="BD85" s="376" t="e">
        <f t="shared" si="155"/>
        <v>#DIV/0!</v>
      </c>
      <c r="BE85" s="376" t="e">
        <f>(AB85-N85)/N85</f>
        <v>#DIV/0!</v>
      </c>
      <c r="BF85" s="376" t="e">
        <f t="shared" si="155"/>
        <v>#DIV/0!</v>
      </c>
      <c r="BG85" s="376" t="e">
        <f t="shared" si="155"/>
        <v>#DIV/0!</v>
      </c>
      <c r="BI85" s="472" t="e">
        <f t="shared" si="156"/>
        <v>#DIV/0!</v>
      </c>
      <c r="BJ85" s="472" t="e">
        <f t="shared" si="156"/>
        <v>#DIV/0!</v>
      </c>
      <c r="BK85" s="472" t="e">
        <f t="shared" si="156"/>
        <v>#DIV/0!</v>
      </c>
      <c r="BL85" s="472" t="e">
        <f t="shared" si="156"/>
        <v>#DIV/0!</v>
      </c>
      <c r="BM85" s="472" t="e">
        <f t="shared" si="156"/>
        <v>#DIV/0!</v>
      </c>
      <c r="BO85" s="458" t="e">
        <f t="shared" si="157"/>
        <v>#DIV/0!</v>
      </c>
      <c r="BP85" s="458" t="e">
        <f t="shared" si="157"/>
        <v>#DIV/0!</v>
      </c>
      <c r="BQ85" s="458" t="e">
        <f t="shared" si="157"/>
        <v>#DIV/0!</v>
      </c>
      <c r="BR85" s="458" t="e">
        <f t="shared" si="157"/>
        <v>#DIV/0!</v>
      </c>
      <c r="BS85" s="458" t="e">
        <f t="shared" si="157"/>
        <v>#DIV/0!</v>
      </c>
      <c r="BU85" s="353" t="e">
        <f t="shared" si="158"/>
        <v>#DIV/0!</v>
      </c>
      <c r="BV85" s="353" t="e">
        <f t="shared" si="158"/>
        <v>#DIV/0!</v>
      </c>
      <c r="BW85" s="353" t="e">
        <f t="shared" si="158"/>
        <v>#DIV/0!</v>
      </c>
      <c r="BX85" s="353" t="e">
        <f t="shared" si="158"/>
        <v>#DIV/0!</v>
      </c>
      <c r="BY85" s="353" t="e">
        <f t="shared" si="158"/>
        <v>#DIV/0!</v>
      </c>
      <c r="CA85" s="327" t="e">
        <f>U85/G85</f>
        <v>#DIV/0!</v>
      </c>
      <c r="CB85" s="327" t="e">
        <f>V85/H85</f>
        <v>#DIV/0!</v>
      </c>
    </row>
    <row r="86" spans="1:80" ht="16.5" thickTop="1">
      <c r="A86" s="466"/>
      <c r="B86" s="374"/>
      <c r="C86" s="341"/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57"/>
      <c r="R86" s="341"/>
      <c r="S86" s="341"/>
      <c r="T86" s="341"/>
      <c r="U86" s="341"/>
      <c r="V86" s="341"/>
      <c r="W86" s="341"/>
      <c r="X86" s="341"/>
      <c r="Y86" s="341"/>
      <c r="Z86" s="341"/>
      <c r="AA86" s="341"/>
      <c r="AB86" s="473"/>
      <c r="AC86" s="341"/>
      <c r="AD86" s="341"/>
      <c r="AE86" s="360"/>
      <c r="AF86" s="361"/>
      <c r="AG86" s="343"/>
      <c r="AH86" s="343"/>
      <c r="AI86" s="343"/>
      <c r="AJ86" s="343"/>
      <c r="AK86" s="343"/>
      <c r="AL86" s="343"/>
      <c r="AM86" s="343"/>
      <c r="AN86" s="343"/>
      <c r="AO86" s="343"/>
      <c r="AP86" s="343"/>
      <c r="AQ86" s="343"/>
      <c r="AR86" s="343"/>
      <c r="AS86" s="343"/>
      <c r="AT86" s="341"/>
      <c r="AU86" s="375"/>
      <c r="AV86" s="375"/>
      <c r="AW86" s="375"/>
      <c r="AX86" s="375"/>
      <c r="AY86" s="375"/>
      <c r="AZ86" s="375"/>
      <c r="BA86" s="375"/>
      <c r="BB86" s="375"/>
      <c r="BC86" s="375"/>
      <c r="BD86" s="375"/>
      <c r="BE86" s="375"/>
      <c r="BF86" s="375"/>
      <c r="BG86" s="375"/>
      <c r="BI86" s="343"/>
      <c r="BJ86" s="343"/>
      <c r="BK86" s="343"/>
      <c r="BL86" s="343"/>
      <c r="BM86" s="343"/>
      <c r="BO86" s="474"/>
      <c r="BP86" s="474"/>
      <c r="BQ86" s="474"/>
      <c r="BR86" s="474"/>
      <c r="BS86" s="474"/>
      <c r="BU86" s="346"/>
      <c r="BV86" s="346"/>
      <c r="BW86" s="346"/>
      <c r="BX86" s="346"/>
      <c r="BY86" s="346"/>
    </row>
    <row r="87" spans="1:80">
      <c r="A87" s="874" t="s">
        <v>59</v>
      </c>
      <c r="B87" s="454" t="s">
        <v>68</v>
      </c>
      <c r="C87" s="455"/>
      <c r="D87" s="456">
        <f t="shared" ref="D87:P88" si="159">D71*1000</f>
        <v>0.18000000000000002</v>
      </c>
      <c r="E87" s="456">
        <f t="shared" si="159"/>
        <v>0.18000000000000002</v>
      </c>
      <c r="F87" s="456">
        <f t="shared" si="159"/>
        <v>0.18000000000000002</v>
      </c>
      <c r="G87" s="456">
        <f t="shared" si="159"/>
        <v>0.18000000000000002</v>
      </c>
      <c r="H87" s="456">
        <f t="shared" si="159"/>
        <v>0.18000000000000002</v>
      </c>
      <c r="I87" s="456">
        <f t="shared" si="159"/>
        <v>0.18000000000000002</v>
      </c>
      <c r="J87" s="456">
        <f t="shared" si="159"/>
        <v>0.18000000000000002</v>
      </c>
      <c r="K87" s="456">
        <f t="shared" si="159"/>
        <v>0.18000000000000002</v>
      </c>
      <c r="L87" s="456">
        <f t="shared" si="159"/>
        <v>0.18000000000000002</v>
      </c>
      <c r="M87" s="456">
        <f t="shared" si="159"/>
        <v>0.18000000000000002</v>
      </c>
      <c r="N87" s="456">
        <f t="shared" si="159"/>
        <v>0.18000000000000002</v>
      </c>
      <c r="O87" s="456">
        <f t="shared" si="159"/>
        <v>0.18000000000000002</v>
      </c>
      <c r="P87" s="456">
        <f t="shared" si="159"/>
        <v>0.18000000000000002</v>
      </c>
      <c r="Q87" s="430"/>
      <c r="R87" s="467">
        <f t="shared" ref="R87:AD88" si="160">R71*1000</f>
        <v>8.5601976179250111E-2</v>
      </c>
      <c r="S87" s="467">
        <f t="shared" si="160"/>
        <v>0.12637235239182101</v>
      </c>
      <c r="T87" s="467">
        <f t="shared" si="160"/>
        <v>0.20927065941663622</v>
      </c>
      <c r="U87" s="467">
        <f t="shared" si="160"/>
        <v>0.23557689813808502</v>
      </c>
      <c r="V87" s="467">
        <f t="shared" si="160"/>
        <v>0.20159841392306649</v>
      </c>
      <c r="W87" s="467">
        <f t="shared" si="160"/>
        <v>0.22287627954893152</v>
      </c>
      <c r="X87" s="467">
        <f t="shared" si="160"/>
        <v>0.36126163662437433</v>
      </c>
      <c r="Y87" s="467">
        <f t="shared" si="160"/>
        <v>0.34538024478652601</v>
      </c>
      <c r="Z87" s="467">
        <f t="shared" si="160"/>
        <v>0.4901000157548252</v>
      </c>
      <c r="AA87" s="467" t="e">
        <f t="shared" si="160"/>
        <v>#DIV/0!</v>
      </c>
      <c r="AB87" s="468" t="e">
        <f t="shared" si="160"/>
        <v>#DIV/0!</v>
      </c>
      <c r="AC87" s="467" t="e">
        <f t="shared" si="160"/>
        <v>#DIV/0!</v>
      </c>
      <c r="AD87" s="467">
        <f t="shared" si="160"/>
        <v>0.36096186634476718</v>
      </c>
      <c r="AE87" s="429"/>
      <c r="AF87" s="430"/>
      <c r="AG87" s="431">
        <f t="shared" ref="AG87:AR88" si="161">R87-D87</f>
        <v>-9.439802382074991E-2</v>
      </c>
      <c r="AH87" s="431">
        <f t="shared" si="161"/>
        <v>-5.3627647608179008E-2</v>
      </c>
      <c r="AI87" s="431">
        <f t="shared" si="161"/>
        <v>2.9270659416636202E-2</v>
      </c>
      <c r="AJ87" s="431">
        <f t="shared" si="161"/>
        <v>5.5576898138085001E-2</v>
      </c>
      <c r="AK87" s="431">
        <f t="shared" si="161"/>
        <v>2.1598413923066467E-2</v>
      </c>
      <c r="AL87" s="431">
        <f t="shared" si="161"/>
        <v>4.2876279548931501E-2</v>
      </c>
      <c r="AM87" s="431">
        <f t="shared" si="161"/>
        <v>0.18126163662437431</v>
      </c>
      <c r="AN87" s="431">
        <f t="shared" si="161"/>
        <v>0.16538024478652599</v>
      </c>
      <c r="AO87" s="431">
        <f t="shared" si="161"/>
        <v>0.31010001575482515</v>
      </c>
      <c r="AP87" s="431" t="e">
        <f t="shared" si="161"/>
        <v>#DIV/0!</v>
      </c>
      <c r="AQ87" s="431" t="e">
        <f>AB87-N87</f>
        <v>#DIV/0!</v>
      </c>
      <c r="AR87" s="431" t="e">
        <f t="shared" si="161"/>
        <v>#DIV/0!</v>
      </c>
      <c r="AS87" s="431" t="e">
        <f>SUM(AG87:AR87)</f>
        <v>#DIV/0!</v>
      </c>
      <c r="AT87" s="430"/>
      <c r="AU87" s="433">
        <f>R87/D87</f>
        <v>0.47556653432916723</v>
      </c>
      <c r="AV87" s="433">
        <f t="shared" ref="AV87:AZ88" si="162">S87/E87</f>
        <v>0.70206862439900553</v>
      </c>
      <c r="AW87" s="433">
        <f t="shared" si="162"/>
        <v>1.1626147745368678</v>
      </c>
      <c r="AX87" s="433">
        <f t="shared" si="162"/>
        <v>1.3087605452115834</v>
      </c>
      <c r="AY87" s="433">
        <f t="shared" si="162"/>
        <v>1.1199911884614804</v>
      </c>
      <c r="AZ87" s="433">
        <f t="shared" si="162"/>
        <v>1.2382015530496193</v>
      </c>
      <c r="BA87" s="433">
        <f t="shared" ref="BA87:BG88" si="163">(X87-J87)/J87</f>
        <v>1.0070090923576349</v>
      </c>
      <c r="BB87" s="433">
        <f t="shared" si="163"/>
        <v>0.91877913770292208</v>
      </c>
      <c r="BC87" s="433">
        <f t="shared" si="163"/>
        <v>1.722777865304584</v>
      </c>
      <c r="BD87" s="433" t="e">
        <f t="shared" si="163"/>
        <v>#DIV/0!</v>
      </c>
      <c r="BE87" s="433" t="e">
        <f>(AB87-N87)/N87</f>
        <v>#DIV/0!</v>
      </c>
      <c r="BF87" s="433" t="e">
        <f t="shared" si="163"/>
        <v>#DIV/0!</v>
      </c>
      <c r="BG87" s="433">
        <f t="shared" si="163"/>
        <v>1.005343701915373</v>
      </c>
      <c r="BI87" s="469">
        <f t="shared" ref="BI87:BM88" si="164">BI71*1000</f>
        <v>0.18000000000000005</v>
      </c>
      <c r="BJ87" s="469">
        <f t="shared" si="164"/>
        <v>0.18000000000000002</v>
      </c>
      <c r="BK87" s="469">
        <f t="shared" si="164"/>
        <v>0.18</v>
      </c>
      <c r="BL87" s="469">
        <f t="shared" si="164"/>
        <v>0.18000000000000002</v>
      </c>
      <c r="BM87" s="469">
        <f t="shared" si="164"/>
        <v>0.18</v>
      </c>
      <c r="BO87" s="458">
        <f t="shared" ref="BO87:BS88" si="165">BO71*1000</f>
        <v>0.14890240096863519</v>
      </c>
      <c r="BP87" s="458">
        <f t="shared" si="165"/>
        <v>0.21933388843459461</v>
      </c>
      <c r="BQ87" s="458">
        <f t="shared" si="165"/>
        <v>0.41857767933328849</v>
      </c>
      <c r="BR87" s="458" t="e">
        <f t="shared" si="165"/>
        <v>#DIV/0!</v>
      </c>
      <c r="BS87" s="458">
        <f t="shared" si="165"/>
        <v>0.36096186634476718</v>
      </c>
      <c r="BU87" s="401">
        <f t="shared" ref="BU87:BY88" si="166">BO87/BI87</f>
        <v>0.8272355609368619</v>
      </c>
      <c r="BV87" s="401">
        <f t="shared" si="166"/>
        <v>1.2185216024144143</v>
      </c>
      <c r="BW87" s="401">
        <f t="shared" si="166"/>
        <v>2.3254315518516027</v>
      </c>
      <c r="BX87" s="401" t="e">
        <f t="shared" si="166"/>
        <v>#DIV/0!</v>
      </c>
      <c r="BY87" s="401">
        <f t="shared" si="166"/>
        <v>2.0053437019153733</v>
      </c>
      <c r="CA87" s="327">
        <f>U87/G87</f>
        <v>1.3087605452115834</v>
      </c>
      <c r="CB87" s="327">
        <f>V87/H87</f>
        <v>1.1199911884614804</v>
      </c>
    </row>
    <row r="88" spans="1:80" ht="15.75" thickBot="1">
      <c r="A88" s="875"/>
      <c r="B88" s="459" t="s">
        <v>69</v>
      </c>
      <c r="C88" s="460"/>
      <c r="D88" s="461">
        <f t="shared" si="159"/>
        <v>0</v>
      </c>
      <c r="E88" s="461">
        <f t="shared" si="159"/>
        <v>0</v>
      </c>
      <c r="F88" s="461">
        <f t="shared" si="159"/>
        <v>0</v>
      </c>
      <c r="G88" s="461">
        <f t="shared" si="159"/>
        <v>0</v>
      </c>
      <c r="H88" s="461">
        <f t="shared" si="159"/>
        <v>0</v>
      </c>
      <c r="I88" s="461">
        <f t="shared" si="159"/>
        <v>0</v>
      </c>
      <c r="J88" s="461">
        <f t="shared" si="159"/>
        <v>0</v>
      </c>
      <c r="K88" s="461">
        <f t="shared" si="159"/>
        <v>0</v>
      </c>
      <c r="L88" s="461">
        <f t="shared" si="159"/>
        <v>0</v>
      </c>
      <c r="M88" s="461">
        <f t="shared" si="159"/>
        <v>0</v>
      </c>
      <c r="N88" s="461">
        <f t="shared" si="159"/>
        <v>0</v>
      </c>
      <c r="O88" s="461">
        <f t="shared" si="159"/>
        <v>0</v>
      </c>
      <c r="P88" s="461" t="e">
        <f t="shared" si="159"/>
        <v>#DIV/0!</v>
      </c>
      <c r="Q88" s="430"/>
      <c r="R88" s="470">
        <f t="shared" si="160"/>
        <v>0.12298758280020135</v>
      </c>
      <c r="S88" s="470">
        <f t="shared" si="160"/>
        <v>0.20379758818707155</v>
      </c>
      <c r="T88" s="470">
        <f t="shared" si="160"/>
        <v>0.18242921587740576</v>
      </c>
      <c r="U88" s="470">
        <f t="shared" si="160"/>
        <v>0.14840231154924796</v>
      </c>
      <c r="V88" s="470">
        <f t="shared" si="160"/>
        <v>0.17360771879339087</v>
      </c>
      <c r="W88" s="470">
        <f t="shared" si="160"/>
        <v>0.20783813935580384</v>
      </c>
      <c r="X88" s="470">
        <f t="shared" si="160"/>
        <v>0.35024922835518685</v>
      </c>
      <c r="Y88" s="470">
        <f t="shared" si="160"/>
        <v>0.47749384603266026</v>
      </c>
      <c r="Z88" s="470">
        <f t="shared" si="160"/>
        <v>0.84686205311945206</v>
      </c>
      <c r="AA88" s="470" t="e">
        <f t="shared" si="160"/>
        <v>#DIV/0!</v>
      </c>
      <c r="AB88" s="471" t="e">
        <f t="shared" si="160"/>
        <v>#DIV/0!</v>
      </c>
      <c r="AC88" s="470" t="e">
        <f t="shared" si="160"/>
        <v>#DIV/0!</v>
      </c>
      <c r="AD88" s="470">
        <f t="shared" si="160"/>
        <v>0.47609200765121817</v>
      </c>
      <c r="AE88" s="429"/>
      <c r="AF88" s="430"/>
      <c r="AG88" s="436">
        <f t="shared" si="161"/>
        <v>0.12298758280020135</v>
      </c>
      <c r="AH88" s="436">
        <f t="shared" si="161"/>
        <v>0.20379758818707155</v>
      </c>
      <c r="AI88" s="436">
        <f t="shared" si="161"/>
        <v>0.18242921587740576</v>
      </c>
      <c r="AJ88" s="436">
        <f t="shared" si="161"/>
        <v>0.14840231154924796</v>
      </c>
      <c r="AK88" s="436">
        <f t="shared" si="161"/>
        <v>0.17360771879339087</v>
      </c>
      <c r="AL88" s="436">
        <f t="shared" si="161"/>
        <v>0.20783813935580384</v>
      </c>
      <c r="AM88" s="436">
        <f t="shared" si="161"/>
        <v>0.35024922835518685</v>
      </c>
      <c r="AN88" s="436">
        <f t="shared" si="161"/>
        <v>0.47749384603266026</v>
      </c>
      <c r="AO88" s="436">
        <f t="shared" si="161"/>
        <v>0.84686205311945206</v>
      </c>
      <c r="AP88" s="436" t="e">
        <f t="shared" si="161"/>
        <v>#DIV/0!</v>
      </c>
      <c r="AQ88" s="436" t="e">
        <f>AB88-N88</f>
        <v>#DIV/0!</v>
      </c>
      <c r="AR88" s="436" t="e">
        <f t="shared" si="161"/>
        <v>#DIV/0!</v>
      </c>
      <c r="AS88" s="436" t="e">
        <f>SUM(AG88:AR88)</f>
        <v>#DIV/0!</v>
      </c>
      <c r="AT88" s="430"/>
      <c r="AU88" s="376" t="e">
        <f>R88/D88</f>
        <v>#DIV/0!</v>
      </c>
      <c r="AV88" s="376" t="e">
        <f t="shared" si="162"/>
        <v>#DIV/0!</v>
      </c>
      <c r="AW88" s="376" t="e">
        <f t="shared" si="162"/>
        <v>#DIV/0!</v>
      </c>
      <c r="AX88" s="376" t="e">
        <f t="shared" si="162"/>
        <v>#DIV/0!</v>
      </c>
      <c r="AY88" s="376" t="e">
        <f t="shared" si="162"/>
        <v>#DIV/0!</v>
      </c>
      <c r="AZ88" s="376" t="e">
        <f t="shared" si="162"/>
        <v>#DIV/0!</v>
      </c>
      <c r="BA88" s="376" t="e">
        <f t="shared" si="163"/>
        <v>#DIV/0!</v>
      </c>
      <c r="BB88" s="376" t="e">
        <f t="shared" si="163"/>
        <v>#DIV/0!</v>
      </c>
      <c r="BC88" s="376" t="e">
        <f t="shared" si="163"/>
        <v>#DIV/0!</v>
      </c>
      <c r="BD88" s="376" t="e">
        <f t="shared" si="163"/>
        <v>#DIV/0!</v>
      </c>
      <c r="BE88" s="376" t="e">
        <f>(AB88-N88)/N88</f>
        <v>#DIV/0!</v>
      </c>
      <c r="BF88" s="376" t="e">
        <f t="shared" si="163"/>
        <v>#DIV/0!</v>
      </c>
      <c r="BG88" s="376" t="e">
        <f t="shared" si="163"/>
        <v>#DIV/0!</v>
      </c>
      <c r="BI88" s="472" t="e">
        <f t="shared" si="164"/>
        <v>#DIV/0!</v>
      </c>
      <c r="BJ88" s="472" t="e">
        <f t="shared" si="164"/>
        <v>#DIV/0!</v>
      </c>
      <c r="BK88" s="472" t="e">
        <f t="shared" si="164"/>
        <v>#DIV/0!</v>
      </c>
      <c r="BL88" s="472" t="e">
        <f t="shared" si="164"/>
        <v>#DIV/0!</v>
      </c>
      <c r="BM88" s="472" t="e">
        <f t="shared" si="164"/>
        <v>#DIV/0!</v>
      </c>
      <c r="BO88" s="458">
        <f t="shared" si="165"/>
        <v>0.16919011666265102</v>
      </c>
      <c r="BP88" s="458">
        <f t="shared" si="165"/>
        <v>0.18269831537492956</v>
      </c>
      <c r="BQ88" s="458">
        <f t="shared" si="165"/>
        <v>0.63072509051903325</v>
      </c>
      <c r="BR88" s="458" t="e">
        <f t="shared" si="165"/>
        <v>#DIV/0!</v>
      </c>
      <c r="BS88" s="458">
        <f t="shared" si="165"/>
        <v>0.47609200765121817</v>
      </c>
      <c r="BU88" s="353" t="e">
        <f t="shared" si="166"/>
        <v>#DIV/0!</v>
      </c>
      <c r="BV88" s="353" t="e">
        <f t="shared" si="166"/>
        <v>#DIV/0!</v>
      </c>
      <c r="BW88" s="353" t="e">
        <f t="shared" si="166"/>
        <v>#DIV/0!</v>
      </c>
      <c r="BX88" s="353" t="e">
        <f t="shared" si="166"/>
        <v>#DIV/0!</v>
      </c>
      <c r="BY88" s="353" t="e">
        <f t="shared" si="166"/>
        <v>#DIV/0!</v>
      </c>
      <c r="CA88" s="327" t="e">
        <f>U88/G88</f>
        <v>#DIV/0!</v>
      </c>
      <c r="CB88" s="327" t="e">
        <f>V88/H88</f>
        <v>#DIV/0!</v>
      </c>
    </row>
    <row r="89" spans="1:80" ht="15.75" thickTop="1">
      <c r="A89" s="475"/>
      <c r="B89" s="374"/>
      <c r="C89" s="395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30"/>
      <c r="R89" s="476"/>
      <c r="S89" s="476"/>
      <c r="T89" s="476"/>
      <c r="U89" s="476"/>
      <c r="V89" s="476"/>
      <c r="W89" s="476"/>
      <c r="X89" s="476"/>
      <c r="Y89" s="476"/>
      <c r="Z89" s="476"/>
      <c r="AA89" s="476"/>
      <c r="AB89" s="477"/>
      <c r="AC89" s="476"/>
      <c r="AD89" s="476"/>
      <c r="AE89" s="429"/>
      <c r="AF89" s="430"/>
      <c r="AG89" s="429"/>
      <c r="AH89" s="429"/>
      <c r="AI89" s="429"/>
      <c r="AJ89" s="429"/>
      <c r="AK89" s="429"/>
      <c r="AL89" s="429"/>
      <c r="AM89" s="429"/>
      <c r="AN89" s="429"/>
      <c r="AO89" s="429"/>
      <c r="AP89" s="429"/>
      <c r="AQ89" s="429"/>
      <c r="AR89" s="429"/>
      <c r="AS89" s="429"/>
      <c r="AT89" s="430"/>
      <c r="AU89" s="376"/>
      <c r="AV89" s="376"/>
      <c r="AW89" s="376"/>
      <c r="AX89" s="376"/>
      <c r="AY89" s="376"/>
      <c r="AZ89" s="376"/>
      <c r="BA89" s="376"/>
      <c r="BB89" s="376"/>
      <c r="BI89" s="458"/>
      <c r="BJ89" s="458"/>
      <c r="BK89" s="458"/>
      <c r="BL89" s="458"/>
      <c r="BM89" s="434"/>
      <c r="BO89" s="458"/>
      <c r="BP89" s="458"/>
      <c r="BQ89" s="458"/>
      <c r="BR89" s="458"/>
      <c r="BS89" s="458"/>
      <c r="BU89" s="318"/>
      <c r="BV89" s="318"/>
      <c r="BW89" s="318"/>
      <c r="BX89" s="318"/>
    </row>
    <row r="90" spans="1:80" ht="15.75">
      <c r="A90" s="326" t="s">
        <v>65</v>
      </c>
      <c r="B90" s="395"/>
      <c r="R90" s="319"/>
      <c r="S90" s="319"/>
      <c r="T90" s="319"/>
      <c r="U90" s="319"/>
      <c r="V90" s="319"/>
      <c r="W90" s="319"/>
      <c r="X90" s="319"/>
      <c r="Y90" s="319"/>
      <c r="Z90" s="319"/>
      <c r="AA90" s="319"/>
      <c r="AB90" s="478"/>
      <c r="AC90" s="319"/>
      <c r="AD90" s="319"/>
      <c r="BY90" s="325"/>
    </row>
    <row r="91" spans="1:80">
      <c r="A91" s="874" t="s">
        <v>54</v>
      </c>
      <c r="B91" s="454" t="s">
        <v>68</v>
      </c>
      <c r="C91" s="455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80"/>
      <c r="R91" s="481">
        <f t="shared" ref="R91:AA91" si="167">R5/R7</f>
        <v>0.36786210731164859</v>
      </c>
      <c r="S91" s="481">
        <f t="shared" si="167"/>
        <v>0.43298924915406689</v>
      </c>
      <c r="T91" s="481">
        <f t="shared" si="167"/>
        <v>0.1425282544997907</v>
      </c>
      <c r="U91" s="481">
        <f t="shared" si="167"/>
        <v>3.4841725090291056E-2</v>
      </c>
      <c r="V91" s="481">
        <f t="shared" si="167"/>
        <v>4.2243862295981344E-2</v>
      </c>
      <c r="W91" s="481">
        <f t="shared" si="167"/>
        <v>0.13582707343246972</v>
      </c>
      <c r="X91" s="481">
        <f t="shared" si="167"/>
        <v>6.3658956222519589E-2</v>
      </c>
      <c r="Y91" s="481">
        <f t="shared" si="167"/>
        <v>0.96339633802059532</v>
      </c>
      <c r="Z91" s="481">
        <f t="shared" si="167"/>
        <v>0.96367234029754345</v>
      </c>
      <c r="AA91" s="481" t="e">
        <f t="shared" si="167"/>
        <v>#DIV/0!</v>
      </c>
      <c r="AB91" s="482" t="e">
        <f>AB5/AB7</f>
        <v>#DIV/0!</v>
      </c>
      <c r="AC91" s="481"/>
      <c r="AD91" s="481">
        <f>AD5/AD7</f>
        <v>0.95448127834199081</v>
      </c>
      <c r="AE91" s="483"/>
      <c r="AF91" s="480"/>
      <c r="AG91" s="484">
        <f t="shared" ref="AG91:AR92" si="168">R91-D91</f>
        <v>0.36786210731164859</v>
      </c>
      <c r="AH91" s="484">
        <f t="shared" si="168"/>
        <v>0.43298924915406689</v>
      </c>
      <c r="AI91" s="484">
        <f t="shared" si="168"/>
        <v>0.1425282544997907</v>
      </c>
      <c r="AJ91" s="484">
        <f t="shared" si="168"/>
        <v>3.4841725090291056E-2</v>
      </c>
      <c r="AK91" s="484">
        <f t="shared" si="168"/>
        <v>4.2243862295981344E-2</v>
      </c>
      <c r="AL91" s="484">
        <f t="shared" si="168"/>
        <v>0.13582707343246972</v>
      </c>
      <c r="AM91" s="484">
        <f t="shared" si="168"/>
        <v>6.3658956222519589E-2</v>
      </c>
      <c r="AN91" s="484">
        <f t="shared" si="168"/>
        <v>0.96339633802059532</v>
      </c>
      <c r="AO91" s="484">
        <f t="shared" si="168"/>
        <v>0.96367234029754345</v>
      </c>
      <c r="AP91" s="484" t="e">
        <f t="shared" si="168"/>
        <v>#DIV/0!</v>
      </c>
      <c r="AQ91" s="484" t="e">
        <f>AB91-N91</f>
        <v>#DIV/0!</v>
      </c>
      <c r="AR91" s="484">
        <f t="shared" si="168"/>
        <v>0</v>
      </c>
      <c r="AS91" s="484">
        <f>AS5/AS7</f>
        <v>0.94960678527788578</v>
      </c>
      <c r="AT91" s="480"/>
      <c r="AU91" s="485"/>
      <c r="AV91" s="485"/>
      <c r="AW91" s="485"/>
      <c r="AX91" s="485"/>
      <c r="AY91" s="485"/>
      <c r="AZ91" s="485"/>
      <c r="BA91" s="485"/>
      <c r="BB91" s="485"/>
      <c r="BI91" s="401">
        <f>BI5/BI7</f>
        <v>1</v>
      </c>
      <c r="BJ91" s="401">
        <f>BJ5/BJ7</f>
        <v>1</v>
      </c>
      <c r="BK91" s="401">
        <f>BK5/BK7</f>
        <v>1</v>
      </c>
      <c r="BL91" s="401">
        <f>BL5/BL7</f>
        <v>1</v>
      </c>
      <c r="BM91" s="401">
        <f>BM5/BM7</f>
        <v>1</v>
      </c>
      <c r="BO91" s="486">
        <f>BO5/BO7</f>
        <v>0.33715373836812418</v>
      </c>
      <c r="BP91" s="486">
        <f>BP5/BP7</f>
        <v>6.5524367143103154E-2</v>
      </c>
      <c r="BQ91" s="401">
        <f>BQ5/BQ7</f>
        <v>0.96292600813052931</v>
      </c>
      <c r="BR91" s="401" t="e">
        <f>BR5/BR7</f>
        <v>#DIV/0!</v>
      </c>
      <c r="BS91" s="401">
        <f>BS5/BS7</f>
        <v>0.95448127834199081</v>
      </c>
      <c r="BU91" s="401"/>
      <c r="BV91" s="401"/>
      <c r="BW91" s="401"/>
      <c r="BX91" s="401"/>
      <c r="BY91" s="401"/>
    </row>
    <row r="92" spans="1:80" ht="15.75" thickBot="1">
      <c r="A92" s="875"/>
      <c r="B92" s="487" t="s">
        <v>69</v>
      </c>
      <c r="C92" s="488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0"/>
      <c r="R92" s="490">
        <f t="shared" ref="R92:AA92" si="169">R6/R7</f>
        <v>0.63213789268835141</v>
      </c>
      <c r="S92" s="490">
        <f t="shared" si="169"/>
        <v>0.56701075084593311</v>
      </c>
      <c r="T92" s="490">
        <f t="shared" si="169"/>
        <v>0.85747174550020933</v>
      </c>
      <c r="U92" s="490">
        <f t="shared" si="169"/>
        <v>0.96515827490970896</v>
      </c>
      <c r="V92" s="490">
        <f t="shared" si="169"/>
        <v>0.95775613770401868</v>
      </c>
      <c r="W92" s="490">
        <f t="shared" si="169"/>
        <v>0.86417292656753031</v>
      </c>
      <c r="X92" s="490">
        <f t="shared" si="169"/>
        <v>0.9363410437774804</v>
      </c>
      <c r="Y92" s="490">
        <f t="shared" si="169"/>
        <v>3.6603661979404727E-2</v>
      </c>
      <c r="Z92" s="490">
        <f t="shared" si="169"/>
        <v>3.6327659702456577E-2</v>
      </c>
      <c r="AA92" s="490" t="e">
        <f t="shared" si="169"/>
        <v>#DIV/0!</v>
      </c>
      <c r="AB92" s="491" t="e">
        <f>AB6/AB7</f>
        <v>#DIV/0!</v>
      </c>
      <c r="AC92" s="490"/>
      <c r="AD92" s="490">
        <f>AD6/AD7</f>
        <v>4.5518721658009208E-2</v>
      </c>
      <c r="AE92" s="483"/>
      <c r="AF92" s="480"/>
      <c r="AG92" s="492">
        <f t="shared" si="168"/>
        <v>0.63213789268835141</v>
      </c>
      <c r="AH92" s="492">
        <f t="shared" si="168"/>
        <v>0.56701075084593311</v>
      </c>
      <c r="AI92" s="492">
        <f t="shared" si="168"/>
        <v>0.85747174550020933</v>
      </c>
      <c r="AJ92" s="492">
        <f t="shared" si="168"/>
        <v>0.96515827490970896</v>
      </c>
      <c r="AK92" s="492">
        <f t="shared" si="168"/>
        <v>0.95775613770401868</v>
      </c>
      <c r="AL92" s="492">
        <f t="shared" si="168"/>
        <v>0.86417292656753031</v>
      </c>
      <c r="AM92" s="492">
        <f t="shared" si="168"/>
        <v>0.9363410437774804</v>
      </c>
      <c r="AN92" s="492">
        <f t="shared" si="168"/>
        <v>3.6603661979404727E-2</v>
      </c>
      <c r="AO92" s="492">
        <f t="shared" si="168"/>
        <v>3.6327659702456577E-2</v>
      </c>
      <c r="AP92" s="492" t="e">
        <f t="shared" si="168"/>
        <v>#DIV/0!</v>
      </c>
      <c r="AQ92" s="492" t="e">
        <f>AB92-N92</f>
        <v>#DIV/0!</v>
      </c>
      <c r="AR92" s="492">
        <f t="shared" si="168"/>
        <v>0</v>
      </c>
      <c r="AS92" s="492">
        <f>AS6/AS7</f>
        <v>5.0393214722114242E-2</v>
      </c>
      <c r="AT92" s="480"/>
      <c r="AU92" s="493"/>
      <c r="AV92" s="493"/>
      <c r="AW92" s="493"/>
      <c r="AX92" s="493"/>
      <c r="AY92" s="493"/>
      <c r="AZ92" s="493"/>
      <c r="BA92" s="493"/>
      <c r="BB92" s="493"/>
      <c r="BI92" s="353">
        <f>BI6/BI7</f>
        <v>0</v>
      </c>
      <c r="BJ92" s="353">
        <f>BJ6/BJ7</f>
        <v>0</v>
      </c>
      <c r="BK92" s="353">
        <f>BK6/BK7</f>
        <v>0</v>
      </c>
      <c r="BL92" s="353">
        <f>BL6/BL7</f>
        <v>0</v>
      </c>
      <c r="BM92" s="353">
        <f>BM6/BM7</f>
        <v>0</v>
      </c>
      <c r="BO92" s="494">
        <f>BO6/BO7</f>
        <v>0.66284626163187588</v>
      </c>
      <c r="BP92" s="494">
        <f>BP6/BP7</f>
        <v>0.93447563285689683</v>
      </c>
      <c r="BQ92" s="353">
        <f>BQ6/BQ7</f>
        <v>3.7073991869470663E-2</v>
      </c>
      <c r="BR92" s="353" t="e">
        <f>BR6/BR7</f>
        <v>#DIV/0!</v>
      </c>
      <c r="BS92" s="353">
        <f>BS6/BS7</f>
        <v>4.5518721658009208E-2</v>
      </c>
      <c r="BU92" s="353"/>
      <c r="BV92" s="353"/>
      <c r="BW92" s="353"/>
      <c r="BX92" s="353"/>
      <c r="BY92" s="353"/>
    </row>
    <row r="93" spans="1:80" ht="15.75" thickTop="1">
      <c r="A93" s="495"/>
      <c r="B93" s="368"/>
      <c r="C93" s="371"/>
      <c r="X93" s="318"/>
      <c r="AU93" s="376"/>
      <c r="AV93" s="376"/>
      <c r="AW93" s="376"/>
      <c r="AX93" s="376"/>
      <c r="AY93" s="376"/>
      <c r="AZ93" s="376"/>
      <c r="BA93" s="376"/>
      <c r="BB93" s="376"/>
      <c r="BO93" s="496"/>
      <c r="BP93" s="496"/>
      <c r="BY93" s="325"/>
    </row>
    <row r="94" spans="1:80">
      <c r="A94" s="874" t="s">
        <v>62</v>
      </c>
      <c r="B94" s="454" t="s">
        <v>68</v>
      </c>
      <c r="C94" s="455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80"/>
      <c r="R94" s="479" t="e">
        <f t="shared" ref="R94:AB94" si="170">R13/R15</f>
        <v>#DIV/0!</v>
      </c>
      <c r="S94" s="479" t="e">
        <f t="shared" si="170"/>
        <v>#DIV/0!</v>
      </c>
      <c r="T94" s="479" t="e">
        <f t="shared" si="170"/>
        <v>#DIV/0!</v>
      </c>
      <c r="U94" s="479" t="e">
        <f t="shared" si="170"/>
        <v>#DIV/0!</v>
      </c>
      <c r="V94" s="479" t="e">
        <f t="shared" si="170"/>
        <v>#DIV/0!</v>
      </c>
      <c r="W94" s="479" t="e">
        <f t="shared" si="170"/>
        <v>#DIV/0!</v>
      </c>
      <c r="X94" s="479" t="e">
        <f t="shared" si="170"/>
        <v>#DIV/0!</v>
      </c>
      <c r="Y94" s="479" t="e">
        <f t="shared" si="170"/>
        <v>#DIV/0!</v>
      </c>
      <c r="Z94" s="479" t="e">
        <f t="shared" si="170"/>
        <v>#DIV/0!</v>
      </c>
      <c r="AA94" s="479" t="e">
        <f t="shared" si="170"/>
        <v>#DIV/0!</v>
      </c>
      <c r="AB94" s="497" t="e">
        <f t="shared" si="170"/>
        <v>#DIV/0!</v>
      </c>
      <c r="AC94" s="479"/>
      <c r="AD94" s="479" t="e">
        <f>AD13/AD15</f>
        <v>#DIV/0!</v>
      </c>
      <c r="AE94" s="483"/>
      <c r="AF94" s="480"/>
      <c r="AG94" s="483" t="e">
        <f t="shared" ref="AG94:AR95" si="171">R94-D94</f>
        <v>#DIV/0!</v>
      </c>
      <c r="AH94" s="483" t="e">
        <f t="shared" si="171"/>
        <v>#DIV/0!</v>
      </c>
      <c r="AI94" s="483" t="e">
        <f t="shared" si="171"/>
        <v>#DIV/0!</v>
      </c>
      <c r="AJ94" s="483" t="e">
        <f t="shared" si="171"/>
        <v>#DIV/0!</v>
      </c>
      <c r="AK94" s="483" t="e">
        <f t="shared" si="171"/>
        <v>#DIV/0!</v>
      </c>
      <c r="AL94" s="483" t="e">
        <f t="shared" si="171"/>
        <v>#DIV/0!</v>
      </c>
      <c r="AM94" s="483" t="e">
        <f t="shared" si="171"/>
        <v>#DIV/0!</v>
      </c>
      <c r="AN94" s="483" t="e">
        <f t="shared" si="171"/>
        <v>#DIV/0!</v>
      </c>
      <c r="AO94" s="483" t="e">
        <f t="shared" si="171"/>
        <v>#DIV/0!</v>
      </c>
      <c r="AP94" s="483" t="e">
        <f t="shared" si="171"/>
        <v>#DIV/0!</v>
      </c>
      <c r="AQ94" s="483" t="e">
        <f>AB94-N94</f>
        <v>#DIV/0!</v>
      </c>
      <c r="AR94" s="483">
        <f t="shared" si="171"/>
        <v>0</v>
      </c>
      <c r="AS94" s="483" t="e">
        <f>AS13/AS15</f>
        <v>#DIV/0!</v>
      </c>
      <c r="AT94" s="480"/>
      <c r="AU94" s="375"/>
      <c r="AV94" s="375"/>
      <c r="AW94" s="375"/>
      <c r="AX94" s="375"/>
      <c r="AY94" s="375"/>
      <c r="AZ94" s="375"/>
      <c r="BA94" s="375"/>
      <c r="BB94" s="375"/>
      <c r="BI94" s="346" t="e">
        <f>BI13/BI15</f>
        <v>#DIV/0!</v>
      </c>
      <c r="BJ94" s="346" t="e">
        <f>BJ13/BJ15</f>
        <v>#DIV/0!</v>
      </c>
      <c r="BK94" s="346" t="e">
        <f>BK13/BK15</f>
        <v>#DIV/0!</v>
      </c>
      <c r="BL94" s="346" t="e">
        <f>BL13/BL15</f>
        <v>#DIV/0!</v>
      </c>
      <c r="BM94" s="346" t="e">
        <f>BM13/BM15</f>
        <v>#DIV/0!</v>
      </c>
      <c r="BO94" s="498" t="e">
        <f>BO13/BO15</f>
        <v>#DIV/0!</v>
      </c>
      <c r="BP94" s="498" t="e">
        <f>BP13/BP15</f>
        <v>#DIV/0!</v>
      </c>
      <c r="BQ94" s="346" t="e">
        <f>BQ13/BQ15</f>
        <v>#DIV/0!</v>
      </c>
      <c r="BR94" s="346" t="e">
        <f>BR13/BR15</f>
        <v>#DIV/0!</v>
      </c>
      <c r="BS94" s="346" t="e">
        <f>BS13/BS15</f>
        <v>#DIV/0!</v>
      </c>
      <c r="BU94" s="346"/>
      <c r="BV94" s="346"/>
      <c r="BW94" s="346"/>
      <c r="BX94" s="346"/>
      <c r="BY94" s="346"/>
    </row>
    <row r="95" spans="1:80" ht="15.75" thickBot="1">
      <c r="A95" s="875"/>
      <c r="B95" s="487" t="s">
        <v>69</v>
      </c>
      <c r="C95" s="488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0"/>
      <c r="R95" s="489" t="e">
        <f t="shared" ref="R95:AB95" si="172">R14/R15</f>
        <v>#DIV/0!</v>
      </c>
      <c r="S95" s="489" t="e">
        <f t="shared" si="172"/>
        <v>#DIV/0!</v>
      </c>
      <c r="T95" s="489" t="e">
        <f t="shared" si="172"/>
        <v>#DIV/0!</v>
      </c>
      <c r="U95" s="489" t="e">
        <f t="shared" si="172"/>
        <v>#DIV/0!</v>
      </c>
      <c r="V95" s="489" t="e">
        <f t="shared" si="172"/>
        <v>#DIV/0!</v>
      </c>
      <c r="W95" s="489" t="e">
        <f t="shared" si="172"/>
        <v>#DIV/0!</v>
      </c>
      <c r="X95" s="489" t="e">
        <f t="shared" si="172"/>
        <v>#DIV/0!</v>
      </c>
      <c r="Y95" s="489" t="e">
        <f t="shared" si="172"/>
        <v>#DIV/0!</v>
      </c>
      <c r="Z95" s="489" t="e">
        <f t="shared" si="172"/>
        <v>#DIV/0!</v>
      </c>
      <c r="AA95" s="489" t="e">
        <f t="shared" si="172"/>
        <v>#DIV/0!</v>
      </c>
      <c r="AB95" s="499" t="e">
        <f t="shared" si="172"/>
        <v>#DIV/0!</v>
      </c>
      <c r="AC95" s="489"/>
      <c r="AD95" s="489" t="e">
        <f>AD14/AD15</f>
        <v>#DIV/0!</v>
      </c>
      <c r="AE95" s="483"/>
      <c r="AF95" s="480"/>
      <c r="AG95" s="492" t="e">
        <f t="shared" si="171"/>
        <v>#DIV/0!</v>
      </c>
      <c r="AH95" s="492" t="e">
        <f t="shared" si="171"/>
        <v>#DIV/0!</v>
      </c>
      <c r="AI95" s="492" t="e">
        <f t="shared" si="171"/>
        <v>#DIV/0!</v>
      </c>
      <c r="AJ95" s="492" t="e">
        <f t="shared" si="171"/>
        <v>#DIV/0!</v>
      </c>
      <c r="AK95" s="492" t="e">
        <f t="shared" si="171"/>
        <v>#DIV/0!</v>
      </c>
      <c r="AL95" s="492" t="e">
        <f t="shared" si="171"/>
        <v>#DIV/0!</v>
      </c>
      <c r="AM95" s="492" t="e">
        <f t="shared" si="171"/>
        <v>#DIV/0!</v>
      </c>
      <c r="AN95" s="492" t="e">
        <f t="shared" si="171"/>
        <v>#DIV/0!</v>
      </c>
      <c r="AO95" s="492" t="e">
        <f t="shared" si="171"/>
        <v>#DIV/0!</v>
      </c>
      <c r="AP95" s="492" t="e">
        <f t="shared" si="171"/>
        <v>#DIV/0!</v>
      </c>
      <c r="AQ95" s="492" t="e">
        <f>AB95-N95</f>
        <v>#DIV/0!</v>
      </c>
      <c r="AR95" s="492">
        <f t="shared" si="171"/>
        <v>0</v>
      </c>
      <c r="AS95" s="492" t="e">
        <f>AS14/AS15</f>
        <v>#DIV/0!</v>
      </c>
      <c r="AT95" s="480"/>
      <c r="AU95" s="493"/>
      <c r="AV95" s="493"/>
      <c r="AW95" s="493"/>
      <c r="AX95" s="493"/>
      <c r="AY95" s="493"/>
      <c r="AZ95" s="493"/>
      <c r="BA95" s="493"/>
      <c r="BB95" s="493"/>
      <c r="BI95" s="353" t="e">
        <f>BI14/BI15</f>
        <v>#DIV/0!</v>
      </c>
      <c r="BJ95" s="353" t="e">
        <f>BJ14/BJ15</f>
        <v>#DIV/0!</v>
      </c>
      <c r="BK95" s="353" t="e">
        <f>BK14/BK15</f>
        <v>#DIV/0!</v>
      </c>
      <c r="BL95" s="353" t="e">
        <f>BL14/BL15</f>
        <v>#DIV/0!</v>
      </c>
      <c r="BM95" s="353" t="e">
        <f>BM14/BM15</f>
        <v>#DIV/0!</v>
      </c>
      <c r="BO95" s="494" t="e">
        <f>BO14/BO15</f>
        <v>#DIV/0!</v>
      </c>
      <c r="BP95" s="494" t="e">
        <f>BP14/BP15</f>
        <v>#DIV/0!</v>
      </c>
      <c r="BQ95" s="353" t="e">
        <f>BQ14/BQ15</f>
        <v>#DIV/0!</v>
      </c>
      <c r="BR95" s="353" t="e">
        <f>BR14/BR15</f>
        <v>#DIV/0!</v>
      </c>
      <c r="BS95" s="353" t="e">
        <f>BS14/BS15</f>
        <v>#DIV/0!</v>
      </c>
      <c r="BU95" s="353"/>
      <c r="BV95" s="353"/>
      <c r="BW95" s="353"/>
      <c r="BX95" s="353"/>
      <c r="BY95" s="353"/>
    </row>
    <row r="96" spans="1:80" ht="15.75" thickTop="1">
      <c r="A96" s="466"/>
      <c r="B96" s="340"/>
      <c r="C96" s="395"/>
      <c r="D96" s="443"/>
      <c r="E96" s="443"/>
      <c r="F96" s="443"/>
      <c r="G96" s="443"/>
      <c r="H96" s="443"/>
      <c r="I96" s="443"/>
      <c r="J96" s="443"/>
      <c r="K96" s="443"/>
      <c r="L96" s="443"/>
      <c r="M96" s="443"/>
      <c r="N96" s="443"/>
      <c r="O96" s="443"/>
      <c r="P96" s="443"/>
      <c r="Q96" s="441"/>
      <c r="R96" s="443"/>
      <c r="S96" s="443"/>
      <c r="T96" s="443"/>
      <c r="U96" s="443"/>
      <c r="V96" s="443"/>
      <c r="W96" s="443"/>
      <c r="X96" s="443"/>
      <c r="Y96" s="443"/>
      <c r="Z96" s="443"/>
      <c r="AA96" s="443"/>
      <c r="AB96" s="448"/>
      <c r="AC96" s="443"/>
      <c r="AD96" s="443"/>
      <c r="AE96" s="443"/>
      <c r="AF96" s="441"/>
      <c r="AG96" s="443"/>
      <c r="AH96" s="443"/>
      <c r="AI96" s="443"/>
      <c r="AJ96" s="443"/>
      <c r="AK96" s="443"/>
      <c r="AL96" s="443"/>
      <c r="AM96" s="443"/>
      <c r="AN96" s="443"/>
      <c r="AO96" s="443"/>
      <c r="AP96" s="443"/>
      <c r="AQ96" s="443"/>
      <c r="AR96" s="443"/>
      <c r="AS96" s="443"/>
      <c r="AT96" s="441"/>
      <c r="AU96" s="375"/>
      <c r="AV96" s="375"/>
      <c r="AW96" s="375"/>
      <c r="AX96" s="375"/>
      <c r="AY96" s="375"/>
      <c r="AZ96" s="375"/>
      <c r="BA96" s="375"/>
      <c r="BB96" s="375"/>
      <c r="BC96" s="375"/>
      <c r="BD96" s="375"/>
      <c r="BE96" s="375"/>
      <c r="BF96" s="375"/>
      <c r="BG96" s="375"/>
      <c r="BI96" s="449"/>
      <c r="BJ96" s="449"/>
      <c r="BK96" s="449"/>
      <c r="BL96" s="449"/>
      <c r="BM96" s="449"/>
      <c r="BO96" s="500"/>
      <c r="BP96" s="500"/>
      <c r="BQ96" s="449"/>
      <c r="BR96" s="449"/>
      <c r="BS96" s="449"/>
      <c r="BU96" s="449"/>
      <c r="BV96" s="449"/>
      <c r="BW96" s="449"/>
      <c r="BX96" s="449"/>
      <c r="BY96" s="449"/>
    </row>
    <row r="97" spans="1:77">
      <c r="A97" s="874" t="s">
        <v>63</v>
      </c>
      <c r="B97" s="454" t="s">
        <v>68</v>
      </c>
      <c r="C97" s="455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30"/>
      <c r="R97" s="501" t="e">
        <f t="shared" ref="R97:AD97" si="173">R17/R19</f>
        <v>#DIV/0!</v>
      </c>
      <c r="S97" s="501" t="e">
        <f t="shared" si="173"/>
        <v>#DIV/0!</v>
      </c>
      <c r="T97" s="501" t="e">
        <f t="shared" si="173"/>
        <v>#DIV/0!</v>
      </c>
      <c r="U97" s="501">
        <v>0.99938242479269401</v>
      </c>
      <c r="V97" s="501" t="e">
        <f t="shared" si="173"/>
        <v>#DIV/0!</v>
      </c>
      <c r="W97" s="501" t="e">
        <f t="shared" si="173"/>
        <v>#DIV/0!</v>
      </c>
      <c r="X97" s="501" t="e">
        <f t="shared" si="173"/>
        <v>#DIV/0!</v>
      </c>
      <c r="Y97" s="501" t="e">
        <f t="shared" si="173"/>
        <v>#DIV/0!</v>
      </c>
      <c r="Z97" s="501" t="e">
        <f t="shared" si="173"/>
        <v>#DIV/0!</v>
      </c>
      <c r="AA97" s="501" t="e">
        <f t="shared" si="173"/>
        <v>#DIV/0!</v>
      </c>
      <c r="AB97" s="502" t="e">
        <f t="shared" si="173"/>
        <v>#DIV/0!</v>
      </c>
      <c r="AC97" s="501" t="e">
        <f t="shared" si="173"/>
        <v>#DIV/0!</v>
      </c>
      <c r="AD97" s="501" t="e">
        <f t="shared" si="173"/>
        <v>#DIV/0!</v>
      </c>
      <c r="AE97" s="429"/>
      <c r="AF97" s="430"/>
      <c r="AG97" s="431"/>
      <c r="AH97" s="431"/>
      <c r="AI97" s="431"/>
      <c r="AJ97" s="431"/>
      <c r="AK97" s="431"/>
      <c r="AL97" s="431"/>
      <c r="AM97" s="431"/>
      <c r="AN97" s="431"/>
      <c r="AO97" s="431"/>
      <c r="AP97" s="431"/>
      <c r="AQ97" s="431"/>
      <c r="AR97" s="431"/>
      <c r="AS97" s="431"/>
      <c r="AT97" s="430"/>
      <c r="AU97" s="433" t="e">
        <f t="shared" ref="AU97:BG98" si="174">(R97-D97)/D97</f>
        <v>#DIV/0!</v>
      </c>
      <c r="AV97" s="433" t="e">
        <f t="shared" si="174"/>
        <v>#DIV/0!</v>
      </c>
      <c r="AW97" s="433" t="e">
        <f t="shared" si="174"/>
        <v>#DIV/0!</v>
      </c>
      <c r="AX97" s="433" t="e">
        <f t="shared" si="174"/>
        <v>#DIV/0!</v>
      </c>
      <c r="AY97" s="433" t="e">
        <f t="shared" si="174"/>
        <v>#DIV/0!</v>
      </c>
      <c r="AZ97" s="433" t="e">
        <f t="shared" si="174"/>
        <v>#DIV/0!</v>
      </c>
      <c r="BA97" s="433" t="e">
        <f t="shared" si="174"/>
        <v>#DIV/0!</v>
      </c>
      <c r="BB97" s="433" t="e">
        <f t="shared" si="174"/>
        <v>#DIV/0!</v>
      </c>
      <c r="BC97" s="433" t="e">
        <f t="shared" si="174"/>
        <v>#DIV/0!</v>
      </c>
      <c r="BD97" s="433" t="e">
        <f t="shared" si="174"/>
        <v>#DIV/0!</v>
      </c>
      <c r="BE97" s="433" t="e">
        <f>(AB97-N97)/N97</f>
        <v>#DIV/0!</v>
      </c>
      <c r="BF97" s="433" t="e">
        <f t="shared" si="174"/>
        <v>#DIV/0!</v>
      </c>
      <c r="BG97" s="433" t="e">
        <f t="shared" si="174"/>
        <v>#DIV/0!</v>
      </c>
      <c r="BI97" s="501" t="e">
        <f>BI17/BI19</f>
        <v>#DIV/0!</v>
      </c>
      <c r="BJ97" s="501" t="e">
        <f>BJ17/BJ19</f>
        <v>#DIV/0!</v>
      </c>
      <c r="BK97" s="501" t="e">
        <f>BK17/BK19</f>
        <v>#DIV/0!</v>
      </c>
      <c r="BL97" s="501" t="e">
        <f>BL17/BL19</f>
        <v>#DIV/0!</v>
      </c>
      <c r="BM97" s="501" t="e">
        <f>BM17/BM19</f>
        <v>#DIV/0!</v>
      </c>
      <c r="BO97" s="503" t="e">
        <f>BO17/BO19</f>
        <v>#DIV/0!</v>
      </c>
      <c r="BP97" s="503" t="e">
        <f>BP17/BP19</f>
        <v>#DIV/0!</v>
      </c>
      <c r="BQ97" s="501" t="e">
        <f>BQ17/BQ19</f>
        <v>#DIV/0!</v>
      </c>
      <c r="BR97" s="501" t="e">
        <f>BR17/BR19</f>
        <v>#DIV/0!</v>
      </c>
      <c r="BS97" s="501" t="e">
        <f>BS17/BS19</f>
        <v>#DIV/0!</v>
      </c>
      <c r="BU97" s="401" t="e">
        <f t="shared" ref="BU97:BY98" si="175">BO97/BI97</f>
        <v>#DIV/0!</v>
      </c>
      <c r="BV97" s="401" t="e">
        <f t="shared" si="175"/>
        <v>#DIV/0!</v>
      </c>
      <c r="BW97" s="401" t="e">
        <f t="shared" si="175"/>
        <v>#DIV/0!</v>
      </c>
      <c r="BX97" s="401" t="e">
        <f t="shared" si="175"/>
        <v>#DIV/0!</v>
      </c>
      <c r="BY97" s="401" t="e">
        <f t="shared" si="175"/>
        <v>#DIV/0!</v>
      </c>
    </row>
    <row r="98" spans="1:77" ht="15.75" thickBot="1">
      <c r="A98" s="875"/>
      <c r="B98" s="487" t="s">
        <v>69</v>
      </c>
      <c r="C98" s="460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30"/>
      <c r="R98" s="504" t="e">
        <f t="shared" ref="R98:AD98" si="176">R18/R19</f>
        <v>#DIV/0!</v>
      </c>
      <c r="S98" s="504" t="e">
        <f t="shared" si="176"/>
        <v>#DIV/0!</v>
      </c>
      <c r="T98" s="504" t="e">
        <f t="shared" si="176"/>
        <v>#DIV/0!</v>
      </c>
      <c r="U98" s="504">
        <v>6.1757520730594062E-4</v>
      </c>
      <c r="V98" s="504" t="e">
        <f t="shared" si="176"/>
        <v>#DIV/0!</v>
      </c>
      <c r="W98" s="504" t="e">
        <f t="shared" si="176"/>
        <v>#DIV/0!</v>
      </c>
      <c r="X98" s="504" t="e">
        <f t="shared" si="176"/>
        <v>#DIV/0!</v>
      </c>
      <c r="Y98" s="504" t="e">
        <f t="shared" si="176"/>
        <v>#DIV/0!</v>
      </c>
      <c r="Z98" s="504" t="e">
        <f t="shared" si="176"/>
        <v>#DIV/0!</v>
      </c>
      <c r="AA98" s="504" t="e">
        <f t="shared" si="176"/>
        <v>#DIV/0!</v>
      </c>
      <c r="AB98" s="505" t="e">
        <f t="shared" si="176"/>
        <v>#DIV/0!</v>
      </c>
      <c r="AC98" s="504" t="e">
        <f t="shared" si="176"/>
        <v>#DIV/0!</v>
      </c>
      <c r="AD98" s="504" t="e">
        <f t="shared" si="176"/>
        <v>#DIV/0!</v>
      </c>
      <c r="AE98" s="429"/>
      <c r="AF98" s="430"/>
      <c r="AG98" s="436"/>
      <c r="AH98" s="436"/>
      <c r="AI98" s="436"/>
      <c r="AJ98" s="436"/>
      <c r="AK98" s="436"/>
      <c r="AL98" s="436"/>
      <c r="AM98" s="436"/>
      <c r="AN98" s="436"/>
      <c r="AO98" s="436"/>
      <c r="AP98" s="436"/>
      <c r="AQ98" s="436"/>
      <c r="AR98" s="436"/>
      <c r="AS98" s="436"/>
      <c r="AT98" s="430"/>
      <c r="AU98" s="376" t="e">
        <f t="shared" si="174"/>
        <v>#DIV/0!</v>
      </c>
      <c r="AV98" s="376" t="e">
        <f t="shared" si="174"/>
        <v>#DIV/0!</v>
      </c>
      <c r="AW98" s="376" t="e">
        <f t="shared" si="174"/>
        <v>#DIV/0!</v>
      </c>
      <c r="AX98" s="376" t="e">
        <f t="shared" si="174"/>
        <v>#DIV/0!</v>
      </c>
      <c r="AY98" s="376" t="e">
        <f t="shared" si="174"/>
        <v>#DIV/0!</v>
      </c>
      <c r="AZ98" s="376" t="e">
        <f t="shared" si="174"/>
        <v>#DIV/0!</v>
      </c>
      <c r="BA98" s="376" t="e">
        <f t="shared" si="174"/>
        <v>#DIV/0!</v>
      </c>
      <c r="BB98" s="376" t="e">
        <f t="shared" si="174"/>
        <v>#DIV/0!</v>
      </c>
      <c r="BC98" s="376" t="e">
        <f t="shared" si="174"/>
        <v>#DIV/0!</v>
      </c>
      <c r="BD98" s="376" t="e">
        <f t="shared" si="174"/>
        <v>#DIV/0!</v>
      </c>
      <c r="BE98" s="376" t="e">
        <f>(AB98-N98)/N98</f>
        <v>#DIV/0!</v>
      </c>
      <c r="BF98" s="376" t="e">
        <f t="shared" si="174"/>
        <v>#DIV/0!</v>
      </c>
      <c r="BG98" s="376" t="e">
        <f t="shared" si="174"/>
        <v>#DIV/0!</v>
      </c>
      <c r="BI98" s="504" t="e">
        <f>BI18/BI19</f>
        <v>#DIV/0!</v>
      </c>
      <c r="BJ98" s="504" t="e">
        <f>BJ18/BJ19</f>
        <v>#DIV/0!</v>
      </c>
      <c r="BK98" s="504" t="e">
        <f>BK18/BK19</f>
        <v>#DIV/0!</v>
      </c>
      <c r="BL98" s="504" t="e">
        <f>BL18/BL19</f>
        <v>#DIV/0!</v>
      </c>
      <c r="BM98" s="504" t="e">
        <f>BM18/BM19</f>
        <v>#DIV/0!</v>
      </c>
      <c r="BO98" s="506" t="e">
        <f>BO18/BO19</f>
        <v>#DIV/0!</v>
      </c>
      <c r="BP98" s="506" t="e">
        <f>BP18/BP19</f>
        <v>#DIV/0!</v>
      </c>
      <c r="BQ98" s="504" t="e">
        <f>BQ18/BQ19</f>
        <v>#DIV/0!</v>
      </c>
      <c r="BR98" s="504" t="e">
        <f>BR18/BR19</f>
        <v>#DIV/0!</v>
      </c>
      <c r="BS98" s="504" t="e">
        <f>BS18/BS19</f>
        <v>#DIV/0!</v>
      </c>
      <c r="BU98" s="353" t="e">
        <f t="shared" si="175"/>
        <v>#DIV/0!</v>
      </c>
      <c r="BV98" s="353" t="e">
        <f t="shared" si="175"/>
        <v>#DIV/0!</v>
      </c>
      <c r="BW98" s="353" t="e">
        <f t="shared" si="175"/>
        <v>#DIV/0!</v>
      </c>
      <c r="BX98" s="353" t="e">
        <f t="shared" si="175"/>
        <v>#DIV/0!</v>
      </c>
      <c r="BY98" s="353" t="e">
        <f t="shared" si="175"/>
        <v>#DIV/0!</v>
      </c>
    </row>
    <row r="99" spans="1:77" ht="15.75" thickTop="1">
      <c r="A99" s="466"/>
      <c r="B99" s="340"/>
      <c r="C99" s="395"/>
      <c r="D99" s="443"/>
      <c r="E99" s="443"/>
      <c r="F99" s="443"/>
      <c r="G99" s="443"/>
      <c r="H99" s="443"/>
      <c r="I99" s="443"/>
      <c r="J99" s="443"/>
      <c r="K99" s="443"/>
      <c r="L99" s="443"/>
      <c r="M99" s="443"/>
      <c r="N99" s="443"/>
      <c r="O99" s="443"/>
      <c r="P99" s="443"/>
      <c r="Q99" s="441"/>
      <c r="R99" s="443"/>
      <c r="S99" s="443"/>
      <c r="T99" s="443"/>
      <c r="U99" s="443"/>
      <c r="V99" s="443"/>
      <c r="W99" s="443"/>
      <c r="X99" s="443"/>
      <c r="Y99" s="443"/>
      <c r="Z99" s="443"/>
      <c r="AA99" s="443"/>
      <c r="AB99" s="448"/>
      <c r="AC99" s="443"/>
      <c r="AD99" s="443"/>
      <c r="AE99" s="443"/>
      <c r="AF99" s="441"/>
      <c r="AG99" s="443"/>
      <c r="AH99" s="443"/>
      <c r="AI99" s="443"/>
      <c r="AJ99" s="443"/>
      <c r="AK99" s="443"/>
      <c r="AL99" s="443"/>
      <c r="AM99" s="443"/>
      <c r="AN99" s="443"/>
      <c r="AO99" s="443"/>
      <c r="AP99" s="443"/>
      <c r="AQ99" s="443"/>
      <c r="AR99" s="443"/>
      <c r="AS99" s="443"/>
      <c r="AT99" s="441"/>
      <c r="AU99" s="375"/>
      <c r="AV99" s="375"/>
      <c r="AW99" s="375"/>
      <c r="AX99" s="375"/>
      <c r="AY99" s="375"/>
      <c r="AZ99" s="375"/>
      <c r="BA99" s="375"/>
      <c r="BB99" s="375"/>
      <c r="BC99" s="375"/>
      <c r="BD99" s="375"/>
      <c r="BE99" s="375"/>
      <c r="BF99" s="375"/>
      <c r="BG99" s="375"/>
      <c r="BI99" s="449"/>
      <c r="BJ99" s="449"/>
      <c r="BK99" s="449"/>
      <c r="BL99" s="449"/>
      <c r="BM99" s="449"/>
      <c r="BO99" s="500"/>
      <c r="BP99" s="500"/>
      <c r="BQ99" s="449"/>
      <c r="BR99" s="449"/>
      <c r="BS99" s="449"/>
      <c r="BU99" s="449"/>
      <c r="BV99" s="449"/>
      <c r="BW99" s="449"/>
      <c r="BX99" s="449"/>
      <c r="BY99" s="449"/>
    </row>
    <row r="100" spans="1:77">
      <c r="A100" s="874" t="s">
        <v>74</v>
      </c>
      <c r="B100" s="454" t="s">
        <v>68</v>
      </c>
      <c r="C100" s="455"/>
      <c r="D100" s="507"/>
      <c r="E100" s="507"/>
      <c r="F100" s="507"/>
      <c r="G100" s="507"/>
      <c r="H100" s="507"/>
      <c r="I100" s="507"/>
      <c r="J100" s="507"/>
      <c r="K100" s="507"/>
      <c r="L100" s="507"/>
      <c r="M100" s="507"/>
      <c r="N100" s="507"/>
      <c r="O100" s="507"/>
      <c r="P100" s="479"/>
      <c r="Q100" s="430"/>
      <c r="R100" s="501" t="e">
        <f t="shared" ref="R100:AD100" si="177">R20/R22</f>
        <v>#DIV/0!</v>
      </c>
      <c r="S100" s="501" t="e">
        <f t="shared" si="177"/>
        <v>#DIV/0!</v>
      </c>
      <c r="T100" s="501" t="e">
        <f t="shared" si="177"/>
        <v>#DIV/0!</v>
      </c>
      <c r="U100" s="501" t="e">
        <f t="shared" si="177"/>
        <v>#DIV/0!</v>
      </c>
      <c r="V100" s="501" t="e">
        <f t="shared" si="177"/>
        <v>#DIV/0!</v>
      </c>
      <c r="W100" s="501" t="e">
        <f t="shared" si="177"/>
        <v>#DIV/0!</v>
      </c>
      <c r="X100" s="501" t="e">
        <f t="shared" si="177"/>
        <v>#DIV/0!</v>
      </c>
      <c r="Y100" s="501" t="e">
        <f t="shared" si="177"/>
        <v>#DIV/0!</v>
      </c>
      <c r="Z100" s="501" t="e">
        <f t="shared" si="177"/>
        <v>#DIV/0!</v>
      </c>
      <c r="AA100" s="501" t="e">
        <f t="shared" si="177"/>
        <v>#DIV/0!</v>
      </c>
      <c r="AB100" s="502" t="e">
        <f t="shared" si="177"/>
        <v>#DIV/0!</v>
      </c>
      <c r="AC100" s="501" t="e">
        <f t="shared" si="177"/>
        <v>#DIV/0!</v>
      </c>
      <c r="AD100" s="501" t="e">
        <f t="shared" si="177"/>
        <v>#DIV/0!</v>
      </c>
      <c r="AE100" s="429"/>
      <c r="AF100" s="430"/>
      <c r="AG100" s="431"/>
      <c r="AH100" s="431"/>
      <c r="AI100" s="431"/>
      <c r="AJ100" s="431"/>
      <c r="AK100" s="431"/>
      <c r="AL100" s="431"/>
      <c r="AM100" s="431"/>
      <c r="AN100" s="431"/>
      <c r="AO100" s="431"/>
      <c r="AP100" s="431"/>
      <c r="AQ100" s="431"/>
      <c r="AR100" s="431"/>
      <c r="AS100" s="431"/>
      <c r="AT100" s="430"/>
      <c r="AU100" s="433" t="e">
        <f t="shared" ref="AU100:BG101" si="178">(R100-D100)/D100</f>
        <v>#DIV/0!</v>
      </c>
      <c r="AV100" s="433" t="e">
        <f t="shared" si="178"/>
        <v>#DIV/0!</v>
      </c>
      <c r="AW100" s="433" t="e">
        <f t="shared" si="178"/>
        <v>#DIV/0!</v>
      </c>
      <c r="AX100" s="433" t="e">
        <f t="shared" si="178"/>
        <v>#DIV/0!</v>
      </c>
      <c r="AY100" s="433" t="e">
        <f t="shared" si="178"/>
        <v>#DIV/0!</v>
      </c>
      <c r="AZ100" s="433" t="e">
        <f t="shared" si="178"/>
        <v>#DIV/0!</v>
      </c>
      <c r="BA100" s="433" t="e">
        <f t="shared" si="178"/>
        <v>#DIV/0!</v>
      </c>
      <c r="BB100" s="433" t="e">
        <f t="shared" si="178"/>
        <v>#DIV/0!</v>
      </c>
      <c r="BC100" s="433" t="e">
        <f t="shared" si="178"/>
        <v>#DIV/0!</v>
      </c>
      <c r="BD100" s="433" t="e">
        <f t="shared" si="178"/>
        <v>#DIV/0!</v>
      </c>
      <c r="BE100" s="433" t="e">
        <f>(AB100-N100)/N100</f>
        <v>#DIV/0!</v>
      </c>
      <c r="BF100" s="433" t="e">
        <f t="shared" si="178"/>
        <v>#DIV/0!</v>
      </c>
      <c r="BG100" s="433" t="e">
        <f t="shared" si="178"/>
        <v>#DIV/0!</v>
      </c>
      <c r="BI100" s="501" t="e">
        <f>BI20/BI22</f>
        <v>#DIV/0!</v>
      </c>
      <c r="BJ100" s="501" t="e">
        <f>BJ20/BJ22</f>
        <v>#DIV/0!</v>
      </c>
      <c r="BK100" s="501" t="e">
        <f>BK20/BK22</f>
        <v>#DIV/0!</v>
      </c>
      <c r="BL100" s="501" t="e">
        <f>BL20/BL22</f>
        <v>#DIV/0!</v>
      </c>
      <c r="BM100" s="501" t="e">
        <f>BM20/BM22</f>
        <v>#DIV/0!</v>
      </c>
      <c r="BO100" s="503" t="e">
        <f>BO20/BO22</f>
        <v>#DIV/0!</v>
      </c>
      <c r="BP100" s="503" t="e">
        <f>BP20/BP22</f>
        <v>#DIV/0!</v>
      </c>
      <c r="BQ100" s="501" t="e">
        <f>BQ20/BQ22</f>
        <v>#DIV/0!</v>
      </c>
      <c r="BR100" s="501" t="e">
        <f>BR20/BR22</f>
        <v>#DIV/0!</v>
      </c>
      <c r="BS100" s="501" t="e">
        <f>BS20/BS22</f>
        <v>#DIV/0!</v>
      </c>
      <c r="BU100" s="401" t="e">
        <f t="shared" ref="BU100:BY101" si="179">BO100/BI100</f>
        <v>#DIV/0!</v>
      </c>
      <c r="BV100" s="401" t="e">
        <f t="shared" si="179"/>
        <v>#DIV/0!</v>
      </c>
      <c r="BW100" s="401" t="e">
        <f t="shared" si="179"/>
        <v>#DIV/0!</v>
      </c>
      <c r="BX100" s="401" t="e">
        <f t="shared" si="179"/>
        <v>#DIV/0!</v>
      </c>
      <c r="BY100" s="401" t="e">
        <f t="shared" si="179"/>
        <v>#DIV/0!</v>
      </c>
    </row>
    <row r="101" spans="1:77" ht="15.75" thickBot="1">
      <c r="A101" s="875"/>
      <c r="B101" s="487" t="s">
        <v>69</v>
      </c>
      <c r="C101" s="460"/>
      <c r="D101" s="508"/>
      <c r="E101" s="508"/>
      <c r="F101" s="508"/>
      <c r="G101" s="508"/>
      <c r="H101" s="508"/>
      <c r="I101" s="508"/>
      <c r="J101" s="508"/>
      <c r="K101" s="508"/>
      <c r="L101" s="508"/>
      <c r="M101" s="508"/>
      <c r="N101" s="508"/>
      <c r="O101" s="508"/>
      <c r="P101" s="489"/>
      <c r="Q101" s="430"/>
      <c r="R101" s="504" t="e">
        <f t="shared" ref="R101:AD101" si="180">R21/R22</f>
        <v>#DIV/0!</v>
      </c>
      <c r="S101" s="504" t="e">
        <f t="shared" si="180"/>
        <v>#DIV/0!</v>
      </c>
      <c r="T101" s="504" t="e">
        <f t="shared" si="180"/>
        <v>#DIV/0!</v>
      </c>
      <c r="U101" s="504" t="e">
        <f t="shared" si="180"/>
        <v>#DIV/0!</v>
      </c>
      <c r="V101" s="504" t="e">
        <f t="shared" si="180"/>
        <v>#DIV/0!</v>
      </c>
      <c r="W101" s="504" t="e">
        <f t="shared" si="180"/>
        <v>#DIV/0!</v>
      </c>
      <c r="X101" s="504" t="e">
        <f t="shared" si="180"/>
        <v>#DIV/0!</v>
      </c>
      <c r="Y101" s="504" t="e">
        <f t="shared" si="180"/>
        <v>#DIV/0!</v>
      </c>
      <c r="Z101" s="504" t="e">
        <f t="shared" si="180"/>
        <v>#DIV/0!</v>
      </c>
      <c r="AA101" s="504" t="e">
        <f t="shared" si="180"/>
        <v>#DIV/0!</v>
      </c>
      <c r="AB101" s="505" t="e">
        <f t="shared" si="180"/>
        <v>#DIV/0!</v>
      </c>
      <c r="AC101" s="504" t="e">
        <f t="shared" si="180"/>
        <v>#DIV/0!</v>
      </c>
      <c r="AD101" s="504" t="e">
        <f t="shared" si="180"/>
        <v>#DIV/0!</v>
      </c>
      <c r="AE101" s="429"/>
      <c r="AF101" s="430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0"/>
      <c r="AU101" s="376" t="e">
        <f t="shared" si="178"/>
        <v>#DIV/0!</v>
      </c>
      <c r="AV101" s="376" t="e">
        <f t="shared" si="178"/>
        <v>#DIV/0!</v>
      </c>
      <c r="AW101" s="376" t="e">
        <f t="shared" si="178"/>
        <v>#DIV/0!</v>
      </c>
      <c r="AX101" s="376" t="e">
        <f t="shared" si="178"/>
        <v>#DIV/0!</v>
      </c>
      <c r="AY101" s="376" t="e">
        <f t="shared" si="178"/>
        <v>#DIV/0!</v>
      </c>
      <c r="AZ101" s="376" t="e">
        <f t="shared" si="178"/>
        <v>#DIV/0!</v>
      </c>
      <c r="BA101" s="376" t="e">
        <f t="shared" si="178"/>
        <v>#DIV/0!</v>
      </c>
      <c r="BB101" s="376" t="e">
        <f t="shared" si="178"/>
        <v>#DIV/0!</v>
      </c>
      <c r="BC101" s="376" t="e">
        <f t="shared" si="178"/>
        <v>#DIV/0!</v>
      </c>
      <c r="BD101" s="376" t="e">
        <f t="shared" si="178"/>
        <v>#DIV/0!</v>
      </c>
      <c r="BE101" s="376" t="e">
        <f>(AB101-N101)/N101</f>
        <v>#DIV/0!</v>
      </c>
      <c r="BF101" s="376" t="e">
        <f t="shared" si="178"/>
        <v>#DIV/0!</v>
      </c>
      <c r="BG101" s="376" t="e">
        <f t="shared" si="178"/>
        <v>#DIV/0!</v>
      </c>
      <c r="BI101" s="504" t="e">
        <f>BI21/BI22</f>
        <v>#DIV/0!</v>
      </c>
      <c r="BJ101" s="504" t="e">
        <f>BJ21/BJ22</f>
        <v>#DIV/0!</v>
      </c>
      <c r="BK101" s="504" t="e">
        <f>BK21/BK22</f>
        <v>#DIV/0!</v>
      </c>
      <c r="BL101" s="504" t="e">
        <f>BL21/BL22</f>
        <v>#DIV/0!</v>
      </c>
      <c r="BM101" s="504" t="e">
        <f>BM21/BM22</f>
        <v>#DIV/0!</v>
      </c>
      <c r="BO101" s="506" t="e">
        <f>BO21/BO22</f>
        <v>#DIV/0!</v>
      </c>
      <c r="BP101" s="506" t="e">
        <f>BP21/BP22</f>
        <v>#DIV/0!</v>
      </c>
      <c r="BQ101" s="504" t="e">
        <f>BQ21/BQ22</f>
        <v>#DIV/0!</v>
      </c>
      <c r="BR101" s="504" t="e">
        <f>BR21/BR22</f>
        <v>#DIV/0!</v>
      </c>
      <c r="BS101" s="504" t="e">
        <f>BS21/BS22</f>
        <v>#DIV/0!</v>
      </c>
      <c r="BU101" s="353" t="e">
        <f t="shared" si="179"/>
        <v>#DIV/0!</v>
      </c>
      <c r="BV101" s="353" t="e">
        <f t="shared" si="179"/>
        <v>#DIV/0!</v>
      </c>
      <c r="BW101" s="353" t="e">
        <f t="shared" si="179"/>
        <v>#DIV/0!</v>
      </c>
      <c r="BX101" s="353" t="e">
        <f t="shared" si="179"/>
        <v>#DIV/0!</v>
      </c>
      <c r="BY101" s="353" t="e">
        <f t="shared" si="179"/>
        <v>#DIV/0!</v>
      </c>
    </row>
    <row r="102" spans="1:77" ht="16.5" thickTop="1">
      <c r="A102" s="466"/>
      <c r="B102" s="374"/>
      <c r="C102" s="341"/>
      <c r="D102" s="509"/>
      <c r="E102" s="509"/>
      <c r="F102" s="509"/>
      <c r="G102" s="509"/>
      <c r="H102" s="509"/>
      <c r="I102" s="509"/>
      <c r="J102" s="509"/>
      <c r="K102" s="509"/>
      <c r="L102" s="509"/>
      <c r="M102" s="509"/>
      <c r="N102" s="509"/>
      <c r="O102" s="509"/>
      <c r="P102" s="509"/>
      <c r="Q102" s="357"/>
      <c r="R102" s="510"/>
      <c r="S102" s="510"/>
      <c r="T102" s="510"/>
      <c r="U102" s="510"/>
      <c r="V102" s="510"/>
      <c r="W102" s="510"/>
      <c r="X102" s="510"/>
      <c r="Y102" s="510"/>
      <c r="Z102" s="510"/>
      <c r="AA102" s="510"/>
      <c r="AB102" s="511"/>
      <c r="AC102" s="510"/>
      <c r="AD102" s="510"/>
      <c r="AE102" s="360"/>
      <c r="AF102" s="361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1"/>
      <c r="AU102" s="375"/>
      <c r="AV102" s="375"/>
      <c r="AW102" s="375"/>
      <c r="AX102" s="375"/>
      <c r="AY102" s="375"/>
      <c r="AZ102" s="375"/>
      <c r="BA102" s="375"/>
      <c r="BB102" s="375"/>
      <c r="BC102" s="375"/>
      <c r="BD102" s="375"/>
      <c r="BE102" s="375"/>
      <c r="BF102" s="375"/>
      <c r="BG102" s="375"/>
      <c r="BI102" s="510"/>
      <c r="BJ102" s="510"/>
      <c r="BK102" s="510"/>
      <c r="BL102" s="510"/>
      <c r="BM102" s="510"/>
      <c r="BO102" s="512"/>
      <c r="BP102" s="512"/>
      <c r="BQ102" s="510"/>
      <c r="BR102" s="510"/>
      <c r="BS102" s="510"/>
      <c r="BU102" s="346"/>
      <c r="BV102" s="346"/>
      <c r="BW102" s="346"/>
      <c r="BX102" s="346"/>
      <c r="BY102" s="346"/>
    </row>
    <row r="103" spans="1:77">
      <c r="A103" s="874" t="s">
        <v>59</v>
      </c>
      <c r="B103" s="454" t="s">
        <v>68</v>
      </c>
      <c r="C103" s="455"/>
      <c r="D103" s="507"/>
      <c r="E103" s="507"/>
      <c r="F103" s="507"/>
      <c r="G103" s="507"/>
      <c r="H103" s="507"/>
      <c r="I103" s="507"/>
      <c r="J103" s="507"/>
      <c r="K103" s="507"/>
      <c r="L103" s="507"/>
      <c r="M103" s="507"/>
      <c r="N103" s="507"/>
      <c r="O103" s="507"/>
      <c r="P103" s="507"/>
      <c r="Q103" s="430"/>
      <c r="R103" s="501">
        <f t="shared" ref="R103:AD103" si="181">R25/R27</f>
        <v>0.91068185703975657</v>
      </c>
      <c r="S103" s="501">
        <f t="shared" si="181"/>
        <v>0.92039734547186181</v>
      </c>
      <c r="T103" s="501">
        <f t="shared" si="181"/>
        <v>0.92145674388812304</v>
      </c>
      <c r="U103" s="501">
        <f t="shared" si="181"/>
        <v>0.92027172548051583</v>
      </c>
      <c r="V103" s="501">
        <f t="shared" si="181"/>
        <v>0.91099188539750353</v>
      </c>
      <c r="W103" s="501">
        <f t="shared" si="181"/>
        <v>0.88357265597920809</v>
      </c>
      <c r="X103" s="501">
        <f t="shared" si="181"/>
        <v>0.92067217397717704</v>
      </c>
      <c r="Y103" s="501">
        <f t="shared" si="181"/>
        <v>0.94084216698957046</v>
      </c>
      <c r="Z103" s="501">
        <f t="shared" si="181"/>
        <v>0.93799827761369026</v>
      </c>
      <c r="AA103" s="501" t="e">
        <f t="shared" si="181"/>
        <v>#DIV/0!</v>
      </c>
      <c r="AB103" s="502" t="e">
        <f t="shared" si="181"/>
        <v>#DIV/0!</v>
      </c>
      <c r="AC103" s="501" t="e">
        <f t="shared" si="181"/>
        <v>#DIV/0!</v>
      </c>
      <c r="AD103" s="501">
        <f t="shared" si="181"/>
        <v>0.92904154852060972</v>
      </c>
      <c r="AE103" s="429"/>
      <c r="AF103" s="430"/>
      <c r="AG103" s="431">
        <f t="shared" ref="AG103:AR104" si="182">R103-D103</f>
        <v>0.91068185703975657</v>
      </c>
      <c r="AH103" s="431">
        <f t="shared" si="182"/>
        <v>0.92039734547186181</v>
      </c>
      <c r="AI103" s="431">
        <f t="shared" si="182"/>
        <v>0.92145674388812304</v>
      </c>
      <c r="AJ103" s="431">
        <f t="shared" si="182"/>
        <v>0.92027172548051583</v>
      </c>
      <c r="AK103" s="431">
        <f t="shared" si="182"/>
        <v>0.91099188539750353</v>
      </c>
      <c r="AL103" s="431">
        <f t="shared" si="182"/>
        <v>0.88357265597920809</v>
      </c>
      <c r="AM103" s="431">
        <f t="shared" si="182"/>
        <v>0.92067217397717704</v>
      </c>
      <c r="AN103" s="431">
        <f t="shared" si="182"/>
        <v>0.94084216698957046</v>
      </c>
      <c r="AO103" s="431">
        <f t="shared" si="182"/>
        <v>0.93799827761369026</v>
      </c>
      <c r="AP103" s="431" t="e">
        <f t="shared" si="182"/>
        <v>#DIV/0!</v>
      </c>
      <c r="AQ103" s="431" t="e">
        <f>AB103-N103</f>
        <v>#DIV/0!</v>
      </c>
      <c r="AR103" s="431" t="e">
        <f t="shared" si="182"/>
        <v>#DIV/0!</v>
      </c>
      <c r="AS103" s="431" t="e">
        <f>SUM(AG103:AR103)</f>
        <v>#DIV/0!</v>
      </c>
      <c r="AT103" s="430"/>
      <c r="AU103" s="433" t="e">
        <f t="shared" ref="AU103:BG104" si="183">(R103-D103)/D103</f>
        <v>#DIV/0!</v>
      </c>
      <c r="AV103" s="433" t="e">
        <f t="shared" si="183"/>
        <v>#DIV/0!</v>
      </c>
      <c r="AW103" s="433" t="e">
        <f t="shared" si="183"/>
        <v>#DIV/0!</v>
      </c>
      <c r="AX103" s="433" t="e">
        <f t="shared" si="183"/>
        <v>#DIV/0!</v>
      </c>
      <c r="AY103" s="433" t="e">
        <f t="shared" si="183"/>
        <v>#DIV/0!</v>
      </c>
      <c r="AZ103" s="433" t="e">
        <f t="shared" si="183"/>
        <v>#DIV/0!</v>
      </c>
      <c r="BA103" s="433" t="e">
        <f t="shared" si="183"/>
        <v>#DIV/0!</v>
      </c>
      <c r="BB103" s="433" t="e">
        <f t="shared" si="183"/>
        <v>#DIV/0!</v>
      </c>
      <c r="BC103" s="433" t="e">
        <f t="shared" si="183"/>
        <v>#DIV/0!</v>
      </c>
      <c r="BD103" s="433" t="e">
        <f t="shared" si="183"/>
        <v>#DIV/0!</v>
      </c>
      <c r="BE103" s="433" t="e">
        <f>(AB103-N103)/N103</f>
        <v>#DIV/0!</v>
      </c>
      <c r="BF103" s="433" t="e">
        <f t="shared" si="183"/>
        <v>#DIV/0!</v>
      </c>
      <c r="BG103" s="433" t="e">
        <f t="shared" si="183"/>
        <v>#DIV/0!</v>
      </c>
      <c r="BI103" s="501">
        <f>BI25/BI27</f>
        <v>1</v>
      </c>
      <c r="BJ103" s="501">
        <f>BJ25/BJ27</f>
        <v>1</v>
      </c>
      <c r="BK103" s="501">
        <f>BK25/BK27</f>
        <v>1</v>
      </c>
      <c r="BL103" s="501">
        <f>BL25/BL27</f>
        <v>1</v>
      </c>
      <c r="BM103" s="501">
        <f>BM25/BM27</f>
        <v>1</v>
      </c>
      <c r="BO103" s="503">
        <f>BO25/BO27</f>
        <v>0.91795266779320606</v>
      </c>
      <c r="BP103" s="503">
        <f>BP25/BP27</f>
        <v>0.90363818101489368</v>
      </c>
      <c r="BQ103" s="501">
        <f>BQ25/BQ27</f>
        <v>0.93650383364188916</v>
      </c>
      <c r="BR103" s="501" t="e">
        <f>BR25/BR27</f>
        <v>#DIV/0!</v>
      </c>
      <c r="BS103" s="501">
        <f>BS25/BS27</f>
        <v>0.92904154852060972</v>
      </c>
      <c r="BU103" s="401">
        <f t="shared" ref="BU103:BY104" si="184">BO103/BI103</f>
        <v>0.91795266779320606</v>
      </c>
      <c r="BV103" s="401">
        <f t="shared" si="184"/>
        <v>0.90363818101489368</v>
      </c>
      <c r="BW103" s="401">
        <f t="shared" si="184"/>
        <v>0.93650383364188916</v>
      </c>
      <c r="BX103" s="401" t="e">
        <f t="shared" si="184"/>
        <v>#DIV/0!</v>
      </c>
      <c r="BY103" s="401">
        <f t="shared" si="184"/>
        <v>0.92904154852060972</v>
      </c>
    </row>
    <row r="104" spans="1:77" ht="15.75" thickBot="1">
      <c r="A104" s="875"/>
      <c r="B104" s="487" t="s">
        <v>69</v>
      </c>
      <c r="C104" s="460"/>
      <c r="D104" s="513"/>
      <c r="E104" s="513"/>
      <c r="F104" s="513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430"/>
      <c r="R104" s="504">
        <f t="shared" ref="R104:AD104" si="185">R26/R27</f>
        <v>8.931814296024343E-2</v>
      </c>
      <c r="S104" s="504">
        <f t="shared" si="185"/>
        <v>7.9602654528138223E-2</v>
      </c>
      <c r="T104" s="504">
        <f t="shared" si="185"/>
        <v>7.8543256111876916E-2</v>
      </c>
      <c r="U104" s="504">
        <f t="shared" si="185"/>
        <v>7.9728274519484194E-2</v>
      </c>
      <c r="V104" s="504">
        <f t="shared" si="185"/>
        <v>8.9008114602496469E-2</v>
      </c>
      <c r="W104" s="504">
        <f t="shared" si="185"/>
        <v>0.11642734402079193</v>
      </c>
      <c r="X104" s="504">
        <f t="shared" si="185"/>
        <v>7.9327826022822928E-2</v>
      </c>
      <c r="Y104" s="504">
        <f t="shared" si="185"/>
        <v>5.915783301042956E-2</v>
      </c>
      <c r="Z104" s="504">
        <f t="shared" si="185"/>
        <v>6.2001722386309716E-2</v>
      </c>
      <c r="AA104" s="504" t="e">
        <f t="shared" si="185"/>
        <v>#DIV/0!</v>
      </c>
      <c r="AB104" s="505" t="e">
        <f t="shared" si="185"/>
        <v>#DIV/0!</v>
      </c>
      <c r="AC104" s="504" t="e">
        <f t="shared" si="185"/>
        <v>#DIV/0!</v>
      </c>
      <c r="AD104" s="504">
        <f t="shared" si="185"/>
        <v>7.0958451479390339E-2</v>
      </c>
      <c r="AE104" s="429"/>
      <c r="AF104" s="430"/>
      <c r="AG104" s="436">
        <f t="shared" si="182"/>
        <v>8.931814296024343E-2</v>
      </c>
      <c r="AH104" s="436">
        <f t="shared" si="182"/>
        <v>7.9602654528138223E-2</v>
      </c>
      <c r="AI104" s="436">
        <f t="shared" si="182"/>
        <v>7.8543256111876916E-2</v>
      </c>
      <c r="AJ104" s="436">
        <f t="shared" si="182"/>
        <v>7.9728274519484194E-2</v>
      </c>
      <c r="AK104" s="436">
        <f t="shared" si="182"/>
        <v>8.9008114602496469E-2</v>
      </c>
      <c r="AL104" s="436">
        <f t="shared" si="182"/>
        <v>0.11642734402079193</v>
      </c>
      <c r="AM104" s="436">
        <f t="shared" si="182"/>
        <v>7.9327826022822928E-2</v>
      </c>
      <c r="AN104" s="436">
        <f t="shared" si="182"/>
        <v>5.915783301042956E-2</v>
      </c>
      <c r="AO104" s="436">
        <f t="shared" si="182"/>
        <v>6.2001722386309716E-2</v>
      </c>
      <c r="AP104" s="436" t="e">
        <f t="shared" si="182"/>
        <v>#DIV/0!</v>
      </c>
      <c r="AQ104" s="436" t="e">
        <f>AB104-N104</f>
        <v>#DIV/0!</v>
      </c>
      <c r="AR104" s="436" t="e">
        <f t="shared" si="182"/>
        <v>#DIV/0!</v>
      </c>
      <c r="AS104" s="436" t="e">
        <f>SUM(AG104:AR104)</f>
        <v>#DIV/0!</v>
      </c>
      <c r="AT104" s="430"/>
      <c r="AU104" s="376" t="e">
        <f t="shared" si="183"/>
        <v>#DIV/0!</v>
      </c>
      <c r="AV104" s="376" t="e">
        <f t="shared" si="183"/>
        <v>#DIV/0!</v>
      </c>
      <c r="AW104" s="376" t="e">
        <f t="shared" si="183"/>
        <v>#DIV/0!</v>
      </c>
      <c r="AX104" s="376" t="e">
        <f t="shared" si="183"/>
        <v>#DIV/0!</v>
      </c>
      <c r="AY104" s="376" t="e">
        <f t="shared" si="183"/>
        <v>#DIV/0!</v>
      </c>
      <c r="AZ104" s="376" t="e">
        <f t="shared" si="183"/>
        <v>#DIV/0!</v>
      </c>
      <c r="BA104" s="376" t="e">
        <f t="shared" si="183"/>
        <v>#DIV/0!</v>
      </c>
      <c r="BB104" s="376" t="e">
        <f t="shared" si="183"/>
        <v>#DIV/0!</v>
      </c>
      <c r="BC104" s="376" t="e">
        <f t="shared" si="183"/>
        <v>#DIV/0!</v>
      </c>
      <c r="BD104" s="376" t="e">
        <f t="shared" si="183"/>
        <v>#DIV/0!</v>
      </c>
      <c r="BE104" s="376" t="e">
        <f>(AB104-N104)/N104</f>
        <v>#DIV/0!</v>
      </c>
      <c r="BF104" s="376" t="e">
        <f t="shared" si="183"/>
        <v>#DIV/0!</v>
      </c>
      <c r="BG104" s="376" t="e">
        <f t="shared" si="183"/>
        <v>#DIV/0!</v>
      </c>
      <c r="BI104" s="504">
        <f>BI26/BI27</f>
        <v>0</v>
      </c>
      <c r="BJ104" s="504">
        <f>BJ26/BJ27</f>
        <v>0</v>
      </c>
      <c r="BK104" s="504">
        <f>BK26/BK27</f>
        <v>0</v>
      </c>
      <c r="BL104" s="504">
        <f>BL26/BL27</f>
        <v>0</v>
      </c>
      <c r="BM104" s="504">
        <f>BM26/BM27</f>
        <v>0</v>
      </c>
      <c r="BO104" s="506">
        <f>BO26/BO27</f>
        <v>8.2047332206793916E-2</v>
      </c>
      <c r="BP104" s="506">
        <f>BP26/BP27</f>
        <v>9.6361818985106276E-2</v>
      </c>
      <c r="BQ104" s="504">
        <f>BQ26/BQ27</f>
        <v>6.3496166358110825E-2</v>
      </c>
      <c r="BR104" s="504" t="e">
        <f>BR26/BR27</f>
        <v>#DIV/0!</v>
      </c>
      <c r="BS104" s="504">
        <f>BS26/BS27</f>
        <v>7.0958451479390339E-2</v>
      </c>
      <c r="BU104" s="353" t="e">
        <f t="shared" si="184"/>
        <v>#DIV/0!</v>
      </c>
      <c r="BV104" s="353" t="e">
        <f t="shared" si="184"/>
        <v>#DIV/0!</v>
      </c>
      <c r="BW104" s="353" t="e">
        <f t="shared" si="184"/>
        <v>#DIV/0!</v>
      </c>
      <c r="BX104" s="353" t="e">
        <f t="shared" si="184"/>
        <v>#DIV/0!</v>
      </c>
      <c r="BY104" s="353" t="e">
        <f t="shared" si="184"/>
        <v>#DIV/0!</v>
      </c>
    </row>
    <row r="105" spans="1:77" ht="16.5" thickTop="1">
      <c r="A105" s="466"/>
      <c r="B105" s="374"/>
      <c r="C105" s="341"/>
      <c r="D105" s="343"/>
      <c r="E105" s="343"/>
      <c r="F105" s="343"/>
      <c r="G105" s="343"/>
      <c r="H105" s="343"/>
      <c r="I105" s="343"/>
      <c r="J105" s="343"/>
      <c r="K105" s="343"/>
      <c r="L105" s="343"/>
      <c r="M105" s="343"/>
      <c r="N105" s="343"/>
      <c r="O105" s="343"/>
      <c r="P105" s="343"/>
      <c r="Q105" s="357"/>
      <c r="R105" s="510"/>
      <c r="S105" s="510"/>
      <c r="T105" s="510"/>
      <c r="U105" s="510"/>
      <c r="V105" s="510"/>
      <c r="W105" s="510"/>
      <c r="X105" s="510"/>
      <c r="Y105" s="510"/>
      <c r="Z105" s="510"/>
      <c r="AA105" s="510"/>
      <c r="AB105" s="511"/>
      <c r="AC105" s="510"/>
      <c r="AD105" s="510"/>
      <c r="AE105" s="360"/>
      <c r="AF105" s="361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1"/>
      <c r="AU105" s="375"/>
      <c r="AV105" s="375"/>
      <c r="AW105" s="375"/>
      <c r="AX105" s="375"/>
      <c r="AY105" s="375"/>
      <c r="AZ105" s="375"/>
      <c r="BA105" s="375"/>
      <c r="BB105" s="375"/>
      <c r="BC105" s="375"/>
      <c r="BD105" s="375"/>
      <c r="BE105" s="375"/>
      <c r="BF105" s="375"/>
      <c r="BG105" s="375"/>
      <c r="BI105" s="510"/>
      <c r="BJ105" s="510"/>
      <c r="BK105" s="510"/>
      <c r="BL105" s="510"/>
      <c r="BM105" s="510"/>
      <c r="BO105" s="510"/>
      <c r="BP105" s="510"/>
      <c r="BQ105" s="510"/>
      <c r="BR105" s="510"/>
      <c r="BS105" s="510"/>
      <c r="BU105" s="346"/>
      <c r="BV105" s="346"/>
      <c r="BW105" s="346"/>
      <c r="BX105" s="346"/>
      <c r="BY105" s="346"/>
    </row>
    <row r="106" spans="1:77">
      <c r="A106" s="874" t="s">
        <v>66</v>
      </c>
      <c r="B106" s="454" t="s">
        <v>68</v>
      </c>
      <c r="C106" s="455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69"/>
      <c r="Q106" s="430"/>
      <c r="R106" s="479" t="e">
        <f>SUM(R5,R13,R17,#REF!,#REF!,R25)/R28</f>
        <v>#REF!</v>
      </c>
      <c r="S106" s="479" t="e">
        <f>SUM(S5,S13,S17,#REF!,#REF!,S25)/S28</f>
        <v>#REF!</v>
      </c>
      <c r="T106" s="479" t="e">
        <f>SUM(T5,T13,T17,#REF!,#REF!,T25)/T28</f>
        <v>#REF!</v>
      </c>
      <c r="U106" s="479" t="e">
        <f>SUM(U5,U13,U17,#REF!,#REF!,U25)/U28</f>
        <v>#REF!</v>
      </c>
      <c r="V106" s="479" t="e">
        <f>SUM(V5,V13,V17,#REF!,#REF!,V25)/V28</f>
        <v>#REF!</v>
      </c>
      <c r="W106" s="479" t="e">
        <f>SUM(W5,W13,W17,#REF!,#REF!,W25)/W28</f>
        <v>#REF!</v>
      </c>
      <c r="X106" s="479" t="e">
        <f>SUM(X5,X13,X17,#REF!,#REF!,X25)/X28</f>
        <v>#REF!</v>
      </c>
      <c r="Y106" s="479" t="e">
        <f>SUM(Y5,Y13,Y17,#REF!,#REF!,Y25)/Y28</f>
        <v>#REF!</v>
      </c>
      <c r="Z106" s="479" t="e">
        <f>SUM(Z5,Z13,Z17,#REF!,#REF!,Z25)/Z28</f>
        <v>#REF!</v>
      </c>
      <c r="AA106" s="479" t="e">
        <f>SUM(AA5,AA13,AA17,#REF!,#REF!,AA25)/AA28</f>
        <v>#REF!</v>
      </c>
      <c r="AB106" s="497" t="e">
        <f>SUM(AB5,AB13,AB17,#REF!,#REF!,AB25)/AB28</f>
        <v>#REF!</v>
      </c>
      <c r="AC106" s="479" t="e">
        <f>SUM(AC5,AC13,AC17,#REF!,#REF!,AC25)/AC28</f>
        <v>#REF!</v>
      </c>
      <c r="AD106" s="479" t="e">
        <f>SUM(AD5,AD13,AD17,#REF!,#REF!,AD25)/AD28</f>
        <v>#REF!</v>
      </c>
      <c r="AE106" s="429"/>
      <c r="AF106" s="430"/>
      <c r="AG106" s="431" t="e">
        <f t="shared" ref="AG106:AR107" si="186">R106-D106</f>
        <v>#REF!</v>
      </c>
      <c r="AH106" s="431" t="e">
        <f t="shared" si="186"/>
        <v>#REF!</v>
      </c>
      <c r="AI106" s="431" t="e">
        <f t="shared" si="186"/>
        <v>#REF!</v>
      </c>
      <c r="AJ106" s="431" t="e">
        <f t="shared" si="186"/>
        <v>#REF!</v>
      </c>
      <c r="AK106" s="431" t="e">
        <f t="shared" si="186"/>
        <v>#REF!</v>
      </c>
      <c r="AL106" s="431" t="e">
        <f t="shared" si="186"/>
        <v>#REF!</v>
      </c>
      <c r="AM106" s="431" t="e">
        <f t="shared" si="186"/>
        <v>#REF!</v>
      </c>
      <c r="AN106" s="431" t="e">
        <f t="shared" si="186"/>
        <v>#REF!</v>
      </c>
      <c r="AO106" s="431" t="e">
        <f t="shared" si="186"/>
        <v>#REF!</v>
      </c>
      <c r="AP106" s="431" t="e">
        <f t="shared" si="186"/>
        <v>#REF!</v>
      </c>
      <c r="AQ106" s="431" t="e">
        <f>AB106-N106</f>
        <v>#REF!</v>
      </c>
      <c r="AR106" s="431" t="e">
        <f t="shared" si="186"/>
        <v>#REF!</v>
      </c>
      <c r="AS106" s="431" t="e">
        <f>SUM(AG106:AR106)</f>
        <v>#REF!</v>
      </c>
      <c r="AT106" s="430"/>
      <c r="AU106" s="433" t="e">
        <f t="shared" ref="AU106:BG107" si="187">(R106-D106)/D106</f>
        <v>#REF!</v>
      </c>
      <c r="AV106" s="433" t="e">
        <f t="shared" si="187"/>
        <v>#REF!</v>
      </c>
      <c r="AW106" s="433" t="e">
        <f t="shared" si="187"/>
        <v>#REF!</v>
      </c>
      <c r="AX106" s="433" t="e">
        <f t="shared" si="187"/>
        <v>#REF!</v>
      </c>
      <c r="AY106" s="433" t="e">
        <f t="shared" si="187"/>
        <v>#REF!</v>
      </c>
      <c r="AZ106" s="433" t="e">
        <f t="shared" si="187"/>
        <v>#REF!</v>
      </c>
      <c r="BA106" s="433" t="e">
        <f t="shared" si="187"/>
        <v>#REF!</v>
      </c>
      <c r="BB106" s="433" t="e">
        <f t="shared" si="187"/>
        <v>#REF!</v>
      </c>
      <c r="BC106" s="433" t="e">
        <f t="shared" si="187"/>
        <v>#REF!</v>
      </c>
      <c r="BD106" s="433" t="e">
        <f t="shared" si="187"/>
        <v>#REF!</v>
      </c>
      <c r="BE106" s="433" t="e">
        <f>(AB106-N106)/N106</f>
        <v>#REF!</v>
      </c>
      <c r="BF106" s="433" t="e">
        <f t="shared" si="187"/>
        <v>#REF!</v>
      </c>
      <c r="BG106" s="433" t="e">
        <f t="shared" si="187"/>
        <v>#REF!</v>
      </c>
      <c r="BI106" s="479" t="e">
        <f>SUM(BI5,BI13,BI17,#REF!,#REF!,BI25)/BI28</f>
        <v>#REF!</v>
      </c>
      <c r="BJ106" s="479" t="e">
        <f>SUM(BJ5,BJ13,BJ17,#REF!,#REF!,BJ25)/BJ28</f>
        <v>#REF!</v>
      </c>
      <c r="BK106" s="479" t="e">
        <f>SUM(BK5,BK13,BK17,#REF!,#REF!,BK25)/BK28</f>
        <v>#REF!</v>
      </c>
      <c r="BL106" s="479" t="e">
        <f>SUM(BL5,BL13,BL17,#REF!,#REF!,BL25)/BL28</f>
        <v>#REF!</v>
      </c>
      <c r="BM106" s="479" t="e">
        <f>SUM(BM5,BM13,BM17,#REF!,#REF!,BM25)/BM28</f>
        <v>#REF!</v>
      </c>
      <c r="BO106" s="479" t="e">
        <f>SUM(BO5,BO13,BO17,#REF!,#REF!,BO25)/BO28</f>
        <v>#REF!</v>
      </c>
      <c r="BP106" s="479" t="e">
        <f>SUM(BP5,BP13,BP17,#REF!,#REF!,BP25)/BP28</f>
        <v>#REF!</v>
      </c>
      <c r="BQ106" s="479" t="e">
        <f>SUM(BQ5,BQ13,BQ17,#REF!,#REF!,BQ25)/BQ28</f>
        <v>#REF!</v>
      </c>
      <c r="BR106" s="479" t="e">
        <f>SUM(BR5,BR13,BR17,#REF!,#REF!,BR25)/BR28</f>
        <v>#REF!</v>
      </c>
      <c r="BS106" s="479" t="e">
        <f>SUM(BS5,BS13,BS17,#REF!,#REF!,BS25)/BS28</f>
        <v>#REF!</v>
      </c>
      <c r="BU106" s="401" t="e">
        <f t="shared" ref="BU106:BY107" si="188">BO106/BI106</f>
        <v>#REF!</v>
      </c>
      <c r="BV106" s="401" t="e">
        <f t="shared" si="188"/>
        <v>#REF!</v>
      </c>
      <c r="BW106" s="401" t="e">
        <f t="shared" si="188"/>
        <v>#REF!</v>
      </c>
      <c r="BX106" s="401" t="e">
        <f t="shared" si="188"/>
        <v>#REF!</v>
      </c>
      <c r="BY106" s="401" t="e">
        <f t="shared" si="188"/>
        <v>#REF!</v>
      </c>
    </row>
    <row r="107" spans="1:77" ht="15.75" thickBot="1">
      <c r="A107" s="875"/>
      <c r="B107" s="487" t="s">
        <v>69</v>
      </c>
      <c r="C107" s="460"/>
      <c r="D107" s="472"/>
      <c r="E107" s="472"/>
      <c r="F107" s="472"/>
      <c r="G107" s="472"/>
      <c r="H107" s="472"/>
      <c r="I107" s="472"/>
      <c r="J107" s="472"/>
      <c r="K107" s="472"/>
      <c r="L107" s="472"/>
      <c r="M107" s="472"/>
      <c r="N107" s="472"/>
      <c r="O107" s="472"/>
      <c r="P107" s="472"/>
      <c r="Q107" s="430"/>
      <c r="R107" s="489" t="e">
        <f>1-R106</f>
        <v>#REF!</v>
      </c>
      <c r="S107" s="489" t="e">
        <f t="shared" ref="S107:AD107" si="189">1-S106</f>
        <v>#REF!</v>
      </c>
      <c r="T107" s="489" t="e">
        <f t="shared" si="189"/>
        <v>#REF!</v>
      </c>
      <c r="U107" s="489" t="e">
        <f t="shared" si="189"/>
        <v>#REF!</v>
      </c>
      <c r="V107" s="489" t="e">
        <f t="shared" si="189"/>
        <v>#REF!</v>
      </c>
      <c r="W107" s="489" t="e">
        <f t="shared" si="189"/>
        <v>#REF!</v>
      </c>
      <c r="X107" s="489" t="e">
        <f t="shared" si="189"/>
        <v>#REF!</v>
      </c>
      <c r="Y107" s="489" t="e">
        <f t="shared" si="189"/>
        <v>#REF!</v>
      </c>
      <c r="Z107" s="489" t="e">
        <f t="shared" si="189"/>
        <v>#REF!</v>
      </c>
      <c r="AA107" s="489" t="e">
        <f t="shared" si="189"/>
        <v>#REF!</v>
      </c>
      <c r="AB107" s="499" t="e">
        <f t="shared" si="189"/>
        <v>#REF!</v>
      </c>
      <c r="AC107" s="489" t="e">
        <f t="shared" si="189"/>
        <v>#REF!</v>
      </c>
      <c r="AD107" s="489" t="e">
        <f t="shared" si="189"/>
        <v>#REF!</v>
      </c>
      <c r="AE107" s="429"/>
      <c r="AF107" s="430"/>
      <c r="AG107" s="436" t="e">
        <f t="shared" si="186"/>
        <v>#REF!</v>
      </c>
      <c r="AH107" s="436" t="e">
        <f t="shared" si="186"/>
        <v>#REF!</v>
      </c>
      <c r="AI107" s="436" t="e">
        <f t="shared" si="186"/>
        <v>#REF!</v>
      </c>
      <c r="AJ107" s="436" t="e">
        <f t="shared" si="186"/>
        <v>#REF!</v>
      </c>
      <c r="AK107" s="436" t="e">
        <f t="shared" si="186"/>
        <v>#REF!</v>
      </c>
      <c r="AL107" s="436" t="e">
        <f t="shared" si="186"/>
        <v>#REF!</v>
      </c>
      <c r="AM107" s="436" t="e">
        <f t="shared" si="186"/>
        <v>#REF!</v>
      </c>
      <c r="AN107" s="436" t="e">
        <f t="shared" si="186"/>
        <v>#REF!</v>
      </c>
      <c r="AO107" s="436" t="e">
        <f t="shared" si="186"/>
        <v>#REF!</v>
      </c>
      <c r="AP107" s="436" t="e">
        <f t="shared" si="186"/>
        <v>#REF!</v>
      </c>
      <c r="AQ107" s="436" t="e">
        <f>AB107-N107</f>
        <v>#REF!</v>
      </c>
      <c r="AR107" s="436" t="e">
        <f t="shared" si="186"/>
        <v>#REF!</v>
      </c>
      <c r="AS107" s="436" t="e">
        <f>SUM(AG107:AR107)</f>
        <v>#REF!</v>
      </c>
      <c r="AT107" s="430"/>
      <c r="AU107" s="376" t="e">
        <f t="shared" si="187"/>
        <v>#REF!</v>
      </c>
      <c r="AV107" s="376" t="e">
        <f t="shared" si="187"/>
        <v>#REF!</v>
      </c>
      <c r="AW107" s="376" t="e">
        <f t="shared" si="187"/>
        <v>#REF!</v>
      </c>
      <c r="AX107" s="376" t="e">
        <f t="shared" si="187"/>
        <v>#REF!</v>
      </c>
      <c r="AY107" s="376" t="e">
        <f t="shared" si="187"/>
        <v>#REF!</v>
      </c>
      <c r="AZ107" s="376" t="e">
        <f t="shared" si="187"/>
        <v>#REF!</v>
      </c>
      <c r="BA107" s="376" t="e">
        <f t="shared" si="187"/>
        <v>#REF!</v>
      </c>
      <c r="BB107" s="376" t="e">
        <f t="shared" si="187"/>
        <v>#REF!</v>
      </c>
      <c r="BC107" s="376" t="e">
        <f t="shared" si="187"/>
        <v>#REF!</v>
      </c>
      <c r="BD107" s="376" t="e">
        <f t="shared" si="187"/>
        <v>#REF!</v>
      </c>
      <c r="BE107" s="376" t="e">
        <f>(AB107-N107)/N107</f>
        <v>#REF!</v>
      </c>
      <c r="BF107" s="376" t="e">
        <f t="shared" si="187"/>
        <v>#REF!</v>
      </c>
      <c r="BG107" s="376" t="e">
        <f t="shared" si="187"/>
        <v>#REF!</v>
      </c>
      <c r="BI107" s="489" t="e">
        <f>1-BI106</f>
        <v>#REF!</v>
      </c>
      <c r="BJ107" s="489" t="e">
        <f>1-BJ106</f>
        <v>#REF!</v>
      </c>
      <c r="BK107" s="489" t="e">
        <f>1-BK106</f>
        <v>#REF!</v>
      </c>
      <c r="BL107" s="489" t="e">
        <f>1-BL106</f>
        <v>#REF!</v>
      </c>
      <c r="BM107" s="489" t="e">
        <f>1-BM106</f>
        <v>#REF!</v>
      </c>
      <c r="BO107" s="489" t="e">
        <f>1-BO106</f>
        <v>#REF!</v>
      </c>
      <c r="BP107" s="489" t="e">
        <f>1-BP106</f>
        <v>#REF!</v>
      </c>
      <c r="BQ107" s="489" t="e">
        <f>1-BQ106</f>
        <v>#REF!</v>
      </c>
      <c r="BR107" s="489" t="e">
        <f>1-BR106</f>
        <v>#REF!</v>
      </c>
      <c r="BS107" s="489" t="e">
        <f>1-BS106</f>
        <v>#REF!</v>
      </c>
      <c r="BU107" s="353" t="e">
        <f t="shared" si="188"/>
        <v>#REF!</v>
      </c>
      <c r="BV107" s="353" t="e">
        <f t="shared" si="188"/>
        <v>#REF!</v>
      </c>
      <c r="BW107" s="353" t="e">
        <f t="shared" si="188"/>
        <v>#REF!</v>
      </c>
      <c r="BX107" s="353" t="e">
        <f t="shared" si="188"/>
        <v>#REF!</v>
      </c>
      <c r="BY107" s="353" t="e">
        <f t="shared" si="188"/>
        <v>#REF!</v>
      </c>
    </row>
    <row r="108" spans="1:77" ht="15.75" thickTop="1"/>
  </sheetData>
  <mergeCells count="17">
    <mergeCell ref="A94:A95"/>
    <mergeCell ref="A97:A98"/>
    <mergeCell ref="A100:A101"/>
    <mergeCell ref="A103:A104"/>
    <mergeCell ref="A106:A107"/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G29"/>
  <sheetViews>
    <sheetView workbookViewId="0">
      <selection activeCell="C2" sqref="C2"/>
    </sheetView>
  </sheetViews>
  <sheetFormatPr defaultColWidth="8.85546875" defaultRowHeight="15"/>
  <cols>
    <col min="15" max="15" width="9.140625" bestFit="1" customWidth="1"/>
  </cols>
  <sheetData>
    <row r="2" spans="2:33">
      <c r="B2" s="637" t="s">
        <v>1</v>
      </c>
      <c r="C2" s="634" t="s">
        <v>35</v>
      </c>
      <c r="D2" s="634" t="s">
        <v>36</v>
      </c>
      <c r="E2" s="634" t="s">
        <v>37</v>
      </c>
      <c r="F2" s="635" t="s">
        <v>148</v>
      </c>
      <c r="K2" s="637" t="s">
        <v>26</v>
      </c>
      <c r="L2" s="634" t="s">
        <v>35</v>
      </c>
      <c r="M2" s="634" t="s">
        <v>36</v>
      </c>
      <c r="N2" s="634" t="s">
        <v>37</v>
      </c>
      <c r="O2" s="635" t="s">
        <v>148</v>
      </c>
      <c r="T2" s="637" t="s">
        <v>2</v>
      </c>
      <c r="U2" s="634" t="s">
        <v>35</v>
      </c>
      <c r="V2" s="634" t="s">
        <v>36</v>
      </c>
      <c r="W2" s="634" t="s">
        <v>37</v>
      </c>
      <c r="X2" s="635" t="s">
        <v>148</v>
      </c>
      <c r="AC2" s="637" t="s">
        <v>27</v>
      </c>
      <c r="AD2" s="634" t="s">
        <v>35</v>
      </c>
      <c r="AE2" s="634" t="s">
        <v>36</v>
      </c>
      <c r="AF2" s="634" t="s">
        <v>37</v>
      </c>
      <c r="AG2" s="635" t="s">
        <v>148</v>
      </c>
    </row>
    <row r="3" spans="2:33">
      <c r="B3" s="116" t="s">
        <v>100</v>
      </c>
      <c r="C3" s="555">
        <f>'Revenue Summary'!E4</f>
        <v>210984.02699999997</v>
      </c>
      <c r="D3" s="555">
        <f>'Revenue Summary'!F4</f>
        <v>216045.23000000007</v>
      </c>
      <c r="E3" s="555">
        <f>'Revenue Summary'!G4</f>
        <v>267647.23000000004</v>
      </c>
      <c r="F3" s="636">
        <f>SUM(C3:E3)</f>
        <v>694676.48700000008</v>
      </c>
      <c r="K3" s="116" t="s">
        <v>100</v>
      </c>
      <c r="L3" s="555">
        <f>'Revenue Summary'!E5</f>
        <v>347607.14743965771</v>
      </c>
      <c r="M3" s="555">
        <f>'Revenue Summary'!F5</f>
        <v>310242.36079292529</v>
      </c>
      <c r="N3" s="555">
        <f>'Revenue Summary'!G5</f>
        <v>382902.97477119998</v>
      </c>
      <c r="O3" s="636">
        <f>SUM(L3:N3)</f>
        <v>1040752.483003783</v>
      </c>
      <c r="T3" s="116" t="s">
        <v>100</v>
      </c>
      <c r="U3" s="555">
        <f>'Revenue Summary'!E6</f>
        <v>118464.40869439059</v>
      </c>
      <c r="V3" s="555">
        <f>'Revenue Summary'!F6</f>
        <v>105730.50092321732</v>
      </c>
      <c r="W3" s="555">
        <f>'Revenue Summary'!G6</f>
        <v>130493.21576872235</v>
      </c>
      <c r="X3" s="636">
        <f>SUM(U3:W3)</f>
        <v>354688.12538633024</v>
      </c>
      <c r="AC3" s="116" t="s">
        <v>100</v>
      </c>
      <c r="AD3" s="555">
        <f>'Revenue Summary'!E7</f>
        <v>13623.456484334463</v>
      </c>
      <c r="AE3" s="555">
        <f>'Revenue Summary'!F7</f>
        <v>12159.051771492457</v>
      </c>
      <c r="AF3" s="555">
        <f>'Revenue Summary'!G7</f>
        <v>15006.774322507856</v>
      </c>
      <c r="AG3" s="636">
        <f>SUM(AD3:AF3)</f>
        <v>40789.28257833478</v>
      </c>
    </row>
    <row r="4" spans="2:33">
      <c r="B4" s="116" t="s">
        <v>29</v>
      </c>
      <c r="C4" s="555">
        <f>'Revenue Summary'!AS4</f>
        <v>209305.28000000003</v>
      </c>
      <c r="D4" s="555">
        <f>'Revenue Summary'!AT4</f>
        <v>215749.06065099995</v>
      </c>
      <c r="E4" s="555">
        <f>'Revenue Summary'!AU4</f>
        <v>267458.62524299999</v>
      </c>
      <c r="F4" s="636">
        <f>SUM(C4:E4)</f>
        <v>692512.96589399991</v>
      </c>
      <c r="K4" s="116" t="s">
        <v>29</v>
      </c>
      <c r="L4" s="555">
        <f>'Revenue Summary'!AS5</f>
        <v>274067.39600499993</v>
      </c>
      <c r="M4" s="555">
        <f>'Revenue Summary'!AT5</f>
        <v>269645.51232699992</v>
      </c>
      <c r="N4" s="555">
        <f>'Revenue Summary'!AU5</f>
        <v>515836.44359899999</v>
      </c>
      <c r="O4" s="636">
        <f>SUM(L4:N4)</f>
        <v>1059549.3519309997</v>
      </c>
      <c r="T4" s="116" t="s">
        <v>29</v>
      </c>
      <c r="U4" s="555">
        <f>'Revenue Summary'!AS6</f>
        <v>146115.793493</v>
      </c>
      <c r="V4" s="555">
        <f>'Revenue Summary'!AT6</f>
        <v>116245.57551000001</v>
      </c>
      <c r="W4" s="555">
        <f>'Revenue Summary'!AU6</f>
        <v>166621.43036999996</v>
      </c>
      <c r="X4" s="636">
        <f>SUM(U4:W4)</f>
        <v>428982.79937299999</v>
      </c>
      <c r="AC4" s="116" t="s">
        <v>29</v>
      </c>
      <c r="AD4" s="555">
        <f>'Revenue Summary'!AS7</f>
        <v>15588.980986999999</v>
      </c>
      <c r="AE4" s="555">
        <f>'Revenue Summary'!AT7</f>
        <v>16095.788096999999</v>
      </c>
      <c r="AF4" s="555">
        <f>'Revenue Summary'!AU7</f>
        <v>36862.056037999988</v>
      </c>
      <c r="AG4" s="636">
        <f>SUM(AD4:AF4)</f>
        <v>68546.82512199998</v>
      </c>
    </row>
    <row r="5" spans="2:33">
      <c r="B5" s="638" t="s">
        <v>82</v>
      </c>
      <c r="C5" s="639">
        <f>C4/C3</f>
        <v>0.99204325074333732</v>
      </c>
      <c r="D5" s="639">
        <f>D4/D3</f>
        <v>0.99862913266356257</v>
      </c>
      <c r="E5" s="639">
        <f>E4/E3</f>
        <v>0.99929532333661719</v>
      </c>
      <c r="F5" s="640">
        <f>F4/F3</f>
        <v>0.99688557026689728</v>
      </c>
      <c r="K5" s="638" t="s">
        <v>82</v>
      </c>
      <c r="L5" s="639">
        <f>L4/L3</f>
        <v>0.78844004797851919</v>
      </c>
      <c r="M5" s="639">
        <f>M4/M3</f>
        <v>0.86914472813394372</v>
      </c>
      <c r="N5" s="639">
        <f>N4/N3</f>
        <v>1.3471727241273932</v>
      </c>
      <c r="O5" s="640">
        <f>O4/O3</f>
        <v>1.0180608446620909</v>
      </c>
      <c r="T5" s="638" t="s">
        <v>82</v>
      </c>
      <c r="U5" s="639">
        <f>U4/U3</f>
        <v>1.233415125296774</v>
      </c>
      <c r="V5" s="639">
        <f>V4/V3</f>
        <v>1.0994516671629018</v>
      </c>
      <c r="W5" s="639">
        <f>W4/W3</f>
        <v>1.2768589492446021</v>
      </c>
      <c r="X5" s="640">
        <f>X4/X3</f>
        <v>1.2094647908095235</v>
      </c>
      <c r="AC5" s="638" t="s">
        <v>82</v>
      </c>
      <c r="AD5" s="639">
        <f>AD4/AD3</f>
        <v>1.1442750233705874</v>
      </c>
      <c r="AE5" s="639">
        <f>AE4/AE3</f>
        <v>1.32377001097548</v>
      </c>
      <c r="AF5" s="639">
        <f>AF4/AF3</f>
        <v>2.4563610570669119</v>
      </c>
      <c r="AG5" s="640">
        <f>AG4/AG3</f>
        <v>1.6805106829314183</v>
      </c>
    </row>
    <row r="27" spans="16:16">
      <c r="P27" s="554"/>
    </row>
    <row r="28" spans="16:16">
      <c r="P28" s="554"/>
    </row>
    <row r="29" spans="16:16">
      <c r="P29" s="633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G29"/>
  <sheetViews>
    <sheetView workbookViewId="0"/>
  </sheetViews>
  <sheetFormatPr defaultColWidth="8.85546875" defaultRowHeight="15"/>
  <cols>
    <col min="1" max="2" width="8.85546875" style="816"/>
    <col min="3" max="6" width="8.85546875" style="816" customWidth="1"/>
    <col min="7" max="11" width="8.85546875" style="816"/>
    <col min="12" max="14" width="8.85546875" style="816" customWidth="1"/>
    <col min="15" max="15" width="10.140625" style="816" bestFit="1" customWidth="1"/>
    <col min="16" max="20" width="8.85546875" style="816"/>
    <col min="21" max="24" width="8.85546875" style="816" customWidth="1"/>
    <col min="25" max="29" width="8.85546875" style="816"/>
    <col min="30" max="33" width="8.85546875" style="816" customWidth="1"/>
    <col min="34" max="16384" width="8.85546875" style="816"/>
  </cols>
  <sheetData>
    <row r="2" spans="2:33">
      <c r="B2" s="637" t="s">
        <v>1</v>
      </c>
      <c r="C2" s="634" t="s">
        <v>38</v>
      </c>
      <c r="D2" s="634" t="s">
        <v>39</v>
      </c>
      <c r="E2" s="634" t="s">
        <v>40</v>
      </c>
      <c r="F2" s="635" t="s">
        <v>207</v>
      </c>
      <c r="K2" s="637" t="s">
        <v>26</v>
      </c>
      <c r="L2" s="634" t="s">
        <v>38</v>
      </c>
      <c r="M2" s="634" t="s">
        <v>39</v>
      </c>
      <c r="N2" s="634" t="s">
        <v>40</v>
      </c>
      <c r="O2" s="635" t="s">
        <v>207</v>
      </c>
      <c r="T2" s="637" t="s">
        <v>2</v>
      </c>
      <c r="U2" s="634" t="s">
        <v>38</v>
      </c>
      <c r="V2" s="634" t="s">
        <v>39</v>
      </c>
      <c r="W2" s="634" t="s">
        <v>40</v>
      </c>
      <c r="X2" s="635" t="s">
        <v>207</v>
      </c>
      <c r="AC2" s="637" t="s">
        <v>27</v>
      </c>
      <c r="AD2" s="634" t="s">
        <v>38</v>
      </c>
      <c r="AE2" s="634" t="s">
        <v>39</v>
      </c>
      <c r="AF2" s="634" t="s">
        <v>40</v>
      </c>
      <c r="AG2" s="635" t="s">
        <v>207</v>
      </c>
    </row>
    <row r="3" spans="2:33">
      <c r="B3" s="116" t="s">
        <v>100</v>
      </c>
      <c r="C3" s="828">
        <f>'Revenue Summary'!H4</f>
        <v>291254.53000000003</v>
      </c>
      <c r="D3" s="828">
        <f>'Revenue Summary'!I4</f>
        <v>322226.97000000003</v>
      </c>
      <c r="E3" s="828">
        <f>'Revenue Summary'!J4</f>
        <v>226505.22019899506</v>
      </c>
      <c r="F3" s="829">
        <f>SUM(C3:E3)</f>
        <v>839986.72019899508</v>
      </c>
      <c r="K3" s="116" t="s">
        <v>100</v>
      </c>
      <c r="L3" s="828">
        <f>'Revenue Summary'!H5</f>
        <v>402048.58660797658</v>
      </c>
      <c r="M3" s="828">
        <f>'Revenue Summary'!I5</f>
        <v>435568.61059202644</v>
      </c>
      <c r="N3" s="828">
        <f>'Revenue Summary'!J5</f>
        <v>427463.74202063092</v>
      </c>
      <c r="O3" s="829">
        <f>SUM(L3:N3)</f>
        <v>1265080.9392206341</v>
      </c>
      <c r="T3" s="116" t="s">
        <v>100</v>
      </c>
      <c r="U3" s="828">
        <f>'Revenue Summary'!H6</f>
        <v>137018.03438088796</v>
      </c>
      <c r="V3" s="828">
        <f>'Revenue Summary'!I6</f>
        <v>148441.64822180182</v>
      </c>
      <c r="W3" s="828">
        <f>'Revenue Summary'!J6</f>
        <v>145679.5115110692</v>
      </c>
      <c r="X3" s="829">
        <f>SUM(U3:W3)</f>
        <v>431139.19411375897</v>
      </c>
      <c r="AC3" s="116" t="s">
        <v>100</v>
      </c>
      <c r="AD3" s="828">
        <f>'Revenue Summary'!H7</f>
        <v>15757.131188428062</v>
      </c>
      <c r="AE3" s="828">
        <f>'Revenue Summary'!I7</f>
        <v>17070.851551959495</v>
      </c>
      <c r="AF3" s="828">
        <f>'Revenue Summary'!J7</f>
        <v>16753.20467643653</v>
      </c>
      <c r="AG3" s="829">
        <f>SUM(AD3:AF3)</f>
        <v>49581.187416824083</v>
      </c>
    </row>
    <row r="4" spans="2:33">
      <c r="B4" s="116" t="s">
        <v>29</v>
      </c>
      <c r="C4" s="828">
        <f>'Revenue Summary'!AV4</f>
        <v>290768.39</v>
      </c>
      <c r="D4" s="828">
        <f>'Revenue Summary'!AW4</f>
        <v>321801.61</v>
      </c>
      <c r="E4" s="828">
        <f>'Revenue Summary'!AX4</f>
        <v>299526.49</v>
      </c>
      <c r="F4" s="829">
        <f>SUM(C4:E4)</f>
        <v>912096.49</v>
      </c>
      <c r="K4" s="116" t="s">
        <v>29</v>
      </c>
      <c r="L4" s="828">
        <f>'Revenue Summary'!AV5</f>
        <v>462823.83</v>
      </c>
      <c r="M4" s="828">
        <f>'Revenue Summary'!AW5</f>
        <v>482583.79</v>
      </c>
      <c r="N4" s="828">
        <f>'Revenue Summary'!AX5</f>
        <v>472634.07</v>
      </c>
      <c r="O4" s="829">
        <f>SUM(L4:N4)</f>
        <v>1418041.69</v>
      </c>
      <c r="T4" s="116" t="s">
        <v>29</v>
      </c>
      <c r="U4" s="828">
        <f>'Revenue Summary'!AV6</f>
        <v>167993.08000000002</v>
      </c>
      <c r="V4" s="828">
        <f>'Revenue Summary'!AW6</f>
        <v>205207.7</v>
      </c>
      <c r="W4" s="828">
        <f>'Revenue Summary'!AX6</f>
        <v>230738.49</v>
      </c>
      <c r="X4" s="829">
        <f>SUM(U4:W4)</f>
        <v>603939.27</v>
      </c>
      <c r="AC4" s="116" t="s">
        <v>29</v>
      </c>
      <c r="AD4" s="828">
        <f>'Revenue Summary'!AV7</f>
        <v>120675.02</v>
      </c>
      <c r="AE4" s="828">
        <f>'Revenue Summary'!AW7</f>
        <v>178209.89</v>
      </c>
      <c r="AF4" s="828">
        <f>'Revenue Summary'!AX7</f>
        <v>51287.92</v>
      </c>
      <c r="AG4" s="829">
        <f>SUM(AD4:AF4)</f>
        <v>350172.83</v>
      </c>
    </row>
    <row r="5" spans="2:33">
      <c r="B5" s="638" t="s">
        <v>82</v>
      </c>
      <c r="C5" s="639">
        <f>C4/C3</f>
        <v>0.99833087574637891</v>
      </c>
      <c r="D5" s="639">
        <f>D4/D3</f>
        <v>0.9986799366918292</v>
      </c>
      <c r="E5" s="639">
        <f>E4/E3</f>
        <v>1.3223822821251203</v>
      </c>
      <c r="F5" s="640">
        <f>F4/F3</f>
        <v>1.0858463212179377</v>
      </c>
      <c r="K5" s="638" t="s">
        <v>82</v>
      </c>
      <c r="L5" s="639">
        <f t="shared" ref="L5:N5" si="0">L4/L3</f>
        <v>1.1511639274864141</v>
      </c>
      <c r="M5" s="639">
        <f t="shared" si="0"/>
        <v>1.1079397786357248</v>
      </c>
      <c r="N5" s="639">
        <f t="shared" si="0"/>
        <v>1.105670548257141</v>
      </c>
      <c r="O5" s="640">
        <f>O4/O3</f>
        <v>1.1209098533044051</v>
      </c>
      <c r="T5" s="638" t="s">
        <v>82</v>
      </c>
      <c r="U5" s="639">
        <f t="shared" ref="U5:W5" si="1">U4/U3</f>
        <v>1.2260654647329596</v>
      </c>
      <c r="V5" s="639">
        <f t="shared" si="1"/>
        <v>1.3824132408808762</v>
      </c>
      <c r="W5" s="639">
        <f t="shared" si="1"/>
        <v>1.5838774279694625</v>
      </c>
      <c r="X5" s="640">
        <f>X4/X3</f>
        <v>1.4007988098633561</v>
      </c>
      <c r="AC5" s="638" t="s">
        <v>82</v>
      </c>
      <c r="AD5" s="639">
        <f t="shared" ref="AD5:AF5" si="2">AD4/AD3</f>
        <v>7.6584384909242225</v>
      </c>
      <c r="AE5" s="639">
        <f t="shared" si="2"/>
        <v>10.439425910158771</v>
      </c>
      <c r="AF5" s="639">
        <f t="shared" si="2"/>
        <v>3.0613796578356576</v>
      </c>
      <c r="AG5" s="640">
        <f>AG4/AG3</f>
        <v>7.0626148392964465</v>
      </c>
    </row>
    <row r="27" spans="16:16">
      <c r="P27" s="554"/>
    </row>
    <row r="28" spans="16:16">
      <c r="P28" s="554"/>
    </row>
    <row r="29" spans="16:16">
      <c r="P29" s="633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2578125" defaultRowHeight="15.75"/>
  <cols>
    <col min="1" max="1" width="3.42578125" style="515" customWidth="1"/>
    <col min="2" max="2" width="4.42578125" style="515" customWidth="1"/>
    <col min="3" max="3" width="30.140625" style="515" customWidth="1"/>
    <col min="4" max="4" width="16.42578125" style="515" bestFit="1" customWidth="1"/>
    <col min="5" max="6" width="15.140625" style="515" bestFit="1" customWidth="1"/>
    <col min="7" max="7" width="16.42578125" style="515" bestFit="1" customWidth="1"/>
    <col min="8" max="9" width="15.140625" style="515" bestFit="1" customWidth="1"/>
    <col min="10" max="10" width="16.42578125" style="515" bestFit="1" customWidth="1"/>
    <col min="11" max="12" width="15.140625" style="515" bestFit="1" customWidth="1"/>
    <col min="13" max="13" width="16.42578125" style="515" bestFit="1" customWidth="1"/>
    <col min="14" max="15" width="15.140625" style="515" bestFit="1" customWidth="1"/>
    <col min="16" max="16" width="16.42578125" style="514" bestFit="1" customWidth="1"/>
    <col min="17" max="17" width="13.42578125" style="515" bestFit="1" customWidth="1"/>
    <col min="18" max="20" width="15.42578125" style="515" bestFit="1" customWidth="1"/>
    <col min="21" max="22" width="17.42578125" style="515" customWidth="1"/>
    <col min="23" max="28" width="15.42578125" style="515" bestFit="1" customWidth="1"/>
    <col min="29" max="29" width="15.42578125" style="515" customWidth="1"/>
    <col min="30" max="30" width="17.85546875" style="515" customWidth="1"/>
    <col min="31" max="31" width="8" style="515" customWidth="1"/>
    <col min="32" max="44" width="17" style="515" customWidth="1"/>
    <col min="45" max="58" width="12" style="515" customWidth="1"/>
    <col min="59" max="16384" width="12.42578125" style="515"/>
  </cols>
  <sheetData>
    <row r="2" spans="1:58" s="514" customFormat="1">
      <c r="D2" s="514" t="s">
        <v>28</v>
      </c>
      <c r="R2" s="514" t="s">
        <v>29</v>
      </c>
      <c r="AF2" s="514" t="s">
        <v>81</v>
      </c>
      <c r="AT2" s="514" t="s">
        <v>82</v>
      </c>
    </row>
    <row r="3" spans="1:58">
      <c r="D3" s="516" t="s">
        <v>35</v>
      </c>
      <c r="E3" s="516" t="s">
        <v>36</v>
      </c>
      <c r="F3" s="516" t="s">
        <v>37</v>
      </c>
      <c r="G3" s="516" t="s">
        <v>38</v>
      </c>
      <c r="H3" s="516" t="s">
        <v>39</v>
      </c>
      <c r="I3" s="516" t="s">
        <v>40</v>
      </c>
      <c r="J3" s="516" t="s">
        <v>41</v>
      </c>
      <c r="K3" s="516" t="s">
        <v>42</v>
      </c>
      <c r="L3" s="516" t="s">
        <v>43</v>
      </c>
      <c r="M3" s="516" t="s">
        <v>44</v>
      </c>
      <c r="N3" s="516" t="s">
        <v>45</v>
      </c>
      <c r="O3" s="516" t="s">
        <v>46</v>
      </c>
      <c r="P3" s="516" t="s">
        <v>83</v>
      </c>
      <c r="R3" s="517" t="s">
        <v>35</v>
      </c>
      <c r="S3" s="517" t="s">
        <v>36</v>
      </c>
      <c r="T3" s="517" t="s">
        <v>37</v>
      </c>
      <c r="U3" s="517" t="s">
        <v>38</v>
      </c>
      <c r="V3" s="517" t="s">
        <v>39</v>
      </c>
      <c r="W3" s="517" t="s">
        <v>40</v>
      </c>
      <c r="X3" s="517" t="s">
        <v>41</v>
      </c>
      <c r="Y3" s="517" t="s">
        <v>42</v>
      </c>
      <c r="Z3" s="517" t="s">
        <v>43</v>
      </c>
      <c r="AA3" s="517" t="s">
        <v>44</v>
      </c>
      <c r="AB3" s="517" t="s">
        <v>45</v>
      </c>
      <c r="AC3" s="517" t="s">
        <v>46</v>
      </c>
      <c r="AD3" s="517" t="s">
        <v>84</v>
      </c>
      <c r="AF3" s="518" t="s">
        <v>35</v>
      </c>
      <c r="AG3" s="518" t="s">
        <v>36</v>
      </c>
      <c r="AH3" s="518" t="s">
        <v>37</v>
      </c>
      <c r="AI3" s="518" t="s">
        <v>38</v>
      </c>
      <c r="AJ3" s="518" t="s">
        <v>39</v>
      </c>
      <c r="AK3" s="518" t="s">
        <v>40</v>
      </c>
      <c r="AL3" s="518" t="s">
        <v>41</v>
      </c>
      <c r="AM3" s="518" t="s">
        <v>42</v>
      </c>
      <c r="AN3" s="518" t="s">
        <v>43</v>
      </c>
      <c r="AO3" s="518" t="s">
        <v>44</v>
      </c>
      <c r="AP3" s="518" t="s">
        <v>45</v>
      </c>
      <c r="AQ3" s="518" t="s">
        <v>46</v>
      </c>
      <c r="AR3" s="518" t="s">
        <v>84</v>
      </c>
      <c r="AT3" s="515" t="s">
        <v>35</v>
      </c>
      <c r="AU3" s="515" t="s">
        <v>36</v>
      </c>
      <c r="AV3" s="515" t="s">
        <v>37</v>
      </c>
      <c r="AW3" s="515" t="s">
        <v>38</v>
      </c>
      <c r="AX3" s="515" t="s">
        <v>39</v>
      </c>
      <c r="AY3" s="515" t="s">
        <v>40</v>
      </c>
      <c r="AZ3" s="515" t="s">
        <v>41</v>
      </c>
      <c r="BA3" s="515" t="s">
        <v>42</v>
      </c>
      <c r="BB3" s="515" t="s">
        <v>43</v>
      </c>
      <c r="BC3" s="515" t="s">
        <v>44</v>
      </c>
      <c r="BD3" s="515" t="s">
        <v>45</v>
      </c>
      <c r="BE3" s="515" t="s">
        <v>46</v>
      </c>
      <c r="BF3" s="515" t="s">
        <v>84</v>
      </c>
    </row>
    <row r="4" spans="1:58">
      <c r="A4" s="514" t="s">
        <v>85</v>
      </c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R4" s="519"/>
    </row>
    <row r="5" spans="1:58">
      <c r="B5" s="515" t="s">
        <v>86</v>
      </c>
    </row>
    <row r="6" spans="1:58">
      <c r="C6" s="515" t="s">
        <v>87</v>
      </c>
      <c r="D6" s="520">
        <f>'2018 VN YouTube View'!D6</f>
        <v>1335166149.4387507</v>
      </c>
      <c r="E6" s="520">
        <f>'2018 VN YouTube View'!E6</f>
        <v>1191647241.1562953</v>
      </c>
      <c r="F6" s="520">
        <f>'2018 VN YouTube View'!F6</f>
        <v>1470738142.7554038</v>
      </c>
      <c r="G6" s="520">
        <f>'2018 VN YouTube View'!G6</f>
        <v>1544276828.6628773</v>
      </c>
      <c r="H6" s="520">
        <f>'2018 VN YouTube View'!H6</f>
        <v>1673027925.0702024</v>
      </c>
      <c r="I6" s="520">
        <f>'2018 VN YouTube View'!I6</f>
        <v>1641896959.4330361</v>
      </c>
      <c r="J6" s="520">
        <f>'2018 VN YouTube View'!J6</f>
        <v>1772714825.7901452</v>
      </c>
      <c r="K6" s="520">
        <f>'2018 VN YouTube View'!K6</f>
        <v>1756166847.7385225</v>
      </c>
      <c r="L6" s="520">
        <f>'2018 VN YouTube View'!L6</f>
        <v>1852855368.8273141</v>
      </c>
      <c r="M6" s="520">
        <f>'2018 VN YouTube View'!M6</f>
        <v>1988091164.1564398</v>
      </c>
      <c r="N6" s="520">
        <f>'2018 VN YouTube View'!N6</f>
        <v>1897523535.7179615</v>
      </c>
      <c r="O6" s="520">
        <f>'2018 VN YouTube View'!O6</f>
        <v>2000895011.2530539</v>
      </c>
      <c r="P6" s="521">
        <f>SUM(D6:O6)</f>
        <v>20125000000.000004</v>
      </c>
      <c r="R6" s="520">
        <f>'2018 VN YouTube View'!R6</f>
        <v>864105685</v>
      </c>
      <c r="S6" s="520">
        <f>'2018 VN YouTube View'!S6</f>
        <v>833934912</v>
      </c>
      <c r="T6" s="520">
        <f>'2018 VN YouTube View'!T6</f>
        <v>1022301334</v>
      </c>
      <c r="U6" s="520">
        <f>'2018 VN YouTube View'!U6</f>
        <v>1058616918</v>
      </c>
      <c r="V6" s="520">
        <f>'2018 VN YouTube View'!V6</f>
        <v>1052403518</v>
      </c>
      <c r="W6" s="520">
        <f>'2018 VN YouTube View'!W6</f>
        <v>948155811</v>
      </c>
      <c r="X6" s="520">
        <f>'2018 VN YouTube View'!X6</f>
        <v>1119435530</v>
      </c>
      <c r="Y6" s="520">
        <f>'2018 VN YouTube View'!Y6</f>
        <v>1169289491</v>
      </c>
      <c r="Z6" s="520">
        <f>'2018 VN YouTube View'!Z6</f>
        <v>1116087537</v>
      </c>
      <c r="AA6" s="520">
        <f>'2018 VN YouTube View'!AA6</f>
        <v>0</v>
      </c>
      <c r="AB6" s="520">
        <f>'2018 VN YouTube View'!AB6</f>
        <v>0</v>
      </c>
      <c r="AC6" s="520">
        <f>'2018 VN YouTube View'!AC6</f>
        <v>0</v>
      </c>
      <c r="AD6" s="521">
        <f>SUM(R6:AC6)</f>
        <v>9184330736</v>
      </c>
      <c r="AF6" s="522">
        <f>R6-D6</f>
        <v>-471060464.43875074</v>
      </c>
      <c r="AG6" s="522">
        <f t="shared" ref="AG6:AQ9" si="0">S6-E6</f>
        <v>-357712329.1562953</v>
      </c>
      <c r="AH6" s="522">
        <f t="shared" si="0"/>
        <v>-448436808.75540376</v>
      </c>
      <c r="AI6" s="522">
        <f t="shared" si="0"/>
        <v>-485659910.66287732</v>
      </c>
      <c r="AJ6" s="522">
        <f t="shared" si="0"/>
        <v>-620624407.07020235</v>
      </c>
      <c r="AK6" s="522">
        <f t="shared" si="0"/>
        <v>-693741148.43303609</v>
      </c>
      <c r="AL6" s="522">
        <f t="shared" si="0"/>
        <v>-653279295.79014516</v>
      </c>
      <c r="AM6" s="522">
        <f t="shared" si="0"/>
        <v>-586877356.73852253</v>
      </c>
      <c r="AN6" s="522">
        <f t="shared" si="0"/>
        <v>-736767831.82731414</v>
      </c>
      <c r="AO6" s="522">
        <f t="shared" si="0"/>
        <v>-1988091164.1564398</v>
      </c>
      <c r="AP6" s="522">
        <f t="shared" si="0"/>
        <v>-1897523535.7179615</v>
      </c>
      <c r="AQ6" s="522">
        <f t="shared" si="0"/>
        <v>-2000895011.2530539</v>
      </c>
      <c r="AR6" s="521">
        <f>SUM(AF6:AQ6)</f>
        <v>-10940669264.000002</v>
      </c>
      <c r="AT6" s="523">
        <f>R6/D6</f>
        <v>0.64718962906843813</v>
      </c>
      <c r="AU6" s="523">
        <f t="shared" ref="AU6:BF10" si="1">S6/E6</f>
        <v>0.69981692836447551</v>
      </c>
      <c r="AV6" s="523">
        <f t="shared" si="1"/>
        <v>0.69509405126648527</v>
      </c>
      <c r="AW6" s="523">
        <f t="shared" si="1"/>
        <v>0.68550981168098646</v>
      </c>
      <c r="AX6" s="523">
        <f t="shared" si="1"/>
        <v>0.62904121457257789</v>
      </c>
      <c r="AY6" s="523">
        <f t="shared" si="1"/>
        <v>0.57747583096043242</v>
      </c>
      <c r="AZ6" s="523">
        <f t="shared" si="1"/>
        <v>0.63148088666829894</v>
      </c>
      <c r="BA6" s="523">
        <f t="shared" si="1"/>
        <v>0.66581913472842003</v>
      </c>
      <c r="BB6" s="523">
        <f t="shared" si="1"/>
        <v>0.60236085113668647</v>
      </c>
      <c r="BC6" s="523">
        <f t="shared" si="1"/>
        <v>0</v>
      </c>
      <c r="BD6" s="523">
        <f t="shared" si="1"/>
        <v>0</v>
      </c>
      <c r="BE6" s="523">
        <f t="shared" si="1"/>
        <v>0</v>
      </c>
      <c r="BF6" s="523">
        <f t="shared" si="1"/>
        <v>0.45636426017391296</v>
      </c>
    </row>
    <row r="7" spans="1:58">
      <c r="C7" s="515" t="s">
        <v>88</v>
      </c>
      <c r="D7" s="520">
        <f>'2018 VN YouTube View'!D10</f>
        <v>1318580234.5388904</v>
      </c>
      <c r="E7" s="520">
        <f>'2018 VN YouTube View'!E10</f>
        <v>1176844169.8375835</v>
      </c>
      <c r="F7" s="520">
        <f>'2018 VN YouTube View'!F10</f>
        <v>1452468103.7149639</v>
      </c>
      <c r="G7" s="520">
        <f>'2018 VN YouTube View'!G10</f>
        <v>1525093265.5738976</v>
      </c>
      <c r="H7" s="520">
        <f>'2018 VN YouTube View'!H10</f>
        <v>1652244969.4792681</v>
      </c>
      <c r="I7" s="520">
        <f>'2018 VN YouTube View'!I10</f>
        <v>1621500723.9121289</v>
      </c>
      <c r="J7" s="520">
        <f>'2018 VN YouTube View'!J10</f>
        <v>1750693523.6064167</v>
      </c>
      <c r="K7" s="520">
        <f>'2018 VN YouTube View'!K10</f>
        <v>1734351110.4995346</v>
      </c>
      <c r="L7" s="520">
        <f>'2018 VN YouTube View'!L10</f>
        <v>1829838531.9474716</v>
      </c>
      <c r="M7" s="520">
        <f>'2018 VN YouTube View'!M10</f>
        <v>1963394379.5085337</v>
      </c>
      <c r="N7" s="520">
        <f>'2018 VN YouTube View'!N10</f>
        <v>1873951814.7773657</v>
      </c>
      <c r="O7" s="520">
        <f>'2018 VN YouTube View'!O10</f>
        <v>1976039172.6039476</v>
      </c>
      <c r="P7" s="521">
        <f>SUM(D7:O7)</f>
        <v>19875000000</v>
      </c>
      <c r="R7" s="520">
        <f>'2018 VN YouTube View'!R10</f>
        <v>1147271340</v>
      </c>
      <c r="S7" s="520">
        <f>'2018 VN YouTube View'!S10</f>
        <v>1266919294</v>
      </c>
      <c r="T7" s="520">
        <f>'2018 VN YouTube View'!T10</f>
        <v>1702385218</v>
      </c>
      <c r="U7" s="520">
        <f>'2018 VN YouTube View'!U10</f>
        <v>1691880706</v>
      </c>
      <c r="V7" s="520">
        <f>'2018 VN YouTube View'!V10</f>
        <v>1566549832</v>
      </c>
      <c r="W7" s="520">
        <f>'2018 VN YouTube View'!W10</f>
        <v>1633168605</v>
      </c>
      <c r="X7" s="520">
        <f>'2018 VN YouTube View'!X10</f>
        <v>1579239144</v>
      </c>
      <c r="Y7" s="520">
        <f>'2018 VN YouTube View'!Y10</f>
        <v>1631049134</v>
      </c>
      <c r="Z7" s="520">
        <f>'2018 VN YouTube View'!Z10</f>
        <v>1323587099</v>
      </c>
      <c r="AA7" s="520">
        <f>'2018 VN YouTube View'!AA10</f>
        <v>0</v>
      </c>
      <c r="AB7" s="520">
        <f>'2018 VN YouTube View'!AB10</f>
        <v>0</v>
      </c>
      <c r="AC7" s="520">
        <f>'2018 VN YouTube View'!AC10</f>
        <v>0</v>
      </c>
      <c r="AD7" s="521">
        <f>SUM(R7:AC7)</f>
        <v>13542050372</v>
      </c>
      <c r="AF7" s="522">
        <f>R7-D7</f>
        <v>-171308894.53889036</v>
      </c>
      <c r="AG7" s="522">
        <f t="shared" si="0"/>
        <v>90075124.162416458</v>
      </c>
      <c r="AH7" s="522">
        <f t="shared" si="0"/>
        <v>249917114.28503609</v>
      </c>
      <c r="AI7" s="522">
        <f t="shared" si="0"/>
        <v>166787440.4261024</v>
      </c>
      <c r="AJ7" s="522">
        <f t="shared" si="0"/>
        <v>-85695137.479268074</v>
      </c>
      <c r="AK7" s="522">
        <f t="shared" si="0"/>
        <v>11667881.087871075</v>
      </c>
      <c r="AL7" s="522">
        <f t="shared" si="0"/>
        <v>-171454379.6064167</v>
      </c>
      <c r="AM7" s="522">
        <f t="shared" si="0"/>
        <v>-103301976.49953461</v>
      </c>
      <c r="AN7" s="522">
        <f t="shared" si="0"/>
        <v>-506251432.94747162</v>
      </c>
      <c r="AO7" s="522">
        <f t="shared" si="0"/>
        <v>-1963394379.5085337</v>
      </c>
      <c r="AP7" s="522">
        <f t="shared" si="0"/>
        <v>-1873951814.7773657</v>
      </c>
      <c r="AQ7" s="522">
        <f t="shared" si="0"/>
        <v>-1976039172.6039476</v>
      </c>
      <c r="AR7" s="521">
        <f>SUM(AF7:AQ7)</f>
        <v>-6332949628.0000029</v>
      </c>
      <c r="AT7" s="523">
        <f t="shared" ref="AT7:AT10" si="2">R7/D7</f>
        <v>0.87008079595641952</v>
      </c>
      <c r="AU7" s="523">
        <f t="shared" si="1"/>
        <v>1.0765395508352205</v>
      </c>
      <c r="AV7" s="523">
        <f t="shared" si="1"/>
        <v>1.1720637538585703</v>
      </c>
      <c r="AW7" s="523">
        <f t="shared" si="1"/>
        <v>1.1093621250522929</v>
      </c>
      <c r="AX7" s="523">
        <f t="shared" si="1"/>
        <v>0.94813412111263606</v>
      </c>
      <c r="AY7" s="523">
        <f t="shared" si="1"/>
        <v>1.0071957298049923</v>
      </c>
      <c r="AZ7" s="523">
        <f t="shared" si="1"/>
        <v>0.90206488040623933</v>
      </c>
      <c r="BA7" s="523">
        <f t="shared" si="1"/>
        <v>0.94043767961737512</v>
      </c>
      <c r="BB7" s="523">
        <f t="shared" si="1"/>
        <v>0.72333546151272965</v>
      </c>
      <c r="BC7" s="523">
        <f t="shared" si="1"/>
        <v>0</v>
      </c>
      <c r="BD7" s="523">
        <f t="shared" si="1"/>
        <v>0</v>
      </c>
      <c r="BE7" s="523">
        <f t="shared" si="1"/>
        <v>0</v>
      </c>
      <c r="BF7" s="523">
        <f t="shared" si="1"/>
        <v>0.68136102500628926</v>
      </c>
    </row>
    <row r="8" spans="1:58">
      <c r="C8" s="515" t="s">
        <v>89</v>
      </c>
      <c r="D8" s="520">
        <f>'2018 VN YouTube View'!D14</f>
        <v>729780255.59385121</v>
      </c>
      <c r="E8" s="520">
        <f>'2018 VN YouTube View'!E14</f>
        <v>651335138.02331662</v>
      </c>
      <c r="F8" s="520">
        <f>'2018 VN YouTube View'!F14</f>
        <v>803881717.779351</v>
      </c>
      <c r="G8" s="520">
        <f>'2018 VN YouTube View'!G14</f>
        <v>844076775.91511309</v>
      </c>
      <c r="H8" s="520">
        <f>'2018 VN YouTube View'!H14</f>
        <v>914450046.00110424</v>
      </c>
      <c r="I8" s="520">
        <f>'2018 VN YouTube View'!I14</f>
        <v>897434362.91992033</v>
      </c>
      <c r="J8" s="520">
        <f>'2018 VN YouTube View'!J14</f>
        <v>968937296.08405435</v>
      </c>
      <c r="K8" s="520">
        <f>'2018 VN YouTube View'!K14</f>
        <v>959892438.51546562</v>
      </c>
      <c r="L8" s="520">
        <f>'2018 VN YouTube View'!L14</f>
        <v>1012740822.7130661</v>
      </c>
      <c r="M8" s="520">
        <f>'2018 VN YouTube View'!M14</f>
        <v>1086658524.5078678</v>
      </c>
      <c r="N8" s="520">
        <f>'2018 VN YouTube View'!N14</f>
        <v>1037155721.386215</v>
      </c>
      <c r="O8" s="520">
        <f>'2018 VN YouTube View'!O14</f>
        <v>1093656900.5606754</v>
      </c>
      <c r="P8" s="521">
        <f>SUM(D8:O8)</f>
        <v>11000000000</v>
      </c>
      <c r="R8" s="520">
        <f>'2018 VN YouTube View'!R14</f>
        <v>712243496</v>
      </c>
      <c r="S8" s="520">
        <f>'2018 VN YouTube View'!S14</f>
        <v>640353919</v>
      </c>
      <c r="T8" s="520">
        <f>'2018 VN YouTube View'!T14</f>
        <v>663392460</v>
      </c>
      <c r="U8" s="520">
        <f>'2018 VN YouTube View'!U14</f>
        <v>693831478</v>
      </c>
      <c r="V8" s="520">
        <f>'2018 VN YouTube View'!V14</f>
        <v>796396532</v>
      </c>
      <c r="W8" s="520">
        <f>'2018 VN YouTube View'!W14</f>
        <v>913021074</v>
      </c>
      <c r="X8" s="520">
        <f>'2018 VN YouTube View'!X14</f>
        <v>907602165</v>
      </c>
      <c r="Y8" s="520">
        <f>'2018 VN YouTube View'!Y14</f>
        <v>810832920</v>
      </c>
      <c r="Z8" s="520">
        <f>'2018 VN YouTube View'!Z14</f>
        <v>571225224</v>
      </c>
      <c r="AA8" s="520">
        <f>'2018 VN YouTube View'!AA14</f>
        <v>0</v>
      </c>
      <c r="AB8" s="520">
        <f>'2018 VN YouTube View'!AB14</f>
        <v>0</v>
      </c>
      <c r="AC8" s="520">
        <f>'2018 VN YouTube View'!AC14</f>
        <v>0</v>
      </c>
      <c r="AD8" s="521">
        <f>SUM(R8:AC8)</f>
        <v>6708899268</v>
      </c>
      <c r="AF8" s="522">
        <f>R8-D8</f>
        <v>-17536759.593851209</v>
      </c>
      <c r="AG8" s="522">
        <f t="shared" si="0"/>
        <v>-10981219.023316622</v>
      </c>
      <c r="AH8" s="522">
        <f t="shared" si="0"/>
        <v>-140489257.779351</v>
      </c>
      <c r="AI8" s="522">
        <f t="shared" si="0"/>
        <v>-150245297.91511309</v>
      </c>
      <c r="AJ8" s="522">
        <f t="shared" si="0"/>
        <v>-118053514.00110424</v>
      </c>
      <c r="AK8" s="522">
        <f t="shared" si="0"/>
        <v>15586711.080079675</v>
      </c>
      <c r="AL8" s="522">
        <f t="shared" si="0"/>
        <v>-61335131.084054351</v>
      </c>
      <c r="AM8" s="522">
        <f t="shared" si="0"/>
        <v>-149059518.51546562</v>
      </c>
      <c r="AN8" s="522">
        <f t="shared" si="0"/>
        <v>-441515598.7130661</v>
      </c>
      <c r="AO8" s="522">
        <f t="shared" si="0"/>
        <v>-1086658524.5078678</v>
      </c>
      <c r="AP8" s="522">
        <f t="shared" si="0"/>
        <v>-1037155721.386215</v>
      </c>
      <c r="AQ8" s="522">
        <f t="shared" si="0"/>
        <v>-1093656900.5606754</v>
      </c>
      <c r="AR8" s="521">
        <f>SUM(AF8:AQ8)</f>
        <v>-4291100732.000001</v>
      </c>
      <c r="AT8" s="523">
        <f t="shared" si="2"/>
        <v>0.97596980809027112</v>
      </c>
      <c r="AU8" s="523">
        <f t="shared" si="1"/>
        <v>0.98314044739449702</v>
      </c>
      <c r="AV8" s="523">
        <f t="shared" si="1"/>
        <v>0.82523640646109031</v>
      </c>
      <c r="AW8" s="523">
        <f t="shared" si="1"/>
        <v>0.82200043621360941</v>
      </c>
      <c r="AX8" s="523">
        <f t="shared" si="1"/>
        <v>0.8709021728225036</v>
      </c>
      <c r="AY8" s="523">
        <f t="shared" si="1"/>
        <v>1.0173680791867232</v>
      </c>
      <c r="AZ8" s="523">
        <f t="shared" si="1"/>
        <v>0.93669855486837039</v>
      </c>
      <c r="BA8" s="523">
        <f t="shared" si="1"/>
        <v>0.84471226927675813</v>
      </c>
      <c r="BB8" s="523">
        <f t="shared" si="1"/>
        <v>0.56403890431682724</v>
      </c>
      <c r="BC8" s="523">
        <f t="shared" si="1"/>
        <v>0</v>
      </c>
      <c r="BD8" s="523">
        <f t="shared" si="1"/>
        <v>0</v>
      </c>
      <c r="BE8" s="523">
        <f t="shared" si="1"/>
        <v>0</v>
      </c>
      <c r="BF8" s="523">
        <f t="shared" si="1"/>
        <v>0.60989993345454541</v>
      </c>
    </row>
    <row r="9" spans="1:58">
      <c r="C9" s="515" t="s">
        <v>90</v>
      </c>
      <c r="D9" s="520">
        <f>'2018 VN YouTube View'!D18</f>
        <v>82929574.499301285</v>
      </c>
      <c r="E9" s="520">
        <f>'2018 VN YouTube View'!E18</f>
        <v>74015356.593558714</v>
      </c>
      <c r="F9" s="520">
        <f>'2018 VN YouTube View'!F18</f>
        <v>91350195.202198982</v>
      </c>
      <c r="G9" s="520">
        <f>'2018 VN YouTube View'!G18</f>
        <v>95917815.444899201</v>
      </c>
      <c r="H9" s="520">
        <f>'2018 VN YouTube View'!H18</f>
        <v>103914777.95467097</v>
      </c>
      <c r="I9" s="520">
        <f>'2018 VN YouTube View'!I18</f>
        <v>101981177.60453641</v>
      </c>
      <c r="J9" s="520">
        <f>'2018 VN YouTube View'!J18</f>
        <v>110106510.91864255</v>
      </c>
      <c r="K9" s="520">
        <f>'2018 VN YouTube View'!K18</f>
        <v>109078686.19493929</v>
      </c>
      <c r="L9" s="520">
        <f>'2018 VN YouTube View'!L18</f>
        <v>115084184.39921206</v>
      </c>
      <c r="M9" s="520">
        <f>'2018 VN YouTube View'!M18</f>
        <v>123483923.23953043</v>
      </c>
      <c r="N9" s="520">
        <f>'2018 VN YouTube View'!N18</f>
        <v>117858604.70297897</v>
      </c>
      <c r="O9" s="520">
        <f>'2018 VN YouTube View'!O18</f>
        <v>124279193.24553131</v>
      </c>
      <c r="P9" s="521">
        <f>SUM(D9:O9)</f>
        <v>1250000000</v>
      </c>
      <c r="R9" s="520">
        <f>'2018 VN YouTube View'!R18</f>
        <v>125989099</v>
      </c>
      <c r="S9" s="520">
        <f>'2018 VN YouTube View'!S18</f>
        <v>100703382</v>
      </c>
      <c r="T9" s="520">
        <f>'2018 VN YouTube View'!T18</f>
        <v>169816435</v>
      </c>
      <c r="U9" s="520">
        <f>'2018 VN YouTube View'!U18</f>
        <v>358703577</v>
      </c>
      <c r="V9" s="520">
        <f>'2018 VN YouTube View'!V18</f>
        <v>401198859</v>
      </c>
      <c r="W9" s="520">
        <f>'2018 VN YouTube View'!W18</f>
        <v>164515860</v>
      </c>
      <c r="X9" s="520">
        <f>'2018 VN YouTube View'!X18</f>
        <v>214738755</v>
      </c>
      <c r="Y9" s="520">
        <f>'2018 VN YouTube View'!Y18</f>
        <v>192008896</v>
      </c>
      <c r="Z9" s="520">
        <f>'2018 VN YouTube View'!Z18</f>
        <v>164611396</v>
      </c>
      <c r="AA9" s="520">
        <f>'2018 VN YouTube View'!AA18</f>
        <v>0</v>
      </c>
      <c r="AB9" s="520">
        <f>'2018 VN YouTube View'!AB18</f>
        <v>0</v>
      </c>
      <c r="AC9" s="520">
        <f>'2018 VN YouTube View'!AC18</f>
        <v>0</v>
      </c>
      <c r="AD9" s="521">
        <f>SUM(R9:AC9)</f>
        <v>1892286259</v>
      </c>
      <c r="AF9" s="522">
        <f>R9-D9</f>
        <v>43059524.500698715</v>
      </c>
      <c r="AG9" s="522">
        <f t="shared" si="0"/>
        <v>26688025.406441286</v>
      </c>
      <c r="AH9" s="522">
        <f t="shared" si="0"/>
        <v>78466239.797801018</v>
      </c>
      <c r="AI9" s="522">
        <f t="shared" si="0"/>
        <v>262785761.5551008</v>
      </c>
      <c r="AJ9" s="522">
        <f t="shared" si="0"/>
        <v>297284081.04532903</v>
      </c>
      <c r="AK9" s="522">
        <f t="shared" si="0"/>
        <v>62534682.395463586</v>
      </c>
      <c r="AL9" s="522">
        <f t="shared" si="0"/>
        <v>104632244.08135745</v>
      </c>
      <c r="AM9" s="522">
        <f t="shared" si="0"/>
        <v>82930209.805060714</v>
      </c>
      <c r="AN9" s="522">
        <f t="shared" si="0"/>
        <v>49527211.600787938</v>
      </c>
      <c r="AO9" s="522">
        <f t="shared" si="0"/>
        <v>-123483923.23953043</v>
      </c>
      <c r="AP9" s="522">
        <f t="shared" si="0"/>
        <v>-117858604.70297897</v>
      </c>
      <c r="AQ9" s="522">
        <f t="shared" si="0"/>
        <v>-124279193.24553131</v>
      </c>
      <c r="AR9" s="521">
        <f>SUM(AF9:AQ9)</f>
        <v>642286258.99999976</v>
      </c>
      <c r="AT9" s="523">
        <f t="shared" si="2"/>
        <v>1.5192300184907075</v>
      </c>
      <c r="AU9" s="523">
        <f t="shared" si="1"/>
        <v>1.3605741650748711</v>
      </c>
      <c r="AV9" s="523">
        <f t="shared" si="1"/>
        <v>1.8589608333525727</v>
      </c>
      <c r="AW9" s="523">
        <f t="shared" si="1"/>
        <v>3.7396971077397012</v>
      </c>
      <c r="AX9" s="523">
        <f t="shared" si="1"/>
        <v>3.8608450780216108</v>
      </c>
      <c r="AY9" s="523">
        <f t="shared" si="1"/>
        <v>1.6131982770189335</v>
      </c>
      <c r="AZ9" s="523">
        <f t="shared" si="1"/>
        <v>1.9502820787652602</v>
      </c>
      <c r="BA9" s="523">
        <f t="shared" si="1"/>
        <v>1.7602787739563759</v>
      </c>
      <c r="BB9" s="523">
        <f t="shared" si="1"/>
        <v>1.4303563679000799</v>
      </c>
      <c r="BC9" s="523">
        <f t="shared" si="1"/>
        <v>0</v>
      </c>
      <c r="BD9" s="523">
        <f t="shared" si="1"/>
        <v>0</v>
      </c>
      <c r="BE9" s="523">
        <f t="shared" si="1"/>
        <v>0</v>
      </c>
      <c r="BF9" s="523">
        <f t="shared" si="1"/>
        <v>1.5138290072</v>
      </c>
    </row>
    <row r="10" spans="1:58" s="514" customFormat="1">
      <c r="C10" s="514" t="s">
        <v>47</v>
      </c>
      <c r="D10" s="524">
        <f>SUM(D6:D9)</f>
        <v>3466456214.0707936</v>
      </c>
      <c r="E10" s="524">
        <f t="shared" ref="E10:P10" si="3">SUM(E6:E9)</f>
        <v>3093841905.6107545</v>
      </c>
      <c r="F10" s="524">
        <f t="shared" si="3"/>
        <v>3818438159.4519176</v>
      </c>
      <c r="G10" s="524">
        <f t="shared" si="3"/>
        <v>4009364685.596787</v>
      </c>
      <c r="H10" s="524">
        <f t="shared" si="3"/>
        <v>4343637718.5052462</v>
      </c>
      <c r="I10" s="524">
        <f t="shared" si="3"/>
        <v>4262813223.8696222</v>
      </c>
      <c r="J10" s="524">
        <f t="shared" si="3"/>
        <v>4602452156.3992586</v>
      </c>
      <c r="K10" s="524">
        <f t="shared" si="3"/>
        <v>4559489082.9484625</v>
      </c>
      <c r="L10" s="524">
        <f t="shared" si="3"/>
        <v>4810518907.887064</v>
      </c>
      <c r="M10" s="524">
        <f t="shared" si="3"/>
        <v>5161627991.4123716</v>
      </c>
      <c r="N10" s="524">
        <f t="shared" si="3"/>
        <v>4926489676.5845213</v>
      </c>
      <c r="O10" s="524">
        <f t="shared" si="3"/>
        <v>5194870277.663208</v>
      </c>
      <c r="P10" s="524">
        <f t="shared" si="3"/>
        <v>52250000000</v>
      </c>
      <c r="R10" s="524">
        <f t="shared" ref="R10:AD10" si="4">SUM(R6:R9)</f>
        <v>2849609620</v>
      </c>
      <c r="S10" s="524">
        <f t="shared" si="4"/>
        <v>2841911507</v>
      </c>
      <c r="T10" s="524">
        <f t="shared" si="4"/>
        <v>3557895447</v>
      </c>
      <c r="U10" s="524">
        <f t="shared" si="4"/>
        <v>3803032679</v>
      </c>
      <c r="V10" s="524">
        <f t="shared" si="4"/>
        <v>3816548741</v>
      </c>
      <c r="W10" s="524">
        <f t="shared" si="4"/>
        <v>3658861350</v>
      </c>
      <c r="X10" s="524">
        <f t="shared" si="4"/>
        <v>3821015594</v>
      </c>
      <c r="Y10" s="524">
        <f t="shared" si="4"/>
        <v>3803180441</v>
      </c>
      <c r="Z10" s="524">
        <f t="shared" si="4"/>
        <v>3175511256</v>
      </c>
      <c r="AA10" s="524">
        <f t="shared" si="4"/>
        <v>0</v>
      </c>
      <c r="AB10" s="524">
        <f t="shared" si="4"/>
        <v>0</v>
      </c>
      <c r="AC10" s="524">
        <f t="shared" si="4"/>
        <v>0</v>
      </c>
      <c r="AD10" s="524">
        <f t="shared" si="4"/>
        <v>31327566635</v>
      </c>
      <c r="AE10" s="525"/>
      <c r="AF10" s="524">
        <f>SUM(AF6:AF9)</f>
        <v>-616846594.07079363</v>
      </c>
      <c r="AG10" s="524">
        <f t="shared" ref="AG10:AR10" si="5">SUM(AG6:AG9)</f>
        <v>-251930398.61075419</v>
      </c>
      <c r="AH10" s="524">
        <f t="shared" si="5"/>
        <v>-260542712.45191765</v>
      </c>
      <c r="AI10" s="524">
        <f t="shared" si="5"/>
        <v>-206332006.59678721</v>
      </c>
      <c r="AJ10" s="524">
        <f t="shared" si="5"/>
        <v>-527088977.50524563</v>
      </c>
      <c r="AK10" s="524">
        <f t="shared" si="5"/>
        <v>-603951873.86962175</v>
      </c>
      <c r="AL10" s="524">
        <f t="shared" si="5"/>
        <v>-781436562.39925873</v>
      </c>
      <c r="AM10" s="524">
        <f t="shared" si="5"/>
        <v>-756308641.94846201</v>
      </c>
      <c r="AN10" s="524">
        <f t="shared" si="5"/>
        <v>-1635007651.887064</v>
      </c>
      <c r="AO10" s="524">
        <f t="shared" si="5"/>
        <v>-5161627991.4123716</v>
      </c>
      <c r="AP10" s="524">
        <f t="shared" si="5"/>
        <v>-4926489676.5845213</v>
      </c>
      <c r="AQ10" s="524">
        <f t="shared" si="5"/>
        <v>-5194870277.663208</v>
      </c>
      <c r="AR10" s="524">
        <f t="shared" si="5"/>
        <v>-20922433365.000004</v>
      </c>
      <c r="AT10" s="523">
        <f t="shared" si="2"/>
        <v>0.82205267974626839</v>
      </c>
      <c r="AU10" s="523">
        <f t="shared" si="1"/>
        <v>0.918570370983122</v>
      </c>
      <c r="AV10" s="523">
        <f t="shared" si="1"/>
        <v>0.93176720387444623</v>
      </c>
      <c r="AW10" s="523">
        <f t="shared" si="1"/>
        <v>0.94853748092858392</v>
      </c>
      <c r="AX10" s="523">
        <f t="shared" si="1"/>
        <v>0.87865263825763296</v>
      </c>
      <c r="AY10" s="523">
        <f t="shared" si="1"/>
        <v>0.85832082191924486</v>
      </c>
      <c r="AZ10" s="523">
        <f t="shared" si="1"/>
        <v>0.83021299606281673</v>
      </c>
      <c r="BA10" s="523">
        <f t="shared" si="1"/>
        <v>0.83412425642669064</v>
      </c>
      <c r="BB10" s="523">
        <f t="shared" si="1"/>
        <v>0.66011823605840214</v>
      </c>
      <c r="BC10" s="523">
        <f t="shared" si="1"/>
        <v>0</v>
      </c>
      <c r="BD10" s="523">
        <f t="shared" si="1"/>
        <v>0</v>
      </c>
      <c r="BE10" s="523">
        <f t="shared" si="1"/>
        <v>0</v>
      </c>
      <c r="BF10" s="523">
        <f t="shared" si="1"/>
        <v>0.59957065330143544</v>
      </c>
    </row>
    <row r="11" spans="1:58">
      <c r="AD11" s="514"/>
      <c r="AR11" s="514"/>
    </row>
    <row r="12" spans="1:58">
      <c r="B12" s="515" t="s">
        <v>91</v>
      </c>
      <c r="AD12" s="514"/>
      <c r="AR12" s="514"/>
    </row>
    <row r="13" spans="1:58">
      <c r="C13" s="515" t="s">
        <v>87</v>
      </c>
      <c r="D13" s="520">
        <f>'2018 TH YouTube View &amp; Rev'!D7</f>
        <v>32453.65958135141</v>
      </c>
      <c r="E13" s="520">
        <f>'2018 TH YouTube View &amp; Rev'!E7</f>
        <v>28519.900412724968</v>
      </c>
      <c r="F13" s="520">
        <f>'2018 TH YouTube View &amp; Rev'!F7</f>
        <v>34223.880495269965</v>
      </c>
      <c r="G13" s="520">
        <f>'2018 TH YouTube View &amp; Rev'!G7</f>
        <v>42779.850619087454</v>
      </c>
      <c r="H13" s="520">
        <f>'2018 TH YouTube View &amp; Rev'!H7</f>
        <v>41068.656594323948</v>
      </c>
      <c r="I13" s="520">
        <f>'2018 TH YouTube View &amp; Rev'!I7</f>
        <v>41890.029726210429</v>
      </c>
      <c r="J13" s="520">
        <f>'2018 TH YouTube View &amp; Rev'!J7</f>
        <v>43984.53121252096</v>
      </c>
      <c r="K13" s="520">
        <f>'2018 TH YouTube View &amp; Rev'!K7</f>
        <v>48382.984333773056</v>
      </c>
      <c r="L13" s="520">
        <f>'2018 TH YouTube View &amp; Rev'!L7</f>
        <v>58059.58120052766</v>
      </c>
      <c r="M13" s="520">
        <f>'2018 TH YouTube View &amp; Rev'!M7</f>
        <v>66768.518380606809</v>
      </c>
      <c r="N13" s="520">
        <f>'2018 TH YouTube View &amp; Rev'!N7</f>
        <v>86799.073894788846</v>
      </c>
      <c r="O13" s="520">
        <f>'2018 TH YouTube View &amp; Rev'!O7</f>
        <v>112838.7960632255</v>
      </c>
      <c r="P13" s="521">
        <f t="shared" ref="P13:P15" si="6">SUM(D13:O13)</f>
        <v>637769.46251441108</v>
      </c>
      <c r="Q13" s="522">
        <f>SUM(D13:I13)</f>
        <v>220935.97742896818</v>
      </c>
      <c r="R13" s="520">
        <f>'2018 TH YouTube View &amp; Rev'!R7</f>
        <v>17985</v>
      </c>
      <c r="S13" s="520">
        <f>'2018 TH YouTube View &amp; Rev'!S7</f>
        <v>23347</v>
      </c>
      <c r="T13" s="520">
        <f>'2018 TH YouTube View &amp; Rev'!T7</f>
        <v>14334</v>
      </c>
      <c r="U13" s="520">
        <f>'2018 TH YouTube View &amp; Rev'!U7</f>
        <v>9414</v>
      </c>
      <c r="V13" s="520">
        <f>'2018 TH YouTube View &amp; Rev'!V7</f>
        <v>7291</v>
      </c>
      <c r="W13" s="520">
        <f>'2018 TH YouTube View &amp; Rev'!W7</f>
        <v>6523</v>
      </c>
      <c r="X13" s="520">
        <f>'2018 TH YouTube View &amp; Rev'!X7</f>
        <v>5231</v>
      </c>
      <c r="Y13" s="520">
        <f>'2018 TH YouTube View &amp; Rev'!Y7</f>
        <v>557895</v>
      </c>
      <c r="Z13" s="520">
        <f>'2018 TH YouTube View &amp; Rev'!Z7</f>
        <v>5951333</v>
      </c>
      <c r="AA13" s="520">
        <f>'2018 TH YouTube View &amp; Rev'!AA7</f>
        <v>0</v>
      </c>
      <c r="AB13" s="520">
        <f>'2018 TH YouTube View &amp; Rev'!AB7</f>
        <v>0</v>
      </c>
      <c r="AC13" s="520">
        <f>'2018 TH YouTube View &amp; Rev'!AC7</f>
        <v>0</v>
      </c>
      <c r="AD13" s="521">
        <f t="shared" ref="AD13:AD15" si="7">SUM(R13:AC13)</f>
        <v>6593353</v>
      </c>
      <c r="AF13" s="522">
        <f t="shared" ref="AF13:AQ16" si="8">R13-D13</f>
        <v>-14468.65958135141</v>
      </c>
      <c r="AG13" s="522">
        <f t="shared" si="8"/>
        <v>-5172.9004127249682</v>
      </c>
      <c r="AH13" s="522">
        <f t="shared" si="8"/>
        <v>-19889.880495269965</v>
      </c>
      <c r="AI13" s="522">
        <f t="shared" si="8"/>
        <v>-33365.850619087454</v>
      </c>
      <c r="AJ13" s="522">
        <f t="shared" si="8"/>
        <v>-33777.656594323948</v>
      </c>
      <c r="AK13" s="522">
        <f t="shared" si="8"/>
        <v>-35367.029726210429</v>
      </c>
      <c r="AL13" s="522">
        <f t="shared" si="8"/>
        <v>-38753.53121252096</v>
      </c>
      <c r="AM13" s="522">
        <f t="shared" si="8"/>
        <v>509512.01566622697</v>
      </c>
      <c r="AN13" s="522">
        <f t="shared" si="8"/>
        <v>5893273.418799472</v>
      </c>
      <c r="AO13" s="522">
        <f t="shared" si="8"/>
        <v>-66768.518380606809</v>
      </c>
      <c r="AP13" s="522">
        <f t="shared" si="8"/>
        <v>-86799.073894788846</v>
      </c>
      <c r="AQ13" s="522">
        <f t="shared" si="8"/>
        <v>-112838.7960632255</v>
      </c>
      <c r="AR13" s="521">
        <f t="shared" ref="AR13:AR15" si="9">SUM(AF13:AQ13)</f>
        <v>5955583.5374855893</v>
      </c>
      <c r="AT13" s="523">
        <f>R13/D13</f>
        <v>0.55417479051683216</v>
      </c>
      <c r="AU13" s="523">
        <f t="shared" ref="AU13:BF17" si="10">S13/E13</f>
        <v>0.81862137181878336</v>
      </c>
      <c r="AV13" s="523">
        <f t="shared" si="10"/>
        <v>0.41883035449416911</v>
      </c>
      <c r="AW13" s="523">
        <f t="shared" si="10"/>
        <v>0.22005686938513233</v>
      </c>
      <c r="AX13" s="523">
        <f t="shared" si="10"/>
        <v>0.17753198192043324</v>
      </c>
      <c r="AY13" s="523">
        <f t="shared" si="10"/>
        <v>0.15571724447640065</v>
      </c>
      <c r="AZ13" s="523">
        <f t="shared" si="10"/>
        <v>0.11892817442398715</v>
      </c>
      <c r="BA13" s="523">
        <f t="shared" si="10"/>
        <v>11.530810008562645</v>
      </c>
      <c r="BB13" s="523">
        <f t="shared" si="10"/>
        <v>102.50389129479137</v>
      </c>
      <c r="BC13" s="523">
        <f t="shared" si="10"/>
        <v>0</v>
      </c>
      <c r="BD13" s="523">
        <f t="shared" si="10"/>
        <v>0</v>
      </c>
      <c r="BE13" s="523">
        <f t="shared" si="10"/>
        <v>0</v>
      </c>
      <c r="BF13" s="523">
        <f t="shared" si="10"/>
        <v>10.338144717694156</v>
      </c>
    </row>
    <row r="14" spans="1:58">
      <c r="C14" s="515" t="s">
        <v>88</v>
      </c>
      <c r="D14" s="520">
        <f>'2018 TH YouTube View &amp; Rev'!D11</f>
        <v>101068097.32039945</v>
      </c>
      <c r="E14" s="520">
        <f>'2018 TH YouTube View &amp; Rev'!E11</f>
        <v>88817474.135881677</v>
      </c>
      <c r="F14" s="520">
        <f>'2018 TH YouTube View &amp; Rev'!F11</f>
        <v>106580968.96305802</v>
      </c>
      <c r="G14" s="520">
        <f>'2018 TH YouTube View &amp; Rev'!G11</f>
        <v>133226211.20382252</v>
      </c>
      <c r="H14" s="520">
        <f>'2018 TH YouTube View &amp; Rev'!H11</f>
        <v>127897162.75566959</v>
      </c>
      <c r="I14" s="520">
        <f>'2018 TH YouTube View &amp; Rev'!I11</f>
        <v>130455106.010783</v>
      </c>
      <c r="J14" s="520">
        <f>'2018 TH YouTube View &amp; Rev'!J11</f>
        <v>136977861.31132218</v>
      </c>
      <c r="K14" s="520">
        <f>'2018 TH YouTube View &amp; Rev'!K11</f>
        <v>150675647.4424544</v>
      </c>
      <c r="L14" s="520">
        <f>'2018 TH YouTube View &amp; Rev'!L11</f>
        <v>180810776.93094528</v>
      </c>
      <c r="M14" s="520">
        <f>'2018 TH YouTube View &amp; Rev'!M11</f>
        <v>207932393.47058702</v>
      </c>
      <c r="N14" s="520">
        <f>'2018 TH YouTube View &amp; Rev'!N11</f>
        <v>270312111.5117631</v>
      </c>
      <c r="O14" s="520">
        <f>'2018 TH YouTube View &amp; Rev'!O11</f>
        <v>351405744.9652921</v>
      </c>
      <c r="P14" s="521">
        <f t="shared" si="6"/>
        <v>1986159556.0219784</v>
      </c>
      <c r="Q14" s="522">
        <f t="shared" ref="Q14:Q15" si="11">SUM(D14:I14)</f>
        <v>688045020.38961422</v>
      </c>
      <c r="R14" s="520">
        <f>'2018 TH YouTube View &amp; Rev'!R11</f>
        <v>83731674</v>
      </c>
      <c r="S14" s="520">
        <f>'2018 TH YouTube View &amp; Rev'!S11</f>
        <v>80755802</v>
      </c>
      <c r="T14" s="520">
        <f>'2018 TH YouTube View &amp; Rev'!T11</f>
        <v>103932465</v>
      </c>
      <c r="U14" s="520">
        <f>'2018 TH YouTube View &amp; Rev'!U11</f>
        <v>111270105</v>
      </c>
      <c r="V14" s="520">
        <f>'2018 TH YouTube View &amp; Rev'!V11</f>
        <v>106062922</v>
      </c>
      <c r="W14" s="520">
        <f>'2018 TH YouTube View &amp; Rev'!W11</f>
        <v>96421756</v>
      </c>
      <c r="X14" s="520">
        <f>'2018 TH YouTube View &amp; Rev'!X11</f>
        <v>142012046</v>
      </c>
      <c r="Y14" s="520">
        <f>'2018 TH YouTube View &amp; Rev'!Y11</f>
        <v>168781036</v>
      </c>
      <c r="Z14" s="520">
        <f>'2018 TH YouTube View &amp; Rev'!Z11</f>
        <v>154215658</v>
      </c>
      <c r="AA14" s="520">
        <f>'2018 TH YouTube View &amp; Rev'!AA11</f>
        <v>0</v>
      </c>
      <c r="AB14" s="520">
        <f>'2018 TH YouTube View &amp; Rev'!AB11</f>
        <v>0</v>
      </c>
      <c r="AC14" s="520">
        <f>'2018 TH YouTube View &amp; Rev'!AC11</f>
        <v>0</v>
      </c>
      <c r="AD14" s="521">
        <f t="shared" si="7"/>
        <v>1047183464</v>
      </c>
      <c r="AF14" s="522">
        <f t="shared" si="8"/>
        <v>-17336423.320399448</v>
      </c>
      <c r="AG14" s="522">
        <f t="shared" si="8"/>
        <v>-8061672.1358816773</v>
      </c>
      <c r="AH14" s="522">
        <f t="shared" si="8"/>
        <v>-2648503.9630580246</v>
      </c>
      <c r="AI14" s="522">
        <f t="shared" si="8"/>
        <v>-21956106.203822523</v>
      </c>
      <c r="AJ14" s="522">
        <f t="shared" si="8"/>
        <v>-21834240.755669594</v>
      </c>
      <c r="AK14" s="522">
        <f t="shared" si="8"/>
        <v>-34033350.010783002</v>
      </c>
      <c r="AL14" s="522">
        <f t="shared" si="8"/>
        <v>5034184.6886778176</v>
      </c>
      <c r="AM14" s="522">
        <f t="shared" si="8"/>
        <v>18105388.557545602</v>
      </c>
      <c r="AN14" s="522">
        <f t="shared" si="8"/>
        <v>-26595118.930945277</v>
      </c>
      <c r="AO14" s="522">
        <f t="shared" si="8"/>
        <v>-207932393.47058702</v>
      </c>
      <c r="AP14" s="522">
        <f t="shared" si="8"/>
        <v>-270312111.5117631</v>
      </c>
      <c r="AQ14" s="522">
        <f t="shared" si="8"/>
        <v>-351405744.9652921</v>
      </c>
      <c r="AR14" s="521">
        <f t="shared" si="9"/>
        <v>-938976092.02197826</v>
      </c>
      <c r="AT14" s="523">
        <f t="shared" ref="AT14:AT17" si="12">R14/D14</f>
        <v>0.82846789659608755</v>
      </c>
      <c r="AU14" s="523">
        <f t="shared" si="10"/>
        <v>0.90923326502678803</v>
      </c>
      <c r="AV14" s="523">
        <f t="shared" si="10"/>
        <v>0.9751503107090721</v>
      </c>
      <c r="AW14" s="523">
        <f t="shared" si="10"/>
        <v>0.8351967979466749</v>
      </c>
      <c r="AX14" s="523">
        <f t="shared" si="10"/>
        <v>0.82928283720115836</v>
      </c>
      <c r="AY14" s="523">
        <f t="shared" si="10"/>
        <v>0.73911829861247502</v>
      </c>
      <c r="AZ14" s="523">
        <f t="shared" si="10"/>
        <v>1.0367518125957316</v>
      </c>
      <c r="BA14" s="523">
        <f t="shared" si="10"/>
        <v>1.1201613456777104</v>
      </c>
      <c r="BB14" s="523">
        <f t="shared" si="10"/>
        <v>0.85291187072824537</v>
      </c>
      <c r="BC14" s="523">
        <f t="shared" si="10"/>
        <v>0</v>
      </c>
      <c r="BD14" s="523">
        <f t="shared" si="10"/>
        <v>0</v>
      </c>
      <c r="BE14" s="523">
        <f t="shared" si="10"/>
        <v>0</v>
      </c>
      <c r="BF14" s="523">
        <f t="shared" si="10"/>
        <v>0.5272403522793373</v>
      </c>
    </row>
    <row r="15" spans="1:58">
      <c r="C15" s="515" t="s">
        <v>90</v>
      </c>
      <c r="D15" s="520">
        <f>'2018 TH YouTube View &amp; Rev'!D27</f>
        <v>9265411.4280192014</v>
      </c>
      <c r="E15" s="520">
        <f>'2018 TH YouTube View &amp; Rev'!E27</f>
        <v>8142336.3225845424</v>
      </c>
      <c r="F15" s="520">
        <f>'2018 TH YouTube View &amp; Rev'!F27</f>
        <v>9770803.5871014521</v>
      </c>
      <c r="G15" s="520">
        <f>'2018 TH YouTube View &amp; Rev'!G27</f>
        <v>12213504.483876813</v>
      </c>
      <c r="H15" s="520">
        <f>'2018 TH YouTube View &amp; Rev'!H27</f>
        <v>11724964.304521739</v>
      </c>
      <c r="I15" s="520">
        <f>'2018 TH YouTube View &amp; Rev'!I27</f>
        <v>11959463.590612175</v>
      </c>
      <c r="J15" s="520">
        <f>'2018 TH YouTube View &amp; Rev'!J27</f>
        <v>12557436.770142784</v>
      </c>
      <c r="K15" s="520">
        <f>'2018 TH YouTube View &amp; Rev'!K27</f>
        <v>13813180.447157064</v>
      </c>
      <c r="L15" s="520">
        <f>'2018 TH YouTube View &amp; Rev'!L27</f>
        <v>16575816.536588477</v>
      </c>
      <c r="M15" s="520">
        <f>'2018 TH YouTube View &amp; Rev'!M27</f>
        <v>19062189.017076746</v>
      </c>
      <c r="N15" s="520">
        <f>'2018 TH YouTube View &amp; Rev'!N27</f>
        <v>24780845.722199768</v>
      </c>
      <c r="O15" s="520">
        <f>'2018 TH YouTube View &amp; Rev'!O27</f>
        <v>32215099.438859701</v>
      </c>
      <c r="P15" s="521">
        <f t="shared" si="6"/>
        <v>182081051.64874047</v>
      </c>
      <c r="Q15" s="522">
        <f t="shared" si="11"/>
        <v>63076483.716715917</v>
      </c>
      <c r="R15" s="520">
        <f>'2018 TH YouTube View &amp; Rev'!R27</f>
        <v>6427843</v>
      </c>
      <c r="S15" s="520">
        <f>'2018 TH YouTube View &amp; Rev'!S27</f>
        <v>6236890</v>
      </c>
      <c r="T15" s="520">
        <f>'2018 TH YouTube View &amp; Rev'!T27</f>
        <v>8986233</v>
      </c>
      <c r="U15" s="520">
        <f>'2018 TH YouTube View &amp; Rev'!U27</f>
        <v>12987814</v>
      </c>
      <c r="V15" s="520">
        <f>'2018 TH YouTube View &amp; Rev'!V27</f>
        <v>15179425</v>
      </c>
      <c r="W15" s="520">
        <f>'2018 TH YouTube View &amp; Rev'!W27</f>
        <v>16329420</v>
      </c>
      <c r="X15" s="520">
        <f>'2018 TH YouTube View &amp; Rev'!X27</f>
        <v>26832577</v>
      </c>
      <c r="Y15" s="520">
        <f>'2018 TH YouTube View &amp; Rev'!Y27</f>
        <v>66967835</v>
      </c>
      <c r="Z15" s="520">
        <f>'2018 TH YouTube View &amp; Rev'!Z27</f>
        <v>89849762</v>
      </c>
      <c r="AA15" s="520">
        <f>'2018 TH YouTube View &amp; Rev'!AA27</f>
        <v>0</v>
      </c>
      <c r="AB15" s="520">
        <f>'2018 TH YouTube View &amp; Rev'!AB27</f>
        <v>0</v>
      </c>
      <c r="AC15" s="520">
        <f>'2018 TH YouTube View &amp; Rev'!AC27</f>
        <v>0</v>
      </c>
      <c r="AD15" s="521">
        <f t="shared" si="7"/>
        <v>249797799</v>
      </c>
      <c r="AF15" s="522">
        <f t="shared" si="8"/>
        <v>-2837568.4280192014</v>
      </c>
      <c r="AG15" s="522">
        <f t="shared" si="8"/>
        <v>-1905446.3225845424</v>
      </c>
      <c r="AH15" s="522">
        <f t="shared" si="8"/>
        <v>-784570.58710145205</v>
      </c>
      <c r="AI15" s="522">
        <f t="shared" si="8"/>
        <v>774309.5161231868</v>
      </c>
      <c r="AJ15" s="522">
        <f t="shared" si="8"/>
        <v>3454460.6954782605</v>
      </c>
      <c r="AK15" s="522">
        <f t="shared" si="8"/>
        <v>4369956.4093878251</v>
      </c>
      <c r="AL15" s="522">
        <f t="shared" si="8"/>
        <v>14275140.229857216</v>
      </c>
      <c r="AM15" s="522">
        <f t="shared" si="8"/>
        <v>53154654.552842937</v>
      </c>
      <c r="AN15" s="522">
        <f t="shared" si="8"/>
        <v>73273945.463411525</v>
      </c>
      <c r="AO15" s="522">
        <f t="shared" si="8"/>
        <v>-19062189.017076746</v>
      </c>
      <c r="AP15" s="522">
        <f t="shared" si="8"/>
        <v>-24780845.722199768</v>
      </c>
      <c r="AQ15" s="522">
        <f t="shared" si="8"/>
        <v>-32215099.438859701</v>
      </c>
      <c r="AR15" s="521">
        <f t="shared" si="9"/>
        <v>67716747.351259544</v>
      </c>
      <c r="AT15" s="523">
        <f t="shared" si="12"/>
        <v>0.69374609535004439</v>
      </c>
      <c r="AU15" s="523">
        <f t="shared" si="10"/>
        <v>0.76598285220675888</v>
      </c>
      <c r="AV15" s="523">
        <f t="shared" si="10"/>
        <v>0.9197025525989313</v>
      </c>
      <c r="AW15" s="523">
        <f t="shared" si="10"/>
        <v>1.0633978165026559</v>
      </c>
      <c r="AX15" s="523">
        <f t="shared" si="10"/>
        <v>1.294624410425373</v>
      </c>
      <c r="AY15" s="523">
        <f t="shared" si="10"/>
        <v>1.3653973588596491</v>
      </c>
      <c r="AZ15" s="523">
        <f t="shared" si="10"/>
        <v>2.1367877450753752</v>
      </c>
      <c r="BA15" s="523">
        <f t="shared" si="10"/>
        <v>4.8481112120549232</v>
      </c>
      <c r="BB15" s="523">
        <f t="shared" si="10"/>
        <v>5.420533088169198</v>
      </c>
      <c r="BC15" s="523">
        <f t="shared" si="10"/>
        <v>0</v>
      </c>
      <c r="BD15" s="523">
        <f t="shared" si="10"/>
        <v>0</v>
      </c>
      <c r="BE15" s="523">
        <f t="shared" si="10"/>
        <v>0</v>
      </c>
      <c r="BF15" s="523">
        <f t="shared" si="10"/>
        <v>1.3719044169510537</v>
      </c>
    </row>
    <row r="16" spans="1:58">
      <c r="C16" s="515" t="s">
        <v>74</v>
      </c>
      <c r="D16" s="520">
        <f>'2018 TH YouTube View &amp; Rev'!D23</f>
        <v>0</v>
      </c>
      <c r="E16" s="520">
        <f>'2018 TH YouTube View &amp; Rev'!E23</f>
        <v>0</v>
      </c>
      <c r="F16" s="520">
        <f>'2018 TH YouTube View &amp; Rev'!F23</f>
        <v>0</v>
      </c>
      <c r="G16" s="520">
        <f>'2018 TH YouTube View &amp; Rev'!G23</f>
        <v>0</v>
      </c>
      <c r="H16" s="520">
        <f>'2018 TH YouTube View &amp; Rev'!H23</f>
        <v>0</v>
      </c>
      <c r="I16" s="520">
        <f>'2018 TH YouTube View &amp; Rev'!I23</f>
        <v>0</v>
      </c>
      <c r="J16" s="520">
        <f>'2018 TH YouTube View &amp; Rev'!J23</f>
        <v>0</v>
      </c>
      <c r="K16" s="520">
        <f>'2018 TH YouTube View &amp; Rev'!K23</f>
        <v>0</v>
      </c>
      <c r="L16" s="520">
        <f>'2018 TH YouTube View &amp; Rev'!L23</f>
        <v>0</v>
      </c>
      <c r="M16" s="520">
        <f>'2018 TH YouTube View &amp; Rev'!M23</f>
        <v>0</v>
      </c>
      <c r="N16" s="520">
        <f>'2018 TH YouTube View &amp; Rev'!N23</f>
        <v>0</v>
      </c>
      <c r="O16" s="520">
        <f>'2018 TH YouTube View &amp; Rev'!O23</f>
        <v>0</v>
      </c>
      <c r="P16" s="521"/>
      <c r="Q16" s="522"/>
      <c r="R16" s="520">
        <f>'2018 TH YouTube View &amp; Rev'!R23</f>
        <v>0</v>
      </c>
      <c r="S16" s="520">
        <f>'2018 TH YouTube View &amp; Rev'!S23</f>
        <v>0</v>
      </c>
      <c r="T16" s="520">
        <f>'2018 TH YouTube View &amp; Rev'!T23</f>
        <v>0</v>
      </c>
      <c r="U16" s="520">
        <f>'2018 TH YouTube View &amp; Rev'!U23</f>
        <v>0</v>
      </c>
      <c r="V16" s="520">
        <f>'2018 TH YouTube View &amp; Rev'!V23</f>
        <v>0</v>
      </c>
      <c r="W16" s="520">
        <f>'2018 TH YouTube View &amp; Rev'!W23</f>
        <v>0</v>
      </c>
      <c r="X16" s="520">
        <f>'2018 TH YouTube View &amp; Rev'!X23</f>
        <v>0</v>
      </c>
      <c r="Y16" s="520">
        <f>'2018 TH YouTube View &amp; Rev'!Y23</f>
        <v>0</v>
      </c>
      <c r="Z16" s="520">
        <f>'2018 TH YouTube View &amp; Rev'!Z23</f>
        <v>0</v>
      </c>
      <c r="AA16" s="520">
        <f>'2018 TH YouTube View &amp; Rev'!AA23</f>
        <v>0</v>
      </c>
      <c r="AB16" s="520">
        <f>'2018 TH YouTube View &amp; Rev'!AB23</f>
        <v>0</v>
      </c>
      <c r="AC16" s="520">
        <f>'2018 TH YouTube View &amp; Rev'!AC23</f>
        <v>0</v>
      </c>
      <c r="AD16" s="521">
        <f>SUM(R16:AC16)</f>
        <v>0</v>
      </c>
      <c r="AF16" s="522">
        <f>R16-D16</f>
        <v>0</v>
      </c>
      <c r="AG16" s="522">
        <f t="shared" si="8"/>
        <v>0</v>
      </c>
      <c r="AH16" s="522">
        <f t="shared" si="8"/>
        <v>0</v>
      </c>
      <c r="AI16" s="522">
        <f t="shared" si="8"/>
        <v>0</v>
      </c>
      <c r="AJ16" s="522">
        <f t="shared" si="8"/>
        <v>0</v>
      </c>
      <c r="AK16" s="522">
        <f t="shared" si="8"/>
        <v>0</v>
      </c>
      <c r="AL16" s="522">
        <f t="shared" si="8"/>
        <v>0</v>
      </c>
      <c r="AM16" s="522">
        <f t="shared" si="8"/>
        <v>0</v>
      </c>
      <c r="AN16" s="522">
        <f t="shared" si="8"/>
        <v>0</v>
      </c>
      <c r="AO16" s="522">
        <f t="shared" si="8"/>
        <v>0</v>
      </c>
      <c r="AP16" s="522">
        <f t="shared" si="8"/>
        <v>0</v>
      </c>
      <c r="AQ16" s="522">
        <f t="shared" si="8"/>
        <v>0</v>
      </c>
      <c r="AR16" s="521">
        <f>SUM(AF16:AQ16)</f>
        <v>0</v>
      </c>
      <c r="AT16" s="523" t="e">
        <f t="shared" si="12"/>
        <v>#DIV/0!</v>
      </c>
      <c r="AU16" s="523" t="e">
        <f t="shared" si="10"/>
        <v>#DIV/0!</v>
      </c>
      <c r="AV16" s="523" t="e">
        <f t="shared" si="10"/>
        <v>#DIV/0!</v>
      </c>
      <c r="AW16" s="523" t="e">
        <f t="shared" si="10"/>
        <v>#DIV/0!</v>
      </c>
      <c r="AX16" s="523" t="e">
        <f t="shared" si="10"/>
        <v>#DIV/0!</v>
      </c>
      <c r="AY16" s="523" t="e">
        <f t="shared" si="10"/>
        <v>#DIV/0!</v>
      </c>
      <c r="AZ16" s="523" t="e">
        <f t="shared" si="10"/>
        <v>#DIV/0!</v>
      </c>
      <c r="BA16" s="523" t="e">
        <f t="shared" si="10"/>
        <v>#DIV/0!</v>
      </c>
      <c r="BB16" s="523" t="e">
        <f t="shared" si="10"/>
        <v>#DIV/0!</v>
      </c>
      <c r="BC16" s="523" t="e">
        <f t="shared" si="10"/>
        <v>#DIV/0!</v>
      </c>
      <c r="BD16" s="523" t="e">
        <f t="shared" si="10"/>
        <v>#DIV/0!</v>
      </c>
      <c r="BE16" s="523" t="e">
        <f t="shared" si="10"/>
        <v>#DIV/0!</v>
      </c>
      <c r="BF16" s="523" t="e">
        <f t="shared" si="10"/>
        <v>#DIV/0!</v>
      </c>
    </row>
    <row r="17" spans="1:58" s="514" customFormat="1">
      <c r="C17" s="514" t="s">
        <v>47</v>
      </c>
      <c r="D17" s="524">
        <f>SUM(D13:D16)</f>
        <v>110365962.40799999</v>
      </c>
      <c r="E17" s="524">
        <f t="shared" ref="E17:P17" si="13">SUM(E13:E16)</f>
        <v>96988330.35887894</v>
      </c>
      <c r="F17" s="524">
        <f t="shared" si="13"/>
        <v>116385996.43065473</v>
      </c>
      <c r="G17" s="524">
        <f t="shared" si="13"/>
        <v>145482495.53831843</v>
      </c>
      <c r="H17" s="524">
        <f t="shared" si="13"/>
        <v>139663195.71678567</v>
      </c>
      <c r="I17" s="524">
        <f t="shared" si="13"/>
        <v>142456459.6311214</v>
      </c>
      <c r="J17" s="524">
        <f t="shared" si="13"/>
        <v>149579282.61267748</v>
      </c>
      <c r="K17" s="524">
        <f t="shared" si="13"/>
        <v>164537210.87394524</v>
      </c>
      <c r="L17" s="524">
        <f t="shared" si="13"/>
        <v>197444653.04873431</v>
      </c>
      <c r="M17" s="524">
        <f t="shared" si="13"/>
        <v>227061351.00604439</v>
      </c>
      <c r="N17" s="524">
        <f t="shared" si="13"/>
        <v>295179756.30785763</v>
      </c>
      <c r="O17" s="524">
        <f t="shared" si="13"/>
        <v>383733683.20021504</v>
      </c>
      <c r="P17" s="524">
        <f t="shared" si="13"/>
        <v>2168878377.1332331</v>
      </c>
      <c r="R17" s="524">
        <f t="shared" ref="R17:AD17" si="14">SUM(R13:R16)</f>
        <v>90177502</v>
      </c>
      <c r="S17" s="524">
        <f t="shared" si="14"/>
        <v>87016039</v>
      </c>
      <c r="T17" s="524">
        <f t="shared" si="14"/>
        <v>112933032</v>
      </c>
      <c r="U17" s="524">
        <f t="shared" si="14"/>
        <v>124267333</v>
      </c>
      <c r="V17" s="524">
        <f t="shared" si="14"/>
        <v>121249638</v>
      </c>
      <c r="W17" s="524">
        <f t="shared" si="14"/>
        <v>112757699</v>
      </c>
      <c r="X17" s="524">
        <f t="shared" si="14"/>
        <v>168849854</v>
      </c>
      <c r="Y17" s="524">
        <f t="shared" si="14"/>
        <v>236306766</v>
      </c>
      <c r="Z17" s="524">
        <f t="shared" si="14"/>
        <v>250016753</v>
      </c>
      <c r="AA17" s="524">
        <f t="shared" si="14"/>
        <v>0</v>
      </c>
      <c r="AB17" s="524">
        <f t="shared" si="14"/>
        <v>0</v>
      </c>
      <c r="AC17" s="524">
        <f t="shared" si="14"/>
        <v>0</v>
      </c>
      <c r="AD17" s="524">
        <f t="shared" si="14"/>
        <v>1303574616</v>
      </c>
      <c r="AE17" s="526"/>
      <c r="AF17" s="524">
        <f>SUM(AF13:AF16)</f>
        <v>-20188460.408</v>
      </c>
      <c r="AG17" s="524">
        <f t="shared" ref="AG17:AR17" si="15">SUM(AG13:AG16)</f>
        <v>-9972291.3588789441</v>
      </c>
      <c r="AH17" s="524">
        <f t="shared" si="15"/>
        <v>-3452964.4306547465</v>
      </c>
      <c r="AI17" s="524">
        <f t="shared" si="15"/>
        <v>-21215162.538318425</v>
      </c>
      <c r="AJ17" s="524">
        <f t="shared" si="15"/>
        <v>-18413557.716785658</v>
      </c>
      <c r="AK17" s="524">
        <f t="shared" si="15"/>
        <v>-29698760.631121382</v>
      </c>
      <c r="AL17" s="524">
        <f t="shared" si="15"/>
        <v>19270571.387322512</v>
      </c>
      <c r="AM17" s="524">
        <f t="shared" si="15"/>
        <v>71769555.126054764</v>
      </c>
      <c r="AN17" s="524">
        <f t="shared" si="15"/>
        <v>52572099.951265723</v>
      </c>
      <c r="AO17" s="524">
        <f t="shared" si="15"/>
        <v>-227061351.00604439</v>
      </c>
      <c r="AP17" s="524">
        <f t="shared" si="15"/>
        <v>-295179756.30785763</v>
      </c>
      <c r="AQ17" s="524">
        <f t="shared" si="15"/>
        <v>-383733683.20021504</v>
      </c>
      <c r="AR17" s="524">
        <f t="shared" si="15"/>
        <v>-865303761.13323307</v>
      </c>
      <c r="AT17" s="523">
        <f t="shared" si="12"/>
        <v>0.81707711356362345</v>
      </c>
      <c r="AU17" s="523">
        <f t="shared" si="10"/>
        <v>0.89718050282978179</v>
      </c>
      <c r="AV17" s="523">
        <f t="shared" si="10"/>
        <v>0.97033178787353436</v>
      </c>
      <c r="AW17" s="523">
        <f t="shared" si="10"/>
        <v>0.85417377905281677</v>
      </c>
      <c r="AX17" s="523">
        <f t="shared" si="10"/>
        <v>0.86815740809679465</v>
      </c>
      <c r="AY17" s="523">
        <f t="shared" si="10"/>
        <v>0.79152394557590611</v>
      </c>
      <c r="AZ17" s="523">
        <f t="shared" si="10"/>
        <v>1.1288318211635096</v>
      </c>
      <c r="BA17" s="523">
        <f t="shared" si="10"/>
        <v>1.4361904200566438</v>
      </c>
      <c r="BB17" s="523">
        <f t="shared" si="10"/>
        <v>1.2662624646426337</v>
      </c>
      <c r="BC17" s="523">
        <f t="shared" si="10"/>
        <v>0</v>
      </c>
      <c r="BD17" s="523">
        <f t="shared" si="10"/>
        <v>0</v>
      </c>
      <c r="BE17" s="523">
        <f t="shared" si="10"/>
        <v>0</v>
      </c>
      <c r="BF17" s="523">
        <f t="shared" si="10"/>
        <v>0.60103629126637836</v>
      </c>
    </row>
    <row r="18" spans="1:58">
      <c r="AD18" s="514"/>
      <c r="AR18" s="514"/>
    </row>
    <row r="19" spans="1:58">
      <c r="B19" s="515" t="s">
        <v>92</v>
      </c>
      <c r="AD19" s="514"/>
      <c r="AR19" s="514"/>
    </row>
    <row r="20" spans="1:58">
      <c r="C20" s="515" t="s">
        <v>87</v>
      </c>
      <c r="D20" s="522">
        <f>D6+D13</f>
        <v>1335198603.0983322</v>
      </c>
      <c r="E20" s="522">
        <f t="shared" ref="E20:O21" si="16">E6+E13</f>
        <v>1191675761.0567081</v>
      </c>
      <c r="F20" s="522">
        <f t="shared" si="16"/>
        <v>1470772366.6358991</v>
      </c>
      <c r="G20" s="522">
        <f t="shared" si="16"/>
        <v>1544319608.5134964</v>
      </c>
      <c r="H20" s="522">
        <f t="shared" si="16"/>
        <v>1673068993.7267966</v>
      </c>
      <c r="I20" s="522">
        <f t="shared" si="16"/>
        <v>1641938849.4627624</v>
      </c>
      <c r="J20" s="522">
        <f t="shared" si="16"/>
        <v>1772758810.3213577</v>
      </c>
      <c r="K20" s="522">
        <f t="shared" si="16"/>
        <v>1756215230.7228563</v>
      </c>
      <c r="L20" s="522">
        <f t="shared" si="16"/>
        <v>1852913428.4085147</v>
      </c>
      <c r="M20" s="522">
        <f t="shared" si="16"/>
        <v>1988157932.6748204</v>
      </c>
      <c r="N20" s="522">
        <f t="shared" si="16"/>
        <v>1897610334.7918563</v>
      </c>
      <c r="O20" s="522">
        <f t="shared" si="16"/>
        <v>2001007850.0491171</v>
      </c>
      <c r="P20" s="521">
        <f t="shared" ref="P20:P24" si="17">SUM(D20:O20)</f>
        <v>20125637769.462517</v>
      </c>
      <c r="R20" s="522">
        <f t="shared" ref="R20:AC21" si="18">R6+R13</f>
        <v>864123670</v>
      </c>
      <c r="S20" s="522">
        <f t="shared" si="18"/>
        <v>833958259</v>
      </c>
      <c r="T20" s="522">
        <f t="shared" si="18"/>
        <v>1022315668</v>
      </c>
      <c r="U20" s="522">
        <f t="shared" si="18"/>
        <v>1058626332</v>
      </c>
      <c r="V20" s="522">
        <f t="shared" si="18"/>
        <v>1052410809</v>
      </c>
      <c r="W20" s="522">
        <f t="shared" si="18"/>
        <v>948162334</v>
      </c>
      <c r="X20" s="522">
        <f t="shared" si="18"/>
        <v>1119440761</v>
      </c>
      <c r="Y20" s="522">
        <f t="shared" si="18"/>
        <v>1169847386</v>
      </c>
      <c r="Z20" s="522">
        <f t="shared" si="18"/>
        <v>1122038870</v>
      </c>
      <c r="AA20" s="522">
        <f t="shared" si="18"/>
        <v>0</v>
      </c>
      <c r="AB20" s="522">
        <f t="shared" si="18"/>
        <v>0</v>
      </c>
      <c r="AC20" s="522">
        <f t="shared" si="18"/>
        <v>0</v>
      </c>
      <c r="AD20" s="521">
        <f t="shared" ref="AD20:AD22" si="19">SUM(R20:AC20)</f>
        <v>9190924089</v>
      </c>
      <c r="AF20" s="522">
        <f t="shared" ref="AF20:AQ24" si="20">R20-D20</f>
        <v>-471074933.09833217</v>
      </c>
      <c r="AG20" s="522">
        <f t="shared" si="20"/>
        <v>-357717502.0567081</v>
      </c>
      <c r="AH20" s="522">
        <f t="shared" si="20"/>
        <v>-448456698.63589907</v>
      </c>
      <c r="AI20" s="522">
        <f t="shared" si="20"/>
        <v>-485693276.5134964</v>
      </c>
      <c r="AJ20" s="522">
        <f t="shared" si="20"/>
        <v>-620658184.72679663</v>
      </c>
      <c r="AK20" s="522">
        <f t="shared" si="20"/>
        <v>-693776515.46276236</v>
      </c>
      <c r="AL20" s="522">
        <f t="shared" si="20"/>
        <v>-653318049.32135773</v>
      </c>
      <c r="AM20" s="522">
        <f t="shared" si="20"/>
        <v>-586367844.72285628</v>
      </c>
      <c r="AN20" s="522">
        <f t="shared" si="20"/>
        <v>-730874558.40851474</v>
      </c>
      <c r="AO20" s="522">
        <f t="shared" si="20"/>
        <v>-1988157932.6748204</v>
      </c>
      <c r="AP20" s="522">
        <f t="shared" si="20"/>
        <v>-1897610334.7918563</v>
      </c>
      <c r="AQ20" s="522">
        <f t="shared" si="20"/>
        <v>-2001007850.0491171</v>
      </c>
      <c r="AR20" s="521">
        <f t="shared" ref="AR20:AR24" si="21">SUM(AF20:AQ20)</f>
        <v>-10934713680.462517</v>
      </c>
      <c r="AT20" s="523">
        <f>R20/D20</f>
        <v>0.64718736822731726</v>
      </c>
      <c r="AU20" s="523">
        <f t="shared" ref="AU20:BF25" si="22">S20/E20</f>
        <v>0.69981977166380793</v>
      </c>
      <c r="AV20" s="523">
        <f t="shared" si="22"/>
        <v>0.69508762279668401</v>
      </c>
      <c r="AW20" s="523">
        <f t="shared" si="22"/>
        <v>0.68549691797217649</v>
      </c>
      <c r="AX20" s="523">
        <f t="shared" si="22"/>
        <v>0.62903013142078057</v>
      </c>
      <c r="AY20" s="523">
        <f t="shared" si="22"/>
        <v>0.57746507082784237</v>
      </c>
      <c r="AZ20" s="523">
        <f t="shared" si="22"/>
        <v>0.63146816954590279</v>
      </c>
      <c r="BA20" s="523">
        <f t="shared" si="22"/>
        <v>0.66611846061629476</v>
      </c>
      <c r="BB20" s="523">
        <f t="shared" si="22"/>
        <v>0.60555385524067906</v>
      </c>
      <c r="BC20" s="523">
        <f t="shared" si="22"/>
        <v>0</v>
      </c>
      <c r="BD20" s="523">
        <f t="shared" si="22"/>
        <v>0</v>
      </c>
      <c r="BE20" s="523">
        <f t="shared" si="22"/>
        <v>0</v>
      </c>
      <c r="BF20" s="523">
        <f t="shared" si="22"/>
        <v>0.45667740790534245</v>
      </c>
    </row>
    <row r="21" spans="1:58">
      <c r="C21" s="515" t="s">
        <v>88</v>
      </c>
      <c r="D21" s="522">
        <f>D7+D14</f>
        <v>1419648331.8592899</v>
      </c>
      <c r="E21" s="522">
        <f t="shared" si="16"/>
        <v>1265661643.9734652</v>
      </c>
      <c r="F21" s="522">
        <f t="shared" si="16"/>
        <v>1559049072.6780219</v>
      </c>
      <c r="G21" s="522">
        <f t="shared" si="16"/>
        <v>1658319476.7777202</v>
      </c>
      <c r="H21" s="522">
        <f t="shared" si="16"/>
        <v>1780142132.2349377</v>
      </c>
      <c r="I21" s="522">
        <f t="shared" si="16"/>
        <v>1751955829.9229119</v>
      </c>
      <c r="J21" s="522">
        <f t="shared" si="16"/>
        <v>1887671384.9177389</v>
      </c>
      <c r="K21" s="522">
        <f t="shared" si="16"/>
        <v>1885026757.9419889</v>
      </c>
      <c r="L21" s="522">
        <f t="shared" si="16"/>
        <v>2010649308.878417</v>
      </c>
      <c r="M21" s="522">
        <f t="shared" si="16"/>
        <v>2171326772.9791207</v>
      </c>
      <c r="N21" s="522">
        <f t="shared" si="16"/>
        <v>2144263926.2891288</v>
      </c>
      <c r="O21" s="522">
        <f t="shared" si="16"/>
        <v>2327444917.5692396</v>
      </c>
      <c r="P21" s="521">
        <f t="shared" si="17"/>
        <v>21861159556.021984</v>
      </c>
      <c r="R21" s="522">
        <f t="shared" si="18"/>
        <v>1231003014</v>
      </c>
      <c r="S21" s="522">
        <f t="shared" si="18"/>
        <v>1347675096</v>
      </c>
      <c r="T21" s="522">
        <f t="shared" si="18"/>
        <v>1806317683</v>
      </c>
      <c r="U21" s="522">
        <f t="shared" si="18"/>
        <v>1803150811</v>
      </c>
      <c r="V21" s="522">
        <f t="shared" si="18"/>
        <v>1672612754</v>
      </c>
      <c r="W21" s="522">
        <f t="shared" si="18"/>
        <v>1729590361</v>
      </c>
      <c r="X21" s="522">
        <f t="shared" si="18"/>
        <v>1721251190</v>
      </c>
      <c r="Y21" s="522">
        <f t="shared" si="18"/>
        <v>1799830170</v>
      </c>
      <c r="Z21" s="522">
        <f t="shared" si="18"/>
        <v>1477802757</v>
      </c>
      <c r="AA21" s="522">
        <f t="shared" si="18"/>
        <v>0</v>
      </c>
      <c r="AB21" s="522">
        <f t="shared" si="18"/>
        <v>0</v>
      </c>
      <c r="AC21" s="522">
        <f t="shared" si="18"/>
        <v>0</v>
      </c>
      <c r="AD21" s="521">
        <f t="shared" si="19"/>
        <v>14589233836</v>
      </c>
      <c r="AF21" s="522">
        <f t="shared" si="20"/>
        <v>-188645317.85928988</v>
      </c>
      <c r="AG21" s="522">
        <f t="shared" si="20"/>
        <v>82013452.026534796</v>
      </c>
      <c r="AH21" s="522">
        <f t="shared" si="20"/>
        <v>247268610.32197809</v>
      </c>
      <c r="AI21" s="522">
        <f t="shared" si="20"/>
        <v>144831334.22227979</v>
      </c>
      <c r="AJ21" s="522">
        <f t="shared" si="20"/>
        <v>-107529378.23493767</v>
      </c>
      <c r="AK21" s="522">
        <f t="shared" si="20"/>
        <v>-22365468.922911882</v>
      </c>
      <c r="AL21" s="522">
        <f t="shared" si="20"/>
        <v>-166420194.91773891</v>
      </c>
      <c r="AM21" s="522">
        <f t="shared" si="20"/>
        <v>-85196587.941988945</v>
      </c>
      <c r="AN21" s="522">
        <f t="shared" si="20"/>
        <v>-532846551.87841702</v>
      </c>
      <c r="AO21" s="522">
        <f t="shared" si="20"/>
        <v>-2171326772.9791207</v>
      </c>
      <c r="AP21" s="522">
        <f t="shared" si="20"/>
        <v>-2144263926.2891288</v>
      </c>
      <c r="AQ21" s="522">
        <f t="shared" si="20"/>
        <v>-2327444917.5692396</v>
      </c>
      <c r="AR21" s="521">
        <f t="shared" si="21"/>
        <v>-7271925720.0219812</v>
      </c>
      <c r="AT21" s="523">
        <f t="shared" ref="AT21:AT25" si="23">R21/D21</f>
        <v>0.86711827596611601</v>
      </c>
      <c r="AU21" s="523">
        <f t="shared" si="22"/>
        <v>1.0647988760795963</v>
      </c>
      <c r="AV21" s="523">
        <f t="shared" si="22"/>
        <v>1.1586021983883021</v>
      </c>
      <c r="AW21" s="523">
        <f t="shared" si="22"/>
        <v>1.087336207679175</v>
      </c>
      <c r="AX21" s="523">
        <f t="shared" si="22"/>
        <v>0.93959506025514017</v>
      </c>
      <c r="AY21" s="523">
        <f t="shared" si="22"/>
        <v>0.98723399954444291</v>
      </c>
      <c r="AZ21" s="523">
        <f t="shared" si="22"/>
        <v>0.91183836538106378</v>
      </c>
      <c r="BA21" s="523">
        <f t="shared" si="22"/>
        <v>0.95480351269124486</v>
      </c>
      <c r="BB21" s="523">
        <f t="shared" si="22"/>
        <v>0.73498782232907134</v>
      </c>
      <c r="BC21" s="523">
        <f t="shared" si="22"/>
        <v>0</v>
      </c>
      <c r="BD21" s="523">
        <f t="shared" si="22"/>
        <v>0</v>
      </c>
      <c r="BE21" s="523">
        <f t="shared" si="22"/>
        <v>0</v>
      </c>
      <c r="BF21" s="523">
        <f t="shared" si="22"/>
        <v>0.66735864575770765</v>
      </c>
    </row>
    <row r="22" spans="1:58">
      <c r="C22" s="515" t="s">
        <v>89</v>
      </c>
      <c r="D22" s="522">
        <f>D8</f>
        <v>729780255.59385121</v>
      </c>
      <c r="E22" s="522">
        <f t="shared" ref="E22:O22" si="24">E8</f>
        <v>651335138.02331662</v>
      </c>
      <c r="F22" s="522">
        <f t="shared" si="24"/>
        <v>803881717.779351</v>
      </c>
      <c r="G22" s="522">
        <f t="shared" si="24"/>
        <v>844076775.91511309</v>
      </c>
      <c r="H22" s="522">
        <f t="shared" si="24"/>
        <v>914450046.00110424</v>
      </c>
      <c r="I22" s="522">
        <f t="shared" si="24"/>
        <v>897434362.91992033</v>
      </c>
      <c r="J22" s="522">
        <f t="shared" si="24"/>
        <v>968937296.08405435</v>
      </c>
      <c r="K22" s="522">
        <f t="shared" si="24"/>
        <v>959892438.51546562</v>
      </c>
      <c r="L22" s="522">
        <f t="shared" si="24"/>
        <v>1012740822.7130661</v>
      </c>
      <c r="M22" s="522">
        <f t="shared" si="24"/>
        <v>1086658524.5078678</v>
      </c>
      <c r="N22" s="522">
        <f t="shared" si="24"/>
        <v>1037155721.386215</v>
      </c>
      <c r="O22" s="522">
        <f t="shared" si="24"/>
        <v>1093656900.5606754</v>
      </c>
      <c r="P22" s="521">
        <f t="shared" si="17"/>
        <v>11000000000</v>
      </c>
      <c r="R22" s="522">
        <f t="shared" ref="R22:AC22" si="25">R8</f>
        <v>712243496</v>
      </c>
      <c r="S22" s="522">
        <f t="shared" si="25"/>
        <v>640353919</v>
      </c>
      <c r="T22" s="522">
        <f t="shared" si="25"/>
        <v>663392460</v>
      </c>
      <c r="U22" s="522">
        <f t="shared" si="25"/>
        <v>693831478</v>
      </c>
      <c r="V22" s="522">
        <f t="shared" si="25"/>
        <v>796396532</v>
      </c>
      <c r="W22" s="522">
        <f t="shared" si="25"/>
        <v>913021074</v>
      </c>
      <c r="X22" s="522">
        <f t="shared" si="25"/>
        <v>907602165</v>
      </c>
      <c r="Y22" s="522">
        <f t="shared" si="25"/>
        <v>810832920</v>
      </c>
      <c r="Z22" s="522">
        <f t="shared" si="25"/>
        <v>571225224</v>
      </c>
      <c r="AA22" s="522">
        <f t="shared" si="25"/>
        <v>0</v>
      </c>
      <c r="AB22" s="522">
        <f t="shared" si="25"/>
        <v>0</v>
      </c>
      <c r="AC22" s="522">
        <f t="shared" si="25"/>
        <v>0</v>
      </c>
      <c r="AD22" s="521">
        <f t="shared" si="19"/>
        <v>6708899268</v>
      </c>
      <c r="AF22" s="522">
        <f t="shared" si="20"/>
        <v>-17536759.593851209</v>
      </c>
      <c r="AG22" s="522">
        <f t="shared" si="20"/>
        <v>-10981219.023316622</v>
      </c>
      <c r="AH22" s="522">
        <f t="shared" si="20"/>
        <v>-140489257.779351</v>
      </c>
      <c r="AI22" s="522">
        <f t="shared" si="20"/>
        <v>-150245297.91511309</v>
      </c>
      <c r="AJ22" s="522">
        <f t="shared" si="20"/>
        <v>-118053514.00110424</v>
      </c>
      <c r="AK22" s="522">
        <f t="shared" si="20"/>
        <v>15586711.080079675</v>
      </c>
      <c r="AL22" s="522">
        <f t="shared" si="20"/>
        <v>-61335131.084054351</v>
      </c>
      <c r="AM22" s="522">
        <f t="shared" si="20"/>
        <v>-149059518.51546562</v>
      </c>
      <c r="AN22" s="522">
        <f t="shared" si="20"/>
        <v>-441515598.7130661</v>
      </c>
      <c r="AO22" s="522">
        <f t="shared" si="20"/>
        <v>-1086658524.5078678</v>
      </c>
      <c r="AP22" s="522">
        <f t="shared" si="20"/>
        <v>-1037155721.386215</v>
      </c>
      <c r="AQ22" s="522">
        <f t="shared" si="20"/>
        <v>-1093656900.5606754</v>
      </c>
      <c r="AR22" s="521">
        <f t="shared" si="21"/>
        <v>-4291100732.000001</v>
      </c>
      <c r="AT22" s="523">
        <f t="shared" si="23"/>
        <v>0.97596980809027112</v>
      </c>
      <c r="AU22" s="523">
        <f t="shared" si="22"/>
        <v>0.98314044739449702</v>
      </c>
      <c r="AV22" s="523">
        <f t="shared" si="22"/>
        <v>0.82523640646109031</v>
      </c>
      <c r="AW22" s="523">
        <f t="shared" si="22"/>
        <v>0.82200043621360941</v>
      </c>
      <c r="AX22" s="523">
        <f t="shared" si="22"/>
        <v>0.8709021728225036</v>
      </c>
      <c r="AY22" s="523">
        <f t="shared" si="22"/>
        <v>1.0173680791867232</v>
      </c>
      <c r="AZ22" s="523">
        <f t="shared" si="22"/>
        <v>0.93669855486837039</v>
      </c>
      <c r="BA22" s="523">
        <f t="shared" si="22"/>
        <v>0.84471226927675813</v>
      </c>
      <c r="BB22" s="523">
        <f t="shared" si="22"/>
        <v>0.56403890431682724</v>
      </c>
      <c r="BC22" s="523">
        <f t="shared" si="22"/>
        <v>0</v>
      </c>
      <c r="BD22" s="523">
        <f t="shared" si="22"/>
        <v>0</v>
      </c>
      <c r="BE22" s="523">
        <f t="shared" si="22"/>
        <v>0</v>
      </c>
      <c r="BF22" s="523">
        <f t="shared" si="22"/>
        <v>0.60989993345454541</v>
      </c>
    </row>
    <row r="23" spans="1:58">
      <c r="C23" s="515" t="s">
        <v>90</v>
      </c>
      <c r="D23" s="522">
        <f>D9+D15</f>
        <v>92194985.92732048</v>
      </c>
      <c r="E23" s="522">
        <f t="shared" ref="E23:O23" si="26">E9+E15</f>
        <v>82157692.916143253</v>
      </c>
      <c r="F23" s="522">
        <f t="shared" si="26"/>
        <v>101120998.78930044</v>
      </c>
      <c r="G23" s="522">
        <f t="shared" si="26"/>
        <v>108131319.92877601</v>
      </c>
      <c r="H23" s="522">
        <f t="shared" si="26"/>
        <v>115639742.25919271</v>
      </c>
      <c r="I23" s="522">
        <f t="shared" si="26"/>
        <v>113940641.19514859</v>
      </c>
      <c r="J23" s="522">
        <f t="shared" si="26"/>
        <v>122663947.68878533</v>
      </c>
      <c r="K23" s="522">
        <f t="shared" si="26"/>
        <v>122891866.64209636</v>
      </c>
      <c r="L23" s="522">
        <f t="shared" si="26"/>
        <v>131660000.93580054</v>
      </c>
      <c r="M23" s="522">
        <f t="shared" si="26"/>
        <v>142546112.25660717</v>
      </c>
      <c r="N23" s="522">
        <f t="shared" si="26"/>
        <v>142639450.42517874</v>
      </c>
      <c r="O23" s="522">
        <f t="shared" si="26"/>
        <v>156494292.68439102</v>
      </c>
      <c r="P23" s="521">
        <f t="shared" si="17"/>
        <v>1432081051.6487408</v>
      </c>
      <c r="R23" s="522">
        <f t="shared" ref="R23:AC23" si="27">R9+R15</f>
        <v>132416942</v>
      </c>
      <c r="S23" s="522">
        <f t="shared" si="27"/>
        <v>106940272</v>
      </c>
      <c r="T23" s="522">
        <f t="shared" si="27"/>
        <v>178802668</v>
      </c>
      <c r="U23" s="522">
        <f t="shared" si="27"/>
        <v>371691391</v>
      </c>
      <c r="V23" s="522">
        <f t="shared" si="27"/>
        <v>416378284</v>
      </c>
      <c r="W23" s="522">
        <f t="shared" si="27"/>
        <v>180845280</v>
      </c>
      <c r="X23" s="522">
        <f t="shared" si="27"/>
        <v>241571332</v>
      </c>
      <c r="Y23" s="522">
        <f t="shared" si="27"/>
        <v>258976731</v>
      </c>
      <c r="Z23" s="522">
        <f t="shared" si="27"/>
        <v>254461158</v>
      </c>
      <c r="AA23" s="522">
        <f t="shared" si="27"/>
        <v>0</v>
      </c>
      <c r="AB23" s="522">
        <f t="shared" si="27"/>
        <v>0</v>
      </c>
      <c r="AC23" s="522">
        <f t="shared" si="27"/>
        <v>0</v>
      </c>
      <c r="AD23" s="521">
        <f>SUM(R23:AC23)</f>
        <v>2142084058</v>
      </c>
      <c r="AF23" s="522">
        <f t="shared" si="20"/>
        <v>40221956.07267952</v>
      </c>
      <c r="AG23" s="522">
        <f t="shared" si="20"/>
        <v>24782579.083856747</v>
      </c>
      <c r="AH23" s="522">
        <f t="shared" si="20"/>
        <v>77681669.210699558</v>
      </c>
      <c r="AI23" s="522">
        <f t="shared" si="20"/>
        <v>263560071.07122397</v>
      </c>
      <c r="AJ23" s="522">
        <f t="shared" si="20"/>
        <v>300738541.74080729</v>
      </c>
      <c r="AK23" s="522">
        <f t="shared" si="20"/>
        <v>66904638.804851413</v>
      </c>
      <c r="AL23" s="522">
        <f t="shared" si="20"/>
        <v>118907384.31121467</v>
      </c>
      <c r="AM23" s="522">
        <f t="shared" si="20"/>
        <v>136084864.35790366</v>
      </c>
      <c r="AN23" s="522">
        <f t="shared" si="20"/>
        <v>122801157.06419946</v>
      </c>
      <c r="AO23" s="522">
        <f t="shared" si="20"/>
        <v>-142546112.25660717</v>
      </c>
      <c r="AP23" s="522">
        <f t="shared" si="20"/>
        <v>-142639450.42517874</v>
      </c>
      <c r="AQ23" s="522">
        <f t="shared" si="20"/>
        <v>-156494292.68439102</v>
      </c>
      <c r="AR23" s="521">
        <f t="shared" si="21"/>
        <v>710003006.35125935</v>
      </c>
      <c r="AT23" s="523">
        <f t="shared" si="23"/>
        <v>1.4362705375798577</v>
      </c>
      <c r="AU23" s="523">
        <f t="shared" si="22"/>
        <v>1.3016464825655687</v>
      </c>
      <c r="AV23" s="523">
        <f t="shared" si="22"/>
        <v>1.768205121990142</v>
      </c>
      <c r="AW23" s="523">
        <f t="shared" si="22"/>
        <v>3.437407323288256</v>
      </c>
      <c r="AX23" s="523">
        <f t="shared" si="22"/>
        <v>3.6006503980849223</v>
      </c>
      <c r="AY23" s="523">
        <f t="shared" si="22"/>
        <v>1.5871885404810246</v>
      </c>
      <c r="AZ23" s="523">
        <f t="shared" si="22"/>
        <v>1.9693751632133871</v>
      </c>
      <c r="BA23" s="523">
        <f t="shared" si="22"/>
        <v>2.1073545229338069</v>
      </c>
      <c r="BB23" s="523">
        <f t="shared" si="22"/>
        <v>1.9327142350855611</v>
      </c>
      <c r="BC23" s="523">
        <f t="shared" si="22"/>
        <v>0</v>
      </c>
      <c r="BD23" s="523">
        <f t="shared" si="22"/>
        <v>0</v>
      </c>
      <c r="BE23" s="523">
        <f t="shared" si="22"/>
        <v>0</v>
      </c>
      <c r="BF23" s="523">
        <f t="shared" si="22"/>
        <v>1.4957840937381581</v>
      </c>
    </row>
    <row r="24" spans="1:58">
      <c r="C24" s="515" t="s">
        <v>74</v>
      </c>
      <c r="D24" s="522">
        <f>D16</f>
        <v>0</v>
      </c>
      <c r="E24" s="522">
        <f t="shared" ref="E24:O24" si="28">E16</f>
        <v>0</v>
      </c>
      <c r="F24" s="522">
        <f t="shared" si="28"/>
        <v>0</v>
      </c>
      <c r="G24" s="522">
        <f t="shared" si="28"/>
        <v>0</v>
      </c>
      <c r="H24" s="522">
        <f t="shared" si="28"/>
        <v>0</v>
      </c>
      <c r="I24" s="522">
        <f t="shared" si="28"/>
        <v>0</v>
      </c>
      <c r="J24" s="522">
        <f t="shared" si="28"/>
        <v>0</v>
      </c>
      <c r="K24" s="522">
        <f t="shared" si="28"/>
        <v>0</v>
      </c>
      <c r="L24" s="522">
        <f t="shared" si="28"/>
        <v>0</v>
      </c>
      <c r="M24" s="522">
        <f t="shared" si="28"/>
        <v>0</v>
      </c>
      <c r="N24" s="522">
        <f t="shared" si="28"/>
        <v>0</v>
      </c>
      <c r="O24" s="522">
        <f t="shared" si="28"/>
        <v>0</v>
      </c>
      <c r="P24" s="521">
        <f t="shared" si="17"/>
        <v>0</v>
      </c>
      <c r="R24" s="522">
        <f t="shared" ref="R24:AC24" si="29">R16</f>
        <v>0</v>
      </c>
      <c r="S24" s="522">
        <f t="shared" si="29"/>
        <v>0</v>
      </c>
      <c r="T24" s="522">
        <f t="shared" si="29"/>
        <v>0</v>
      </c>
      <c r="U24" s="522">
        <f t="shared" si="29"/>
        <v>0</v>
      </c>
      <c r="V24" s="522">
        <f t="shared" si="29"/>
        <v>0</v>
      </c>
      <c r="W24" s="522">
        <f t="shared" si="29"/>
        <v>0</v>
      </c>
      <c r="X24" s="522">
        <f t="shared" si="29"/>
        <v>0</v>
      </c>
      <c r="Y24" s="522">
        <f t="shared" si="29"/>
        <v>0</v>
      </c>
      <c r="Z24" s="522">
        <f t="shared" si="29"/>
        <v>0</v>
      </c>
      <c r="AA24" s="522">
        <f t="shared" si="29"/>
        <v>0</v>
      </c>
      <c r="AB24" s="522">
        <f t="shared" si="29"/>
        <v>0</v>
      </c>
      <c r="AC24" s="522">
        <f t="shared" si="29"/>
        <v>0</v>
      </c>
      <c r="AD24" s="521">
        <f>SUM(R24:AC24)</f>
        <v>0</v>
      </c>
      <c r="AF24" s="522">
        <f t="shared" si="20"/>
        <v>0</v>
      </c>
      <c r="AG24" s="522">
        <f t="shared" si="20"/>
        <v>0</v>
      </c>
      <c r="AH24" s="522">
        <f t="shared" si="20"/>
        <v>0</v>
      </c>
      <c r="AI24" s="522">
        <f t="shared" si="20"/>
        <v>0</v>
      </c>
      <c r="AJ24" s="522">
        <f t="shared" si="20"/>
        <v>0</v>
      </c>
      <c r="AK24" s="522">
        <f t="shared" si="20"/>
        <v>0</v>
      </c>
      <c r="AL24" s="522">
        <f t="shared" si="20"/>
        <v>0</v>
      </c>
      <c r="AM24" s="522">
        <f t="shared" si="20"/>
        <v>0</v>
      </c>
      <c r="AN24" s="522">
        <f t="shared" si="20"/>
        <v>0</v>
      </c>
      <c r="AO24" s="522">
        <f t="shared" si="20"/>
        <v>0</v>
      </c>
      <c r="AP24" s="522">
        <f t="shared" si="20"/>
        <v>0</v>
      </c>
      <c r="AQ24" s="522">
        <f t="shared" si="20"/>
        <v>0</v>
      </c>
      <c r="AR24" s="521">
        <f t="shared" si="21"/>
        <v>0</v>
      </c>
      <c r="AT24" s="523" t="e">
        <f t="shared" si="23"/>
        <v>#DIV/0!</v>
      </c>
      <c r="AU24" s="523" t="e">
        <f t="shared" si="22"/>
        <v>#DIV/0!</v>
      </c>
      <c r="AV24" s="523" t="e">
        <f t="shared" si="22"/>
        <v>#DIV/0!</v>
      </c>
      <c r="AW24" s="523" t="e">
        <f t="shared" si="22"/>
        <v>#DIV/0!</v>
      </c>
      <c r="AX24" s="523" t="e">
        <f t="shared" si="22"/>
        <v>#DIV/0!</v>
      </c>
      <c r="AY24" s="523" t="e">
        <f t="shared" si="22"/>
        <v>#DIV/0!</v>
      </c>
      <c r="AZ24" s="523" t="e">
        <f t="shared" si="22"/>
        <v>#DIV/0!</v>
      </c>
      <c r="BA24" s="523" t="e">
        <f t="shared" si="22"/>
        <v>#DIV/0!</v>
      </c>
      <c r="BB24" s="523" t="e">
        <f t="shared" si="22"/>
        <v>#DIV/0!</v>
      </c>
      <c r="BC24" s="523" t="e">
        <f t="shared" si="22"/>
        <v>#DIV/0!</v>
      </c>
      <c r="BD24" s="523" t="e">
        <f t="shared" si="22"/>
        <v>#DIV/0!</v>
      </c>
      <c r="BE24" s="523" t="e">
        <f t="shared" si="22"/>
        <v>#DIV/0!</v>
      </c>
      <c r="BF24" s="523" t="e">
        <f t="shared" si="22"/>
        <v>#DIV/0!</v>
      </c>
    </row>
    <row r="25" spans="1:58" s="514" customFormat="1">
      <c r="C25" s="514" t="s">
        <v>47</v>
      </c>
      <c r="D25" s="524">
        <f>SUM(D20:D24)</f>
        <v>3576822176.4787936</v>
      </c>
      <c r="E25" s="524">
        <f t="shared" ref="E25:P25" si="30">SUM(E20:E24)</f>
        <v>3190830235.9696331</v>
      </c>
      <c r="F25" s="524">
        <f t="shared" si="30"/>
        <v>3934824155.8825727</v>
      </c>
      <c r="G25" s="524">
        <f t="shared" si="30"/>
        <v>4154847181.1351056</v>
      </c>
      <c r="H25" s="524">
        <f t="shared" si="30"/>
        <v>4483300914.2220306</v>
      </c>
      <c r="I25" s="524">
        <f t="shared" si="30"/>
        <v>4405269683.5007439</v>
      </c>
      <c r="J25" s="524">
        <f t="shared" si="30"/>
        <v>4752031439.0119362</v>
      </c>
      <c r="K25" s="524">
        <f t="shared" si="30"/>
        <v>4724026293.8224077</v>
      </c>
      <c r="L25" s="524">
        <f t="shared" si="30"/>
        <v>5007963560.9357986</v>
      </c>
      <c r="M25" s="524">
        <f t="shared" si="30"/>
        <v>5388689342.418416</v>
      </c>
      <c r="N25" s="524">
        <f t="shared" si="30"/>
        <v>5221669432.8923788</v>
      </c>
      <c r="O25" s="524">
        <f t="shared" si="30"/>
        <v>5578603960.8634233</v>
      </c>
      <c r="P25" s="524">
        <f t="shared" si="30"/>
        <v>54418878377.13324</v>
      </c>
      <c r="R25" s="524">
        <f>SUM(R20:R24)</f>
        <v>2939787122</v>
      </c>
      <c r="S25" s="524">
        <f t="shared" ref="S25:AD25" si="31">SUM(S20:S24)</f>
        <v>2928927546</v>
      </c>
      <c r="T25" s="524">
        <f t="shared" si="31"/>
        <v>3670828479</v>
      </c>
      <c r="U25" s="524">
        <f t="shared" si="31"/>
        <v>3927300012</v>
      </c>
      <c r="V25" s="524">
        <f t="shared" si="31"/>
        <v>3937798379</v>
      </c>
      <c r="W25" s="524">
        <f t="shared" si="31"/>
        <v>3771619049</v>
      </c>
      <c r="X25" s="524">
        <f t="shared" si="31"/>
        <v>3989865448</v>
      </c>
      <c r="Y25" s="524">
        <f t="shared" si="31"/>
        <v>4039487207</v>
      </c>
      <c r="Z25" s="524">
        <f t="shared" si="31"/>
        <v>3425528009</v>
      </c>
      <c r="AA25" s="524">
        <f t="shared" si="31"/>
        <v>0</v>
      </c>
      <c r="AB25" s="524">
        <f t="shared" si="31"/>
        <v>0</v>
      </c>
      <c r="AC25" s="524">
        <f t="shared" si="31"/>
        <v>0</v>
      </c>
      <c r="AD25" s="524">
        <f t="shared" si="31"/>
        <v>32631141251</v>
      </c>
      <c r="AE25" s="526"/>
      <c r="AF25" s="524">
        <f>SUM(AF20:AF24)</f>
        <v>-637035054.47879374</v>
      </c>
      <c r="AG25" s="524">
        <f t="shared" ref="AG25:AR25" si="32">SUM(AG20:AG24)</f>
        <v>-261902689.96963316</v>
      </c>
      <c r="AH25" s="524">
        <f t="shared" si="32"/>
        <v>-263995676.88257241</v>
      </c>
      <c r="AI25" s="524">
        <f t="shared" si="32"/>
        <v>-227547169.13510573</v>
      </c>
      <c r="AJ25" s="524">
        <f t="shared" si="32"/>
        <v>-545502535.22203124</v>
      </c>
      <c r="AK25" s="524">
        <f t="shared" si="32"/>
        <v>-633650634.50074315</v>
      </c>
      <c r="AL25" s="524">
        <f t="shared" si="32"/>
        <v>-762165991.01193631</v>
      </c>
      <c r="AM25" s="524">
        <f t="shared" si="32"/>
        <v>-684539086.82240725</v>
      </c>
      <c r="AN25" s="524">
        <f t="shared" si="32"/>
        <v>-1582435551.9357984</v>
      </c>
      <c r="AO25" s="524">
        <f t="shared" si="32"/>
        <v>-5388689342.418416</v>
      </c>
      <c r="AP25" s="524">
        <f t="shared" si="32"/>
        <v>-5221669432.8923788</v>
      </c>
      <c r="AQ25" s="524">
        <f t="shared" si="32"/>
        <v>-5578603960.8634233</v>
      </c>
      <c r="AR25" s="524">
        <f t="shared" si="32"/>
        <v>-21787737126.133236</v>
      </c>
      <c r="AT25" s="523">
        <f t="shared" si="23"/>
        <v>0.82189915431973659</v>
      </c>
      <c r="AU25" s="523">
        <f t="shared" si="22"/>
        <v>0.91792020552605624</v>
      </c>
      <c r="AV25" s="523">
        <f t="shared" si="22"/>
        <v>0.93290788446342676</v>
      </c>
      <c r="AW25" s="523">
        <f t="shared" si="22"/>
        <v>0.94523332406345217</v>
      </c>
      <c r="AX25" s="523">
        <f t="shared" si="22"/>
        <v>0.87832569223904311</v>
      </c>
      <c r="AY25" s="523">
        <f t="shared" si="22"/>
        <v>0.85616076199058044</v>
      </c>
      <c r="AZ25" s="523">
        <f t="shared" si="22"/>
        <v>0.83961259499360363</v>
      </c>
      <c r="BA25" s="523">
        <f t="shared" si="22"/>
        <v>0.85509414125878658</v>
      </c>
      <c r="BB25" s="523">
        <f t="shared" si="22"/>
        <v>0.68401616092428164</v>
      </c>
      <c r="BC25" s="523">
        <f t="shared" si="22"/>
        <v>0</v>
      </c>
      <c r="BD25" s="523">
        <f t="shared" si="22"/>
        <v>0</v>
      </c>
      <c r="BE25" s="523">
        <f t="shared" si="22"/>
        <v>0</v>
      </c>
      <c r="BF25" s="523">
        <f t="shared" si="22"/>
        <v>0.59962906667902904</v>
      </c>
    </row>
    <row r="26" spans="1:58">
      <c r="AE26" s="527"/>
    </row>
    <row r="27" spans="1:58">
      <c r="A27" s="514" t="s">
        <v>93</v>
      </c>
    </row>
    <row r="28" spans="1:58">
      <c r="B28" s="515" t="s">
        <v>86</v>
      </c>
    </row>
    <row r="29" spans="1:58">
      <c r="C29" s="515" t="s">
        <v>87</v>
      </c>
      <c r="D29" s="522">
        <f>SUM(D6:F6)</f>
        <v>3997551533.3504496</v>
      </c>
      <c r="G29" s="522">
        <f>SUM(G6:I6)</f>
        <v>4859201713.1661158</v>
      </c>
      <c r="J29" s="522">
        <f>SUM(J6:L6)</f>
        <v>5381737042.3559818</v>
      </c>
      <c r="M29" s="522">
        <f>SUM(M6:O6)</f>
        <v>5886509711.1274548</v>
      </c>
      <c r="P29" s="521">
        <f t="shared" ref="P29:P32" si="33">SUM(D29:O29)</f>
        <v>20125000000</v>
      </c>
      <c r="R29" s="522">
        <f>SUM(R6:T6)</f>
        <v>2720341931</v>
      </c>
      <c r="U29" s="522">
        <f>SUM(U6:W6)</f>
        <v>3059176247</v>
      </c>
      <c r="X29" s="522">
        <f>SUM(X6:Z6)</f>
        <v>3404812558</v>
      </c>
      <c r="AA29" s="522">
        <f>SUM(AA6:AC6)</f>
        <v>0</v>
      </c>
      <c r="AB29" s="522"/>
      <c r="AD29" s="521">
        <f t="shared" ref="AD29:AD32" si="34">SUM(R29:AC29)</f>
        <v>9184330736</v>
      </c>
      <c r="AF29" s="522">
        <f t="shared" ref="AF29:AO32" si="35">R29-D29</f>
        <v>-1277209602.3504496</v>
      </c>
      <c r="AG29" s="522"/>
      <c r="AH29" s="522"/>
      <c r="AI29" s="522">
        <f t="shared" si="35"/>
        <v>-1800025466.1661158</v>
      </c>
      <c r="AJ29" s="522"/>
      <c r="AK29" s="522"/>
      <c r="AL29" s="522">
        <f t="shared" si="35"/>
        <v>-1976924484.3559818</v>
      </c>
      <c r="AM29" s="522"/>
      <c r="AN29" s="522"/>
      <c r="AO29" s="522">
        <f t="shared" si="35"/>
        <v>-5886509711.1274548</v>
      </c>
      <c r="AP29" s="522"/>
      <c r="AQ29" s="522"/>
      <c r="AR29" s="521">
        <f t="shared" ref="AR29:AR31" si="36">SUM(AF29:AQ29)</f>
        <v>-10940669264.000002</v>
      </c>
      <c r="AT29" s="523">
        <f>R29/D29</f>
        <v>0.68050202938097271</v>
      </c>
      <c r="AU29" s="523"/>
      <c r="AV29" s="523"/>
      <c r="AW29" s="523">
        <f t="shared" ref="AW29:AW33" si="37">U29/G29</f>
        <v>0.62956354306327589</v>
      </c>
      <c r="AX29" s="523"/>
      <c r="AY29" s="523"/>
      <c r="AZ29" s="523">
        <f t="shared" ref="AZ29:AZ33" si="38">X29/J29</f>
        <v>0.63266052042361831</v>
      </c>
      <c r="BA29" s="523"/>
      <c r="BB29" s="523"/>
      <c r="BC29" s="523">
        <f t="shared" ref="BC29:BC33" si="39">AA29/M29</f>
        <v>0</v>
      </c>
      <c r="BD29" s="523"/>
      <c r="BE29" s="523"/>
      <c r="BF29" s="523">
        <f t="shared" ref="BF29:BF33" si="40">AD29/P29</f>
        <v>0.45636426017391302</v>
      </c>
    </row>
    <row r="30" spans="1:58">
      <c r="C30" s="515" t="s">
        <v>88</v>
      </c>
      <c r="D30" s="522">
        <f>SUM(D7:F7)</f>
        <v>3947892508.0914378</v>
      </c>
      <c r="G30" s="522">
        <f>SUM(G7:I7)</f>
        <v>4798838958.9652939</v>
      </c>
      <c r="J30" s="522">
        <f>SUM(J7:L7)</f>
        <v>5314883166.0534229</v>
      </c>
      <c r="M30" s="522">
        <f>SUM(M7:O7)</f>
        <v>5813385366.8898468</v>
      </c>
      <c r="P30" s="521">
        <f t="shared" si="33"/>
        <v>19875000000</v>
      </c>
      <c r="R30" s="522">
        <f>SUM(R7:T7)</f>
        <v>4116575852</v>
      </c>
      <c r="U30" s="522">
        <f>SUM(U7:W7)</f>
        <v>4891599143</v>
      </c>
      <c r="X30" s="522">
        <f>SUM(X7:Z7)</f>
        <v>4533875377</v>
      </c>
      <c r="AA30" s="522">
        <f>SUM(AA7:AC7)</f>
        <v>0</v>
      </c>
      <c r="AB30" s="522"/>
      <c r="AD30" s="521">
        <f t="shared" si="34"/>
        <v>13542050372</v>
      </c>
      <c r="AF30" s="522">
        <f t="shared" si="35"/>
        <v>168683343.90856218</v>
      </c>
      <c r="AG30" s="522"/>
      <c r="AH30" s="522"/>
      <c r="AI30" s="522">
        <f t="shared" si="35"/>
        <v>92760184.034706116</v>
      </c>
      <c r="AJ30" s="522"/>
      <c r="AK30" s="522"/>
      <c r="AL30" s="522">
        <f t="shared" si="35"/>
        <v>-781007789.05342293</v>
      </c>
      <c r="AM30" s="522"/>
      <c r="AN30" s="522"/>
      <c r="AO30" s="522">
        <f t="shared" si="35"/>
        <v>-5813385366.8898468</v>
      </c>
      <c r="AP30" s="522"/>
      <c r="AQ30" s="522"/>
      <c r="AR30" s="521">
        <f t="shared" si="36"/>
        <v>-6332949628.0000019</v>
      </c>
      <c r="AT30" s="523">
        <f t="shared" ref="AT30:AT33" si="41">R30/D30</f>
        <v>1.0427274409226786</v>
      </c>
      <c r="AU30" s="523"/>
      <c r="AV30" s="523"/>
      <c r="AW30" s="523">
        <f t="shared" si="37"/>
        <v>1.0193297138803563</v>
      </c>
      <c r="AX30" s="523"/>
      <c r="AY30" s="523"/>
      <c r="AZ30" s="523">
        <f t="shared" si="38"/>
        <v>0.85305268908980325</v>
      </c>
      <c r="BA30" s="523"/>
      <c r="BB30" s="523"/>
      <c r="BC30" s="523">
        <f t="shared" si="39"/>
        <v>0</v>
      </c>
      <c r="BD30" s="523"/>
      <c r="BE30" s="523"/>
      <c r="BF30" s="523">
        <f t="shared" si="40"/>
        <v>0.68136102500628926</v>
      </c>
    </row>
    <row r="31" spans="1:58">
      <c r="C31" s="515" t="s">
        <v>89</v>
      </c>
      <c r="D31" s="522">
        <f>SUM(D8:F8)</f>
        <v>2184997111.3965187</v>
      </c>
      <c r="G31" s="522">
        <f>SUM(G8:I8)</f>
        <v>2655961184.8361378</v>
      </c>
      <c r="J31" s="522">
        <f>SUM(J8:L8)</f>
        <v>2941570557.3125858</v>
      </c>
      <c r="M31" s="522">
        <f>SUM(M8:O8)</f>
        <v>3217471146.4547582</v>
      </c>
      <c r="P31" s="521">
        <f t="shared" si="33"/>
        <v>11000000000</v>
      </c>
      <c r="R31" s="522">
        <f>SUM(R8:T8)</f>
        <v>2015989875</v>
      </c>
      <c r="U31" s="522">
        <f>SUM(U8:W8)</f>
        <v>2403249084</v>
      </c>
      <c r="X31" s="522">
        <f>SUM(X8:Z8)</f>
        <v>2289660309</v>
      </c>
      <c r="AA31" s="522">
        <f>SUM(AA8:AC8)</f>
        <v>0</v>
      </c>
      <c r="AB31" s="522"/>
      <c r="AD31" s="521">
        <f t="shared" si="34"/>
        <v>6708899268</v>
      </c>
      <c r="AF31" s="522">
        <f t="shared" si="35"/>
        <v>-169007236.39651871</v>
      </c>
      <c r="AG31" s="522"/>
      <c r="AH31" s="522"/>
      <c r="AI31" s="522">
        <f t="shared" si="35"/>
        <v>-252712100.83613777</v>
      </c>
      <c r="AJ31" s="522"/>
      <c r="AK31" s="522"/>
      <c r="AL31" s="522">
        <f t="shared" si="35"/>
        <v>-651910248.31258583</v>
      </c>
      <c r="AM31" s="522"/>
      <c r="AN31" s="522"/>
      <c r="AO31" s="522">
        <f t="shared" si="35"/>
        <v>-3217471146.4547582</v>
      </c>
      <c r="AP31" s="522"/>
      <c r="AQ31" s="522"/>
      <c r="AR31" s="521">
        <f t="shared" si="36"/>
        <v>-4291100732.0000005</v>
      </c>
      <c r="AT31" s="523">
        <f t="shared" si="41"/>
        <v>0.9226510481341097</v>
      </c>
      <c r="AU31" s="523"/>
      <c r="AV31" s="523"/>
      <c r="AW31" s="523">
        <f t="shared" si="37"/>
        <v>0.90485098115177121</v>
      </c>
      <c r="AX31" s="523"/>
      <c r="AY31" s="523"/>
      <c r="AZ31" s="523">
        <f t="shared" si="38"/>
        <v>0.77838021029549265</v>
      </c>
      <c r="BA31" s="523"/>
      <c r="BB31" s="523"/>
      <c r="BC31" s="523">
        <f t="shared" si="39"/>
        <v>0</v>
      </c>
      <c r="BD31" s="523"/>
      <c r="BE31" s="523"/>
      <c r="BF31" s="523">
        <f t="shared" si="40"/>
        <v>0.60989993345454541</v>
      </c>
    </row>
    <row r="32" spans="1:58">
      <c r="C32" s="515" t="s">
        <v>90</v>
      </c>
      <c r="D32" s="522">
        <f>SUM(D9:F9)</f>
        <v>248295126.29505897</v>
      </c>
      <c r="G32" s="522">
        <f>SUM(G9:I9)</f>
        <v>301813771.00410658</v>
      </c>
      <c r="J32" s="522">
        <f>SUM(J9:L9)</f>
        <v>334269381.5127939</v>
      </c>
      <c r="M32" s="522">
        <f>SUM(M9:O9)</f>
        <v>365621721.18804073</v>
      </c>
      <c r="P32" s="521">
        <f t="shared" si="33"/>
        <v>1250000000</v>
      </c>
      <c r="R32" s="522">
        <f>SUM(R9:T9)</f>
        <v>396508916</v>
      </c>
      <c r="U32" s="522">
        <f>SUM(U9:W9)</f>
        <v>924418296</v>
      </c>
      <c r="X32" s="522">
        <f>SUM(X9:Z9)</f>
        <v>571359047</v>
      </c>
      <c r="AA32" s="522">
        <f>SUM(AA9:AC9)</f>
        <v>0</v>
      </c>
      <c r="AB32" s="522"/>
      <c r="AD32" s="521">
        <f t="shared" si="34"/>
        <v>1892286259</v>
      </c>
      <c r="AF32" s="522">
        <f>R32-D32</f>
        <v>148213789.70494103</v>
      </c>
      <c r="AG32" s="522"/>
      <c r="AH32" s="522"/>
      <c r="AI32" s="522">
        <f t="shared" si="35"/>
        <v>622604524.99589348</v>
      </c>
      <c r="AJ32" s="522"/>
      <c r="AK32" s="522"/>
      <c r="AL32" s="522">
        <f t="shared" si="35"/>
        <v>237089665.4872061</v>
      </c>
      <c r="AM32" s="522"/>
      <c r="AN32" s="522"/>
      <c r="AO32" s="522">
        <f t="shared" si="35"/>
        <v>-365621721.18804073</v>
      </c>
      <c r="AP32" s="522"/>
      <c r="AQ32" s="522"/>
      <c r="AR32" s="521">
        <f>SUM(AF32:AQ32)</f>
        <v>642286258.99999988</v>
      </c>
      <c r="AT32" s="523">
        <f t="shared" si="41"/>
        <v>1.5969258918469977</v>
      </c>
      <c r="AU32" s="523"/>
      <c r="AV32" s="523"/>
      <c r="AW32" s="523">
        <f t="shared" si="37"/>
        <v>3.06287646492917</v>
      </c>
      <c r="AX32" s="523"/>
      <c r="AY32" s="523"/>
      <c r="AZ32" s="523">
        <f t="shared" si="38"/>
        <v>1.709277243444242</v>
      </c>
      <c r="BA32" s="523"/>
      <c r="BB32" s="523"/>
      <c r="BC32" s="523">
        <f t="shared" si="39"/>
        <v>0</v>
      </c>
      <c r="BD32" s="523"/>
      <c r="BE32" s="523"/>
      <c r="BF32" s="523">
        <f t="shared" si="40"/>
        <v>1.5138290072</v>
      </c>
    </row>
    <row r="33" spans="2:58">
      <c r="C33" s="514" t="s">
        <v>47</v>
      </c>
      <c r="D33" s="521">
        <f>SUM(D29:D32)</f>
        <v>10378736279.133465</v>
      </c>
      <c r="G33" s="521">
        <f>SUM(G29:G32)</f>
        <v>12615815627.971653</v>
      </c>
      <c r="J33" s="521">
        <f>SUM(J29:J32)</f>
        <v>13972460147.234785</v>
      </c>
      <c r="M33" s="521">
        <f>SUM(M29:M32)</f>
        <v>15282987945.660099</v>
      </c>
      <c r="P33" s="521">
        <f>SUM(P29:P32)</f>
        <v>52250000000</v>
      </c>
      <c r="R33" s="521">
        <f>SUM(R29:R32)</f>
        <v>9249416574</v>
      </c>
      <c r="U33" s="521">
        <f>SUM(U29:U32)</f>
        <v>11278442770</v>
      </c>
      <c r="X33" s="521">
        <f>SUM(X29:X32)</f>
        <v>10799707291</v>
      </c>
      <c r="AA33" s="521">
        <f>SUM(AA29:AA32)</f>
        <v>0</v>
      </c>
      <c r="AB33" s="521"/>
      <c r="AD33" s="521">
        <f>SUM(AD29:AD32)</f>
        <v>31327566635</v>
      </c>
      <c r="AF33" s="521">
        <f>SUM(AF29:AF32)</f>
        <v>-1129319705.1334651</v>
      </c>
      <c r="AI33" s="521">
        <f>SUM(AI29:AI32)</f>
        <v>-1337372857.9716539</v>
      </c>
      <c r="AL33" s="521">
        <f>SUM(AL29:AL32)</f>
        <v>-3172752856.2347846</v>
      </c>
      <c r="AO33" s="521">
        <f>SUM(AO29:AO32)</f>
        <v>-15282987945.660099</v>
      </c>
      <c r="AR33" s="521">
        <f>SUM(AR29:AR32)</f>
        <v>-20922433365.000004</v>
      </c>
      <c r="AT33" s="523">
        <f t="shared" si="41"/>
        <v>0.89118909328065576</v>
      </c>
      <c r="AU33" s="523"/>
      <c r="AV33" s="523"/>
      <c r="AW33" s="523">
        <f t="shared" si="37"/>
        <v>0.89399235868615234</v>
      </c>
      <c r="AX33" s="523"/>
      <c r="AY33" s="523"/>
      <c r="AZ33" s="523">
        <f t="shared" si="38"/>
        <v>0.77292811553571061</v>
      </c>
      <c r="BA33" s="523"/>
      <c r="BB33" s="523"/>
      <c r="BC33" s="523">
        <f t="shared" si="39"/>
        <v>0</v>
      </c>
      <c r="BD33" s="523"/>
      <c r="BE33" s="523"/>
      <c r="BF33" s="523">
        <f t="shared" si="40"/>
        <v>0.59957065330143544</v>
      </c>
    </row>
    <row r="34" spans="2:58">
      <c r="AD34" s="514"/>
      <c r="AR34" s="514"/>
    </row>
    <row r="35" spans="2:58">
      <c r="B35" s="515" t="s">
        <v>91</v>
      </c>
      <c r="AD35" s="514"/>
      <c r="AR35" s="514"/>
    </row>
    <row r="36" spans="2:58">
      <c r="C36" s="515" t="s">
        <v>87</v>
      </c>
      <c r="D36" s="522">
        <f>SUM(D13:F13)</f>
        <v>95197.440489346336</v>
      </c>
      <c r="G36" s="522">
        <f>SUM(G13:I13)</f>
        <v>125738.53693962183</v>
      </c>
      <c r="J36" s="522">
        <f>SUM(J13:L13)</f>
        <v>150427.09674682168</v>
      </c>
      <c r="M36" s="522">
        <f>SUM(M13:O13)</f>
        <v>266406.38833862112</v>
      </c>
      <c r="P36" s="521">
        <f t="shared" ref="P36:P39" si="42">SUM(D36:O36)</f>
        <v>637769.46251441096</v>
      </c>
      <c r="R36" s="522">
        <f>SUM(R13:T13)</f>
        <v>55666</v>
      </c>
      <c r="U36" s="522">
        <f>SUM(U13:W13)</f>
        <v>23228</v>
      </c>
      <c r="X36" s="522">
        <f>SUM(X13:Z13)</f>
        <v>6514459</v>
      </c>
      <c r="AA36" s="522">
        <f>SUM(AA13:AC13)</f>
        <v>0</v>
      </c>
      <c r="AB36" s="522"/>
      <c r="AD36" s="522">
        <f>SUM(AD13:AF13)</f>
        <v>6578884.3404186489</v>
      </c>
      <c r="AF36" s="522">
        <f t="shared" ref="AF36:AO39" si="43">R36-D36</f>
        <v>-39531.440489346336</v>
      </c>
      <c r="AG36" s="522"/>
      <c r="AH36" s="522"/>
      <c r="AI36" s="522">
        <f t="shared" si="43"/>
        <v>-102510.53693962183</v>
      </c>
      <c r="AJ36" s="522"/>
      <c r="AK36" s="522"/>
      <c r="AL36" s="522">
        <f t="shared" si="43"/>
        <v>6364031.9032531781</v>
      </c>
      <c r="AM36" s="522"/>
      <c r="AN36" s="522"/>
      <c r="AO36" s="522">
        <f t="shared" si="43"/>
        <v>-266406.38833862112</v>
      </c>
      <c r="AP36" s="522"/>
      <c r="AQ36" s="522"/>
      <c r="AR36" s="521">
        <f t="shared" ref="AR36:AR38" si="44">SUM(AF36:AQ36)</f>
        <v>5955583.5374855893</v>
      </c>
      <c r="AT36" s="523">
        <f>R36/D36</f>
        <v>0.58474261192168975</v>
      </c>
      <c r="AU36" s="523"/>
      <c r="AV36" s="523"/>
      <c r="AW36" s="523">
        <f t="shared" ref="AW36:AW40" si="45">U36/G36</f>
        <v>0.18473254552940926</v>
      </c>
      <c r="AX36" s="523"/>
      <c r="AY36" s="523"/>
      <c r="AZ36" s="523">
        <f t="shared" ref="AZ36:AZ40" si="46">X36/J36</f>
        <v>43.306419793265349</v>
      </c>
      <c r="BA36" s="523"/>
      <c r="BB36" s="523"/>
      <c r="BC36" s="523">
        <f t="shared" ref="BC36:BC40" si="47">AA36/M36</f>
        <v>0</v>
      </c>
      <c r="BD36" s="523"/>
      <c r="BE36" s="523"/>
      <c r="BF36" s="523">
        <f t="shared" ref="BF36:BF40" si="48">AD36/P36</f>
        <v>10.315458370304134</v>
      </c>
    </row>
    <row r="37" spans="2:58">
      <c r="C37" s="515" t="s">
        <v>88</v>
      </c>
      <c r="D37" s="522">
        <f>SUM(D14:F14)</f>
        <v>296466540.41933918</v>
      </c>
      <c r="G37" s="522">
        <f>SUM(G14:I14)</f>
        <v>391578479.9702751</v>
      </c>
      <c r="J37" s="522">
        <f>SUM(J14:L14)</f>
        <v>468464285.68472183</v>
      </c>
      <c r="M37" s="522">
        <f>SUM(M14:O14)</f>
        <v>829650249.94764221</v>
      </c>
      <c r="P37" s="521">
        <f t="shared" si="42"/>
        <v>1986159556.0219784</v>
      </c>
      <c r="R37" s="522">
        <f>SUM(R14:T14)</f>
        <v>268419941</v>
      </c>
      <c r="U37" s="522">
        <f>SUM(U14:W14)</f>
        <v>313754783</v>
      </c>
      <c r="X37" s="522">
        <f>SUM(X14:Z14)</f>
        <v>465008740</v>
      </c>
      <c r="AA37" s="522">
        <f>SUM(AA14:AC14)</f>
        <v>0</v>
      </c>
      <c r="AB37" s="522"/>
      <c r="AD37" s="522">
        <f>SUM(AD14:AF14)</f>
        <v>1029847040.6796006</v>
      </c>
      <c r="AF37" s="522">
        <f t="shared" si="43"/>
        <v>-28046599.41933918</v>
      </c>
      <c r="AG37" s="522"/>
      <c r="AH37" s="522"/>
      <c r="AI37" s="522">
        <f t="shared" si="43"/>
        <v>-77823696.970275104</v>
      </c>
      <c r="AJ37" s="522"/>
      <c r="AK37" s="522"/>
      <c r="AL37" s="522">
        <f t="shared" si="43"/>
        <v>-3455545.6847218275</v>
      </c>
      <c r="AM37" s="522"/>
      <c r="AN37" s="522"/>
      <c r="AO37" s="522">
        <f t="shared" si="43"/>
        <v>-829650249.94764221</v>
      </c>
      <c r="AP37" s="522"/>
      <c r="AQ37" s="522"/>
      <c r="AR37" s="521">
        <f t="shared" si="44"/>
        <v>-938976092.02197838</v>
      </c>
      <c r="AT37" s="523">
        <f t="shared" ref="AT37:AT40" si="49">R37/D37</f>
        <v>0.90539708332795843</v>
      </c>
      <c r="AU37" s="523"/>
      <c r="AV37" s="523"/>
      <c r="AW37" s="523">
        <f t="shared" si="45"/>
        <v>0.80125645061959805</v>
      </c>
      <c r="AX37" s="523"/>
      <c r="AY37" s="523"/>
      <c r="AZ37" s="523">
        <f t="shared" si="46"/>
        <v>0.99262367315862488</v>
      </c>
      <c r="BA37" s="523"/>
      <c r="BB37" s="523"/>
      <c r="BC37" s="523">
        <f t="shared" si="47"/>
        <v>0</v>
      </c>
      <c r="BD37" s="523"/>
      <c r="BE37" s="523"/>
      <c r="BF37" s="523">
        <f t="shared" si="48"/>
        <v>0.51851173666140471</v>
      </c>
    </row>
    <row r="38" spans="2:58">
      <c r="C38" s="515" t="s">
        <v>90</v>
      </c>
      <c r="D38" s="522">
        <f>SUM(D15:F15)</f>
        <v>27178551.337705195</v>
      </c>
      <c r="G38" s="522">
        <f>SUM(G15:I15)</f>
        <v>35897932.379010729</v>
      </c>
      <c r="J38" s="522">
        <f>SUM(J15:L15)</f>
        <v>42946433.753888324</v>
      </c>
      <c r="M38" s="522">
        <f>SUM(M15:O15)</f>
        <v>76058134.178136215</v>
      </c>
      <c r="P38" s="521">
        <f t="shared" si="42"/>
        <v>182081051.64874047</v>
      </c>
      <c r="R38" s="522">
        <f>SUM(R15:T15)</f>
        <v>21650966</v>
      </c>
      <c r="U38" s="522">
        <f>SUM(U15:W15)</f>
        <v>44496659</v>
      </c>
      <c r="X38" s="522">
        <f>SUM(X15:Z15)</f>
        <v>183650174</v>
      </c>
      <c r="AA38" s="522">
        <f>SUM(AA15:AC15)</f>
        <v>0</v>
      </c>
      <c r="AB38" s="522"/>
      <c r="AD38" s="522">
        <f>SUM(AD15:AF15)</f>
        <v>246960230.5719808</v>
      </c>
      <c r="AF38" s="522">
        <f t="shared" si="43"/>
        <v>-5527585.337705195</v>
      </c>
      <c r="AG38" s="522"/>
      <c r="AH38" s="522"/>
      <c r="AI38" s="522">
        <f t="shared" si="43"/>
        <v>8598726.6209892705</v>
      </c>
      <c r="AJ38" s="522"/>
      <c r="AK38" s="522"/>
      <c r="AL38" s="522">
        <f t="shared" si="43"/>
        <v>140703740.24611169</v>
      </c>
      <c r="AM38" s="522"/>
      <c r="AN38" s="522"/>
      <c r="AO38" s="522">
        <f t="shared" si="43"/>
        <v>-76058134.178136215</v>
      </c>
      <c r="AP38" s="522"/>
      <c r="AQ38" s="522"/>
      <c r="AR38" s="521">
        <f t="shared" si="44"/>
        <v>67716747.351259544</v>
      </c>
      <c r="AT38" s="523">
        <f t="shared" si="49"/>
        <v>0.79661957442019005</v>
      </c>
      <c r="AU38" s="523"/>
      <c r="AV38" s="523"/>
      <c r="AW38" s="523">
        <f t="shared" si="45"/>
        <v>1.239532643000266</v>
      </c>
      <c r="AX38" s="523"/>
      <c r="AY38" s="523"/>
      <c r="AZ38" s="523">
        <f t="shared" si="46"/>
        <v>4.27626133178922</v>
      </c>
      <c r="BA38" s="523"/>
      <c r="BB38" s="523"/>
      <c r="BC38" s="523">
        <f t="shared" si="47"/>
        <v>0</v>
      </c>
      <c r="BD38" s="523"/>
      <c r="BE38" s="523"/>
      <c r="BF38" s="523">
        <f t="shared" si="48"/>
        <v>1.3563203218333846</v>
      </c>
    </row>
    <row r="39" spans="2:58">
      <c r="C39" s="515" t="s">
        <v>74</v>
      </c>
      <c r="D39" s="522">
        <f>SUM(D16:F16)</f>
        <v>0</v>
      </c>
      <c r="G39" s="522">
        <f>SUM(G16:I16)</f>
        <v>0</v>
      </c>
      <c r="J39" s="522">
        <f>SUM(J16:L16)</f>
        <v>0</v>
      </c>
      <c r="M39" s="522">
        <f>SUM(M16:O16)</f>
        <v>0</v>
      </c>
      <c r="P39" s="521">
        <f t="shared" si="42"/>
        <v>0</v>
      </c>
      <c r="R39" s="522">
        <f>SUM(R16:T16)</f>
        <v>0</v>
      </c>
      <c r="U39" s="522">
        <f>SUM(U16:W16)</f>
        <v>0</v>
      </c>
      <c r="X39" s="522">
        <f>SUM(X16:Z16)</f>
        <v>0</v>
      </c>
      <c r="AA39" s="522">
        <f>SUM(AA16:AC16)</f>
        <v>0</v>
      </c>
      <c r="AB39" s="522"/>
      <c r="AD39" s="522">
        <f>SUM(AD16:AF16)</f>
        <v>0</v>
      </c>
      <c r="AF39" s="522">
        <f>R39-D39</f>
        <v>0</v>
      </c>
      <c r="AG39" s="522"/>
      <c r="AH39" s="522"/>
      <c r="AI39" s="522">
        <f t="shared" si="43"/>
        <v>0</v>
      </c>
      <c r="AJ39" s="522"/>
      <c r="AK39" s="522"/>
      <c r="AL39" s="522">
        <f t="shared" si="43"/>
        <v>0</v>
      </c>
      <c r="AM39" s="522"/>
      <c r="AN39" s="522"/>
      <c r="AO39" s="522">
        <f t="shared" si="43"/>
        <v>0</v>
      </c>
      <c r="AP39" s="522"/>
      <c r="AQ39" s="522"/>
      <c r="AR39" s="521">
        <f>SUM(AF39:AQ39)</f>
        <v>0</v>
      </c>
      <c r="AT39" s="523" t="e">
        <f t="shared" si="49"/>
        <v>#DIV/0!</v>
      </c>
      <c r="AU39" s="523"/>
      <c r="AV39" s="523"/>
      <c r="AW39" s="523" t="e">
        <f t="shared" si="45"/>
        <v>#DIV/0!</v>
      </c>
      <c r="AX39" s="523"/>
      <c r="AY39" s="523"/>
      <c r="AZ39" s="523" t="e">
        <f t="shared" si="46"/>
        <v>#DIV/0!</v>
      </c>
      <c r="BA39" s="523"/>
      <c r="BB39" s="523"/>
      <c r="BC39" s="523" t="e">
        <f t="shared" si="47"/>
        <v>#DIV/0!</v>
      </c>
      <c r="BD39" s="523"/>
      <c r="BE39" s="523"/>
      <c r="BF39" s="523" t="e">
        <f t="shared" si="48"/>
        <v>#DIV/0!</v>
      </c>
    </row>
    <row r="40" spans="2:58">
      <c r="C40" s="514" t="s">
        <v>47</v>
      </c>
      <c r="D40" s="521">
        <f>SUM(D36:D39)</f>
        <v>323740289.19753373</v>
      </c>
      <c r="G40" s="521">
        <f>SUM(G36:G39)</f>
        <v>427602150.88622546</v>
      </c>
      <c r="J40" s="521">
        <f>SUM(J36:J39)</f>
        <v>511561146.53535694</v>
      </c>
      <c r="M40" s="521">
        <f>SUM(M36:M39)</f>
        <v>905974790.514117</v>
      </c>
      <c r="P40" s="521">
        <f>SUM(P36:P39)</f>
        <v>2168878377.1332331</v>
      </c>
      <c r="R40" s="521">
        <f>SUM(R36:R39)</f>
        <v>290126573</v>
      </c>
      <c r="U40" s="521">
        <f>SUM(U36:U39)</f>
        <v>358274670</v>
      </c>
      <c r="X40" s="521">
        <f>SUM(X36:X39)</f>
        <v>655173373</v>
      </c>
      <c r="AA40" s="521">
        <f>SUM(AA36:AA39)</f>
        <v>0</v>
      </c>
      <c r="AB40" s="521"/>
      <c r="AD40" s="521">
        <f>SUM(AD36:AD39)</f>
        <v>1283386155.592</v>
      </c>
      <c r="AF40" s="521">
        <f>SUM(AF36:AF38)</f>
        <v>-33613716.197533727</v>
      </c>
      <c r="AI40" s="521">
        <f>SUM(AI36:AI38)</f>
        <v>-69327480.886225462</v>
      </c>
      <c r="AL40" s="521">
        <f>SUM(AL36:AL38)</f>
        <v>143612226.46464303</v>
      </c>
      <c r="AO40" s="521">
        <f>SUM(AO36:AO38)</f>
        <v>-905974790.514117</v>
      </c>
      <c r="AR40" s="521">
        <f>SUM(AR36:AR38)</f>
        <v>-865303761.13323319</v>
      </c>
      <c r="AT40" s="523">
        <f t="shared" si="49"/>
        <v>0.89617073524937785</v>
      </c>
      <c r="AU40" s="523"/>
      <c r="AV40" s="523"/>
      <c r="AW40" s="523">
        <f t="shared" si="45"/>
        <v>0.83786919513257585</v>
      </c>
      <c r="AX40" s="523"/>
      <c r="AY40" s="523"/>
      <c r="AZ40" s="523">
        <f t="shared" si="46"/>
        <v>1.280733256302367</v>
      </c>
      <c r="BA40" s="523"/>
      <c r="BB40" s="523"/>
      <c r="BC40" s="523">
        <f t="shared" si="47"/>
        <v>0</v>
      </c>
      <c r="BD40" s="523"/>
      <c r="BE40" s="523"/>
      <c r="BF40" s="523">
        <f t="shared" si="48"/>
        <v>0.59172804207137997</v>
      </c>
    </row>
    <row r="41" spans="2:58">
      <c r="AD41" s="514"/>
      <c r="AR41" s="514"/>
    </row>
    <row r="42" spans="2:58">
      <c r="B42" s="515" t="s">
        <v>92</v>
      </c>
      <c r="AD42" s="514"/>
      <c r="AR42" s="514"/>
    </row>
    <row r="43" spans="2:58">
      <c r="C43" s="515" t="s">
        <v>87</v>
      </c>
      <c r="D43" s="522">
        <f>D29+D36</f>
        <v>3997646730.7909389</v>
      </c>
      <c r="G43" s="522">
        <f>G29+G36</f>
        <v>4859327451.7030554</v>
      </c>
      <c r="J43" s="522">
        <f>J29+J36</f>
        <v>5381887469.4527283</v>
      </c>
      <c r="M43" s="522">
        <f>M29+M36</f>
        <v>5886776117.5157938</v>
      </c>
      <c r="P43" s="521">
        <f t="shared" ref="P43:P47" si="50">SUM(D43:O43)</f>
        <v>20125637769.462517</v>
      </c>
      <c r="R43" s="522">
        <f>SUM(R20:T20)</f>
        <v>2720397597</v>
      </c>
      <c r="U43" s="522">
        <f>SUM(U20:W20)</f>
        <v>3059199475</v>
      </c>
      <c r="X43" s="522">
        <f>SUM(X20:Z20)</f>
        <v>3411327017</v>
      </c>
      <c r="AA43" s="522">
        <f>SUM(AA20:AC20)</f>
        <v>0</v>
      </c>
      <c r="AB43" s="522"/>
      <c r="AD43" s="521">
        <f t="shared" ref="AD43:AD47" si="51">SUM(R43:AC43)</f>
        <v>9190924089</v>
      </c>
      <c r="AF43" s="522">
        <f t="shared" ref="AF43:AO47" si="52">R43-D43</f>
        <v>-1277249133.7909389</v>
      </c>
      <c r="AG43" s="522"/>
      <c r="AH43" s="522"/>
      <c r="AI43" s="522">
        <f t="shared" si="52"/>
        <v>-1800127976.7030554</v>
      </c>
      <c r="AJ43" s="522"/>
      <c r="AK43" s="522"/>
      <c r="AL43" s="522">
        <f t="shared" si="52"/>
        <v>-1970560452.4527283</v>
      </c>
      <c r="AM43" s="522"/>
      <c r="AN43" s="522"/>
      <c r="AO43" s="522">
        <f t="shared" si="52"/>
        <v>-5886776117.5157938</v>
      </c>
      <c r="AP43" s="522"/>
      <c r="AQ43" s="522"/>
      <c r="AR43" s="521">
        <f t="shared" ref="AR43:AR47" si="53">SUM(AF43:AQ43)</f>
        <v>-10934713680.462517</v>
      </c>
      <c r="AT43" s="523">
        <f>R43/D43</f>
        <v>0.68049974902653954</v>
      </c>
      <c r="AU43" s="523"/>
      <c r="AV43" s="523"/>
      <c r="AW43" s="523">
        <f t="shared" ref="AW43:AW48" si="54">U43/G43</f>
        <v>0.62955203274639127</v>
      </c>
      <c r="AX43" s="523"/>
      <c r="AY43" s="523"/>
      <c r="AZ43" s="523">
        <f t="shared" ref="AZ43:AZ48" si="55">X43/J43</f>
        <v>0.63385327849429929</v>
      </c>
      <c r="BA43" s="523"/>
      <c r="BB43" s="523"/>
      <c r="BC43" s="523">
        <f t="shared" ref="BC43:BC48" si="56">AA43/M43</f>
        <v>0</v>
      </c>
      <c r="BD43" s="523"/>
      <c r="BE43" s="523"/>
      <c r="BF43" s="523">
        <f t="shared" ref="BF43:BF48" si="57">AD43/P43</f>
        <v>0.45667740790534245</v>
      </c>
    </row>
    <row r="44" spans="2:58">
      <c r="C44" s="515" t="s">
        <v>88</v>
      </c>
      <c r="D44" s="522">
        <f>D30+D37</f>
        <v>4244359048.510777</v>
      </c>
      <c r="G44" s="522">
        <f>G30+G37</f>
        <v>5190417438.9355688</v>
      </c>
      <c r="J44" s="522">
        <f>J30+J37</f>
        <v>5783347451.7381449</v>
      </c>
      <c r="M44" s="522">
        <f>M30+M37</f>
        <v>6643035616.8374891</v>
      </c>
      <c r="P44" s="521">
        <f t="shared" si="50"/>
        <v>21861159556.02198</v>
      </c>
      <c r="R44" s="522">
        <f>SUM(R21:T21)</f>
        <v>4384995793</v>
      </c>
      <c r="U44" s="522">
        <f>SUM(U21:W21)</f>
        <v>5205353926</v>
      </c>
      <c r="X44" s="522">
        <f>SUM(X21:Z21)</f>
        <v>4998884117</v>
      </c>
      <c r="AA44" s="522">
        <f>SUM(AA21:AC21)</f>
        <v>0</v>
      </c>
      <c r="AB44" s="522"/>
      <c r="AD44" s="521">
        <f t="shared" si="51"/>
        <v>14589233836</v>
      </c>
      <c r="AF44" s="522">
        <f t="shared" si="52"/>
        <v>140636744.489223</v>
      </c>
      <c r="AG44" s="522"/>
      <c r="AH44" s="522"/>
      <c r="AI44" s="522">
        <f t="shared" si="52"/>
        <v>14936487.06443119</v>
      </c>
      <c r="AJ44" s="522"/>
      <c r="AK44" s="522"/>
      <c r="AL44" s="522">
        <f t="shared" si="52"/>
        <v>-784463334.73814487</v>
      </c>
      <c r="AM44" s="522"/>
      <c r="AN44" s="522"/>
      <c r="AO44" s="522">
        <f t="shared" si="52"/>
        <v>-6643035616.8374891</v>
      </c>
      <c r="AP44" s="522"/>
      <c r="AQ44" s="522"/>
      <c r="AR44" s="521">
        <f t="shared" si="53"/>
        <v>-7271925720.0219803</v>
      </c>
      <c r="AT44" s="523">
        <f t="shared" ref="AT44:AT48" si="58">R44/D44</f>
        <v>1.0331349781867696</v>
      </c>
      <c r="AU44" s="523"/>
      <c r="AV44" s="523"/>
      <c r="AW44" s="523">
        <f t="shared" si="54"/>
        <v>1.0028777043927886</v>
      </c>
      <c r="AX44" s="523"/>
      <c r="AY44" s="523"/>
      <c r="AZ44" s="523">
        <f t="shared" si="55"/>
        <v>0.86435825596084848</v>
      </c>
      <c r="BA44" s="523"/>
      <c r="BB44" s="523"/>
      <c r="BC44" s="523">
        <f t="shared" si="56"/>
        <v>0</v>
      </c>
      <c r="BD44" s="523"/>
      <c r="BE44" s="523"/>
      <c r="BF44" s="523">
        <f t="shared" si="57"/>
        <v>0.66735864575770776</v>
      </c>
    </row>
    <row r="45" spans="2:58">
      <c r="C45" s="515" t="s">
        <v>89</v>
      </c>
      <c r="D45" s="522">
        <f>D31</f>
        <v>2184997111.3965187</v>
      </c>
      <c r="G45" s="522">
        <f>G31</f>
        <v>2655961184.8361378</v>
      </c>
      <c r="J45" s="522">
        <f>J31</f>
        <v>2941570557.3125858</v>
      </c>
      <c r="M45" s="522">
        <f>M31</f>
        <v>3217471146.4547582</v>
      </c>
      <c r="P45" s="521">
        <f t="shared" si="50"/>
        <v>11000000000</v>
      </c>
      <c r="R45" s="522">
        <f>SUM(R22:T22)</f>
        <v>2015989875</v>
      </c>
      <c r="U45" s="522">
        <f>SUM(U22:W22)</f>
        <v>2403249084</v>
      </c>
      <c r="X45" s="522">
        <f>SUM(X22:Z22)</f>
        <v>2289660309</v>
      </c>
      <c r="AA45" s="522">
        <f>SUM(AA22:AC22)</f>
        <v>0</v>
      </c>
      <c r="AB45" s="522"/>
      <c r="AD45" s="521">
        <f t="shared" si="51"/>
        <v>6708899268</v>
      </c>
      <c r="AF45" s="522">
        <f t="shared" si="52"/>
        <v>-169007236.39651871</v>
      </c>
      <c r="AG45" s="522"/>
      <c r="AH45" s="522"/>
      <c r="AI45" s="522">
        <f t="shared" si="52"/>
        <v>-252712100.83613777</v>
      </c>
      <c r="AJ45" s="522"/>
      <c r="AK45" s="522"/>
      <c r="AL45" s="522">
        <f t="shared" si="52"/>
        <v>-651910248.31258583</v>
      </c>
      <c r="AM45" s="522"/>
      <c r="AN45" s="522"/>
      <c r="AO45" s="522">
        <f t="shared" si="52"/>
        <v>-3217471146.4547582</v>
      </c>
      <c r="AP45" s="522"/>
      <c r="AQ45" s="522"/>
      <c r="AR45" s="521">
        <f t="shared" si="53"/>
        <v>-4291100732.0000005</v>
      </c>
      <c r="AT45" s="523">
        <f t="shared" si="58"/>
        <v>0.9226510481341097</v>
      </c>
      <c r="AU45" s="523"/>
      <c r="AV45" s="523"/>
      <c r="AW45" s="523">
        <f t="shared" si="54"/>
        <v>0.90485098115177121</v>
      </c>
      <c r="AX45" s="523"/>
      <c r="AY45" s="523"/>
      <c r="AZ45" s="523">
        <f t="shared" si="55"/>
        <v>0.77838021029549265</v>
      </c>
      <c r="BA45" s="523"/>
      <c r="BB45" s="523"/>
      <c r="BC45" s="523">
        <f t="shared" si="56"/>
        <v>0</v>
      </c>
      <c r="BD45" s="523"/>
      <c r="BE45" s="523"/>
      <c r="BF45" s="523">
        <f t="shared" si="57"/>
        <v>0.60989993345454541</v>
      </c>
    </row>
    <row r="46" spans="2:58">
      <c r="C46" s="515" t="s">
        <v>94</v>
      </c>
      <c r="D46" s="522">
        <f>D32+D38</f>
        <v>275473677.63276416</v>
      </c>
      <c r="G46" s="522">
        <f>G32+G38</f>
        <v>337711703.38311732</v>
      </c>
      <c r="J46" s="522">
        <f>J32+J38</f>
        <v>377215815.26668221</v>
      </c>
      <c r="M46" s="522">
        <f>M32+M38</f>
        <v>441679855.36617696</v>
      </c>
      <c r="P46" s="521">
        <f t="shared" si="50"/>
        <v>1432081051.6487408</v>
      </c>
      <c r="R46" s="522">
        <f t="shared" ref="R46:R47" si="59">SUM(R23:T23)</f>
        <v>418159882</v>
      </c>
      <c r="U46" s="522">
        <f t="shared" ref="U46:U47" si="60">SUM(U23:W23)</f>
        <v>968914955</v>
      </c>
      <c r="X46" s="522">
        <f t="shared" ref="X46:X47" si="61">SUM(X23:Z23)</f>
        <v>755009221</v>
      </c>
      <c r="AA46" s="522">
        <f t="shared" ref="AA46:AA47" si="62">SUM(AA23:AC23)</f>
        <v>0</v>
      </c>
      <c r="AB46" s="522"/>
      <c r="AD46" s="521">
        <f t="shared" si="51"/>
        <v>2142084058</v>
      </c>
      <c r="AF46" s="522">
        <f t="shared" si="52"/>
        <v>142686204.36723584</v>
      </c>
      <c r="AG46" s="522"/>
      <c r="AH46" s="522"/>
      <c r="AI46" s="522">
        <f t="shared" si="52"/>
        <v>631203251.61688268</v>
      </c>
      <c r="AJ46" s="522"/>
      <c r="AK46" s="522"/>
      <c r="AL46" s="522">
        <f t="shared" si="52"/>
        <v>377793405.73331779</v>
      </c>
      <c r="AM46" s="522"/>
      <c r="AN46" s="522"/>
      <c r="AO46" s="522">
        <f t="shared" si="52"/>
        <v>-441679855.36617696</v>
      </c>
      <c r="AP46" s="522"/>
      <c r="AQ46" s="522"/>
      <c r="AR46" s="521">
        <f t="shared" si="53"/>
        <v>710003006.35125935</v>
      </c>
      <c r="AT46" s="523">
        <f t="shared" si="58"/>
        <v>1.5179667458371533</v>
      </c>
      <c r="AU46" s="523"/>
      <c r="AV46" s="523"/>
      <c r="AW46" s="523">
        <f t="shared" si="54"/>
        <v>2.8690594530590303</v>
      </c>
      <c r="AX46" s="523"/>
      <c r="AY46" s="523"/>
      <c r="AZ46" s="523">
        <f t="shared" si="55"/>
        <v>2.0015311936648978</v>
      </c>
      <c r="BA46" s="523"/>
      <c r="BB46" s="523"/>
      <c r="BC46" s="523">
        <f t="shared" si="56"/>
        <v>0</v>
      </c>
      <c r="BD46" s="523"/>
      <c r="BE46" s="523"/>
      <c r="BF46" s="523">
        <f t="shared" si="57"/>
        <v>1.4957840937381581</v>
      </c>
    </row>
    <row r="47" spans="2:58">
      <c r="C47" s="515" t="s">
        <v>74</v>
      </c>
      <c r="D47" s="522">
        <f>D39</f>
        <v>0</v>
      </c>
      <c r="G47" s="522">
        <f>G39</f>
        <v>0</v>
      </c>
      <c r="J47" s="522">
        <f>J39</f>
        <v>0</v>
      </c>
      <c r="M47" s="522">
        <f>M39</f>
        <v>0</v>
      </c>
      <c r="P47" s="521">
        <f t="shared" si="50"/>
        <v>0</v>
      </c>
      <c r="R47" s="522">
        <f t="shared" si="59"/>
        <v>0</v>
      </c>
      <c r="U47" s="522">
        <f t="shared" si="60"/>
        <v>0</v>
      </c>
      <c r="X47" s="522">
        <f t="shared" si="61"/>
        <v>0</v>
      </c>
      <c r="AA47" s="522">
        <f t="shared" si="62"/>
        <v>0</v>
      </c>
      <c r="AB47" s="522"/>
      <c r="AD47" s="521">
        <f t="shared" si="51"/>
        <v>0</v>
      </c>
      <c r="AF47" s="522">
        <f t="shared" si="52"/>
        <v>0</v>
      </c>
      <c r="AG47" s="522"/>
      <c r="AH47" s="522"/>
      <c r="AI47" s="522">
        <f t="shared" si="52"/>
        <v>0</v>
      </c>
      <c r="AJ47" s="522"/>
      <c r="AK47" s="522"/>
      <c r="AL47" s="522">
        <f t="shared" si="52"/>
        <v>0</v>
      </c>
      <c r="AM47" s="522"/>
      <c r="AN47" s="522"/>
      <c r="AO47" s="522">
        <f t="shared" si="52"/>
        <v>0</v>
      </c>
      <c r="AP47" s="522"/>
      <c r="AQ47" s="522"/>
      <c r="AR47" s="521">
        <f t="shared" si="53"/>
        <v>0</v>
      </c>
      <c r="AT47" s="523" t="e">
        <f t="shared" si="58"/>
        <v>#DIV/0!</v>
      </c>
      <c r="AU47" s="523"/>
      <c r="AV47" s="523"/>
      <c r="AW47" s="523" t="e">
        <f t="shared" si="54"/>
        <v>#DIV/0!</v>
      </c>
      <c r="AX47" s="523"/>
      <c r="AY47" s="523"/>
      <c r="AZ47" s="523" t="e">
        <f t="shared" si="55"/>
        <v>#DIV/0!</v>
      </c>
      <c r="BA47" s="523"/>
      <c r="BB47" s="523"/>
      <c r="BC47" s="523" t="e">
        <f t="shared" si="56"/>
        <v>#DIV/0!</v>
      </c>
      <c r="BD47" s="523"/>
      <c r="BE47" s="523"/>
      <c r="BF47" s="523" t="e">
        <f t="shared" si="57"/>
        <v>#DIV/0!</v>
      </c>
    </row>
    <row r="48" spans="2:58">
      <c r="C48" s="514" t="s">
        <v>47</v>
      </c>
      <c r="D48" s="521">
        <f>SUM(D43:D47)</f>
        <v>10702476568.330999</v>
      </c>
      <c r="G48" s="521">
        <f>SUM(G43:G47)</f>
        <v>13043417778.85788</v>
      </c>
      <c r="J48" s="521">
        <f>SUM(J43:J47)</f>
        <v>14484021293.77014</v>
      </c>
      <c r="M48" s="521">
        <f>SUM(M43:M47)</f>
        <v>16188962736.174217</v>
      </c>
      <c r="P48" s="521">
        <f>SUM(P43:P47)</f>
        <v>54418878377.13324</v>
      </c>
      <c r="R48" s="521">
        <f>SUM(R43:R47)</f>
        <v>9539543147</v>
      </c>
      <c r="U48" s="521">
        <f>SUM(U43:U47)</f>
        <v>11636717440</v>
      </c>
      <c r="X48" s="521">
        <f>SUM(X43:X47)</f>
        <v>11454880664</v>
      </c>
      <c r="AA48" s="521">
        <f>SUM(AA43:AA47)</f>
        <v>0</v>
      </c>
      <c r="AB48" s="521"/>
      <c r="AD48" s="521">
        <f>SUM(AD43:AD47)</f>
        <v>32631141251</v>
      </c>
      <c r="AF48" s="521">
        <f>SUM(AF43:AF47)</f>
        <v>-1162933421.3309987</v>
      </c>
      <c r="AI48" s="521">
        <f>SUM(AI43:AI47)</f>
        <v>-1406700338.8578792</v>
      </c>
      <c r="AL48" s="521">
        <f>SUM(AL43:AL47)</f>
        <v>-3029140629.7701411</v>
      </c>
      <c r="AO48" s="521">
        <f>SUM(AO43:AO47)</f>
        <v>-16188962736.174217</v>
      </c>
      <c r="AR48" s="521">
        <f>SUM(AR43:AR47)</f>
        <v>-21787737126.133236</v>
      </c>
      <c r="AT48" s="523">
        <f t="shared" si="58"/>
        <v>0.89133978346916831</v>
      </c>
      <c r="AU48" s="523"/>
      <c r="AV48" s="523"/>
      <c r="AW48" s="523">
        <f t="shared" si="54"/>
        <v>0.89215247393685382</v>
      </c>
      <c r="AX48" s="523"/>
      <c r="AY48" s="523"/>
      <c r="AZ48" s="523">
        <f t="shared" si="55"/>
        <v>0.79086328524848049</v>
      </c>
      <c r="BA48" s="523"/>
      <c r="BB48" s="523"/>
      <c r="BC48" s="523">
        <f t="shared" si="56"/>
        <v>0</v>
      </c>
      <c r="BD48" s="523"/>
      <c r="BE48" s="523"/>
      <c r="BF48" s="523">
        <f t="shared" si="57"/>
        <v>0.59962906667902904</v>
      </c>
    </row>
    <row r="50" spans="1:58">
      <c r="R50" s="522"/>
    </row>
    <row r="51" spans="1:58">
      <c r="A51" s="514" t="s">
        <v>95</v>
      </c>
      <c r="D51" s="519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R51" s="519"/>
      <c r="S51" s="519"/>
      <c r="T51" s="519"/>
      <c r="U51" s="519"/>
      <c r="V51" s="519"/>
      <c r="W51" s="519"/>
      <c r="X51" s="519"/>
      <c r="Y51" s="519"/>
      <c r="Z51" s="519"/>
      <c r="AA51" s="519"/>
      <c r="AB51" s="519"/>
      <c r="AC51" s="519"/>
      <c r="AD51" s="519"/>
      <c r="AR51" s="519"/>
    </row>
    <row r="52" spans="1:58">
      <c r="B52" s="515" t="s">
        <v>86</v>
      </c>
    </row>
    <row r="53" spans="1:58">
      <c r="C53" s="515" t="s">
        <v>87</v>
      </c>
      <c r="D53" s="528">
        <f>'2018 VN YouTube View'!D24</f>
        <v>280180.98115325387</v>
      </c>
      <c r="E53" s="528">
        <f>'2018 VN YouTube View'!E24</f>
        <v>250063.92901444295</v>
      </c>
      <c r="F53" s="528">
        <f>'2018 VN YouTube View'!F24</f>
        <v>308630.39482385159</v>
      </c>
      <c r="G53" s="528">
        <f>'2018 VN YouTube View'!G24</f>
        <v>324062.28783502337</v>
      </c>
      <c r="H53" s="528">
        <f>'2018 VN YouTube View'!H24</f>
        <v>351080.35486070806</v>
      </c>
      <c r="I53" s="528">
        <f>'2018 VN YouTube View'!I24</f>
        <v>344547.6064831852</v>
      </c>
      <c r="J53" s="528">
        <f>'2018 VN YouTube View'!J24</f>
        <v>371999.37955556071</v>
      </c>
      <c r="K53" s="528">
        <f>'2018 VN YouTube View'!K24</f>
        <v>368526.83141722222</v>
      </c>
      <c r="L53" s="528">
        <f>'2018 VN YouTube View'!L24</f>
        <v>388816.65431027737</v>
      </c>
      <c r="M53" s="528">
        <f>'2018 VN YouTube View'!M24</f>
        <v>417195.51774857135</v>
      </c>
      <c r="N53" s="528">
        <f>'2018 VN YouTube View'!N24</f>
        <v>398190.14751260256</v>
      </c>
      <c r="O53" s="528">
        <f>'2018 VN YouTube View'!O24</f>
        <v>419882.37020028575</v>
      </c>
      <c r="P53" s="529">
        <f>SUM(D53:O53)</f>
        <v>4223176.4549149852</v>
      </c>
      <c r="R53" s="528">
        <f>'2018 VN YouTube View'!R24</f>
        <v>210984.02700000003</v>
      </c>
      <c r="S53" s="528">
        <f>'2018 VN YouTube View'!S24</f>
        <v>216045.22999999998</v>
      </c>
      <c r="T53" s="528">
        <f>'2018 VN YouTube View'!T24</f>
        <v>267647.23</v>
      </c>
      <c r="U53" s="528">
        <f>'2018 VN YouTube View'!U24</f>
        <v>291254.53000000003</v>
      </c>
      <c r="V53" s="528">
        <f>'2018 VN YouTube View'!V24</f>
        <v>322226.96999999997</v>
      </c>
      <c r="W53" s="528">
        <f>'2018 VN YouTube View'!W24</f>
        <v>300283.64</v>
      </c>
      <c r="X53" s="528">
        <f>'2018 VN YouTube View'!X24</f>
        <v>300910.13</v>
      </c>
      <c r="Y53" s="528">
        <f>'2018 VN YouTube View'!Y24</f>
        <v>338941.66300017689</v>
      </c>
      <c r="Z53" s="528">
        <f>'2018 VN YouTube View'!Z24</f>
        <v>324756.67200029572</v>
      </c>
      <c r="AA53" s="528">
        <f>'2018 VN YouTube View'!AA24</f>
        <v>0</v>
      </c>
      <c r="AB53" s="528">
        <f>'2018 VN YouTube View'!AB24</f>
        <v>0</v>
      </c>
      <c r="AC53" s="528">
        <f>'2018 VN YouTube View'!AC24</f>
        <v>0</v>
      </c>
      <c r="AD53" s="521">
        <f>SUM(R53:AC53)</f>
        <v>2573050.0920004724</v>
      </c>
      <c r="AF53" s="522">
        <f>R53-D53</f>
        <v>-69196.954153253842</v>
      </c>
      <c r="AG53" s="522">
        <f t="shared" ref="AG53:AQ56" si="63">S53-E53</f>
        <v>-34018.699014442973</v>
      </c>
      <c r="AH53" s="522">
        <f t="shared" si="63"/>
        <v>-40983.164823851606</v>
      </c>
      <c r="AI53" s="522">
        <f t="shared" si="63"/>
        <v>-32807.757835023338</v>
      </c>
      <c r="AJ53" s="522">
        <f t="shared" si="63"/>
        <v>-28853.384860708087</v>
      </c>
      <c r="AK53" s="522">
        <f t="shared" si="63"/>
        <v>-44263.966483185184</v>
      </c>
      <c r="AL53" s="522">
        <f t="shared" si="63"/>
        <v>-71089.249555560702</v>
      </c>
      <c r="AM53" s="522">
        <f t="shared" si="63"/>
        <v>-29585.168417045323</v>
      </c>
      <c r="AN53" s="522">
        <f t="shared" si="63"/>
        <v>-64059.982309981657</v>
      </c>
      <c r="AO53" s="522">
        <f t="shared" si="63"/>
        <v>-417195.51774857135</v>
      </c>
      <c r="AP53" s="522">
        <f t="shared" si="63"/>
        <v>-398190.14751260256</v>
      </c>
      <c r="AQ53" s="522">
        <f t="shared" si="63"/>
        <v>-419882.37020028575</v>
      </c>
      <c r="AR53" s="521">
        <f>SUM(AF53:AQ53)</f>
        <v>-1650126.3629145124</v>
      </c>
      <c r="AT53" s="523">
        <f>R53/D53</f>
        <v>0.75302765423822837</v>
      </c>
      <c r="AU53" s="523">
        <f t="shared" ref="AU53:BF57" si="64">S53/E53</f>
        <v>0.86395999155688641</v>
      </c>
      <c r="AV53" s="523">
        <f t="shared" si="64"/>
        <v>0.8672095635712016</v>
      </c>
      <c r="AW53" s="523">
        <f t="shared" si="64"/>
        <v>0.89876095100666131</v>
      </c>
      <c r="AX53" s="523">
        <f t="shared" si="64"/>
        <v>0.91781543894087803</v>
      </c>
      <c r="AY53" s="523">
        <f t="shared" si="64"/>
        <v>0.87153018726500608</v>
      </c>
      <c r="AZ53" s="523">
        <f t="shared" si="64"/>
        <v>0.80889954805706055</v>
      </c>
      <c r="BA53" s="523">
        <f t="shared" si="64"/>
        <v>0.91972044938147013</v>
      </c>
      <c r="BB53" s="523">
        <f t="shared" si="64"/>
        <v>0.83524372837470717</v>
      </c>
      <c r="BC53" s="523">
        <f t="shared" si="64"/>
        <v>0</v>
      </c>
      <c r="BD53" s="523">
        <f t="shared" si="64"/>
        <v>0</v>
      </c>
      <c r="BE53" s="523">
        <f t="shared" si="64"/>
        <v>0</v>
      </c>
      <c r="BF53" s="523">
        <f t="shared" si="64"/>
        <v>0.6092689044536429</v>
      </c>
    </row>
    <row r="54" spans="1:58">
      <c r="C54" s="515" t="s">
        <v>88</v>
      </c>
      <c r="D54" s="528">
        <f>'2018 VN YouTube View'!D28</f>
        <v>354216.84825282404</v>
      </c>
      <c r="E54" s="528">
        <f>'2018 VN YouTube View'!E28</f>
        <v>316141.5754653383</v>
      </c>
      <c r="F54" s="528">
        <f>'2018 VN YouTube View'!F28</f>
        <v>390183.82075595728</v>
      </c>
      <c r="G54" s="528">
        <f>'2018 VN YouTube View'!G28</f>
        <v>409693.48369771882</v>
      </c>
      <c r="H54" s="528">
        <f>'2018 VN YouTube View'!H28</f>
        <v>443850.8862035186</v>
      </c>
      <c r="I54" s="528">
        <f>'2018 VN YouTube View'!I28</f>
        <v>435591.90470095479</v>
      </c>
      <c r="J54" s="528">
        <f>'2018 VN YouTube View'!J28</f>
        <v>470297.61704668257</v>
      </c>
      <c r="K54" s="528">
        <f>'2018 VN YouTube View'!K28</f>
        <v>465907.47231985087</v>
      </c>
      <c r="L54" s="528">
        <f>'2018 VN YouTube View'!L28</f>
        <v>491558.73918030498</v>
      </c>
      <c r="M54" s="528">
        <f>'2018 VN YouTube View'!M28</f>
        <v>527436.51904506818</v>
      </c>
      <c r="N54" s="528">
        <f>'2018 VN YouTube View'!N28</f>
        <v>503409.11248394771</v>
      </c>
      <c r="O54" s="528">
        <f>'2018 VN YouTube View'!O28</f>
        <v>530833.35348846705</v>
      </c>
      <c r="P54" s="529">
        <f>SUM(D54:O54)</f>
        <v>5339121.332640633</v>
      </c>
      <c r="R54" s="528">
        <f>'2018 VN YouTube View'!R28</f>
        <v>274892.22499999998</v>
      </c>
      <c r="S54" s="528">
        <f>'2018 VN YouTube View'!S28</f>
        <v>267740.78999999998</v>
      </c>
      <c r="T54" s="528">
        <f>'2018 VN YouTube View'!T28</f>
        <v>516133.7</v>
      </c>
      <c r="U54" s="528">
        <f>'2018 VN YouTube View'!U28</f>
        <v>465833.51</v>
      </c>
      <c r="V54" s="528">
        <f>'2018 VN YouTube View'!V28</f>
        <v>484218.78</v>
      </c>
      <c r="W54" s="528">
        <f>'2018 VN YouTube View'!W28</f>
        <v>474496.88999999996</v>
      </c>
      <c r="X54" s="528">
        <f>'2018 VN YouTube View'!X28</f>
        <v>370588.48</v>
      </c>
      <c r="Y54" s="528">
        <f>'2018 VN YouTube View'!Y28</f>
        <v>441063.94500021171</v>
      </c>
      <c r="Z54" s="528">
        <f>'2018 VN YouTube View'!Z28</f>
        <v>430826.65100035846</v>
      </c>
      <c r="AA54" s="528">
        <f>'2018 VN YouTube View'!AA28</f>
        <v>0</v>
      </c>
      <c r="AB54" s="528">
        <f>'2018 VN YouTube View'!AB28</f>
        <v>0</v>
      </c>
      <c r="AC54" s="528">
        <f>'2018 VN YouTube View'!AC28</f>
        <v>0</v>
      </c>
      <c r="AD54" s="521">
        <f>SUM(R54:AC54)</f>
        <v>3725794.9710005703</v>
      </c>
      <c r="AF54" s="522">
        <f>R54-D54</f>
        <v>-79324.623252824065</v>
      </c>
      <c r="AG54" s="522">
        <f t="shared" si="63"/>
        <v>-48400.785465338326</v>
      </c>
      <c r="AH54" s="522">
        <f t="shared" si="63"/>
        <v>125949.87924404274</v>
      </c>
      <c r="AI54" s="522">
        <f t="shared" si="63"/>
        <v>56140.026302281185</v>
      </c>
      <c r="AJ54" s="522">
        <f t="shared" si="63"/>
        <v>40367.893796481425</v>
      </c>
      <c r="AK54" s="522">
        <f t="shared" si="63"/>
        <v>38904.985299045162</v>
      </c>
      <c r="AL54" s="522">
        <f t="shared" si="63"/>
        <v>-99709.13704668259</v>
      </c>
      <c r="AM54" s="522">
        <f t="shared" si="63"/>
        <v>-24843.527319639164</v>
      </c>
      <c r="AN54" s="522">
        <f t="shared" si="63"/>
        <v>-60732.088179946528</v>
      </c>
      <c r="AO54" s="522">
        <f t="shared" si="63"/>
        <v>-527436.51904506818</v>
      </c>
      <c r="AP54" s="522">
        <f t="shared" si="63"/>
        <v>-503409.11248394771</v>
      </c>
      <c r="AQ54" s="522">
        <f t="shared" si="63"/>
        <v>-530833.35348846705</v>
      </c>
      <c r="AR54" s="521">
        <f>SUM(AF54:AQ54)</f>
        <v>-1613326.3616400631</v>
      </c>
      <c r="AT54" s="523">
        <f t="shared" ref="AT54:AT57" si="65">R54/D54</f>
        <v>0.77605632356537224</v>
      </c>
      <c r="AU54" s="523">
        <f t="shared" si="64"/>
        <v>0.84690154911104065</v>
      </c>
      <c r="AV54" s="523">
        <f t="shared" si="64"/>
        <v>1.3227962630537129</v>
      </c>
      <c r="AW54" s="523">
        <f t="shared" si="64"/>
        <v>1.1370293366533077</v>
      </c>
      <c r="AX54" s="523">
        <f t="shared" si="64"/>
        <v>1.0909492242806327</v>
      </c>
      <c r="AY54" s="523">
        <f t="shared" si="64"/>
        <v>1.0893152165574667</v>
      </c>
      <c r="AZ54" s="523">
        <f t="shared" si="64"/>
        <v>0.78798715232106886</v>
      </c>
      <c r="BA54" s="523">
        <f t="shared" si="64"/>
        <v>0.94667712197029585</v>
      </c>
      <c r="BB54" s="523">
        <f t="shared" si="64"/>
        <v>0.87644998788706341</v>
      </c>
      <c r="BC54" s="523">
        <f t="shared" si="64"/>
        <v>0</v>
      </c>
      <c r="BD54" s="523">
        <f t="shared" si="64"/>
        <v>0</v>
      </c>
      <c r="BE54" s="523">
        <f t="shared" si="64"/>
        <v>0</v>
      </c>
      <c r="BF54" s="523">
        <f t="shared" si="64"/>
        <v>0.697829237972732</v>
      </c>
    </row>
    <row r="55" spans="1:58">
      <c r="C55" s="515" t="s">
        <v>89</v>
      </c>
      <c r="D55" s="528">
        <f>'2018 VN YouTube View'!D32</f>
        <v>154793.67520307176</v>
      </c>
      <c r="E55" s="528">
        <f>'2018 VN YouTube View'!E32</f>
        <v>138154.68290723464</v>
      </c>
      <c r="F55" s="528">
        <f>'2018 VN YouTube View'!F32</f>
        <v>170511.33484334385</v>
      </c>
      <c r="G55" s="528">
        <f>'2018 VN YouTube View'!G32</f>
        <v>179037.10780875894</v>
      </c>
      <c r="H55" s="528">
        <f>'2018 VN YouTube View'!H32</f>
        <v>193963.98069846816</v>
      </c>
      <c r="I55" s="528">
        <f>'2018 VN YouTube View'!I32</f>
        <v>190354.78450545273</v>
      </c>
      <c r="J55" s="528">
        <f>'2018 VN YouTube View'!J32</f>
        <v>205521.27020774028</v>
      </c>
      <c r="K55" s="528">
        <f>'2018 VN YouTube View'!K32</f>
        <v>203602.76565243295</v>
      </c>
      <c r="L55" s="528">
        <f>'2018 VN YouTube View'!L32</f>
        <v>214812.43535202442</v>
      </c>
      <c r="M55" s="528">
        <f>'2018 VN YouTube View'!M32</f>
        <v>230491.11757955499</v>
      </c>
      <c r="N55" s="528">
        <f>'2018 VN YouTube View'!N32</f>
        <v>219991.07901408401</v>
      </c>
      <c r="O55" s="528">
        <f>'2018 VN YouTube View'!O32</f>
        <v>231975.54298208351</v>
      </c>
      <c r="P55" s="529">
        <f>SUM(D55:O55)</f>
        <v>2333209.7767542498</v>
      </c>
      <c r="R55" s="528">
        <f>'2018 VN YouTube View'!R32</f>
        <v>148369.26999999999</v>
      </c>
      <c r="S55" s="528">
        <f>'2018 VN YouTube View'!S32</f>
        <v>118213.66</v>
      </c>
      <c r="T55" s="528">
        <f>'2018 VN YouTube View'!T32</f>
        <v>168146.83</v>
      </c>
      <c r="U55" s="528">
        <f>'2018 VN YouTube View'!U32</f>
        <v>170290.55000000002</v>
      </c>
      <c r="V55" s="528">
        <f>'2018 VN YouTube View'!V32</f>
        <v>206786.54000000004</v>
      </c>
      <c r="W55" s="528">
        <f>'2018 VN YouTube View'!W32</f>
        <v>232102.98000000004</v>
      </c>
      <c r="X55" s="528">
        <f>'2018 VN YouTube View'!X32</f>
        <v>204887.84</v>
      </c>
      <c r="Y55" s="528">
        <f>'2018 VN YouTube View'!Y32</f>
        <v>233306.64100001781</v>
      </c>
      <c r="Z55" s="528">
        <f>'2018 VN YouTube View'!Z32</f>
        <v>142000.29300000911</v>
      </c>
      <c r="AA55" s="528">
        <f>'2018 VN YouTube View'!AA32</f>
        <v>0</v>
      </c>
      <c r="AB55" s="528">
        <f>'2018 VN YouTube View'!AB32</f>
        <v>0</v>
      </c>
      <c r="AC55" s="528">
        <f>'2018 VN YouTube View'!AC32</f>
        <v>0</v>
      </c>
      <c r="AD55" s="521">
        <f>SUM(R55:AC55)</f>
        <v>1624104.6040000271</v>
      </c>
      <c r="AF55" s="522">
        <f>R55-D55</f>
        <v>-6424.4052030717721</v>
      </c>
      <c r="AG55" s="522">
        <f t="shared" si="63"/>
        <v>-19941.022907234641</v>
      </c>
      <c r="AH55" s="522">
        <f t="shared" si="63"/>
        <v>-2364.5048433438642</v>
      </c>
      <c r="AI55" s="522">
        <f t="shared" si="63"/>
        <v>-8746.5578087589238</v>
      </c>
      <c r="AJ55" s="522">
        <f t="shared" si="63"/>
        <v>12822.559301531874</v>
      </c>
      <c r="AK55" s="522">
        <f t="shared" si="63"/>
        <v>41748.195494547312</v>
      </c>
      <c r="AL55" s="522">
        <f t="shared" si="63"/>
        <v>-633.43020774028264</v>
      </c>
      <c r="AM55" s="522">
        <f t="shared" si="63"/>
        <v>29703.875347584864</v>
      </c>
      <c r="AN55" s="522">
        <f t="shared" si="63"/>
        <v>-72812.142352015304</v>
      </c>
      <c r="AO55" s="522">
        <f t="shared" si="63"/>
        <v>-230491.11757955499</v>
      </c>
      <c r="AP55" s="522">
        <f t="shared" si="63"/>
        <v>-219991.07901408401</v>
      </c>
      <c r="AQ55" s="522">
        <f t="shared" si="63"/>
        <v>-231975.54298208351</v>
      </c>
      <c r="AR55" s="521">
        <f>SUM(AF55:AQ55)</f>
        <v>-709105.17275422323</v>
      </c>
      <c r="AT55" s="523">
        <f t="shared" si="65"/>
        <v>0.95849697867407258</v>
      </c>
      <c r="AU55" s="523">
        <f t="shared" si="64"/>
        <v>0.85566162154181746</v>
      </c>
      <c r="AV55" s="523">
        <f t="shared" si="64"/>
        <v>0.9861328582905281</v>
      </c>
      <c r="AW55" s="523">
        <f t="shared" si="64"/>
        <v>0.95114667615105974</v>
      </c>
      <c r="AX55" s="523">
        <f t="shared" si="64"/>
        <v>1.0661079405328637</v>
      </c>
      <c r="AY55" s="523">
        <f t="shared" si="64"/>
        <v>1.2193178154308564</v>
      </c>
      <c r="AZ55" s="523">
        <f t="shared" si="64"/>
        <v>0.99691793356911418</v>
      </c>
      <c r="BA55" s="523">
        <f t="shared" si="64"/>
        <v>1.1458913156331672</v>
      </c>
      <c r="BB55" s="523">
        <f t="shared" si="64"/>
        <v>0.66104316897346183</v>
      </c>
      <c r="BC55" s="523">
        <f t="shared" si="64"/>
        <v>0</v>
      </c>
      <c r="BD55" s="523">
        <f t="shared" si="64"/>
        <v>0</v>
      </c>
      <c r="BE55" s="523">
        <f t="shared" si="64"/>
        <v>0</v>
      </c>
      <c r="BF55" s="523">
        <f t="shared" si="64"/>
        <v>0.69608168977387641</v>
      </c>
    </row>
    <row r="56" spans="1:58">
      <c r="C56" s="515" t="s">
        <v>96</v>
      </c>
      <c r="D56" s="528">
        <f>'2018 VN YouTube View'!D36</f>
        <v>13882.504585231964</v>
      </c>
      <c r="E56" s="528">
        <f>'2018 VN YouTube View'!E36</f>
        <v>12390.254423605116</v>
      </c>
      <c r="F56" s="528">
        <f>'2018 VN YouTube View'!F36</f>
        <v>15292.126016720935</v>
      </c>
      <c r="G56" s="528">
        <f>'2018 VN YouTube View'!G36</f>
        <v>16056.750812467582</v>
      </c>
      <c r="H56" s="528">
        <f>'2018 VN YouTube View'!H36</f>
        <v>17395.451383164098</v>
      </c>
      <c r="I56" s="528">
        <f>'2018 VN YouTube View'!I36</f>
        <v>17071.764497166932</v>
      </c>
      <c r="J56" s="528">
        <f>'2018 VN YouTube View'!J36</f>
        <v>18431.954485728456</v>
      </c>
      <c r="K56" s="528">
        <f>'2018 VN YouTube View'!K36</f>
        <v>18259.895464254208</v>
      </c>
      <c r="L56" s="528">
        <f>'2018 VN YouTube View'!L36</f>
        <v>19265.222657366983</v>
      </c>
      <c r="M56" s="528">
        <f>'2018 VN YouTube View'!M36</f>
        <v>20671.348441437578</v>
      </c>
      <c r="N56" s="528">
        <f>'2018 VN YouTube View'!N36</f>
        <v>19729.663754779453</v>
      </c>
      <c r="O56" s="528">
        <f>'2018 VN YouTube View'!O36</f>
        <v>20804.477540091008</v>
      </c>
      <c r="P56" s="529">
        <f>SUM(D56:O56)</f>
        <v>209251.41406201434</v>
      </c>
      <c r="R56" s="528">
        <f>'2018 VN YouTube View'!R36</f>
        <v>17239.805999999997</v>
      </c>
      <c r="S56" s="528">
        <f>'2018 VN YouTube View'!S36</f>
        <v>16223.650000000001</v>
      </c>
      <c r="T56" s="528">
        <f>'2018 VN YouTube View'!T36</f>
        <v>38199.729999999996</v>
      </c>
      <c r="U56" s="528">
        <f>'2018 VN YouTube View'!U36</f>
        <v>121615.76999999999</v>
      </c>
      <c r="V56" s="528">
        <f>'2018 VN YouTube View'!V36</f>
        <v>176027.96000000002</v>
      </c>
      <c r="W56" s="528">
        <f>'2018 VN YouTube View'!W36</f>
        <v>51696.229999999996</v>
      </c>
      <c r="X56" s="528">
        <f>'2018 VN YouTube View'!X36</f>
        <v>40203.839999999997</v>
      </c>
      <c r="Y56" s="528">
        <f>'2018 VN YouTube View'!Y36</f>
        <v>42278.220999997204</v>
      </c>
      <c r="Z56" s="528">
        <f>'2018 VN YouTube View'!Z36</f>
        <v>53527.380999994697</v>
      </c>
      <c r="AA56" s="528">
        <f>'2018 VN YouTube View'!AA36</f>
        <v>0</v>
      </c>
      <c r="AB56" s="528">
        <f>'2018 VN YouTube View'!AB36</f>
        <v>0</v>
      </c>
      <c r="AC56" s="528">
        <f>'2018 VN YouTube View'!AC36</f>
        <v>0</v>
      </c>
      <c r="AD56" s="521">
        <f>SUM(R56:AC56)</f>
        <v>557012.58799999184</v>
      </c>
      <c r="AF56" s="522">
        <f>R56-D56</f>
        <v>3357.3014147680333</v>
      </c>
      <c r="AG56" s="522">
        <f t="shared" si="63"/>
        <v>3833.3955763948852</v>
      </c>
      <c r="AH56" s="522">
        <f t="shared" si="63"/>
        <v>22907.603983279063</v>
      </c>
      <c r="AI56" s="522">
        <f t="shared" si="63"/>
        <v>105559.01918753241</v>
      </c>
      <c r="AJ56" s="522">
        <f t="shared" si="63"/>
        <v>158632.50861683593</v>
      </c>
      <c r="AK56" s="522">
        <f t="shared" si="63"/>
        <v>34624.46550283306</v>
      </c>
      <c r="AL56" s="522">
        <f t="shared" si="63"/>
        <v>21771.88551427154</v>
      </c>
      <c r="AM56" s="522">
        <f t="shared" si="63"/>
        <v>24018.325535742995</v>
      </c>
      <c r="AN56" s="522">
        <f t="shared" si="63"/>
        <v>34262.158342627714</v>
      </c>
      <c r="AO56" s="522">
        <f t="shared" si="63"/>
        <v>-20671.348441437578</v>
      </c>
      <c r="AP56" s="522">
        <f t="shared" si="63"/>
        <v>-19729.663754779453</v>
      </c>
      <c r="AQ56" s="522">
        <f t="shared" si="63"/>
        <v>-20804.477540091008</v>
      </c>
      <c r="AR56" s="521">
        <f>SUM(AF56:AQ56)</f>
        <v>347761.17393797758</v>
      </c>
      <c r="AT56" s="523">
        <f t="shared" si="65"/>
        <v>1.241836866982885</v>
      </c>
      <c r="AU56" s="523">
        <f t="shared" si="64"/>
        <v>1.3093879629373668</v>
      </c>
      <c r="AV56" s="523">
        <f t="shared" si="64"/>
        <v>2.497999948354539</v>
      </c>
      <c r="AW56" s="523">
        <f t="shared" si="64"/>
        <v>7.5741207807478093</v>
      </c>
      <c r="AX56" s="523">
        <f t="shared" si="64"/>
        <v>10.119194732156579</v>
      </c>
      <c r="AY56" s="523">
        <f t="shared" si="64"/>
        <v>3.0281714587018236</v>
      </c>
      <c r="AZ56" s="523">
        <f t="shared" si="64"/>
        <v>2.1812033027278326</v>
      </c>
      <c r="BA56" s="523">
        <f t="shared" si="64"/>
        <v>2.3153594215674214</v>
      </c>
      <c r="BB56" s="523">
        <f t="shared" si="64"/>
        <v>2.7784460087475775</v>
      </c>
      <c r="BC56" s="523">
        <f t="shared" si="64"/>
        <v>0</v>
      </c>
      <c r="BD56" s="523">
        <f t="shared" si="64"/>
        <v>0</v>
      </c>
      <c r="BE56" s="523">
        <f t="shared" si="64"/>
        <v>0</v>
      </c>
      <c r="BF56" s="523">
        <f t="shared" si="64"/>
        <v>2.6619298631593189</v>
      </c>
    </row>
    <row r="57" spans="1:58">
      <c r="C57" s="514" t="s">
        <v>47</v>
      </c>
      <c r="D57" s="530">
        <f>SUM(D53:D56)</f>
        <v>803074.00919438177</v>
      </c>
      <c r="E57" s="530">
        <f t="shared" ref="E57:P57" si="66">SUM(E53:E56)</f>
        <v>716750.44181062107</v>
      </c>
      <c r="F57" s="530">
        <f t="shared" si="66"/>
        <v>884617.67643987364</v>
      </c>
      <c r="G57" s="530">
        <f t="shared" si="66"/>
        <v>928849.6301539687</v>
      </c>
      <c r="H57" s="530">
        <f t="shared" si="66"/>
        <v>1006290.673145859</v>
      </c>
      <c r="I57" s="530">
        <f t="shared" si="66"/>
        <v>987566.06018675969</v>
      </c>
      <c r="J57" s="530">
        <f t="shared" si="66"/>
        <v>1066250.2212957121</v>
      </c>
      <c r="K57" s="530">
        <f t="shared" si="66"/>
        <v>1056296.9648537603</v>
      </c>
      <c r="L57" s="530">
        <f t="shared" si="66"/>
        <v>1114453.0514999737</v>
      </c>
      <c r="M57" s="530">
        <f t="shared" si="66"/>
        <v>1195794.5028146321</v>
      </c>
      <c r="N57" s="530">
        <f t="shared" si="66"/>
        <v>1141320.0027654136</v>
      </c>
      <c r="O57" s="530">
        <f t="shared" si="66"/>
        <v>1203495.7442109273</v>
      </c>
      <c r="P57" s="530">
        <f t="shared" si="66"/>
        <v>12104758.978371883</v>
      </c>
      <c r="R57" s="530">
        <f t="shared" ref="R57:AD57" si="67">SUM(R53:R56)</f>
        <v>651485.32799999998</v>
      </c>
      <c r="S57" s="530">
        <f t="shared" si="67"/>
        <v>618223.32999999996</v>
      </c>
      <c r="T57" s="530">
        <f t="shared" si="67"/>
        <v>990127.48999999987</v>
      </c>
      <c r="U57" s="530">
        <f t="shared" si="67"/>
        <v>1048994.3600000001</v>
      </c>
      <c r="V57" s="530">
        <f t="shared" si="67"/>
        <v>1189260.25</v>
      </c>
      <c r="W57" s="530">
        <f t="shared" si="67"/>
        <v>1058579.74</v>
      </c>
      <c r="X57" s="530">
        <f t="shared" si="67"/>
        <v>916590.28999999992</v>
      </c>
      <c r="Y57" s="530">
        <f t="shared" si="67"/>
        <v>1055590.4700004035</v>
      </c>
      <c r="Z57" s="530">
        <f t="shared" si="67"/>
        <v>951110.99700065795</v>
      </c>
      <c r="AA57" s="530">
        <f t="shared" si="67"/>
        <v>0</v>
      </c>
      <c r="AB57" s="530">
        <f t="shared" si="67"/>
        <v>0</v>
      </c>
      <c r="AC57" s="530">
        <f t="shared" si="67"/>
        <v>0</v>
      </c>
      <c r="AD57" s="530">
        <f t="shared" si="67"/>
        <v>8479962.2550010607</v>
      </c>
      <c r="AF57" s="530">
        <f>SUM(AF53:AF56)</f>
        <v>-151588.68119438164</v>
      </c>
      <c r="AG57" s="530">
        <f t="shared" ref="AG57:AR57" si="68">SUM(AG53:AG56)</f>
        <v>-98527.111810621049</v>
      </c>
      <c r="AH57" s="530">
        <f t="shared" si="68"/>
        <v>105509.81356012632</v>
      </c>
      <c r="AI57" s="530">
        <f t="shared" si="68"/>
        <v>120144.72984603133</v>
      </c>
      <c r="AJ57" s="530">
        <f t="shared" si="68"/>
        <v>182969.57685414114</v>
      </c>
      <c r="AK57" s="530">
        <f t="shared" si="68"/>
        <v>71013.679813240349</v>
      </c>
      <c r="AL57" s="530">
        <f t="shared" si="68"/>
        <v>-149659.93129571204</v>
      </c>
      <c r="AM57" s="530">
        <f t="shared" si="68"/>
        <v>-706.49485335662757</v>
      </c>
      <c r="AN57" s="530">
        <f t="shared" si="68"/>
        <v>-163342.05449931577</v>
      </c>
      <c r="AO57" s="530">
        <f t="shared" si="68"/>
        <v>-1195794.5028146321</v>
      </c>
      <c r="AP57" s="530">
        <f t="shared" si="68"/>
        <v>-1141320.0027654136</v>
      </c>
      <c r="AQ57" s="530">
        <f t="shared" si="68"/>
        <v>-1203495.7442109273</v>
      </c>
      <c r="AR57" s="530">
        <f t="shared" si="68"/>
        <v>-3624796.7233708207</v>
      </c>
      <c r="AT57" s="523">
        <f t="shared" si="65"/>
        <v>0.81123946303971317</v>
      </c>
      <c r="AU57" s="523">
        <f t="shared" si="64"/>
        <v>0.86253637798711835</v>
      </c>
      <c r="AV57" s="523">
        <f t="shared" si="64"/>
        <v>1.1192716541509191</v>
      </c>
      <c r="AW57" s="523">
        <f t="shared" si="64"/>
        <v>1.1293478792967984</v>
      </c>
      <c r="AX57" s="523">
        <f t="shared" si="64"/>
        <v>1.1818257703632915</v>
      </c>
      <c r="AY57" s="523">
        <f t="shared" si="64"/>
        <v>1.0719077767818497</v>
      </c>
      <c r="AZ57" s="523">
        <f t="shared" si="64"/>
        <v>0.85963901502046614</v>
      </c>
      <c r="BA57" s="523">
        <f t="shared" si="64"/>
        <v>0.99933115887211255</v>
      </c>
      <c r="BB57" s="523">
        <f t="shared" si="64"/>
        <v>0.85343298734794693</v>
      </c>
      <c r="BC57" s="523">
        <f t="shared" si="64"/>
        <v>0</v>
      </c>
      <c r="BD57" s="523">
        <f t="shared" si="64"/>
        <v>0</v>
      </c>
      <c r="BE57" s="523">
        <f t="shared" si="64"/>
        <v>0</v>
      </c>
      <c r="BF57" s="523">
        <f t="shared" si="64"/>
        <v>0.70054779860983518</v>
      </c>
    </row>
    <row r="58" spans="1:58">
      <c r="D58" s="531"/>
      <c r="E58" s="531"/>
      <c r="F58" s="531"/>
      <c r="G58" s="531"/>
      <c r="H58" s="531"/>
      <c r="I58" s="531"/>
      <c r="J58" s="531"/>
      <c r="K58" s="531"/>
      <c r="L58" s="531"/>
      <c r="M58" s="531"/>
      <c r="N58" s="531"/>
      <c r="O58" s="531"/>
      <c r="P58" s="529"/>
      <c r="R58" s="531"/>
      <c r="S58" s="531"/>
      <c r="T58" s="531"/>
      <c r="U58" s="531"/>
      <c r="V58" s="531"/>
      <c r="W58" s="531"/>
      <c r="X58" s="531"/>
      <c r="Y58" s="531"/>
      <c r="Z58" s="531"/>
      <c r="AA58" s="531"/>
      <c r="AB58" s="531"/>
      <c r="AC58" s="531"/>
      <c r="AD58" s="514"/>
      <c r="AR58" s="514"/>
    </row>
    <row r="59" spans="1:58">
      <c r="B59" s="515" t="s">
        <v>91</v>
      </c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1"/>
      <c r="O59" s="531"/>
      <c r="P59" s="529"/>
      <c r="R59" s="531"/>
      <c r="S59" s="531"/>
      <c r="T59" s="531"/>
      <c r="U59" s="531"/>
      <c r="V59" s="531"/>
      <c r="W59" s="531"/>
      <c r="X59" s="531"/>
      <c r="Y59" s="531"/>
      <c r="Z59" s="531"/>
      <c r="AA59" s="531"/>
      <c r="AB59" s="531"/>
      <c r="AC59" s="531"/>
      <c r="AD59" s="514"/>
      <c r="AR59" s="514"/>
    </row>
    <row r="60" spans="1:58">
      <c r="C60" s="515" t="s">
        <v>87</v>
      </c>
      <c r="D60" s="528">
        <f>'2018 TH YouTube View &amp; Rev'!D32</f>
        <v>5.8416587246432545</v>
      </c>
      <c r="E60" s="528">
        <f>'2018 TH YouTube View &amp; Rev'!E32</f>
        <v>5.1335820742904943</v>
      </c>
      <c r="F60" s="528">
        <f>'2018 TH YouTube View &amp; Rev'!F32</f>
        <v>6.1602984891485937</v>
      </c>
      <c r="G60" s="528">
        <f>'2018 TH YouTube View &amp; Rev'!G32</f>
        <v>7.7003731114357423</v>
      </c>
      <c r="H60" s="528">
        <f>'2018 TH YouTube View &amp; Rev'!H32</f>
        <v>7.3923581869783108</v>
      </c>
      <c r="I60" s="528">
        <f>'2018 TH YouTube View &amp; Rev'!I32</f>
        <v>7.5402053507178772</v>
      </c>
      <c r="J60" s="528">
        <f>'2018 TH YouTube View &amp; Rev'!J32</f>
        <v>7.9172156182537732</v>
      </c>
      <c r="K60" s="528">
        <f>'2018 TH YouTube View &amp; Rev'!K32</f>
        <v>8.7089371800791504</v>
      </c>
      <c r="L60" s="528">
        <f>'2018 TH YouTube View &amp; Rev'!L32</f>
        <v>10.450724616094979</v>
      </c>
      <c r="M60" s="528">
        <f>'2018 TH YouTube View &amp; Rev'!M32</f>
        <v>12.018333308509227</v>
      </c>
      <c r="N60" s="528">
        <f>'2018 TH YouTube View &amp; Rev'!N32</f>
        <v>15.623833301061993</v>
      </c>
      <c r="O60" s="528">
        <f>'2018 TH YouTube View &amp; Rev'!O32</f>
        <v>20.310983291380591</v>
      </c>
      <c r="P60" s="529">
        <f t="shared" ref="P60:P63" si="69">SUM(D60:O60)</f>
        <v>114.79850325259397</v>
      </c>
      <c r="Q60" s="522">
        <f>SUM(D60:I60)</f>
        <v>39.768475937214269</v>
      </c>
      <c r="R60" s="528">
        <f>'2018 TH YouTube View &amp; Rev'!R32</f>
        <v>0.8500000000000002</v>
      </c>
      <c r="S60" s="528">
        <f>'2018 TH YouTube View &amp; Rev'!S32</f>
        <v>1.3700000000000006</v>
      </c>
      <c r="T60" s="528">
        <f>'2018 TH YouTube View &amp; Rev'!T32</f>
        <v>0.52000000000000013</v>
      </c>
      <c r="U60" s="528">
        <f>'2018 TH YouTube View &amp; Rev'!U32</f>
        <v>0.22000000000000006</v>
      </c>
      <c r="V60" s="528">
        <f>'2018 TH YouTube View &amp; Rev'!V32</f>
        <v>0.18</v>
      </c>
      <c r="W60" s="528">
        <f>'2018 TH YouTube View &amp; Rev'!W32</f>
        <v>0.14000000000000001</v>
      </c>
      <c r="X60" s="528">
        <f>'2018 TH YouTube View &amp; Rev'!X32</f>
        <v>0.19000000000000006</v>
      </c>
      <c r="Y60" s="528">
        <f>'2018 TH YouTube View &amp; Rev'!Y32</f>
        <v>288.86399999999998</v>
      </c>
      <c r="Z60" s="528">
        <f>'2018 TH YouTube View &amp; Rev'!Z32</f>
        <v>3042.4640000000004</v>
      </c>
      <c r="AA60" s="528">
        <f>'2018 TH YouTube View &amp; Rev'!AA32</f>
        <v>0</v>
      </c>
      <c r="AB60" s="528">
        <f>'2018 TH YouTube View &amp; Rev'!AB32</f>
        <v>0</v>
      </c>
      <c r="AC60" s="528">
        <f>'2018 TH YouTube View &amp; Rev'!AC32</f>
        <v>0</v>
      </c>
      <c r="AD60" s="521">
        <f t="shared" ref="AD60:AD63" si="70">SUM(R60:AC60)</f>
        <v>3334.7980000000002</v>
      </c>
      <c r="AF60" s="522">
        <f t="shared" ref="AF60:AQ63" si="71">R60-D60</f>
        <v>-4.991658724643254</v>
      </c>
      <c r="AG60" s="522">
        <f t="shared" si="71"/>
        <v>-3.7635820742904937</v>
      </c>
      <c r="AH60" s="522">
        <f t="shared" si="71"/>
        <v>-5.6402984891485932</v>
      </c>
      <c r="AI60" s="522">
        <f t="shared" si="71"/>
        <v>-7.4803731114357426</v>
      </c>
      <c r="AJ60" s="522">
        <f t="shared" si="71"/>
        <v>-7.2123581869783111</v>
      </c>
      <c r="AK60" s="522">
        <f t="shared" si="71"/>
        <v>-7.4002053507178776</v>
      </c>
      <c r="AL60" s="522">
        <f t="shared" si="71"/>
        <v>-7.7272156182537728</v>
      </c>
      <c r="AM60" s="522">
        <f t="shared" si="71"/>
        <v>280.15506281992083</v>
      </c>
      <c r="AN60" s="522">
        <f t="shared" si="71"/>
        <v>3032.0132753839052</v>
      </c>
      <c r="AO60" s="522">
        <f t="shared" si="71"/>
        <v>-12.018333308509227</v>
      </c>
      <c r="AP60" s="522">
        <f t="shared" si="71"/>
        <v>-15.623833301061993</v>
      </c>
      <c r="AQ60" s="522">
        <f t="shared" si="71"/>
        <v>-20.310983291380591</v>
      </c>
      <c r="AR60" s="521">
        <f t="shared" ref="AR60:AR62" si="72">SUM(AF60:AQ60)</f>
        <v>3219.9994967474063</v>
      </c>
      <c r="AT60" s="523">
        <f>R60/D60</f>
        <v>0.14550661722401612</v>
      </c>
      <c r="AU60" s="523">
        <f t="shared" ref="AU60:BF64" si="73">S60/E60</f>
        <v>0.26687018541324214</v>
      </c>
      <c r="AV60" s="523">
        <f t="shared" si="73"/>
        <v>8.4411494169638626E-2</v>
      </c>
      <c r="AW60" s="523">
        <f t="shared" si="73"/>
        <v>2.8570044180493071E-2</v>
      </c>
      <c r="AX60" s="523">
        <f t="shared" si="73"/>
        <v>2.4349469472011141E-2</v>
      </c>
      <c r="AY60" s="523">
        <f t="shared" si="73"/>
        <v>1.8567133584322222E-2</v>
      </c>
      <c r="AZ60" s="523">
        <f t="shared" si="73"/>
        <v>2.3998335925314435E-2</v>
      </c>
      <c r="BA60" s="523">
        <f t="shared" si="73"/>
        <v>33.168685687703473</v>
      </c>
      <c r="BB60" s="523">
        <f t="shared" si="73"/>
        <v>291.12469343172194</v>
      </c>
      <c r="BC60" s="523">
        <f t="shared" si="73"/>
        <v>0</v>
      </c>
      <c r="BD60" s="523">
        <f t="shared" si="73"/>
        <v>0</v>
      </c>
      <c r="BE60" s="523">
        <f t="shared" si="73"/>
        <v>0</v>
      </c>
      <c r="BF60" s="523">
        <f t="shared" si="73"/>
        <v>29.049141805118854</v>
      </c>
    </row>
    <row r="61" spans="1:58">
      <c r="C61" s="515" t="s">
        <v>88</v>
      </c>
      <c r="D61" s="528">
        <f>'2018 TH YouTube View &amp; Rev'!D36</f>
        <v>18192.2575176719</v>
      </c>
      <c r="E61" s="528">
        <f>'2018 TH YouTube View &amp; Rev'!E36</f>
        <v>15987.145344458702</v>
      </c>
      <c r="F61" s="528">
        <f>'2018 TH YouTube View &amp; Rev'!F36</f>
        <v>19184.574413350445</v>
      </c>
      <c r="G61" s="528">
        <f>'2018 TH YouTube View &amp; Rev'!G36</f>
        <v>23980.718016688057</v>
      </c>
      <c r="H61" s="528">
        <f>'2018 TH YouTube View &amp; Rev'!H36</f>
        <v>23021.489296020529</v>
      </c>
      <c r="I61" s="528">
        <f>'2018 TH YouTube View &amp; Rev'!I36</f>
        <v>23481.919081940941</v>
      </c>
      <c r="J61" s="528">
        <f>'2018 TH YouTube View &amp; Rev'!J36</f>
        <v>24656.015036037996</v>
      </c>
      <c r="K61" s="528">
        <f>'2018 TH YouTube View &amp; Rev'!K36</f>
        <v>27121.616539641793</v>
      </c>
      <c r="L61" s="528">
        <f>'2018 TH YouTube View &amp; Rev'!L36</f>
        <v>32545.939847570153</v>
      </c>
      <c r="M61" s="528">
        <f>'2018 TH YouTube View &amp; Rev'!M36</f>
        <v>37427.830824705663</v>
      </c>
      <c r="N61" s="528">
        <f>'2018 TH YouTube View &amp; Rev'!N36</f>
        <v>48656.180072117357</v>
      </c>
      <c r="O61" s="528">
        <f>'2018 TH YouTube View &amp; Rev'!O36</f>
        <v>63253.034093752583</v>
      </c>
      <c r="P61" s="529">
        <f t="shared" si="69"/>
        <v>357508.72008395608</v>
      </c>
      <c r="Q61" s="522">
        <f t="shared" ref="Q61:Q62" si="74">SUM(D61:I61)</f>
        <v>123848.10367013059</v>
      </c>
      <c r="R61" s="528">
        <f>'2018 TH YouTube View &amp; Rev'!R36</f>
        <v>11744.78</v>
      </c>
      <c r="S61" s="528">
        <f>'2018 TH YouTube View &amp; Rev'!S36</f>
        <v>17885.199999999997</v>
      </c>
      <c r="T61" s="528">
        <f>'2018 TH YouTube View &amp; Rev'!T36</f>
        <v>34740.609999999993</v>
      </c>
      <c r="U61" s="528">
        <f>'2018 TH YouTube View &amp; Rev'!U36</f>
        <v>33316.1</v>
      </c>
      <c r="V61" s="528">
        <f>'2018 TH YouTube View &amp; Rev'!V36</f>
        <v>31918.840000000004</v>
      </c>
      <c r="W61" s="528">
        <f>'2018 TH YouTube View &amp; Rev'!W36</f>
        <v>30405.259999999995</v>
      </c>
      <c r="X61" s="528">
        <f>'2018 TH YouTube View &amp; Rev'!X36</f>
        <v>45395.429999999993</v>
      </c>
      <c r="Y61" s="528">
        <f>'2018 TH YouTube View &amp; Rev'!Y36</f>
        <v>54772.393999999695</v>
      </c>
      <c r="Z61" s="528">
        <f>'2018 TH YouTube View &amp; Rev'!Z36</f>
        <v>61792.702999999907</v>
      </c>
      <c r="AA61" s="528">
        <f>'2018 TH YouTube View &amp; Rev'!AA36</f>
        <v>0</v>
      </c>
      <c r="AB61" s="528">
        <f>'2018 TH YouTube View &amp; Rev'!AB36</f>
        <v>0</v>
      </c>
      <c r="AC61" s="528">
        <f>'2018 TH YouTube View &amp; Rev'!AC36</f>
        <v>0</v>
      </c>
      <c r="AD61" s="521">
        <f t="shared" si="70"/>
        <v>321971.31699999957</v>
      </c>
      <c r="AF61" s="522">
        <f t="shared" si="71"/>
        <v>-6447.4775176718995</v>
      </c>
      <c r="AG61" s="522">
        <f t="shared" si="71"/>
        <v>1898.0546555412948</v>
      </c>
      <c r="AH61" s="522">
        <f t="shared" si="71"/>
        <v>15556.035586649548</v>
      </c>
      <c r="AI61" s="522">
        <f t="shared" si="71"/>
        <v>9335.3819833119414</v>
      </c>
      <c r="AJ61" s="522">
        <f t="shared" si="71"/>
        <v>8897.3507039794749</v>
      </c>
      <c r="AK61" s="522">
        <f t="shared" si="71"/>
        <v>6923.3409180590534</v>
      </c>
      <c r="AL61" s="522">
        <f t="shared" si="71"/>
        <v>20739.414963961997</v>
      </c>
      <c r="AM61" s="522">
        <f t="shared" si="71"/>
        <v>27650.777460357902</v>
      </c>
      <c r="AN61" s="522">
        <f t="shared" si="71"/>
        <v>29246.763152429754</v>
      </c>
      <c r="AO61" s="522">
        <f t="shared" si="71"/>
        <v>-37427.830824705663</v>
      </c>
      <c r="AP61" s="522">
        <f t="shared" si="71"/>
        <v>-48656.180072117357</v>
      </c>
      <c r="AQ61" s="522">
        <f t="shared" si="71"/>
        <v>-63253.034093752583</v>
      </c>
      <c r="AR61" s="521">
        <f t="shared" si="72"/>
        <v>-35537.403083956524</v>
      </c>
      <c r="AT61" s="523">
        <f t="shared" ref="AT61:AT64" si="75">R61/D61</f>
        <v>0.64559222452689879</v>
      </c>
      <c r="AU61" s="523">
        <f t="shared" si="73"/>
        <v>1.1187238005688851</v>
      </c>
      <c r="AV61" s="523">
        <f t="shared" si="73"/>
        <v>1.8108616460016014</v>
      </c>
      <c r="AW61" s="523">
        <f t="shared" si="73"/>
        <v>1.3892870087048894</v>
      </c>
      <c r="AX61" s="523">
        <f t="shared" si="73"/>
        <v>1.3864802398130456</v>
      </c>
      <c r="AY61" s="523">
        <f t="shared" si="73"/>
        <v>1.2948370997234009</v>
      </c>
      <c r="AZ61" s="523">
        <f t="shared" si="73"/>
        <v>1.8411503210737268</v>
      </c>
      <c r="BA61" s="523">
        <f t="shared" si="73"/>
        <v>2.0195106703887902</v>
      </c>
      <c r="BB61" s="523">
        <f t="shared" si="73"/>
        <v>1.8986301606101348</v>
      </c>
      <c r="BC61" s="523">
        <f t="shared" si="73"/>
        <v>0</v>
      </c>
      <c r="BD61" s="523">
        <f t="shared" si="73"/>
        <v>0</v>
      </c>
      <c r="BE61" s="523">
        <f t="shared" si="73"/>
        <v>0</v>
      </c>
      <c r="BF61" s="523">
        <f t="shared" si="73"/>
        <v>0.9005971013081554</v>
      </c>
    </row>
    <row r="62" spans="1:58">
      <c r="C62" s="515" t="s">
        <v>90</v>
      </c>
      <c r="D62" s="528">
        <f>'2018 TH YouTube View &amp; Rev'!D52</f>
        <v>1667.7740570434564</v>
      </c>
      <c r="E62" s="528">
        <f>'2018 TH YouTube View &amp; Rev'!E52</f>
        <v>1465.6205380652177</v>
      </c>
      <c r="F62" s="528">
        <f>'2018 TH YouTube View &amp; Rev'!F52</f>
        <v>1758.7446456782616</v>
      </c>
      <c r="G62" s="528">
        <f>'2018 TH YouTube View &amp; Rev'!G52</f>
        <v>2198.4308070978263</v>
      </c>
      <c r="H62" s="528">
        <f>'2018 TH YouTube View &amp; Rev'!H52</f>
        <v>2110.4935748139133</v>
      </c>
      <c r="I62" s="528">
        <f>'2018 TH YouTube View &amp; Rev'!I52</f>
        <v>2152.7034463101918</v>
      </c>
      <c r="J62" s="528">
        <f>'2018 TH YouTube View &amp; Rev'!J52</f>
        <v>2260.3386186257012</v>
      </c>
      <c r="K62" s="528">
        <f>'2018 TH YouTube View &amp; Rev'!K52</f>
        <v>2486.3724804882718</v>
      </c>
      <c r="L62" s="528">
        <f>'2018 TH YouTube View &amp; Rev'!L52</f>
        <v>2983.646976585926</v>
      </c>
      <c r="M62" s="528">
        <f>'2018 TH YouTube View &amp; Rev'!M52</f>
        <v>3431.1940230738146</v>
      </c>
      <c r="N62" s="528">
        <f>'2018 TH YouTube View &amp; Rev'!N52</f>
        <v>4460.5522299959584</v>
      </c>
      <c r="O62" s="528">
        <f>'2018 TH YouTube View &amp; Rev'!O52</f>
        <v>5798.717898994747</v>
      </c>
      <c r="P62" s="529">
        <f t="shared" si="69"/>
        <v>32774.589296773287</v>
      </c>
      <c r="Q62" s="522">
        <f t="shared" si="74"/>
        <v>11353.767069008867</v>
      </c>
      <c r="R62" s="528">
        <f>'2018 TH YouTube View &amp; Rev'!R52</f>
        <v>571.69999999999993</v>
      </c>
      <c r="S62" s="528">
        <f>'2018 TH YouTube View &amp; Rev'!S52</f>
        <v>826.61</v>
      </c>
      <c r="T62" s="528">
        <f>'2018 TH YouTube View &amp; Rev'!T52</f>
        <v>1861.61</v>
      </c>
      <c r="U62" s="528">
        <f>'2018 TH YouTube View &amp; Rev'!U52</f>
        <v>2969.36</v>
      </c>
      <c r="V62" s="528">
        <f>'2018 TH YouTube View &amp; Rev'!V52</f>
        <v>3022.33</v>
      </c>
      <c r="W62" s="528">
        <f>'2018 TH YouTube View &amp; Rev'!W52</f>
        <v>3610.8500000000008</v>
      </c>
      <c r="X62" s="528">
        <f>'2018 TH YouTube View &amp; Rev'!X52</f>
        <v>9670.1400000000012</v>
      </c>
      <c r="Y62" s="528">
        <f>'2018 TH YouTube View &amp; Rev'!Y52</f>
        <v>23652.75799999966</v>
      </c>
      <c r="Z62" s="528">
        <f>'2018 TH YouTube View &amp; Rev'!Z52</f>
        <v>46022.833999999653</v>
      </c>
      <c r="AA62" s="528">
        <f>'2018 TH YouTube View &amp; Rev'!AA52</f>
        <v>0</v>
      </c>
      <c r="AB62" s="528">
        <f>'2018 TH YouTube View &amp; Rev'!AB52</f>
        <v>0</v>
      </c>
      <c r="AC62" s="528">
        <f>'2018 TH YouTube View &amp; Rev'!AC52</f>
        <v>0</v>
      </c>
      <c r="AD62" s="521">
        <f t="shared" si="70"/>
        <v>92208.191999999312</v>
      </c>
      <c r="AF62" s="522">
        <f t="shared" si="71"/>
        <v>-1096.0740570434564</v>
      </c>
      <c r="AG62" s="522">
        <f t="shared" si="71"/>
        <v>-639.0105380652177</v>
      </c>
      <c r="AH62" s="522">
        <f t="shared" si="71"/>
        <v>102.86535432173832</v>
      </c>
      <c r="AI62" s="522">
        <f t="shared" si="71"/>
        <v>770.92919290217378</v>
      </c>
      <c r="AJ62" s="522">
        <f t="shared" si="71"/>
        <v>911.83642518608667</v>
      </c>
      <c r="AK62" s="522">
        <f t="shared" si="71"/>
        <v>1458.146553689809</v>
      </c>
      <c r="AL62" s="522">
        <f t="shared" si="71"/>
        <v>7409.8013813743</v>
      </c>
      <c r="AM62" s="522">
        <f t="shared" si="71"/>
        <v>21166.385519511387</v>
      </c>
      <c r="AN62" s="522">
        <f t="shared" si="71"/>
        <v>43039.187023413724</v>
      </c>
      <c r="AO62" s="522">
        <f t="shared" si="71"/>
        <v>-3431.1940230738146</v>
      </c>
      <c r="AP62" s="522">
        <f t="shared" si="71"/>
        <v>-4460.5522299959584</v>
      </c>
      <c r="AQ62" s="522">
        <f t="shared" si="71"/>
        <v>-5798.717898994747</v>
      </c>
      <c r="AR62" s="521">
        <f t="shared" si="72"/>
        <v>59433.602703226024</v>
      </c>
      <c r="AT62" s="523">
        <f t="shared" si="75"/>
        <v>0.34279223710523482</v>
      </c>
      <c r="AU62" s="523">
        <f t="shared" si="73"/>
        <v>0.56400001127932964</v>
      </c>
      <c r="AV62" s="523">
        <f t="shared" si="73"/>
        <v>1.0584879417114406</v>
      </c>
      <c r="AW62" s="523">
        <f t="shared" si="73"/>
        <v>1.3506724843980358</v>
      </c>
      <c r="AX62" s="523">
        <f t="shared" si="73"/>
        <v>1.4320488989247386</v>
      </c>
      <c r="AY62" s="523">
        <f t="shared" si="73"/>
        <v>1.6773559805411762</v>
      </c>
      <c r="AZ62" s="523">
        <f t="shared" si="73"/>
        <v>4.2781820034909197</v>
      </c>
      <c r="BA62" s="523">
        <f t="shared" si="73"/>
        <v>9.5129584105414295</v>
      </c>
      <c r="BB62" s="523">
        <f t="shared" si="73"/>
        <v>15.425026607089366</v>
      </c>
      <c r="BC62" s="523">
        <f t="shared" si="73"/>
        <v>0</v>
      </c>
      <c r="BD62" s="523">
        <f t="shared" si="73"/>
        <v>0</v>
      </c>
      <c r="BE62" s="523">
        <f t="shared" si="73"/>
        <v>0</v>
      </c>
      <c r="BF62" s="523">
        <f t="shared" si="73"/>
        <v>2.8134049572690563</v>
      </c>
    </row>
    <row r="63" spans="1:58">
      <c r="C63" s="515" t="s">
        <v>74</v>
      </c>
      <c r="D63" s="528">
        <f>'2018 TH YouTube View &amp; Rev'!D48</f>
        <v>0</v>
      </c>
      <c r="E63" s="528">
        <f>'2018 TH YouTube View &amp; Rev'!E48</f>
        <v>0</v>
      </c>
      <c r="F63" s="528">
        <f>'2018 TH YouTube View &amp; Rev'!F48</f>
        <v>0</v>
      </c>
      <c r="G63" s="528">
        <f>'2018 TH YouTube View &amp; Rev'!G48</f>
        <v>0</v>
      </c>
      <c r="H63" s="528">
        <f>'2018 TH YouTube View &amp; Rev'!H48</f>
        <v>0</v>
      </c>
      <c r="I63" s="528">
        <f>'2018 TH YouTube View &amp; Rev'!I48</f>
        <v>0</v>
      </c>
      <c r="J63" s="528">
        <f>'2018 TH YouTube View &amp; Rev'!J48</f>
        <v>0</v>
      </c>
      <c r="K63" s="528">
        <f>'2018 TH YouTube View &amp; Rev'!K48</f>
        <v>0</v>
      </c>
      <c r="L63" s="528">
        <f>'2018 TH YouTube View &amp; Rev'!L48</f>
        <v>0</v>
      </c>
      <c r="M63" s="528">
        <f>'2018 TH YouTube View &amp; Rev'!M48</f>
        <v>0</v>
      </c>
      <c r="N63" s="528">
        <f>'2018 TH YouTube View &amp; Rev'!N48</f>
        <v>0</v>
      </c>
      <c r="O63" s="528">
        <f>'2018 TH YouTube View &amp; Rev'!O48</f>
        <v>0</v>
      </c>
      <c r="P63" s="529">
        <f t="shared" si="69"/>
        <v>0</v>
      </c>
      <c r="Q63" s="522"/>
      <c r="R63" s="528">
        <f>'2018 TH YouTube View &amp; Rev'!R48</f>
        <v>0</v>
      </c>
      <c r="S63" s="528">
        <f>'2018 TH YouTube View &amp; Rev'!S48</f>
        <v>0</v>
      </c>
      <c r="T63" s="528">
        <f>'2018 TH YouTube View &amp; Rev'!T48</f>
        <v>0</v>
      </c>
      <c r="U63" s="528">
        <f>'2018 TH YouTube View &amp; Rev'!U48</f>
        <v>0</v>
      </c>
      <c r="V63" s="528">
        <f>'2018 TH YouTube View &amp; Rev'!V48</f>
        <v>0</v>
      </c>
      <c r="W63" s="528">
        <f>'2018 TH YouTube View &amp; Rev'!W48</f>
        <v>0</v>
      </c>
      <c r="X63" s="528">
        <f>'2018 TH YouTube View &amp; Rev'!X48</f>
        <v>0</v>
      </c>
      <c r="Y63" s="528">
        <f>'2018 TH YouTube View &amp; Rev'!Y48</f>
        <v>0</v>
      </c>
      <c r="Z63" s="528">
        <f>'2018 TH YouTube View &amp; Rev'!Z48</f>
        <v>0</v>
      </c>
      <c r="AA63" s="528">
        <f>'2018 TH YouTube View &amp; Rev'!AA48</f>
        <v>0</v>
      </c>
      <c r="AB63" s="528">
        <f>'2018 TH YouTube View &amp; Rev'!AB48</f>
        <v>0</v>
      </c>
      <c r="AC63" s="528">
        <f>'2018 TH YouTube View &amp; Rev'!AC48</f>
        <v>0</v>
      </c>
      <c r="AD63" s="521">
        <f t="shared" si="70"/>
        <v>0</v>
      </c>
      <c r="AF63" s="522">
        <f>R63-D63</f>
        <v>0</v>
      </c>
      <c r="AG63" s="522">
        <f t="shared" si="71"/>
        <v>0</v>
      </c>
      <c r="AH63" s="522">
        <f t="shared" si="71"/>
        <v>0</v>
      </c>
      <c r="AI63" s="522">
        <f t="shared" si="71"/>
        <v>0</v>
      </c>
      <c r="AJ63" s="522">
        <f t="shared" si="71"/>
        <v>0</v>
      </c>
      <c r="AK63" s="522">
        <f t="shared" si="71"/>
        <v>0</v>
      </c>
      <c r="AL63" s="522">
        <f t="shared" si="71"/>
        <v>0</v>
      </c>
      <c r="AM63" s="522">
        <f t="shared" si="71"/>
        <v>0</v>
      </c>
      <c r="AN63" s="522">
        <f t="shared" si="71"/>
        <v>0</v>
      </c>
      <c r="AO63" s="522">
        <f t="shared" si="71"/>
        <v>0</v>
      </c>
      <c r="AP63" s="522">
        <f t="shared" si="71"/>
        <v>0</v>
      </c>
      <c r="AQ63" s="522">
        <f t="shared" si="71"/>
        <v>0</v>
      </c>
      <c r="AR63" s="521">
        <f>SUM(AF63:AQ63)</f>
        <v>0</v>
      </c>
      <c r="AT63" s="523" t="e">
        <f t="shared" si="75"/>
        <v>#DIV/0!</v>
      </c>
      <c r="AU63" s="523" t="e">
        <f t="shared" si="73"/>
        <v>#DIV/0!</v>
      </c>
      <c r="AV63" s="523" t="e">
        <f t="shared" si="73"/>
        <v>#DIV/0!</v>
      </c>
      <c r="AW63" s="523" t="e">
        <f t="shared" si="73"/>
        <v>#DIV/0!</v>
      </c>
      <c r="AX63" s="523" t="e">
        <f t="shared" si="73"/>
        <v>#DIV/0!</v>
      </c>
      <c r="AY63" s="523" t="e">
        <f t="shared" si="73"/>
        <v>#DIV/0!</v>
      </c>
      <c r="AZ63" s="523" t="e">
        <f t="shared" si="73"/>
        <v>#DIV/0!</v>
      </c>
      <c r="BA63" s="523" t="e">
        <f t="shared" si="73"/>
        <v>#DIV/0!</v>
      </c>
      <c r="BB63" s="523" t="e">
        <f t="shared" si="73"/>
        <v>#DIV/0!</v>
      </c>
      <c r="BC63" s="523" t="e">
        <f t="shared" si="73"/>
        <v>#DIV/0!</v>
      </c>
      <c r="BD63" s="523" t="e">
        <f t="shared" si="73"/>
        <v>#DIV/0!</v>
      </c>
      <c r="BE63" s="523" t="e">
        <f t="shared" si="73"/>
        <v>#DIV/0!</v>
      </c>
      <c r="BF63" s="523" t="e">
        <f t="shared" si="73"/>
        <v>#DIV/0!</v>
      </c>
    </row>
    <row r="64" spans="1:58">
      <c r="C64" s="514" t="s">
        <v>47</v>
      </c>
      <c r="D64" s="530">
        <f>SUM(D60:D63)</f>
        <v>19865.873233440001</v>
      </c>
      <c r="E64" s="530">
        <f t="shared" ref="E64:P64" si="76">SUM(E60:E63)</f>
        <v>17457.899464598209</v>
      </c>
      <c r="F64" s="530">
        <f t="shared" si="76"/>
        <v>20949.479357517852</v>
      </c>
      <c r="G64" s="530">
        <f t="shared" si="76"/>
        <v>26186.849196897318</v>
      </c>
      <c r="H64" s="530">
        <f t="shared" si="76"/>
        <v>25139.375229021422</v>
      </c>
      <c r="I64" s="530">
        <f t="shared" si="76"/>
        <v>25642.16273360185</v>
      </c>
      <c r="J64" s="530">
        <f t="shared" si="76"/>
        <v>26924.270870281951</v>
      </c>
      <c r="K64" s="530">
        <f t="shared" si="76"/>
        <v>29616.697957310145</v>
      </c>
      <c r="L64" s="530">
        <f t="shared" si="76"/>
        <v>35540.037548772176</v>
      </c>
      <c r="M64" s="530">
        <f t="shared" si="76"/>
        <v>40871.043181087982</v>
      </c>
      <c r="N64" s="530">
        <f t="shared" si="76"/>
        <v>53132.356135414375</v>
      </c>
      <c r="O64" s="530">
        <f t="shared" si="76"/>
        <v>69072.062976038709</v>
      </c>
      <c r="P64" s="530">
        <f t="shared" si="76"/>
        <v>390398.10788398201</v>
      </c>
      <c r="R64" s="530">
        <f t="shared" ref="R64:AD64" si="77">SUM(R60:R63)</f>
        <v>12317.330000000002</v>
      </c>
      <c r="S64" s="530">
        <f t="shared" si="77"/>
        <v>18713.179999999997</v>
      </c>
      <c r="T64" s="530">
        <f t="shared" si="77"/>
        <v>36602.739999999991</v>
      </c>
      <c r="U64" s="530">
        <f t="shared" si="77"/>
        <v>36285.68</v>
      </c>
      <c r="V64" s="530">
        <f t="shared" si="77"/>
        <v>34941.350000000006</v>
      </c>
      <c r="W64" s="530">
        <f t="shared" si="77"/>
        <v>34016.249999999993</v>
      </c>
      <c r="X64" s="530">
        <f t="shared" si="77"/>
        <v>55065.759999999995</v>
      </c>
      <c r="Y64" s="530">
        <f t="shared" si="77"/>
        <v>78714.015999999363</v>
      </c>
      <c r="Z64" s="530">
        <f t="shared" si="77"/>
        <v>110858.00099999955</v>
      </c>
      <c r="AA64" s="530">
        <f t="shared" si="77"/>
        <v>0</v>
      </c>
      <c r="AB64" s="530">
        <f t="shared" si="77"/>
        <v>0</v>
      </c>
      <c r="AC64" s="530">
        <f t="shared" si="77"/>
        <v>0</v>
      </c>
      <c r="AD64" s="530">
        <f t="shared" si="77"/>
        <v>417514.30699999887</v>
      </c>
      <c r="AE64" s="525"/>
      <c r="AF64" s="530">
        <f>SUM(AF60:AF63)</f>
        <v>-7548.5432334399993</v>
      </c>
      <c r="AG64" s="530">
        <f t="shared" ref="AG64:AR64" si="78">SUM(AG60:AG63)</f>
        <v>1255.2805354017864</v>
      </c>
      <c r="AH64" s="530">
        <f t="shared" si="78"/>
        <v>15653.260642482139</v>
      </c>
      <c r="AI64" s="530">
        <f t="shared" si="78"/>
        <v>10098.830803102679</v>
      </c>
      <c r="AJ64" s="530">
        <f t="shared" si="78"/>
        <v>9801.9747709785843</v>
      </c>
      <c r="AK64" s="530">
        <f t="shared" si="78"/>
        <v>8374.0872663981445</v>
      </c>
      <c r="AL64" s="530">
        <f t="shared" si="78"/>
        <v>28141.489129718044</v>
      </c>
      <c r="AM64" s="530">
        <f t="shared" si="78"/>
        <v>49097.318042689207</v>
      </c>
      <c r="AN64" s="530">
        <f t="shared" si="78"/>
        <v>75317.963451227377</v>
      </c>
      <c r="AO64" s="530">
        <f t="shared" si="78"/>
        <v>-40871.043181087982</v>
      </c>
      <c r="AP64" s="530">
        <f t="shared" si="78"/>
        <v>-53132.356135414375</v>
      </c>
      <c r="AQ64" s="530">
        <f t="shared" si="78"/>
        <v>-69072.062976038709</v>
      </c>
      <c r="AR64" s="530">
        <f t="shared" si="78"/>
        <v>27116.199116016905</v>
      </c>
      <c r="AT64" s="523">
        <f t="shared" si="75"/>
        <v>0.62002459470376459</v>
      </c>
      <c r="AU64" s="523">
        <f t="shared" si="73"/>
        <v>1.0719032972980107</v>
      </c>
      <c r="AV64" s="523">
        <f t="shared" si="73"/>
        <v>1.7471909146450872</v>
      </c>
      <c r="AW64" s="523">
        <f t="shared" si="73"/>
        <v>1.3856451277192683</v>
      </c>
      <c r="AX64" s="523">
        <f t="shared" si="73"/>
        <v>1.3899052654126018</v>
      </c>
      <c r="AY64" s="523">
        <f t="shared" si="73"/>
        <v>1.3265749208987205</v>
      </c>
      <c r="AZ64" s="523">
        <f t="shared" si="73"/>
        <v>2.0452089590578146</v>
      </c>
      <c r="BA64" s="523">
        <f t="shared" si="73"/>
        <v>2.6577580023761822</v>
      </c>
      <c r="BB64" s="523">
        <f t="shared" si="73"/>
        <v>3.1192426526805805</v>
      </c>
      <c r="BC64" s="523">
        <f t="shared" si="73"/>
        <v>0</v>
      </c>
      <c r="BD64" s="523">
        <f t="shared" si="73"/>
        <v>0</v>
      </c>
      <c r="BE64" s="523">
        <f t="shared" si="73"/>
        <v>0</v>
      </c>
      <c r="BF64" s="523">
        <f t="shared" si="73"/>
        <v>1.0694578138787374</v>
      </c>
    </row>
    <row r="65" spans="1:58">
      <c r="D65" s="531"/>
      <c r="E65" s="531"/>
      <c r="F65" s="531"/>
      <c r="G65" s="531"/>
      <c r="H65" s="531"/>
      <c r="I65" s="531"/>
      <c r="J65" s="531"/>
      <c r="K65" s="531"/>
      <c r="L65" s="531"/>
      <c r="M65" s="531"/>
      <c r="N65" s="531"/>
      <c r="O65" s="531"/>
      <c r="P65" s="529"/>
      <c r="R65" s="531"/>
      <c r="S65" s="531"/>
      <c r="T65" s="531"/>
      <c r="U65" s="531"/>
      <c r="V65" s="531"/>
      <c r="W65" s="531"/>
      <c r="X65" s="531"/>
      <c r="Y65" s="531"/>
      <c r="Z65" s="531"/>
      <c r="AA65" s="531"/>
      <c r="AB65" s="531"/>
      <c r="AC65" s="531"/>
      <c r="AD65" s="514"/>
      <c r="AR65" s="514"/>
    </row>
    <row r="66" spans="1:58">
      <c r="B66" s="515" t="s">
        <v>92</v>
      </c>
      <c r="D66" s="531"/>
      <c r="E66" s="531"/>
      <c r="F66" s="531"/>
      <c r="G66" s="531"/>
      <c r="H66" s="531"/>
      <c r="I66" s="531"/>
      <c r="J66" s="531"/>
      <c r="K66" s="531"/>
      <c r="L66" s="531"/>
      <c r="M66" s="531"/>
      <c r="N66" s="531"/>
      <c r="O66" s="531"/>
      <c r="P66" s="529"/>
      <c r="R66" s="531"/>
      <c r="S66" s="531"/>
      <c r="T66" s="531"/>
      <c r="U66" s="531"/>
      <c r="V66" s="531"/>
      <c r="W66" s="531"/>
      <c r="X66" s="531"/>
      <c r="Y66" s="531"/>
      <c r="Z66" s="531"/>
      <c r="AA66" s="531"/>
      <c r="AB66" s="531"/>
      <c r="AC66" s="531"/>
      <c r="AD66" s="514"/>
      <c r="AR66" s="514"/>
    </row>
    <row r="67" spans="1:58">
      <c r="C67" s="515" t="s">
        <v>87</v>
      </c>
      <c r="D67" s="531">
        <f>D53+D60</f>
        <v>280186.82281197852</v>
      </c>
      <c r="E67" s="531">
        <f t="shared" ref="E67:O68" si="79">E53+E60</f>
        <v>250069.06259651724</v>
      </c>
      <c r="F67" s="531">
        <f t="shared" si="79"/>
        <v>308636.55512234074</v>
      </c>
      <c r="G67" s="531">
        <f t="shared" si="79"/>
        <v>324069.98820813478</v>
      </c>
      <c r="H67" s="531">
        <f t="shared" si="79"/>
        <v>351087.74721889506</v>
      </c>
      <c r="I67" s="531">
        <f t="shared" si="79"/>
        <v>344555.14668853593</v>
      </c>
      <c r="J67" s="531">
        <f t="shared" si="79"/>
        <v>372007.29677117895</v>
      </c>
      <c r="K67" s="531">
        <f t="shared" si="79"/>
        <v>368535.54035440227</v>
      </c>
      <c r="L67" s="531">
        <f t="shared" si="79"/>
        <v>388827.1050348935</v>
      </c>
      <c r="M67" s="531">
        <f t="shared" si="79"/>
        <v>417207.53608187987</v>
      </c>
      <c r="N67" s="531">
        <f t="shared" si="79"/>
        <v>398205.77134590363</v>
      </c>
      <c r="O67" s="531">
        <f t="shared" si="79"/>
        <v>419902.68118357711</v>
      </c>
      <c r="P67" s="529">
        <f t="shared" ref="P67:P71" si="80">SUM(D67:O67)</f>
        <v>4223291.2534182379</v>
      </c>
      <c r="R67" s="531">
        <f t="shared" ref="R67:AC68" si="81">R53+R60</f>
        <v>210984.87700000004</v>
      </c>
      <c r="S67" s="531">
        <f t="shared" si="81"/>
        <v>216046.59999999998</v>
      </c>
      <c r="T67" s="531">
        <f t="shared" si="81"/>
        <v>267647.75</v>
      </c>
      <c r="U67" s="531">
        <f t="shared" si="81"/>
        <v>291254.75</v>
      </c>
      <c r="V67" s="531">
        <f t="shared" si="81"/>
        <v>322227.14999999997</v>
      </c>
      <c r="W67" s="531">
        <f t="shared" si="81"/>
        <v>300283.78000000003</v>
      </c>
      <c r="X67" s="531">
        <f t="shared" si="81"/>
        <v>300910.32</v>
      </c>
      <c r="Y67" s="531">
        <f t="shared" si="81"/>
        <v>339230.52700017689</v>
      </c>
      <c r="Z67" s="531">
        <f t="shared" si="81"/>
        <v>327799.13600029569</v>
      </c>
      <c r="AA67" s="531">
        <f t="shared" si="81"/>
        <v>0</v>
      </c>
      <c r="AB67" s="531">
        <f t="shared" si="81"/>
        <v>0</v>
      </c>
      <c r="AC67" s="531">
        <f t="shared" si="81"/>
        <v>0</v>
      </c>
      <c r="AD67" s="521">
        <f t="shared" ref="AD67:AD71" si="82">SUM(R67:AC67)</f>
        <v>2576384.8900004723</v>
      </c>
      <c r="AF67" s="522">
        <f t="shared" ref="AF67:AQ71" si="83">R67-D67</f>
        <v>-69201.945811978483</v>
      </c>
      <c r="AG67" s="522">
        <f t="shared" si="83"/>
        <v>-34022.46259651726</v>
      </c>
      <c r="AH67" s="522">
        <f t="shared" si="83"/>
        <v>-40988.805122340738</v>
      </c>
      <c r="AI67" s="522">
        <f t="shared" si="83"/>
        <v>-32815.238208134775</v>
      </c>
      <c r="AJ67" s="522">
        <f t="shared" si="83"/>
        <v>-28860.597218895098</v>
      </c>
      <c r="AK67" s="522">
        <f t="shared" si="83"/>
        <v>-44271.366688535898</v>
      </c>
      <c r="AL67" s="522">
        <f t="shared" si="83"/>
        <v>-71096.976771178946</v>
      </c>
      <c r="AM67" s="522">
        <f t="shared" si="83"/>
        <v>-29305.013354225375</v>
      </c>
      <c r="AN67" s="522">
        <f t="shared" si="83"/>
        <v>-61027.969034597802</v>
      </c>
      <c r="AO67" s="522">
        <f t="shared" si="83"/>
        <v>-417207.53608187987</v>
      </c>
      <c r="AP67" s="522">
        <f t="shared" si="83"/>
        <v>-398205.77134590363</v>
      </c>
      <c r="AQ67" s="522">
        <f t="shared" si="83"/>
        <v>-419902.68118357711</v>
      </c>
      <c r="AR67" s="521">
        <f t="shared" ref="AR67:AR71" si="84">SUM(AF67:AQ67)</f>
        <v>-1646906.3634177649</v>
      </c>
      <c r="AT67" s="523">
        <f>R67/D67</f>
        <v>0.7530149879374699</v>
      </c>
      <c r="AU67" s="523">
        <f t="shared" ref="AU67:BF72" si="85">S67/E67</f>
        <v>0.86394773410490999</v>
      </c>
      <c r="AV67" s="523">
        <f t="shared" si="85"/>
        <v>0.86719393914277865</v>
      </c>
      <c r="AW67" s="523">
        <f t="shared" si="85"/>
        <v>0.89874027400815926</v>
      </c>
      <c r="AX67" s="523">
        <f t="shared" si="85"/>
        <v>0.91779662649149307</v>
      </c>
      <c r="AY67" s="523">
        <f t="shared" si="85"/>
        <v>0.87151152111927255</v>
      </c>
      <c r="AZ67" s="523">
        <f t="shared" si="85"/>
        <v>0.80888284345962558</v>
      </c>
      <c r="BA67" s="523">
        <f t="shared" si="85"/>
        <v>0.92048253113921064</v>
      </c>
      <c r="BB67" s="523">
        <f t="shared" si="85"/>
        <v>0.84304600105200711</v>
      </c>
      <c r="BC67" s="523">
        <f t="shared" si="85"/>
        <v>0</v>
      </c>
      <c r="BD67" s="523">
        <f t="shared" si="85"/>
        <v>0</v>
      </c>
      <c r="BE67" s="523">
        <f t="shared" si="85"/>
        <v>0</v>
      </c>
      <c r="BF67" s="523">
        <f t="shared" si="85"/>
        <v>0.61004196381559139</v>
      </c>
    </row>
    <row r="68" spans="1:58">
      <c r="C68" s="515" t="s">
        <v>88</v>
      </c>
      <c r="D68" s="531">
        <f>D54+D61</f>
        <v>372409.10577049595</v>
      </c>
      <c r="E68" s="531">
        <f t="shared" si="79"/>
        <v>332128.720809797</v>
      </c>
      <c r="F68" s="531">
        <f t="shared" si="79"/>
        <v>409368.39516930771</v>
      </c>
      <c r="G68" s="531">
        <f t="shared" si="79"/>
        <v>433674.2017144069</v>
      </c>
      <c r="H68" s="531">
        <f t="shared" si="79"/>
        <v>466872.37549953914</v>
      </c>
      <c r="I68" s="531">
        <f t="shared" si="79"/>
        <v>459073.82378289575</v>
      </c>
      <c r="J68" s="531">
        <f t="shared" si="79"/>
        <v>494953.63208272058</v>
      </c>
      <c r="K68" s="531">
        <f t="shared" si="79"/>
        <v>493029.08885949268</v>
      </c>
      <c r="L68" s="531">
        <f t="shared" si="79"/>
        <v>524104.67902787513</v>
      </c>
      <c r="M68" s="531">
        <f t="shared" si="79"/>
        <v>564864.34986977384</v>
      </c>
      <c r="N68" s="531">
        <f t="shared" si="79"/>
        <v>552065.29255606502</v>
      </c>
      <c r="O68" s="531">
        <f t="shared" si="79"/>
        <v>594086.38758221967</v>
      </c>
      <c r="P68" s="529">
        <f t="shared" si="80"/>
        <v>5696630.0527245887</v>
      </c>
      <c r="R68" s="531">
        <f t="shared" si="81"/>
        <v>286637.005</v>
      </c>
      <c r="S68" s="531">
        <f t="shared" si="81"/>
        <v>285625.99</v>
      </c>
      <c r="T68" s="531">
        <f t="shared" si="81"/>
        <v>550874.31000000006</v>
      </c>
      <c r="U68" s="531">
        <f t="shared" si="81"/>
        <v>499149.61</v>
      </c>
      <c r="V68" s="531">
        <f t="shared" si="81"/>
        <v>516137.62000000005</v>
      </c>
      <c r="W68" s="531">
        <f t="shared" si="81"/>
        <v>504902.14999999997</v>
      </c>
      <c r="X68" s="531">
        <f t="shared" si="81"/>
        <v>415983.91</v>
      </c>
      <c r="Y68" s="531">
        <f t="shared" si="81"/>
        <v>495836.33900021139</v>
      </c>
      <c r="Z68" s="531">
        <f t="shared" si="81"/>
        <v>492619.35400035838</v>
      </c>
      <c r="AA68" s="531">
        <f t="shared" si="81"/>
        <v>0</v>
      </c>
      <c r="AB68" s="531">
        <f t="shared" si="81"/>
        <v>0</v>
      </c>
      <c r="AC68" s="531">
        <f t="shared" si="81"/>
        <v>0</v>
      </c>
      <c r="AD68" s="521">
        <f t="shared" si="82"/>
        <v>4047766.2880005701</v>
      </c>
      <c r="AF68" s="522">
        <f t="shared" si="83"/>
        <v>-85772.100770495948</v>
      </c>
      <c r="AG68" s="522">
        <f t="shared" si="83"/>
        <v>-46502.730809797009</v>
      </c>
      <c r="AH68" s="522">
        <f t="shared" si="83"/>
        <v>141505.91483069235</v>
      </c>
      <c r="AI68" s="522">
        <f t="shared" si="83"/>
        <v>65475.40828559309</v>
      </c>
      <c r="AJ68" s="522">
        <f t="shared" si="83"/>
        <v>49265.244500460918</v>
      </c>
      <c r="AK68" s="522">
        <f t="shared" si="83"/>
        <v>45828.326217104215</v>
      </c>
      <c r="AL68" s="522">
        <f t="shared" si="83"/>
        <v>-78969.722082720604</v>
      </c>
      <c r="AM68" s="522">
        <f t="shared" si="83"/>
        <v>2807.2501407187083</v>
      </c>
      <c r="AN68" s="522">
        <f t="shared" si="83"/>
        <v>-31485.325027516752</v>
      </c>
      <c r="AO68" s="522">
        <f t="shared" si="83"/>
        <v>-564864.34986977384</v>
      </c>
      <c r="AP68" s="522">
        <f t="shared" si="83"/>
        <v>-552065.29255606502</v>
      </c>
      <c r="AQ68" s="522">
        <f t="shared" si="83"/>
        <v>-594086.38758221967</v>
      </c>
      <c r="AR68" s="521">
        <f t="shared" si="84"/>
        <v>-1648863.7647240194</v>
      </c>
      <c r="AT68" s="523">
        <f t="shared" ref="AT68:AT72" si="86">R68/D68</f>
        <v>0.76968312685846463</v>
      </c>
      <c r="AU68" s="523">
        <f t="shared" si="85"/>
        <v>0.85998581906312122</v>
      </c>
      <c r="AV68" s="523">
        <f t="shared" si="85"/>
        <v>1.3456688804033539</v>
      </c>
      <c r="AW68" s="523">
        <f t="shared" si="85"/>
        <v>1.1509783335664303</v>
      </c>
      <c r="AX68" s="523">
        <f t="shared" si="85"/>
        <v>1.1055218665438249</v>
      </c>
      <c r="AY68" s="523">
        <f t="shared" si="85"/>
        <v>1.0998277920519757</v>
      </c>
      <c r="AZ68" s="523">
        <f t="shared" si="85"/>
        <v>0.8404502624813095</v>
      </c>
      <c r="BA68" s="523">
        <f t="shared" si="85"/>
        <v>1.0056938833917743</v>
      </c>
      <c r="BB68" s="523">
        <f t="shared" si="85"/>
        <v>0.93992550288633814</v>
      </c>
      <c r="BC68" s="523">
        <f t="shared" si="85"/>
        <v>0</v>
      </c>
      <c r="BD68" s="523">
        <f t="shared" si="85"/>
        <v>0</v>
      </c>
      <c r="BE68" s="523">
        <f t="shared" si="85"/>
        <v>0</v>
      </c>
      <c r="BF68" s="523">
        <f t="shared" si="85"/>
        <v>0.7105545297021002</v>
      </c>
    </row>
    <row r="69" spans="1:58">
      <c r="C69" s="515" t="s">
        <v>89</v>
      </c>
      <c r="D69" s="531">
        <f>D55</f>
        <v>154793.67520307176</v>
      </c>
      <c r="E69" s="531">
        <f t="shared" ref="E69:O69" si="87">E55</f>
        <v>138154.68290723464</v>
      </c>
      <c r="F69" s="531">
        <f t="shared" si="87"/>
        <v>170511.33484334385</v>
      </c>
      <c r="G69" s="531">
        <f t="shared" si="87"/>
        <v>179037.10780875894</v>
      </c>
      <c r="H69" s="531">
        <f t="shared" si="87"/>
        <v>193963.98069846816</v>
      </c>
      <c r="I69" s="531">
        <f t="shared" si="87"/>
        <v>190354.78450545273</v>
      </c>
      <c r="J69" s="531">
        <f t="shared" si="87"/>
        <v>205521.27020774028</v>
      </c>
      <c r="K69" s="531">
        <f t="shared" si="87"/>
        <v>203602.76565243295</v>
      </c>
      <c r="L69" s="531">
        <f t="shared" si="87"/>
        <v>214812.43535202442</v>
      </c>
      <c r="M69" s="531">
        <f t="shared" si="87"/>
        <v>230491.11757955499</v>
      </c>
      <c r="N69" s="531">
        <f t="shared" si="87"/>
        <v>219991.07901408401</v>
      </c>
      <c r="O69" s="531">
        <f t="shared" si="87"/>
        <v>231975.54298208351</v>
      </c>
      <c r="P69" s="529">
        <f t="shared" si="80"/>
        <v>2333209.7767542498</v>
      </c>
      <c r="R69" s="531">
        <f t="shared" ref="R69:AC69" si="88">R55</f>
        <v>148369.26999999999</v>
      </c>
      <c r="S69" s="531">
        <f t="shared" si="88"/>
        <v>118213.66</v>
      </c>
      <c r="T69" s="531">
        <f t="shared" si="88"/>
        <v>168146.83</v>
      </c>
      <c r="U69" s="531">
        <f t="shared" si="88"/>
        <v>170290.55000000002</v>
      </c>
      <c r="V69" s="531">
        <f t="shared" si="88"/>
        <v>206786.54000000004</v>
      </c>
      <c r="W69" s="531">
        <f t="shared" si="88"/>
        <v>232102.98000000004</v>
      </c>
      <c r="X69" s="531">
        <f t="shared" si="88"/>
        <v>204887.84</v>
      </c>
      <c r="Y69" s="531">
        <f t="shared" si="88"/>
        <v>233306.64100001781</v>
      </c>
      <c r="Z69" s="531">
        <f t="shared" si="88"/>
        <v>142000.29300000911</v>
      </c>
      <c r="AA69" s="531">
        <f t="shared" si="88"/>
        <v>0</v>
      </c>
      <c r="AB69" s="531">
        <f t="shared" si="88"/>
        <v>0</v>
      </c>
      <c r="AC69" s="531">
        <f t="shared" si="88"/>
        <v>0</v>
      </c>
      <c r="AD69" s="521">
        <f t="shared" si="82"/>
        <v>1624104.6040000271</v>
      </c>
      <c r="AF69" s="522">
        <f t="shared" si="83"/>
        <v>-6424.4052030717721</v>
      </c>
      <c r="AG69" s="522">
        <f t="shared" si="83"/>
        <v>-19941.022907234641</v>
      </c>
      <c r="AH69" s="522">
        <f t="shared" si="83"/>
        <v>-2364.5048433438642</v>
      </c>
      <c r="AI69" s="522">
        <f t="shared" si="83"/>
        <v>-8746.5578087589238</v>
      </c>
      <c r="AJ69" s="522">
        <f t="shared" si="83"/>
        <v>12822.559301531874</v>
      </c>
      <c r="AK69" s="522">
        <f t="shared" si="83"/>
        <v>41748.195494547312</v>
      </c>
      <c r="AL69" s="522">
        <f t="shared" si="83"/>
        <v>-633.43020774028264</v>
      </c>
      <c r="AM69" s="522">
        <f t="shared" si="83"/>
        <v>29703.875347584864</v>
      </c>
      <c r="AN69" s="522">
        <f t="shared" si="83"/>
        <v>-72812.142352015304</v>
      </c>
      <c r="AO69" s="522">
        <f t="shared" si="83"/>
        <v>-230491.11757955499</v>
      </c>
      <c r="AP69" s="522">
        <f t="shared" si="83"/>
        <v>-219991.07901408401</v>
      </c>
      <c r="AQ69" s="522">
        <f t="shared" si="83"/>
        <v>-231975.54298208351</v>
      </c>
      <c r="AR69" s="521">
        <f t="shared" si="84"/>
        <v>-709105.17275422323</v>
      </c>
      <c r="AT69" s="523">
        <f t="shared" si="86"/>
        <v>0.95849697867407258</v>
      </c>
      <c r="AU69" s="523">
        <f t="shared" si="85"/>
        <v>0.85566162154181746</v>
      </c>
      <c r="AV69" s="523">
        <f t="shared" si="85"/>
        <v>0.9861328582905281</v>
      </c>
      <c r="AW69" s="523">
        <f t="shared" si="85"/>
        <v>0.95114667615105974</v>
      </c>
      <c r="AX69" s="523">
        <f t="shared" si="85"/>
        <v>1.0661079405328637</v>
      </c>
      <c r="AY69" s="523">
        <f t="shared" si="85"/>
        <v>1.2193178154308564</v>
      </c>
      <c r="AZ69" s="523">
        <f t="shared" si="85"/>
        <v>0.99691793356911418</v>
      </c>
      <c r="BA69" s="523">
        <f t="shared" si="85"/>
        <v>1.1458913156331672</v>
      </c>
      <c r="BB69" s="523">
        <f t="shared" si="85"/>
        <v>0.66104316897346183</v>
      </c>
      <c r="BC69" s="523">
        <f t="shared" si="85"/>
        <v>0</v>
      </c>
      <c r="BD69" s="523">
        <f t="shared" si="85"/>
        <v>0</v>
      </c>
      <c r="BE69" s="523">
        <f t="shared" si="85"/>
        <v>0</v>
      </c>
      <c r="BF69" s="523">
        <f t="shared" si="85"/>
        <v>0.69608168977387641</v>
      </c>
    </row>
    <row r="70" spans="1:58">
      <c r="C70" s="515" t="s">
        <v>96</v>
      </c>
      <c r="D70" s="531">
        <f>D56+D62</f>
        <v>15550.27864227542</v>
      </c>
      <c r="E70" s="531">
        <f t="shared" ref="E70:O70" si="89">E56+E62</f>
        <v>13855.874961670334</v>
      </c>
      <c r="F70" s="531">
        <f t="shared" si="89"/>
        <v>17050.870662399197</v>
      </c>
      <c r="G70" s="531">
        <f t="shared" si="89"/>
        <v>18255.18161956541</v>
      </c>
      <c r="H70" s="531">
        <f t="shared" si="89"/>
        <v>19505.944957978012</v>
      </c>
      <c r="I70" s="531">
        <f t="shared" si="89"/>
        <v>19224.467943477124</v>
      </c>
      <c r="J70" s="531">
        <f t="shared" si="89"/>
        <v>20692.293104354158</v>
      </c>
      <c r="K70" s="531">
        <f t="shared" si="89"/>
        <v>20746.267944742482</v>
      </c>
      <c r="L70" s="531">
        <f t="shared" si="89"/>
        <v>22248.869633952909</v>
      </c>
      <c r="M70" s="531">
        <f t="shared" si="89"/>
        <v>24102.542464511393</v>
      </c>
      <c r="N70" s="531">
        <f t="shared" si="89"/>
        <v>24190.215984775412</v>
      </c>
      <c r="O70" s="531">
        <f t="shared" si="89"/>
        <v>26603.195439085754</v>
      </c>
      <c r="P70" s="529">
        <f t="shared" si="80"/>
        <v>242026.0033587876</v>
      </c>
      <c r="R70" s="531">
        <f t="shared" ref="R70:AC70" si="90">R56+R62</f>
        <v>17811.505999999998</v>
      </c>
      <c r="S70" s="531">
        <f t="shared" si="90"/>
        <v>17050.260000000002</v>
      </c>
      <c r="T70" s="531">
        <f t="shared" si="90"/>
        <v>40061.339999999997</v>
      </c>
      <c r="U70" s="531">
        <f t="shared" si="90"/>
        <v>124585.12999999999</v>
      </c>
      <c r="V70" s="531">
        <f t="shared" si="90"/>
        <v>179050.29</v>
      </c>
      <c r="W70" s="531">
        <f t="shared" si="90"/>
        <v>55307.079999999994</v>
      </c>
      <c r="X70" s="531">
        <f t="shared" si="90"/>
        <v>49873.979999999996</v>
      </c>
      <c r="Y70" s="531">
        <f t="shared" si="90"/>
        <v>65930.978999996863</v>
      </c>
      <c r="Z70" s="531">
        <f t="shared" si="90"/>
        <v>99550.21499999435</v>
      </c>
      <c r="AA70" s="531">
        <f t="shared" si="90"/>
        <v>0</v>
      </c>
      <c r="AB70" s="531">
        <f t="shared" si="90"/>
        <v>0</v>
      </c>
      <c r="AC70" s="531">
        <f t="shared" si="90"/>
        <v>0</v>
      </c>
      <c r="AD70" s="521">
        <f t="shared" si="82"/>
        <v>649220.77999999118</v>
      </c>
      <c r="AF70" s="522">
        <f t="shared" si="83"/>
        <v>2261.2273577245778</v>
      </c>
      <c r="AG70" s="522">
        <f t="shared" si="83"/>
        <v>3194.3850383296685</v>
      </c>
      <c r="AH70" s="522">
        <f t="shared" si="83"/>
        <v>23010.4693376008</v>
      </c>
      <c r="AI70" s="522">
        <f t="shared" si="83"/>
        <v>106329.94838043458</v>
      </c>
      <c r="AJ70" s="522">
        <f t="shared" si="83"/>
        <v>159544.345042022</v>
      </c>
      <c r="AK70" s="522">
        <f t="shared" si="83"/>
        <v>36082.61205652287</v>
      </c>
      <c r="AL70" s="522">
        <f t="shared" si="83"/>
        <v>29181.686895645838</v>
      </c>
      <c r="AM70" s="522">
        <f t="shared" si="83"/>
        <v>45184.711055254382</v>
      </c>
      <c r="AN70" s="522">
        <f t="shared" si="83"/>
        <v>77301.345366041438</v>
      </c>
      <c r="AO70" s="522">
        <f t="shared" si="83"/>
        <v>-24102.542464511393</v>
      </c>
      <c r="AP70" s="522">
        <f t="shared" si="83"/>
        <v>-24190.215984775412</v>
      </c>
      <c r="AQ70" s="522">
        <f t="shared" si="83"/>
        <v>-26603.195439085754</v>
      </c>
      <c r="AR70" s="521">
        <f t="shared" si="84"/>
        <v>407194.77664120361</v>
      </c>
      <c r="AT70" s="523">
        <f t="shared" si="86"/>
        <v>1.1454139446464413</v>
      </c>
      <c r="AU70" s="523">
        <f t="shared" si="85"/>
        <v>1.2305437258322793</v>
      </c>
      <c r="AV70" s="523">
        <f t="shared" si="85"/>
        <v>2.3495187309316576</v>
      </c>
      <c r="AW70" s="523">
        <f t="shared" si="85"/>
        <v>6.8246447828529417</v>
      </c>
      <c r="AX70" s="523">
        <f t="shared" si="85"/>
        <v>9.1792676738159109</v>
      </c>
      <c r="AY70" s="523">
        <f t="shared" si="85"/>
        <v>2.8769108285655172</v>
      </c>
      <c r="AZ70" s="523">
        <f t="shared" si="85"/>
        <v>2.4102683906746569</v>
      </c>
      <c r="BA70" s="523">
        <f t="shared" si="85"/>
        <v>3.17796816157988</v>
      </c>
      <c r="BB70" s="523">
        <f t="shared" si="85"/>
        <v>4.4743942788030742</v>
      </c>
      <c r="BC70" s="523">
        <f t="shared" si="85"/>
        <v>0</v>
      </c>
      <c r="BD70" s="523">
        <f t="shared" si="85"/>
        <v>0</v>
      </c>
      <c r="BE70" s="523">
        <f t="shared" si="85"/>
        <v>0</v>
      </c>
      <c r="BF70" s="523">
        <f t="shared" si="85"/>
        <v>2.682442262361223</v>
      </c>
    </row>
    <row r="71" spans="1:58">
      <c r="C71" s="515" t="s">
        <v>74</v>
      </c>
      <c r="D71" s="531">
        <f>D63</f>
        <v>0</v>
      </c>
      <c r="E71" s="531">
        <f t="shared" ref="E71:O71" si="91">E63</f>
        <v>0</v>
      </c>
      <c r="F71" s="531">
        <f t="shared" si="91"/>
        <v>0</v>
      </c>
      <c r="G71" s="531">
        <f t="shared" si="91"/>
        <v>0</v>
      </c>
      <c r="H71" s="531">
        <f t="shared" si="91"/>
        <v>0</v>
      </c>
      <c r="I71" s="531">
        <f t="shared" si="91"/>
        <v>0</v>
      </c>
      <c r="J71" s="531">
        <f t="shared" si="91"/>
        <v>0</v>
      </c>
      <c r="K71" s="531">
        <f t="shared" si="91"/>
        <v>0</v>
      </c>
      <c r="L71" s="531">
        <f t="shared" si="91"/>
        <v>0</v>
      </c>
      <c r="M71" s="531">
        <f t="shared" si="91"/>
        <v>0</v>
      </c>
      <c r="N71" s="531">
        <f t="shared" si="91"/>
        <v>0</v>
      </c>
      <c r="O71" s="531">
        <f t="shared" si="91"/>
        <v>0</v>
      </c>
      <c r="P71" s="529">
        <f t="shared" si="80"/>
        <v>0</v>
      </c>
      <c r="R71" s="531">
        <f t="shared" ref="R71:AC71" si="92">R63</f>
        <v>0</v>
      </c>
      <c r="S71" s="531">
        <f t="shared" si="92"/>
        <v>0</v>
      </c>
      <c r="T71" s="531">
        <f t="shared" si="92"/>
        <v>0</v>
      </c>
      <c r="U71" s="531">
        <f t="shared" si="92"/>
        <v>0</v>
      </c>
      <c r="V71" s="531">
        <f t="shared" si="92"/>
        <v>0</v>
      </c>
      <c r="W71" s="531">
        <f t="shared" si="92"/>
        <v>0</v>
      </c>
      <c r="X71" s="531">
        <f t="shared" si="92"/>
        <v>0</v>
      </c>
      <c r="Y71" s="531">
        <f t="shared" si="92"/>
        <v>0</v>
      </c>
      <c r="Z71" s="531">
        <f t="shared" si="92"/>
        <v>0</v>
      </c>
      <c r="AA71" s="531">
        <f t="shared" si="92"/>
        <v>0</v>
      </c>
      <c r="AB71" s="531">
        <f t="shared" si="92"/>
        <v>0</v>
      </c>
      <c r="AC71" s="531">
        <f t="shared" si="92"/>
        <v>0</v>
      </c>
      <c r="AD71" s="521">
        <f t="shared" si="82"/>
        <v>0</v>
      </c>
      <c r="AF71" s="522">
        <f t="shared" si="83"/>
        <v>0</v>
      </c>
      <c r="AG71" s="522">
        <f t="shared" si="83"/>
        <v>0</v>
      </c>
      <c r="AH71" s="522">
        <f t="shared" si="83"/>
        <v>0</v>
      </c>
      <c r="AI71" s="522">
        <f t="shared" si="83"/>
        <v>0</v>
      </c>
      <c r="AJ71" s="522">
        <f t="shared" si="83"/>
        <v>0</v>
      </c>
      <c r="AK71" s="522">
        <f t="shared" si="83"/>
        <v>0</v>
      </c>
      <c r="AL71" s="522">
        <f t="shared" si="83"/>
        <v>0</v>
      </c>
      <c r="AM71" s="522">
        <f t="shared" si="83"/>
        <v>0</v>
      </c>
      <c r="AN71" s="522">
        <f t="shared" si="83"/>
        <v>0</v>
      </c>
      <c r="AO71" s="522">
        <f t="shared" si="83"/>
        <v>0</v>
      </c>
      <c r="AP71" s="522">
        <f t="shared" si="83"/>
        <v>0</v>
      </c>
      <c r="AQ71" s="522">
        <f t="shared" si="83"/>
        <v>0</v>
      </c>
      <c r="AR71" s="521">
        <f t="shared" si="84"/>
        <v>0</v>
      </c>
      <c r="AT71" s="523" t="e">
        <f t="shared" si="86"/>
        <v>#DIV/0!</v>
      </c>
      <c r="AU71" s="523" t="e">
        <f t="shared" si="85"/>
        <v>#DIV/0!</v>
      </c>
      <c r="AV71" s="523" t="e">
        <f t="shared" si="85"/>
        <v>#DIV/0!</v>
      </c>
      <c r="AW71" s="523" t="e">
        <f t="shared" si="85"/>
        <v>#DIV/0!</v>
      </c>
      <c r="AX71" s="523" t="e">
        <f t="shared" si="85"/>
        <v>#DIV/0!</v>
      </c>
      <c r="AY71" s="523" t="e">
        <f t="shared" si="85"/>
        <v>#DIV/0!</v>
      </c>
      <c r="AZ71" s="523" t="e">
        <f t="shared" si="85"/>
        <v>#DIV/0!</v>
      </c>
      <c r="BA71" s="523" t="e">
        <f t="shared" si="85"/>
        <v>#DIV/0!</v>
      </c>
      <c r="BB71" s="523" t="e">
        <f t="shared" si="85"/>
        <v>#DIV/0!</v>
      </c>
      <c r="BC71" s="523" t="e">
        <f t="shared" si="85"/>
        <v>#DIV/0!</v>
      </c>
      <c r="BD71" s="523" t="e">
        <f t="shared" si="85"/>
        <v>#DIV/0!</v>
      </c>
      <c r="BE71" s="523" t="e">
        <f t="shared" si="85"/>
        <v>#DIV/0!</v>
      </c>
      <c r="BF71" s="523" t="e">
        <f t="shared" si="85"/>
        <v>#DIV/0!</v>
      </c>
    </row>
    <row r="72" spans="1:58">
      <c r="B72" s="514" t="s">
        <v>97</v>
      </c>
      <c r="C72" s="514" t="s">
        <v>47</v>
      </c>
      <c r="D72" s="530">
        <f>SUM(D67:D71)</f>
        <v>822939.88242782163</v>
      </c>
      <c r="E72" s="530">
        <f t="shared" ref="E72:P72" si="93">SUM(E67:E71)</f>
        <v>734208.34127521922</v>
      </c>
      <c r="F72" s="530">
        <f t="shared" si="93"/>
        <v>905567.15579739155</v>
      </c>
      <c r="G72" s="530">
        <f t="shared" si="93"/>
        <v>955036.47935086605</v>
      </c>
      <c r="H72" s="530">
        <f t="shared" si="93"/>
        <v>1031430.0483748803</v>
      </c>
      <c r="I72" s="530">
        <f t="shared" si="93"/>
        <v>1013208.2229203616</v>
      </c>
      <c r="J72" s="530">
        <f t="shared" si="93"/>
        <v>1093174.4921659939</v>
      </c>
      <c r="K72" s="530">
        <f t="shared" si="93"/>
        <v>1085913.6628110704</v>
      </c>
      <c r="L72" s="530">
        <f t="shared" si="93"/>
        <v>1149993.0890487458</v>
      </c>
      <c r="M72" s="530">
        <f t="shared" si="93"/>
        <v>1236665.5459957202</v>
      </c>
      <c r="N72" s="530">
        <f t="shared" si="93"/>
        <v>1194452.3589008281</v>
      </c>
      <c r="O72" s="530">
        <f t="shared" si="93"/>
        <v>1272567.8071869661</v>
      </c>
      <c r="P72" s="530">
        <f t="shared" si="93"/>
        <v>12495157.086255861</v>
      </c>
      <c r="R72" s="530">
        <f t="shared" ref="R72:AD72" si="94">SUM(R67:R71)</f>
        <v>663802.65800000005</v>
      </c>
      <c r="S72" s="530">
        <f t="shared" si="94"/>
        <v>636936.51</v>
      </c>
      <c r="T72" s="530">
        <f t="shared" si="94"/>
        <v>1026730.23</v>
      </c>
      <c r="U72" s="530">
        <f t="shared" si="94"/>
        <v>1085280.04</v>
      </c>
      <c r="V72" s="530">
        <f t="shared" si="94"/>
        <v>1224201.6000000001</v>
      </c>
      <c r="W72" s="530">
        <f t="shared" si="94"/>
        <v>1092595.99</v>
      </c>
      <c r="X72" s="530">
        <f t="shared" si="94"/>
        <v>971656.04999999993</v>
      </c>
      <c r="Y72" s="530">
        <f t="shared" si="94"/>
        <v>1134304.4860004028</v>
      </c>
      <c r="Z72" s="530">
        <f t="shared" si="94"/>
        <v>1061968.9980006574</v>
      </c>
      <c r="AA72" s="530">
        <f t="shared" si="94"/>
        <v>0</v>
      </c>
      <c r="AB72" s="530">
        <f t="shared" si="94"/>
        <v>0</v>
      </c>
      <c r="AC72" s="530">
        <f t="shared" si="94"/>
        <v>0</v>
      </c>
      <c r="AD72" s="530">
        <f t="shared" si="94"/>
        <v>8897476.5620010607</v>
      </c>
      <c r="AF72" s="530">
        <f>SUM(AF67:AF71)</f>
        <v>-159137.22442782164</v>
      </c>
      <c r="AG72" s="530">
        <f t="shared" ref="AG72:AR72" si="95">SUM(AG67:AG71)</f>
        <v>-97271.831275219243</v>
      </c>
      <c r="AH72" s="530">
        <f t="shared" si="95"/>
        <v>121163.07420260855</v>
      </c>
      <c r="AI72" s="530">
        <f t="shared" si="95"/>
        <v>130243.56064913397</v>
      </c>
      <c r="AJ72" s="530">
        <f t="shared" si="95"/>
        <v>192771.5516251197</v>
      </c>
      <c r="AK72" s="530">
        <f t="shared" si="95"/>
        <v>79387.767079638492</v>
      </c>
      <c r="AL72" s="530">
        <f t="shared" si="95"/>
        <v>-121518.442165994</v>
      </c>
      <c r="AM72" s="530">
        <f t="shared" si="95"/>
        <v>48390.823189332579</v>
      </c>
      <c r="AN72" s="530">
        <f t="shared" si="95"/>
        <v>-88024.091048088419</v>
      </c>
      <c r="AO72" s="530">
        <f t="shared" si="95"/>
        <v>-1236665.5459957202</v>
      </c>
      <c r="AP72" s="530">
        <f t="shared" si="95"/>
        <v>-1194452.3589008281</v>
      </c>
      <c r="AQ72" s="530">
        <f t="shared" si="95"/>
        <v>-1272567.8071869661</v>
      </c>
      <c r="AR72" s="530">
        <f t="shared" si="95"/>
        <v>-3597680.524254804</v>
      </c>
      <c r="AT72" s="523">
        <f t="shared" si="86"/>
        <v>0.80662351184349224</v>
      </c>
      <c r="AU72" s="523">
        <f t="shared" si="85"/>
        <v>0.86751467423228756</v>
      </c>
      <c r="AV72" s="523">
        <f t="shared" si="85"/>
        <v>1.1337979998798864</v>
      </c>
      <c r="AW72" s="523">
        <f t="shared" si="85"/>
        <v>1.1363754824712664</v>
      </c>
      <c r="AX72" s="523">
        <f t="shared" si="85"/>
        <v>1.1868973586030873</v>
      </c>
      <c r="AY72" s="523">
        <f t="shared" si="85"/>
        <v>1.0783528649726308</v>
      </c>
      <c r="AZ72" s="523">
        <f t="shared" si="85"/>
        <v>0.88883893373214395</v>
      </c>
      <c r="BA72" s="523">
        <f t="shared" si="85"/>
        <v>1.0445623117624883</v>
      </c>
      <c r="BB72" s="523">
        <f t="shared" si="85"/>
        <v>0.92345685214430251</v>
      </c>
      <c r="BC72" s="523">
        <f t="shared" si="85"/>
        <v>0</v>
      </c>
      <c r="BD72" s="523">
        <f t="shared" si="85"/>
        <v>0</v>
      </c>
      <c r="BE72" s="523">
        <f t="shared" si="85"/>
        <v>0</v>
      </c>
      <c r="BF72" s="523">
        <f t="shared" si="85"/>
        <v>0.71207400599932469</v>
      </c>
    </row>
    <row r="73" spans="1:58">
      <c r="D73" s="531"/>
      <c r="E73" s="531"/>
      <c r="F73" s="531"/>
      <c r="G73" s="531"/>
      <c r="H73" s="531"/>
      <c r="I73" s="531"/>
      <c r="J73" s="531"/>
      <c r="K73" s="531"/>
      <c r="L73" s="531"/>
      <c r="M73" s="531"/>
      <c r="N73" s="531"/>
      <c r="O73" s="531"/>
      <c r="P73" s="529"/>
    </row>
    <row r="74" spans="1:58">
      <c r="A74" s="514" t="s">
        <v>98</v>
      </c>
      <c r="D74" s="531"/>
      <c r="E74" s="531"/>
      <c r="F74" s="531"/>
      <c r="G74" s="531"/>
      <c r="H74" s="531"/>
      <c r="I74" s="531"/>
      <c r="J74" s="531"/>
      <c r="K74" s="531"/>
      <c r="L74" s="531"/>
      <c r="M74" s="531"/>
      <c r="N74" s="531"/>
      <c r="O74" s="531"/>
      <c r="P74" s="529"/>
      <c r="R74" s="531"/>
      <c r="S74" s="531"/>
      <c r="T74" s="531"/>
      <c r="U74" s="531"/>
      <c r="V74" s="531"/>
      <c r="W74" s="531"/>
    </row>
    <row r="75" spans="1:58">
      <c r="B75" s="515" t="s">
        <v>86</v>
      </c>
      <c r="D75" s="531"/>
      <c r="E75" s="531"/>
      <c r="F75" s="531"/>
      <c r="G75" s="531"/>
      <c r="H75" s="531"/>
      <c r="I75" s="531"/>
      <c r="J75" s="531"/>
      <c r="K75" s="531"/>
      <c r="L75" s="531"/>
      <c r="M75" s="531"/>
      <c r="N75" s="531"/>
      <c r="O75" s="531"/>
      <c r="P75" s="529"/>
    </row>
    <row r="76" spans="1:58">
      <c r="C76" s="515" t="s">
        <v>87</v>
      </c>
      <c r="D76" s="531">
        <f>SUM(D53:F53)</f>
        <v>838875.30499154842</v>
      </c>
      <c r="E76" s="531"/>
      <c r="F76" s="531"/>
      <c r="G76" s="531">
        <f>SUM(G53:I53)</f>
        <v>1019690.2491789167</v>
      </c>
      <c r="H76" s="531"/>
      <c r="I76" s="531"/>
      <c r="J76" s="531">
        <f>SUM(J53:L53)</f>
        <v>1129342.8652830604</v>
      </c>
      <c r="K76" s="531"/>
      <c r="L76" s="531"/>
      <c r="M76" s="531">
        <f>SUM(M53:O53)</f>
        <v>1235268.0354614595</v>
      </c>
      <c r="N76" s="531"/>
      <c r="O76" s="531"/>
      <c r="P76" s="529">
        <f t="shared" ref="P76:P79" si="96">SUM(D76:O76)</f>
        <v>4223176.4549149852</v>
      </c>
      <c r="R76" s="522">
        <f>SUM(R53:T53)</f>
        <v>694676.48699999996</v>
      </c>
      <c r="U76" s="522">
        <f>SUM(U53:W53)</f>
        <v>913765.14</v>
      </c>
      <c r="X76" s="522">
        <f>SUM(X53:Z53)</f>
        <v>964608.46500047261</v>
      </c>
      <c r="AA76" s="522">
        <f>SUM(AA53:AC53)</f>
        <v>0</v>
      </c>
      <c r="AB76" s="522"/>
      <c r="AD76" s="521">
        <f t="shared" ref="AD76:AD79" si="97">SUM(R76:AC76)</f>
        <v>2573050.0920004724</v>
      </c>
      <c r="AF76" s="522">
        <f t="shared" ref="AF76:AO79" si="98">R76-D76</f>
        <v>-144198.81799154845</v>
      </c>
      <c r="AG76" s="522"/>
      <c r="AH76" s="522"/>
      <c r="AI76" s="522">
        <f t="shared" si="98"/>
        <v>-105925.10917891667</v>
      </c>
      <c r="AJ76" s="522"/>
      <c r="AK76" s="522"/>
      <c r="AL76" s="522">
        <f t="shared" si="98"/>
        <v>-164734.40028258774</v>
      </c>
      <c r="AM76" s="522"/>
      <c r="AN76" s="522"/>
      <c r="AO76" s="522">
        <f t="shared" si="98"/>
        <v>-1235268.0354614595</v>
      </c>
      <c r="AP76" s="522"/>
      <c r="AQ76" s="522"/>
      <c r="AR76" s="521">
        <f t="shared" ref="AR76:AR78" si="99">SUM(AF76:AQ76)</f>
        <v>-1650126.3629145124</v>
      </c>
      <c r="AT76" s="523">
        <f>R76/D76</f>
        <v>0.8281045858263747</v>
      </c>
      <c r="AU76" s="523"/>
      <c r="AV76" s="523"/>
      <c r="AW76" s="523">
        <f t="shared" ref="AW76:AW80" si="100">U76/G76</f>
        <v>0.896120307844259</v>
      </c>
      <c r="AX76" s="523"/>
      <c r="AY76" s="523"/>
      <c r="AZ76" s="523">
        <f t="shared" ref="AZ76:AZ80" si="101">X76/J76</f>
        <v>0.85413251781486355</v>
      </c>
      <c r="BA76" s="523"/>
      <c r="BB76" s="523"/>
      <c r="BC76" s="523">
        <f t="shared" ref="BC76:BC80" si="102">AA76/M76</f>
        <v>0</v>
      </c>
      <c r="BD76" s="523"/>
      <c r="BE76" s="523"/>
      <c r="BF76" s="523">
        <f t="shared" ref="BF76:BF80" si="103">AD76/P76</f>
        <v>0.6092689044536429</v>
      </c>
    </row>
    <row r="77" spans="1:58">
      <c r="C77" s="515" t="s">
        <v>88</v>
      </c>
      <c r="D77" s="531">
        <f>SUM(D54:F54)</f>
        <v>1060542.2444741195</v>
      </c>
      <c r="E77" s="531"/>
      <c r="F77" s="531"/>
      <c r="G77" s="531">
        <f>SUM(G54:I54)</f>
        <v>1289136.2746021922</v>
      </c>
      <c r="H77" s="531"/>
      <c r="I77" s="531"/>
      <c r="J77" s="531">
        <f>SUM(J54:L54)</f>
        <v>1427763.8285468384</v>
      </c>
      <c r="K77" s="531"/>
      <c r="L77" s="531"/>
      <c r="M77" s="531">
        <f>SUM(M54:O54)</f>
        <v>1561678.9850174831</v>
      </c>
      <c r="N77" s="531"/>
      <c r="O77" s="531"/>
      <c r="P77" s="529">
        <f t="shared" si="96"/>
        <v>5339121.332640633</v>
      </c>
      <c r="R77" s="522">
        <f>SUM(R54:T54)</f>
        <v>1058766.7149999999</v>
      </c>
      <c r="U77" s="522">
        <f>SUM(U54:W54)</f>
        <v>1424549.18</v>
      </c>
      <c r="X77" s="522">
        <f>SUM(X54:Z54)</f>
        <v>1242479.0760005701</v>
      </c>
      <c r="AA77" s="522">
        <f>SUM(AA54:AC54)</f>
        <v>0</v>
      </c>
      <c r="AB77" s="522"/>
      <c r="AD77" s="521">
        <f t="shared" si="97"/>
        <v>3725794.9710005699</v>
      </c>
      <c r="AF77" s="522">
        <f t="shared" si="98"/>
        <v>-1775.5294741196558</v>
      </c>
      <c r="AG77" s="522"/>
      <c r="AH77" s="522"/>
      <c r="AI77" s="522">
        <f t="shared" si="98"/>
        <v>135412.90539780771</v>
      </c>
      <c r="AJ77" s="522"/>
      <c r="AK77" s="522"/>
      <c r="AL77" s="522">
        <f t="shared" si="98"/>
        <v>-185284.75254626828</v>
      </c>
      <c r="AM77" s="522"/>
      <c r="AN77" s="522"/>
      <c r="AO77" s="522">
        <f t="shared" si="98"/>
        <v>-1561678.9850174831</v>
      </c>
      <c r="AP77" s="522"/>
      <c r="AQ77" s="522"/>
      <c r="AR77" s="521">
        <f t="shared" si="99"/>
        <v>-1613326.3616400633</v>
      </c>
      <c r="AT77" s="523">
        <f t="shared" ref="AT77:AT80" si="104">R77/D77</f>
        <v>0.99832582861892494</v>
      </c>
      <c r="AU77" s="523"/>
      <c r="AV77" s="523"/>
      <c r="AW77" s="523">
        <f t="shared" si="100"/>
        <v>1.1050415755615861</v>
      </c>
      <c r="AX77" s="523"/>
      <c r="AY77" s="523"/>
      <c r="AZ77" s="523">
        <f t="shared" si="101"/>
        <v>0.87022731011833454</v>
      </c>
      <c r="BA77" s="523"/>
      <c r="BB77" s="523"/>
      <c r="BC77" s="523">
        <f t="shared" si="102"/>
        <v>0</v>
      </c>
      <c r="BD77" s="523"/>
      <c r="BE77" s="523"/>
      <c r="BF77" s="523">
        <f t="shared" si="103"/>
        <v>0.69782923797273189</v>
      </c>
    </row>
    <row r="78" spans="1:58">
      <c r="C78" s="515" t="s">
        <v>89</v>
      </c>
      <c r="D78" s="531">
        <f>SUM(D55:F55)</f>
        <v>463459.69295365026</v>
      </c>
      <c r="E78" s="531"/>
      <c r="F78" s="531"/>
      <c r="G78" s="531">
        <f>SUM(G55:I55)</f>
        <v>563355.87301267986</v>
      </c>
      <c r="H78" s="531"/>
      <c r="I78" s="531"/>
      <c r="J78" s="531">
        <f>SUM(J55:L55)</f>
        <v>623936.47121219768</v>
      </c>
      <c r="K78" s="531"/>
      <c r="L78" s="531"/>
      <c r="M78" s="531">
        <f>SUM(M55:O55)</f>
        <v>682457.73957572249</v>
      </c>
      <c r="N78" s="531"/>
      <c r="O78" s="531"/>
      <c r="P78" s="529">
        <f t="shared" si="96"/>
        <v>2333209.7767542503</v>
      </c>
      <c r="R78" s="522">
        <f>SUM(R55:T55)</f>
        <v>434729.76</v>
      </c>
      <c r="U78" s="522">
        <f>SUM(U55:W55)</f>
        <v>609180.07000000007</v>
      </c>
      <c r="X78" s="522">
        <f>SUM(X55:Z55)</f>
        <v>580194.77400002698</v>
      </c>
      <c r="AA78" s="522">
        <f>SUM(AA55:AC55)</f>
        <v>0</v>
      </c>
      <c r="AB78" s="522"/>
      <c r="AD78" s="521">
        <f t="shared" si="97"/>
        <v>1624104.6040000271</v>
      </c>
      <c r="AF78" s="522">
        <f t="shared" si="98"/>
        <v>-28729.932953650248</v>
      </c>
      <c r="AG78" s="522"/>
      <c r="AH78" s="522"/>
      <c r="AI78" s="522">
        <f t="shared" si="98"/>
        <v>45824.196987320203</v>
      </c>
      <c r="AJ78" s="522"/>
      <c r="AK78" s="522"/>
      <c r="AL78" s="522">
        <f t="shared" si="98"/>
        <v>-43741.697212170693</v>
      </c>
      <c r="AM78" s="522"/>
      <c r="AN78" s="522"/>
      <c r="AO78" s="522">
        <f t="shared" si="98"/>
        <v>-682457.73957572249</v>
      </c>
      <c r="AP78" s="522"/>
      <c r="AQ78" s="522"/>
      <c r="AR78" s="521">
        <f t="shared" si="99"/>
        <v>-709105.17275422323</v>
      </c>
      <c r="AT78" s="523">
        <f t="shared" si="104"/>
        <v>0.93800985632525447</v>
      </c>
      <c r="AU78" s="523"/>
      <c r="AV78" s="523"/>
      <c r="AW78" s="523">
        <f t="shared" si="100"/>
        <v>1.0813414738045852</v>
      </c>
      <c r="AX78" s="523"/>
      <c r="AY78" s="523"/>
      <c r="AZ78" s="523">
        <f t="shared" si="101"/>
        <v>0.92989398884282504</v>
      </c>
      <c r="BA78" s="523"/>
      <c r="BB78" s="523"/>
      <c r="BC78" s="523">
        <f t="shared" si="102"/>
        <v>0</v>
      </c>
      <c r="BD78" s="523"/>
      <c r="BE78" s="523"/>
      <c r="BF78" s="523">
        <f t="shared" si="103"/>
        <v>0.69608168977387619</v>
      </c>
    </row>
    <row r="79" spans="1:58">
      <c r="C79" s="515" t="s">
        <v>96</v>
      </c>
      <c r="D79" s="531">
        <f>SUM(D56:F56)</f>
        <v>41564.885025558011</v>
      </c>
      <c r="E79" s="531"/>
      <c r="F79" s="531"/>
      <c r="G79" s="531">
        <f>SUM(G56:I56)</f>
        <v>50523.966692798611</v>
      </c>
      <c r="H79" s="531"/>
      <c r="I79" s="531"/>
      <c r="J79" s="531">
        <f>SUM(J56:L56)</f>
        <v>55957.072607349648</v>
      </c>
      <c r="K79" s="531"/>
      <c r="L79" s="531"/>
      <c r="M79" s="531">
        <f>SUM(M56:O56)</f>
        <v>61205.489736308038</v>
      </c>
      <c r="N79" s="531"/>
      <c r="O79" s="531"/>
      <c r="P79" s="529">
        <f t="shared" si="96"/>
        <v>209251.41406201432</v>
      </c>
      <c r="R79" s="522">
        <f>SUM(R56:T56)</f>
        <v>71663.185999999987</v>
      </c>
      <c r="U79" s="522">
        <f>SUM(U56:W56)</f>
        <v>349339.95999999996</v>
      </c>
      <c r="X79" s="522">
        <f>SUM(X56:Z56)</f>
        <v>136009.44199999189</v>
      </c>
      <c r="AA79" s="522">
        <f>SUM(AA56:AC56)</f>
        <v>0</v>
      </c>
      <c r="AB79" s="522"/>
      <c r="AD79" s="521">
        <f t="shared" si="97"/>
        <v>557012.58799999184</v>
      </c>
      <c r="AF79" s="522">
        <f>R79-D79</f>
        <v>30098.300974441976</v>
      </c>
      <c r="AG79" s="522"/>
      <c r="AH79" s="522"/>
      <c r="AI79" s="522">
        <f t="shared" si="98"/>
        <v>298815.99330720137</v>
      </c>
      <c r="AJ79" s="522"/>
      <c r="AK79" s="522"/>
      <c r="AL79" s="522">
        <f t="shared" si="98"/>
        <v>80052.369392642242</v>
      </c>
      <c r="AM79" s="522"/>
      <c r="AN79" s="522"/>
      <c r="AO79" s="522">
        <f t="shared" si="98"/>
        <v>-61205.489736308038</v>
      </c>
      <c r="AP79" s="522"/>
      <c r="AQ79" s="522"/>
      <c r="AR79" s="521">
        <f>SUM(AF79:AQ79)</f>
        <v>347761.17393797752</v>
      </c>
      <c r="AT79" s="523">
        <f t="shared" si="104"/>
        <v>1.7241280940855412</v>
      </c>
      <c r="AU79" s="523"/>
      <c r="AV79" s="523"/>
      <c r="AW79" s="523">
        <f t="shared" si="100"/>
        <v>6.9143415069544183</v>
      </c>
      <c r="AX79" s="523"/>
      <c r="AY79" s="523"/>
      <c r="AZ79" s="523">
        <f t="shared" si="101"/>
        <v>2.4306032403512083</v>
      </c>
      <c r="BA79" s="523"/>
      <c r="BB79" s="523"/>
      <c r="BC79" s="523">
        <f t="shared" si="102"/>
        <v>0</v>
      </c>
      <c r="BD79" s="523"/>
      <c r="BE79" s="523"/>
      <c r="BF79" s="523">
        <f t="shared" si="103"/>
        <v>2.6619298631593193</v>
      </c>
    </row>
    <row r="80" spans="1:58">
      <c r="C80" s="514" t="s">
        <v>47</v>
      </c>
      <c r="D80" s="529">
        <f>SUM(D76:D79)</f>
        <v>2404442.1274448764</v>
      </c>
      <c r="E80" s="531"/>
      <c r="F80" s="531"/>
      <c r="G80" s="529">
        <f>SUM(G76:G79)</f>
        <v>2922706.3634865871</v>
      </c>
      <c r="H80" s="531"/>
      <c r="I80" s="531"/>
      <c r="J80" s="529">
        <f>SUM(J76:J79)</f>
        <v>3237000.2376494459</v>
      </c>
      <c r="K80" s="531"/>
      <c r="L80" s="531"/>
      <c r="M80" s="529">
        <f>SUM(M76:M79)</f>
        <v>3540610.2497909726</v>
      </c>
      <c r="N80" s="531"/>
      <c r="O80" s="531"/>
      <c r="P80" s="529">
        <f>SUM(P76:P79)</f>
        <v>12104758.978371883</v>
      </c>
      <c r="R80" s="529">
        <f>SUM(R76:R79)</f>
        <v>2259836.148</v>
      </c>
      <c r="U80" s="529">
        <f>SUM(U76:U79)</f>
        <v>3296834.3499999996</v>
      </c>
      <c r="X80" s="529">
        <f>SUM(X76:X79)</f>
        <v>2923291.7570010615</v>
      </c>
      <c r="AA80" s="529">
        <f>SUM(AA76:AA79)</f>
        <v>0</v>
      </c>
      <c r="AB80" s="529"/>
      <c r="AD80" s="529">
        <f>SUM(AD76:AD79)</f>
        <v>8479962.2550010607</v>
      </c>
      <c r="AF80" s="529">
        <f>SUM(AF76:AF79)</f>
        <v>-144605.97944487637</v>
      </c>
      <c r="AG80" s="522"/>
      <c r="AH80" s="522"/>
      <c r="AI80" s="529">
        <f>SUM(AI76:AI79)</f>
        <v>374127.98651341262</v>
      </c>
      <c r="AJ80" s="522"/>
      <c r="AK80" s="522"/>
      <c r="AL80" s="529">
        <f>SUM(AL76:AL79)</f>
        <v>-313708.48064838449</v>
      </c>
      <c r="AM80" s="522"/>
      <c r="AN80" s="522"/>
      <c r="AO80" s="529">
        <f>SUM(AO76:AO79)</f>
        <v>-3540610.2497909726</v>
      </c>
      <c r="AP80" s="522"/>
      <c r="AQ80" s="522"/>
      <c r="AR80" s="529">
        <f>SUM(AR76:AR79)</f>
        <v>-3624796.7233708221</v>
      </c>
      <c r="AT80" s="523">
        <f t="shared" si="104"/>
        <v>0.93985882305325252</v>
      </c>
      <c r="AU80" s="523"/>
      <c r="AV80" s="523"/>
      <c r="AW80" s="523">
        <f t="shared" si="100"/>
        <v>1.1280073808260038</v>
      </c>
      <c r="AX80" s="523"/>
      <c r="AY80" s="523"/>
      <c r="AZ80" s="523">
        <f t="shared" si="101"/>
        <v>0.90308666740284693</v>
      </c>
      <c r="BA80" s="523"/>
      <c r="BB80" s="523"/>
      <c r="BC80" s="523">
        <f t="shared" si="102"/>
        <v>0</v>
      </c>
      <c r="BD80" s="523"/>
      <c r="BE80" s="523"/>
      <c r="BF80" s="523">
        <f t="shared" si="103"/>
        <v>0.70054779860983518</v>
      </c>
    </row>
    <row r="81" spans="2:58">
      <c r="D81" s="531"/>
      <c r="E81" s="531"/>
      <c r="F81" s="531"/>
      <c r="G81" s="531"/>
      <c r="H81" s="531"/>
      <c r="I81" s="531"/>
      <c r="J81" s="531"/>
      <c r="K81" s="531"/>
      <c r="L81" s="531"/>
      <c r="M81" s="531"/>
      <c r="N81" s="531"/>
      <c r="O81" s="531"/>
      <c r="P81" s="529"/>
      <c r="AD81" s="514"/>
      <c r="AR81" s="514"/>
    </row>
    <row r="82" spans="2:58">
      <c r="B82" s="515" t="s">
        <v>91</v>
      </c>
      <c r="D82" s="531"/>
      <c r="E82" s="531"/>
      <c r="F82" s="531"/>
      <c r="G82" s="531"/>
      <c r="H82" s="531"/>
      <c r="I82" s="531"/>
      <c r="J82" s="531"/>
      <c r="K82" s="531"/>
      <c r="L82" s="531"/>
      <c r="M82" s="531"/>
      <c r="N82" s="531"/>
      <c r="O82" s="531"/>
      <c r="P82" s="529"/>
      <c r="AD82" s="514"/>
      <c r="AR82" s="514"/>
    </row>
    <row r="83" spans="2:58">
      <c r="C83" s="515" t="s">
        <v>87</v>
      </c>
      <c r="D83" s="531">
        <f>SUM(D60:F60)</f>
        <v>17.135539288082342</v>
      </c>
      <c r="E83" s="531"/>
      <c r="F83" s="531"/>
      <c r="G83" s="531">
        <f>SUM(G60:I60)</f>
        <v>22.632936649131931</v>
      </c>
      <c r="H83" s="531"/>
      <c r="I83" s="531"/>
      <c r="J83" s="531">
        <f>SUM(J60:L60)</f>
        <v>27.076877414427905</v>
      </c>
      <c r="K83" s="531"/>
      <c r="L83" s="531"/>
      <c r="M83" s="531">
        <f>SUM(M60:O60)</f>
        <v>47.953149900951814</v>
      </c>
      <c r="N83" s="531"/>
      <c r="O83" s="531"/>
      <c r="P83" s="529">
        <f t="shared" ref="P83:P86" si="105">SUM(D83:O83)</f>
        <v>114.798503252594</v>
      </c>
      <c r="R83" s="522">
        <f>SUM(R60:T60)</f>
        <v>2.7400000000000007</v>
      </c>
      <c r="U83" s="522">
        <f>SUM(U60:W60)</f>
        <v>0.54</v>
      </c>
      <c r="X83" s="522">
        <f>SUM(X60:Z60)</f>
        <v>3331.5180000000005</v>
      </c>
      <c r="AA83" s="522">
        <f>SUM(AA60:AC60)</f>
        <v>0</v>
      </c>
      <c r="AB83" s="522"/>
      <c r="AD83" s="521">
        <f t="shared" ref="AD83:AD86" si="106">SUM(R83:AC83)</f>
        <v>3334.7980000000007</v>
      </c>
      <c r="AF83" s="522">
        <f t="shared" ref="AF83:AO86" si="107">R83-D83</f>
        <v>-14.395539288082341</v>
      </c>
      <c r="AG83" s="522"/>
      <c r="AH83" s="522"/>
      <c r="AI83" s="522">
        <f t="shared" si="107"/>
        <v>-22.092936649131932</v>
      </c>
      <c r="AJ83" s="522"/>
      <c r="AK83" s="522"/>
      <c r="AL83" s="522">
        <f t="shared" si="107"/>
        <v>3304.4411225855724</v>
      </c>
      <c r="AM83" s="522"/>
      <c r="AN83" s="522"/>
      <c r="AO83" s="522">
        <f t="shared" si="107"/>
        <v>-47.953149900951814</v>
      </c>
      <c r="AP83" s="522"/>
      <c r="AQ83" s="522"/>
      <c r="AR83" s="521">
        <f t="shared" ref="AR83:AR85" si="108">SUM(AF83:AQ83)</f>
        <v>3219.9994967474063</v>
      </c>
      <c r="AT83" s="523">
        <f>R83/D83</f>
        <v>0.15990159130303258</v>
      </c>
      <c r="AU83" s="523"/>
      <c r="AV83" s="523"/>
      <c r="AW83" s="523">
        <f t="shared" ref="AW83:AW87" si="109">U83/G83</f>
        <v>2.3859033777691916E-2</v>
      </c>
      <c r="AX83" s="523"/>
      <c r="AY83" s="523"/>
      <c r="AZ83" s="523">
        <f t="shared" ref="AZ83:AZ87" si="110">X83/J83</f>
        <v>123.03922453867602</v>
      </c>
      <c r="BA83" s="523"/>
      <c r="BB83" s="523"/>
      <c r="BC83" s="523">
        <f t="shared" ref="BC83:BC87" si="111">AA83/M83</f>
        <v>0</v>
      </c>
      <c r="BD83" s="523"/>
      <c r="BE83" s="523"/>
      <c r="BF83" s="523">
        <f t="shared" ref="BF83:BF87" si="112">AD83/P83</f>
        <v>29.04914180511885</v>
      </c>
    </row>
    <row r="84" spans="2:58">
      <c r="C84" s="515" t="s">
        <v>88</v>
      </c>
      <c r="D84" s="531">
        <f>SUM(D61:F61)</f>
        <v>53363.977275481055</v>
      </c>
      <c r="E84" s="531"/>
      <c r="F84" s="531"/>
      <c r="G84" s="531">
        <f>SUM(G61:I61)</f>
        <v>70484.126394649531</v>
      </c>
      <c r="H84" s="531"/>
      <c r="I84" s="531"/>
      <c r="J84" s="531">
        <f>SUM(J61:L61)</f>
        <v>84323.57142324993</v>
      </c>
      <c r="K84" s="531"/>
      <c r="L84" s="531"/>
      <c r="M84" s="531">
        <f>SUM(M61:O61)</f>
        <v>149337.04499057561</v>
      </c>
      <c r="N84" s="531"/>
      <c r="O84" s="531"/>
      <c r="P84" s="529">
        <f t="shared" si="105"/>
        <v>357508.72008395614</v>
      </c>
      <c r="R84" s="522">
        <f>SUM(R61:T61)</f>
        <v>64370.589999999989</v>
      </c>
      <c r="U84" s="522">
        <f>SUM(U61:W61)</f>
        <v>95640.2</v>
      </c>
      <c r="X84" s="522">
        <f>SUM(X61:Z61)</f>
        <v>161960.52699999959</v>
      </c>
      <c r="AA84" s="522">
        <f>SUM(AA61:AC61)</f>
        <v>0</v>
      </c>
      <c r="AB84" s="522"/>
      <c r="AD84" s="521">
        <f t="shared" si="106"/>
        <v>321971.31699999957</v>
      </c>
      <c r="AF84" s="522">
        <f t="shared" si="107"/>
        <v>11006.612724518935</v>
      </c>
      <c r="AG84" s="522"/>
      <c r="AH84" s="522"/>
      <c r="AI84" s="522">
        <f t="shared" si="107"/>
        <v>25156.073605350466</v>
      </c>
      <c r="AJ84" s="522"/>
      <c r="AK84" s="522"/>
      <c r="AL84" s="522">
        <f t="shared" si="107"/>
        <v>77636.955576749664</v>
      </c>
      <c r="AM84" s="522"/>
      <c r="AN84" s="522"/>
      <c r="AO84" s="522">
        <f t="shared" si="107"/>
        <v>-149337.04499057561</v>
      </c>
      <c r="AP84" s="522"/>
      <c r="AQ84" s="522"/>
      <c r="AR84" s="521">
        <f t="shared" si="108"/>
        <v>-35537.403083956538</v>
      </c>
      <c r="AT84" s="523">
        <f t="shared" ref="AT84:AT87" si="113">R84/D84</f>
        <v>1.2062554795662899</v>
      </c>
      <c r="AU84" s="523"/>
      <c r="AV84" s="523"/>
      <c r="AW84" s="523">
        <f t="shared" si="109"/>
        <v>1.3569040987256964</v>
      </c>
      <c r="AX84" s="523"/>
      <c r="AY84" s="523"/>
      <c r="AZ84" s="523">
        <f t="shared" si="110"/>
        <v>1.9207028861130921</v>
      </c>
      <c r="BA84" s="523"/>
      <c r="BB84" s="523"/>
      <c r="BC84" s="523">
        <f t="shared" si="111"/>
        <v>0</v>
      </c>
      <c r="BD84" s="523"/>
      <c r="BE84" s="523"/>
      <c r="BF84" s="523">
        <f t="shared" si="112"/>
        <v>0.90059710130815529</v>
      </c>
    </row>
    <row r="85" spans="2:58">
      <c r="C85" s="515" t="s">
        <v>90</v>
      </c>
      <c r="D85" s="531">
        <f>SUM(D62:F62)</f>
        <v>4892.1392407869362</v>
      </c>
      <c r="E85" s="531"/>
      <c r="F85" s="531"/>
      <c r="G85" s="531">
        <f>SUM(G62:I62)</f>
        <v>6461.6278282219318</v>
      </c>
      <c r="H85" s="531"/>
      <c r="I85" s="531"/>
      <c r="J85" s="531">
        <f>SUM(J62:L62)</f>
        <v>7730.3580756998981</v>
      </c>
      <c r="K85" s="531"/>
      <c r="L85" s="531"/>
      <c r="M85" s="531">
        <f>SUM(M62:O62)</f>
        <v>13690.46415206452</v>
      </c>
      <c r="N85" s="531"/>
      <c r="O85" s="531"/>
      <c r="P85" s="529">
        <f t="shared" si="105"/>
        <v>32774.58929677328</v>
      </c>
      <c r="R85" s="522">
        <f>SUM(R62:T62)</f>
        <v>3259.92</v>
      </c>
      <c r="U85" s="522">
        <f>SUM(U62:W62)</f>
        <v>9602.5400000000009</v>
      </c>
      <c r="X85" s="522">
        <f>SUM(X62:Z62)</f>
        <v>79345.73199999932</v>
      </c>
      <c r="AA85" s="522">
        <f>SUM(AA62:AC62)</f>
        <v>0</v>
      </c>
      <c r="AB85" s="522"/>
      <c r="AD85" s="521">
        <f t="shared" si="106"/>
        <v>92208.191999999326</v>
      </c>
      <c r="AF85" s="522">
        <f t="shared" si="107"/>
        <v>-1632.2192407869361</v>
      </c>
      <c r="AG85" s="522"/>
      <c r="AH85" s="522"/>
      <c r="AI85" s="522">
        <f t="shared" si="107"/>
        <v>3140.912171778069</v>
      </c>
      <c r="AJ85" s="522"/>
      <c r="AK85" s="522"/>
      <c r="AL85" s="522">
        <f t="shared" si="107"/>
        <v>71615.37392429942</v>
      </c>
      <c r="AM85" s="522"/>
      <c r="AN85" s="522"/>
      <c r="AO85" s="522">
        <f t="shared" si="107"/>
        <v>-13690.46415206452</v>
      </c>
      <c r="AP85" s="522"/>
      <c r="AQ85" s="522"/>
      <c r="AR85" s="521">
        <f t="shared" si="108"/>
        <v>59433.602703226032</v>
      </c>
      <c r="AT85" s="523">
        <f t="shared" si="113"/>
        <v>0.66635879306567292</v>
      </c>
      <c r="AU85" s="523"/>
      <c r="AV85" s="523"/>
      <c r="AW85" s="523">
        <f t="shared" si="109"/>
        <v>1.4860868275420878</v>
      </c>
      <c r="AX85" s="523"/>
      <c r="AY85" s="523"/>
      <c r="AZ85" s="523">
        <f t="shared" si="110"/>
        <v>10.264172917089024</v>
      </c>
      <c r="BA85" s="523"/>
      <c r="BB85" s="523"/>
      <c r="BC85" s="523">
        <f t="shared" si="111"/>
        <v>0</v>
      </c>
      <c r="BD85" s="523"/>
      <c r="BE85" s="523"/>
      <c r="BF85" s="523">
        <f t="shared" si="112"/>
        <v>2.8134049572690571</v>
      </c>
    </row>
    <row r="86" spans="2:58">
      <c r="C86" s="515" t="s">
        <v>99</v>
      </c>
      <c r="D86" s="531">
        <f>SUM(D63:F63)</f>
        <v>0</v>
      </c>
      <c r="E86" s="531"/>
      <c r="F86" s="531"/>
      <c r="G86" s="531">
        <f>SUM(G63:I63)</f>
        <v>0</v>
      </c>
      <c r="H86" s="531"/>
      <c r="I86" s="531"/>
      <c r="J86" s="531">
        <f>SUM(J63:L63)</f>
        <v>0</v>
      </c>
      <c r="K86" s="531"/>
      <c r="L86" s="531"/>
      <c r="M86" s="531">
        <f>SUM(M63:O63)</f>
        <v>0</v>
      </c>
      <c r="N86" s="531"/>
      <c r="O86" s="531"/>
      <c r="P86" s="529">
        <f t="shared" si="105"/>
        <v>0</v>
      </c>
      <c r="R86" s="522">
        <f>SUM(R63:T63)</f>
        <v>0</v>
      </c>
      <c r="U86" s="522">
        <f>SUM(U63:W63)</f>
        <v>0</v>
      </c>
      <c r="X86" s="522">
        <f>SUM(X63:Z63)</f>
        <v>0</v>
      </c>
      <c r="AA86" s="522">
        <f>SUM(AA63:AC63)</f>
        <v>0</v>
      </c>
      <c r="AB86" s="522"/>
      <c r="AD86" s="521">
        <f t="shared" si="106"/>
        <v>0</v>
      </c>
      <c r="AF86" s="522">
        <f>R86-D86</f>
        <v>0</v>
      </c>
      <c r="AG86" s="522"/>
      <c r="AH86" s="522"/>
      <c r="AI86" s="522">
        <f t="shared" si="107"/>
        <v>0</v>
      </c>
      <c r="AJ86" s="522"/>
      <c r="AK86" s="522"/>
      <c r="AL86" s="522">
        <f t="shared" si="107"/>
        <v>0</v>
      </c>
      <c r="AM86" s="522"/>
      <c r="AN86" s="522"/>
      <c r="AO86" s="522">
        <f t="shared" si="107"/>
        <v>0</v>
      </c>
      <c r="AP86" s="522"/>
      <c r="AQ86" s="522"/>
      <c r="AR86" s="521">
        <f>SUM(AF86:AQ86)</f>
        <v>0</v>
      </c>
      <c r="AT86" s="523" t="e">
        <f t="shared" si="113"/>
        <v>#DIV/0!</v>
      </c>
      <c r="AU86" s="523"/>
      <c r="AV86" s="523"/>
      <c r="AW86" s="523" t="e">
        <f t="shared" si="109"/>
        <v>#DIV/0!</v>
      </c>
      <c r="AX86" s="523"/>
      <c r="AY86" s="523"/>
      <c r="AZ86" s="523" t="e">
        <f t="shared" si="110"/>
        <v>#DIV/0!</v>
      </c>
      <c r="BA86" s="523"/>
      <c r="BB86" s="523"/>
      <c r="BC86" s="523" t="e">
        <f t="shared" si="111"/>
        <v>#DIV/0!</v>
      </c>
      <c r="BD86" s="523"/>
      <c r="BE86" s="523"/>
      <c r="BF86" s="523" t="e">
        <f t="shared" si="112"/>
        <v>#DIV/0!</v>
      </c>
    </row>
    <row r="87" spans="2:58">
      <c r="C87" s="514" t="s">
        <v>47</v>
      </c>
      <c r="D87" s="529">
        <f>SUM(D83:D86)</f>
        <v>58273.25205555607</v>
      </c>
      <c r="E87" s="531"/>
      <c r="F87" s="531"/>
      <c r="G87" s="529">
        <f>SUM(G83:G86)</f>
        <v>76968.387159520586</v>
      </c>
      <c r="H87" s="531"/>
      <c r="I87" s="531"/>
      <c r="J87" s="529">
        <f>SUM(J83:J86)</f>
        <v>92081.006376364254</v>
      </c>
      <c r="K87" s="531"/>
      <c r="L87" s="531"/>
      <c r="M87" s="529">
        <f>SUM(M83:M86)</f>
        <v>163075.46229254108</v>
      </c>
      <c r="N87" s="531"/>
      <c r="O87" s="531"/>
      <c r="P87" s="529">
        <f>SUM(P83:P86)</f>
        <v>390398.10788398201</v>
      </c>
      <c r="R87" s="529">
        <f>SUM(R83:R86)</f>
        <v>67633.249999999985</v>
      </c>
      <c r="U87" s="529">
        <f>SUM(U83:U86)</f>
        <v>105243.28</v>
      </c>
      <c r="X87" s="529">
        <f>SUM(X83:X86)</f>
        <v>244637.77699999893</v>
      </c>
      <c r="AA87" s="529">
        <f>SUM(AA83:AA86)</f>
        <v>0</v>
      </c>
      <c r="AB87" s="529"/>
      <c r="AD87" s="529">
        <f>SUM(AD83:AD86)</f>
        <v>417514.30699999892</v>
      </c>
      <c r="AF87" s="529">
        <f>SUM(AF83:AF86)</f>
        <v>9359.9979444439159</v>
      </c>
      <c r="AG87" s="522"/>
      <c r="AH87" s="522"/>
      <c r="AI87" s="529">
        <f>SUM(AI83:AI86)</f>
        <v>28274.892840479402</v>
      </c>
      <c r="AJ87" s="522"/>
      <c r="AK87" s="522"/>
      <c r="AL87" s="529">
        <f>SUM(AL83:AL86)</f>
        <v>152556.77062363466</v>
      </c>
      <c r="AM87" s="522"/>
      <c r="AN87" s="522"/>
      <c r="AO87" s="529">
        <f>SUM(AO83:AO86)</f>
        <v>-163075.46229254108</v>
      </c>
      <c r="AP87" s="522"/>
      <c r="AQ87" s="522"/>
      <c r="AR87" s="529">
        <f>SUM(AR83:AR86)</f>
        <v>27116.199116016898</v>
      </c>
      <c r="AT87" s="523">
        <f t="shared" si="113"/>
        <v>1.1606225431784785</v>
      </c>
      <c r="AU87" s="523"/>
      <c r="AV87" s="523"/>
      <c r="AW87" s="523">
        <f t="shared" si="109"/>
        <v>1.3673572213729563</v>
      </c>
      <c r="AX87" s="523"/>
      <c r="AY87" s="523"/>
      <c r="AZ87" s="523">
        <f t="shared" si="110"/>
        <v>2.6567669775467788</v>
      </c>
      <c r="BA87" s="523"/>
      <c r="BB87" s="523"/>
      <c r="BC87" s="523">
        <f t="shared" si="111"/>
        <v>0</v>
      </c>
      <c r="BD87" s="523"/>
      <c r="BE87" s="523"/>
      <c r="BF87" s="523">
        <f t="shared" si="112"/>
        <v>1.0694578138787376</v>
      </c>
    </row>
    <row r="88" spans="2:58">
      <c r="D88" s="531"/>
      <c r="E88" s="531"/>
      <c r="F88" s="531"/>
      <c r="G88" s="531"/>
      <c r="H88" s="531"/>
      <c r="I88" s="531"/>
      <c r="J88" s="531"/>
      <c r="K88" s="531"/>
      <c r="L88" s="531"/>
      <c r="M88" s="531"/>
      <c r="N88" s="531"/>
      <c r="O88" s="531"/>
      <c r="P88" s="529"/>
      <c r="AD88" s="514"/>
      <c r="AR88" s="514"/>
    </row>
    <row r="89" spans="2:58">
      <c r="B89" s="515" t="s">
        <v>92</v>
      </c>
      <c r="D89" s="531"/>
      <c r="E89" s="531"/>
      <c r="F89" s="531"/>
      <c r="G89" s="531"/>
      <c r="H89" s="531"/>
      <c r="I89" s="531"/>
      <c r="J89" s="531"/>
      <c r="K89" s="531"/>
      <c r="L89" s="531"/>
      <c r="M89" s="531"/>
      <c r="N89" s="531"/>
      <c r="O89" s="531"/>
      <c r="P89" s="529"/>
      <c r="AD89" s="514"/>
      <c r="AR89" s="514"/>
    </row>
    <row r="90" spans="2:58">
      <c r="C90" s="515" t="s">
        <v>87</v>
      </c>
      <c r="D90" s="531">
        <f>SUM(D67:F67)</f>
        <v>838892.44053083658</v>
      </c>
      <c r="E90" s="531"/>
      <c r="F90" s="531"/>
      <c r="G90" s="531">
        <f>SUM(G67:I67)</f>
        <v>1019712.8821155658</v>
      </c>
      <c r="H90" s="531"/>
      <c r="I90" s="531"/>
      <c r="J90" s="531">
        <f>SUM(J67:L67)</f>
        <v>1129369.9421604746</v>
      </c>
      <c r="K90" s="531"/>
      <c r="L90" s="531"/>
      <c r="M90" s="531">
        <f>SUM(M67:O67)</f>
        <v>1235315.9886113605</v>
      </c>
      <c r="N90" s="531"/>
      <c r="O90" s="531"/>
      <c r="P90" s="529">
        <f t="shared" ref="P90:P94" si="114">SUM(D90:O90)</f>
        <v>4223291.253418237</v>
      </c>
      <c r="R90" s="522">
        <f>SUM(R67:T67)</f>
        <v>694679.22699999996</v>
      </c>
      <c r="U90" s="522">
        <f>SUM(U67:W67)</f>
        <v>913765.67999999993</v>
      </c>
      <c r="X90" s="522">
        <f>SUM(X67:Z67)</f>
        <v>967939.98300047265</v>
      </c>
      <c r="AA90" s="522">
        <f>SUM(AA67:AC67)</f>
        <v>0</v>
      </c>
      <c r="AB90" s="522"/>
      <c r="AD90" s="521">
        <f t="shared" ref="AD90:AD94" si="115">SUM(R90:AC90)</f>
        <v>2576384.8900004728</v>
      </c>
      <c r="AF90" s="522">
        <f t="shared" ref="AF90:AO94" si="116">R90-D90</f>
        <v>-144213.21353083663</v>
      </c>
      <c r="AG90" s="522"/>
      <c r="AH90" s="522"/>
      <c r="AI90" s="522">
        <f t="shared" si="116"/>
        <v>-105947.20211556589</v>
      </c>
      <c r="AJ90" s="522"/>
      <c r="AK90" s="522"/>
      <c r="AL90" s="522">
        <f t="shared" si="116"/>
        <v>-161429.95916000195</v>
      </c>
      <c r="AM90" s="522"/>
      <c r="AN90" s="522"/>
      <c r="AO90" s="522">
        <f t="shared" si="116"/>
        <v>-1235315.9886113605</v>
      </c>
      <c r="AP90" s="522"/>
      <c r="AQ90" s="522"/>
      <c r="AR90" s="521">
        <f t="shared" ref="AR90:AR94" si="117">SUM(AF90:AQ90)</f>
        <v>-1646906.3634177651</v>
      </c>
      <c r="AT90" s="523">
        <f>R90/D90</f>
        <v>0.82809093685528856</v>
      </c>
      <c r="AU90" s="523"/>
      <c r="AV90" s="523"/>
      <c r="AW90" s="523">
        <f t="shared" ref="AW90:AW95" si="118">U90/G90</f>
        <v>0.89610094765522563</v>
      </c>
      <c r="AX90" s="523"/>
      <c r="AY90" s="523"/>
      <c r="AZ90" s="523">
        <f t="shared" ref="AZ90:AZ95" si="119">X90/J90</f>
        <v>0.85706193060956815</v>
      </c>
      <c r="BA90" s="523"/>
      <c r="BB90" s="523"/>
      <c r="BC90" s="523">
        <f t="shared" ref="BC90:BC95" si="120">AA90/M90</f>
        <v>0</v>
      </c>
      <c r="BD90" s="523"/>
      <c r="BE90" s="523"/>
      <c r="BF90" s="523">
        <f t="shared" ref="BF90:BF95" si="121">AD90/P90</f>
        <v>0.61004196381559161</v>
      </c>
    </row>
    <row r="91" spans="2:58">
      <c r="C91" s="515" t="s">
        <v>88</v>
      </c>
      <c r="D91" s="531">
        <f>SUM(D68:F68)</f>
        <v>1113906.2217496007</v>
      </c>
      <c r="E91" s="531"/>
      <c r="F91" s="531"/>
      <c r="G91" s="531">
        <f>SUM(G68:I68)</f>
        <v>1359620.4009968417</v>
      </c>
      <c r="H91" s="531"/>
      <c r="I91" s="531"/>
      <c r="J91" s="531">
        <f>SUM(J68:L68)</f>
        <v>1512087.3999700884</v>
      </c>
      <c r="K91" s="531"/>
      <c r="L91" s="531"/>
      <c r="M91" s="531">
        <f>SUM(M68:O68)</f>
        <v>1711016.0300080585</v>
      </c>
      <c r="N91" s="531"/>
      <c r="O91" s="531"/>
      <c r="P91" s="529">
        <f t="shared" si="114"/>
        <v>5696630.0527245887</v>
      </c>
      <c r="R91" s="522">
        <f>SUM(R68:T68)</f>
        <v>1123137.3050000002</v>
      </c>
      <c r="U91" s="522">
        <f>SUM(U68:W68)</f>
        <v>1520189.38</v>
      </c>
      <c r="X91" s="522">
        <f>SUM(X68:Z68)</f>
        <v>1404439.6030005696</v>
      </c>
      <c r="AA91" s="522">
        <f>SUM(AA68:AC68)</f>
        <v>0</v>
      </c>
      <c r="AB91" s="522"/>
      <c r="AD91" s="521">
        <f t="shared" si="115"/>
        <v>4047766.2880005697</v>
      </c>
      <c r="AF91" s="522">
        <f t="shared" si="116"/>
        <v>9231.0832503994461</v>
      </c>
      <c r="AG91" s="522"/>
      <c r="AH91" s="522"/>
      <c r="AI91" s="522">
        <f t="shared" si="116"/>
        <v>160568.97900315817</v>
      </c>
      <c r="AJ91" s="522"/>
      <c r="AK91" s="522"/>
      <c r="AL91" s="522">
        <f t="shared" si="116"/>
        <v>-107647.79696951876</v>
      </c>
      <c r="AM91" s="522"/>
      <c r="AN91" s="522"/>
      <c r="AO91" s="522">
        <f t="shared" si="116"/>
        <v>-1711016.0300080585</v>
      </c>
      <c r="AP91" s="522"/>
      <c r="AQ91" s="522"/>
      <c r="AR91" s="521">
        <f t="shared" si="117"/>
        <v>-1648863.7647240197</v>
      </c>
      <c r="AT91" s="523">
        <f t="shared" ref="AT91:AT95" si="122">R91/D91</f>
        <v>1.0082871278301151</v>
      </c>
      <c r="AU91" s="523"/>
      <c r="AV91" s="523"/>
      <c r="AW91" s="523">
        <f t="shared" si="118"/>
        <v>1.1180983889955114</v>
      </c>
      <c r="AX91" s="523"/>
      <c r="AY91" s="523"/>
      <c r="AZ91" s="523">
        <f t="shared" si="119"/>
        <v>0.92880848225330881</v>
      </c>
      <c r="BA91" s="523"/>
      <c r="BB91" s="523"/>
      <c r="BC91" s="523">
        <f t="shared" si="120"/>
        <v>0</v>
      </c>
      <c r="BD91" s="523"/>
      <c r="BE91" s="523"/>
      <c r="BF91" s="523">
        <f t="shared" si="121"/>
        <v>0.71055452970210009</v>
      </c>
    </row>
    <row r="92" spans="2:58">
      <c r="C92" s="515" t="s">
        <v>89</v>
      </c>
      <c r="D92" s="531">
        <f>SUM(D69:F69)</f>
        <v>463459.69295365026</v>
      </c>
      <c r="E92" s="531"/>
      <c r="F92" s="531"/>
      <c r="G92" s="531">
        <f>SUM(G69:I69)</f>
        <v>563355.87301267986</v>
      </c>
      <c r="H92" s="531"/>
      <c r="I92" s="531"/>
      <c r="J92" s="531">
        <f>SUM(J69:L69)</f>
        <v>623936.47121219768</v>
      </c>
      <c r="K92" s="531"/>
      <c r="L92" s="531"/>
      <c r="M92" s="531">
        <f>SUM(M69:O69)</f>
        <v>682457.73957572249</v>
      </c>
      <c r="N92" s="531"/>
      <c r="O92" s="531"/>
      <c r="P92" s="529">
        <f t="shared" si="114"/>
        <v>2333209.7767542503</v>
      </c>
      <c r="R92" s="522">
        <f>SUM(R69:T69)</f>
        <v>434729.76</v>
      </c>
      <c r="U92" s="522">
        <f>SUM(U69:W69)</f>
        <v>609180.07000000007</v>
      </c>
      <c r="X92" s="522">
        <f>SUM(X69:Z69)</f>
        <v>580194.77400002698</v>
      </c>
      <c r="AA92" s="522">
        <f>SUM(AA69:AC69)</f>
        <v>0</v>
      </c>
      <c r="AB92" s="522"/>
      <c r="AD92" s="521">
        <f t="shared" si="115"/>
        <v>1624104.6040000271</v>
      </c>
      <c r="AF92" s="522">
        <f t="shared" si="116"/>
        <v>-28729.932953650248</v>
      </c>
      <c r="AG92" s="522"/>
      <c r="AH92" s="522"/>
      <c r="AI92" s="522">
        <f t="shared" si="116"/>
        <v>45824.196987320203</v>
      </c>
      <c r="AJ92" s="522"/>
      <c r="AK92" s="522"/>
      <c r="AL92" s="522">
        <f t="shared" si="116"/>
        <v>-43741.697212170693</v>
      </c>
      <c r="AM92" s="522"/>
      <c r="AN92" s="522"/>
      <c r="AO92" s="522">
        <f t="shared" si="116"/>
        <v>-682457.73957572249</v>
      </c>
      <c r="AP92" s="522"/>
      <c r="AQ92" s="522"/>
      <c r="AR92" s="521">
        <f t="shared" si="117"/>
        <v>-709105.17275422323</v>
      </c>
      <c r="AT92" s="523">
        <f t="shared" si="122"/>
        <v>0.93800985632525447</v>
      </c>
      <c r="AU92" s="523"/>
      <c r="AV92" s="523"/>
      <c r="AW92" s="523">
        <f t="shared" si="118"/>
        <v>1.0813414738045852</v>
      </c>
      <c r="AX92" s="523"/>
      <c r="AY92" s="523"/>
      <c r="AZ92" s="523">
        <f t="shared" si="119"/>
        <v>0.92989398884282504</v>
      </c>
      <c r="BA92" s="523"/>
      <c r="BB92" s="523"/>
      <c r="BC92" s="523">
        <f t="shared" si="120"/>
        <v>0</v>
      </c>
      <c r="BD92" s="523"/>
      <c r="BE92" s="523"/>
      <c r="BF92" s="523">
        <f t="shared" si="121"/>
        <v>0.69608168977387619</v>
      </c>
    </row>
    <row r="93" spans="2:58">
      <c r="C93" s="515" t="s">
        <v>90</v>
      </c>
      <c r="D93" s="531">
        <f>SUM(D70:F70)</f>
        <v>46457.024266344946</v>
      </c>
      <c r="E93" s="531"/>
      <c r="F93" s="531"/>
      <c r="G93" s="531">
        <f>SUM(G70:I70)</f>
        <v>56985.594521020546</v>
      </c>
      <c r="H93" s="531"/>
      <c r="I93" s="531"/>
      <c r="J93" s="531">
        <f>SUM(J70:L70)</f>
        <v>63687.430683049548</v>
      </c>
      <c r="K93" s="531"/>
      <c r="L93" s="531"/>
      <c r="M93" s="531">
        <f>SUM(M70:O70)</f>
        <v>74895.953888372562</v>
      </c>
      <c r="N93" s="531"/>
      <c r="O93" s="531"/>
      <c r="P93" s="529">
        <f t="shared" si="114"/>
        <v>242026.00335878762</v>
      </c>
      <c r="R93" s="522">
        <f t="shared" ref="R93:R94" si="123">SUM(R70:T70)</f>
        <v>74923.106</v>
      </c>
      <c r="U93" s="522">
        <f t="shared" ref="U93:U94" si="124">SUM(U70:W70)</f>
        <v>358942.5</v>
      </c>
      <c r="X93" s="522">
        <f t="shared" ref="X93:X94" si="125">SUM(X70:Z70)</f>
        <v>215355.17399999121</v>
      </c>
      <c r="AA93" s="522">
        <f t="shared" ref="AA93:AA94" si="126">SUM(AA70:AC70)</f>
        <v>0</v>
      </c>
      <c r="AB93" s="522"/>
      <c r="AD93" s="521">
        <f t="shared" si="115"/>
        <v>649220.77999999118</v>
      </c>
      <c r="AF93" s="522">
        <f t="shared" si="116"/>
        <v>28466.081733655054</v>
      </c>
      <c r="AG93" s="522"/>
      <c r="AH93" s="522"/>
      <c r="AI93" s="522">
        <f t="shared" si="116"/>
        <v>301956.90547897946</v>
      </c>
      <c r="AJ93" s="522"/>
      <c r="AK93" s="522"/>
      <c r="AL93" s="522">
        <f t="shared" si="116"/>
        <v>151667.74331694166</v>
      </c>
      <c r="AM93" s="522"/>
      <c r="AN93" s="522"/>
      <c r="AO93" s="522">
        <f t="shared" si="116"/>
        <v>-74895.953888372562</v>
      </c>
      <c r="AP93" s="522"/>
      <c r="AQ93" s="522"/>
      <c r="AR93" s="521">
        <f t="shared" si="117"/>
        <v>407194.77664120361</v>
      </c>
      <c r="AT93" s="523">
        <f t="shared" si="122"/>
        <v>1.6127401008393225</v>
      </c>
      <c r="AU93" s="523"/>
      <c r="AV93" s="523"/>
      <c r="AW93" s="523">
        <f t="shared" si="118"/>
        <v>6.2988287306118247</v>
      </c>
      <c r="AX93" s="523"/>
      <c r="AY93" s="523"/>
      <c r="AZ93" s="523">
        <f t="shared" si="119"/>
        <v>3.3814391896532912</v>
      </c>
      <c r="BA93" s="523"/>
      <c r="BB93" s="523"/>
      <c r="BC93" s="523">
        <f t="shared" si="120"/>
        <v>0</v>
      </c>
      <c r="BD93" s="523"/>
      <c r="BE93" s="523"/>
      <c r="BF93" s="523">
        <f t="shared" si="121"/>
        <v>2.682442262361223</v>
      </c>
    </row>
    <row r="94" spans="2:58">
      <c r="C94" s="515" t="s">
        <v>99</v>
      </c>
      <c r="D94" s="531">
        <f>SUM(D71:F71)</f>
        <v>0</v>
      </c>
      <c r="E94" s="531"/>
      <c r="F94" s="531"/>
      <c r="G94" s="531">
        <f>SUM(G71:I71)</f>
        <v>0</v>
      </c>
      <c r="H94" s="531"/>
      <c r="I94" s="531"/>
      <c r="J94" s="531">
        <f>SUM(J71:L71)</f>
        <v>0</v>
      </c>
      <c r="K94" s="531"/>
      <c r="L94" s="531"/>
      <c r="M94" s="531">
        <f>SUM(M71:O71)</f>
        <v>0</v>
      </c>
      <c r="N94" s="531"/>
      <c r="O94" s="531"/>
      <c r="P94" s="529">
        <f t="shared" si="114"/>
        <v>0</v>
      </c>
      <c r="R94" s="522">
        <f t="shared" si="123"/>
        <v>0</v>
      </c>
      <c r="U94" s="522">
        <f t="shared" si="124"/>
        <v>0</v>
      </c>
      <c r="X94" s="522">
        <f t="shared" si="125"/>
        <v>0</v>
      </c>
      <c r="AA94" s="522">
        <f t="shared" si="126"/>
        <v>0</v>
      </c>
      <c r="AB94" s="522"/>
      <c r="AD94" s="521">
        <f t="shared" si="115"/>
        <v>0</v>
      </c>
      <c r="AF94" s="522">
        <f t="shared" si="116"/>
        <v>0</v>
      </c>
      <c r="AG94" s="522"/>
      <c r="AH94" s="522"/>
      <c r="AI94" s="522">
        <f t="shared" si="116"/>
        <v>0</v>
      </c>
      <c r="AJ94" s="522"/>
      <c r="AK94" s="522"/>
      <c r="AL94" s="522">
        <f t="shared" si="116"/>
        <v>0</v>
      </c>
      <c r="AM94" s="522"/>
      <c r="AN94" s="522"/>
      <c r="AO94" s="522">
        <f t="shared" si="116"/>
        <v>0</v>
      </c>
      <c r="AP94" s="522"/>
      <c r="AQ94" s="522"/>
      <c r="AR94" s="521">
        <f t="shared" si="117"/>
        <v>0</v>
      </c>
      <c r="AT94" s="523" t="e">
        <f t="shared" si="122"/>
        <v>#DIV/0!</v>
      </c>
      <c r="AU94" s="523"/>
      <c r="AV94" s="523"/>
      <c r="AW94" s="523" t="e">
        <f t="shared" si="118"/>
        <v>#DIV/0!</v>
      </c>
      <c r="AX94" s="523"/>
      <c r="AY94" s="523"/>
      <c r="AZ94" s="523" t="e">
        <f t="shared" si="119"/>
        <v>#DIV/0!</v>
      </c>
      <c r="BA94" s="523"/>
      <c r="BB94" s="523"/>
      <c r="BC94" s="523" t="e">
        <f t="shared" si="120"/>
        <v>#DIV/0!</v>
      </c>
      <c r="BD94" s="523"/>
      <c r="BE94" s="523"/>
      <c r="BF94" s="523" t="e">
        <f t="shared" si="121"/>
        <v>#DIV/0!</v>
      </c>
    </row>
    <row r="95" spans="2:58">
      <c r="C95" s="514" t="s">
        <v>47</v>
      </c>
      <c r="D95" s="529">
        <f>SUM(D90:D94)</f>
        <v>2462715.3795004324</v>
      </c>
      <c r="E95" s="531"/>
      <c r="F95" s="531"/>
      <c r="G95" s="529">
        <f>SUM(G90:G94)</f>
        <v>2999674.7506461078</v>
      </c>
      <c r="H95" s="531"/>
      <c r="I95" s="531"/>
      <c r="J95" s="529">
        <f>SUM(J90:J94)</f>
        <v>3329081.2440258102</v>
      </c>
      <c r="K95" s="531"/>
      <c r="L95" s="531"/>
      <c r="M95" s="529">
        <f>SUM(M90:M94)</f>
        <v>3703685.7120835138</v>
      </c>
      <c r="N95" s="531"/>
      <c r="O95" s="531"/>
      <c r="P95" s="529">
        <f>SUM(P90:P94)</f>
        <v>12495157.086255863</v>
      </c>
      <c r="R95" s="529">
        <f>SUM(R90:R94)</f>
        <v>2327469.3980000005</v>
      </c>
      <c r="U95" s="529">
        <f>SUM(U90:U94)</f>
        <v>3402077.63</v>
      </c>
      <c r="X95" s="529">
        <f>SUM(X90:X94)</f>
        <v>3167929.5340010608</v>
      </c>
      <c r="AA95" s="529">
        <f>SUM(AA90:AA94)</f>
        <v>0</v>
      </c>
      <c r="AB95" s="529"/>
      <c r="AD95" s="529">
        <f>SUM(AD90:AD94)</f>
        <v>8897476.5620010607</v>
      </c>
      <c r="AF95" s="529">
        <f>SUM(AF90:AF94)</f>
        <v>-135245.98150043236</v>
      </c>
      <c r="AG95" s="522"/>
      <c r="AH95" s="522"/>
      <c r="AI95" s="529">
        <f>SUM(AI90:AI94)</f>
        <v>402402.87935389194</v>
      </c>
      <c r="AJ95" s="522"/>
      <c r="AK95" s="522"/>
      <c r="AL95" s="529">
        <f>SUM(AL90:AL94)</f>
        <v>-161151.71002474974</v>
      </c>
      <c r="AM95" s="522"/>
      <c r="AN95" s="522"/>
      <c r="AO95" s="529">
        <f>SUM(AO90:AO94)</f>
        <v>-3703685.7120835138</v>
      </c>
      <c r="AP95" s="522"/>
      <c r="AQ95" s="522"/>
      <c r="AR95" s="529">
        <f>SUM(AR90:AR94)</f>
        <v>-3597680.5242548049</v>
      </c>
      <c r="AT95" s="523">
        <f t="shared" si="122"/>
        <v>0.9450825772940652</v>
      </c>
      <c r="AU95" s="523"/>
      <c r="AV95" s="523"/>
      <c r="AW95" s="523">
        <f t="shared" si="118"/>
        <v>1.1341488370588235</v>
      </c>
      <c r="AX95" s="523"/>
      <c r="AY95" s="523"/>
      <c r="AZ95" s="523">
        <f t="shared" si="119"/>
        <v>0.95159273739145189</v>
      </c>
      <c r="BA95" s="523"/>
      <c r="BB95" s="523"/>
      <c r="BC95" s="523">
        <f t="shared" si="120"/>
        <v>0</v>
      </c>
      <c r="BD95" s="523"/>
      <c r="BE95" s="523"/>
      <c r="BF95" s="523">
        <f t="shared" si="121"/>
        <v>0.71207400599932458</v>
      </c>
    </row>
    <row r="106" spans="27:28">
      <c r="AA106" s="520"/>
      <c r="AB106" s="5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30</vt:i4>
      </vt:variant>
    </vt:vector>
  </HeadingPairs>
  <TitlesOfParts>
    <vt:vector size="46" baseType="lpstr">
      <vt:lpstr>Current month</vt:lpstr>
      <vt:lpstr>Revenue Summary</vt:lpstr>
      <vt:lpstr>Monthly graphs</vt:lpstr>
      <vt:lpstr>VN_Graphs</vt:lpstr>
      <vt:lpstr>TH_Graphs</vt:lpstr>
      <vt:lpstr>VN_YouTube Performance</vt:lpstr>
      <vt:lpstr>TH_YouTube Performance</vt:lpstr>
      <vt:lpstr>VN_Data</vt:lpstr>
      <vt:lpstr>TH_Data</vt:lpstr>
      <vt:lpstr>Playback</vt:lpstr>
      <vt:lpstr>Past data</vt:lpstr>
      <vt:lpstr>2018 VN YouTube View</vt:lpstr>
      <vt:lpstr>2018 TH YouTube View &amp; Rev</vt:lpstr>
      <vt:lpstr>2018-Q1 graphs</vt:lpstr>
      <vt:lpstr>2018-Q2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Windows User</cp:lastModifiedBy>
  <dcterms:created xsi:type="dcterms:W3CDTF">2018-01-23T02:50:22Z</dcterms:created>
  <dcterms:modified xsi:type="dcterms:W3CDTF">2018-10-02T02:32:19Z</dcterms:modified>
</cp:coreProperties>
</file>