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esktop\BU report\"/>
    </mc:Choice>
  </mc:AlternateContent>
  <bookViews>
    <workbookView xWindow="216" yWindow="456" windowWidth="25896" windowHeight="13344" tabRatio="663"/>
  </bookViews>
  <sheets>
    <sheet name="Current month" sheetId="24" r:id="rId1"/>
    <sheet name="Monthly graphs" sheetId="26" state="hidden" r:id="rId2"/>
    <sheet name="Revenue Summary" sheetId="23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ast data" sheetId="25" r:id="rId10"/>
    <sheet name="Playback" sheetId="16" r:id="rId11"/>
    <sheet name="2018 VN YouTube View" sheetId="10" r:id="rId12"/>
    <sheet name="2018 TH YouTube View &amp; Rev" sheetId="11" state="hidden" r:id="rId13"/>
    <sheet name="2018-Q1 graphs" sheetId="18" r:id="rId14"/>
    <sheet name="2018 Summary" sheetId="12" state="hidden" r:id="rId15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Summary'!$AR$46:$BE$46</definedName>
    <definedName name="RS_TH_Actual_BD">'Revenue Summary'!$AR$40:$BE$43</definedName>
    <definedName name="RS_TH_Actual_RBT">'Revenue Summary'!$AR$37:$BE$37</definedName>
    <definedName name="RS_TH_Actual_YT">'Revenue Summary'!$AR$31:$BE$34</definedName>
    <definedName name="RS_TH_Forecast_APP">'Revenue Summary'!$X$46:$AK$46</definedName>
    <definedName name="RS_TH_Forecast_BD">'Revenue Summary'!$X$40:$AK$43</definedName>
    <definedName name="RS_TH_Forecast_RBT">'Revenue Summary'!$X$37:$AK$37</definedName>
    <definedName name="RS_TH_Forecast_YT">'Revenue Summary'!$X$31:$AK$34</definedName>
    <definedName name="RS_TH_Target_APP">'Revenue Summary'!$D$46:$Q$46</definedName>
    <definedName name="RS_TH_Target_BD">'Revenue Summary'!$D$40:$Q$43</definedName>
    <definedName name="RS_TH_Target_RBT">'Revenue Summary'!$D$37:$Q$37</definedName>
    <definedName name="RS_TH_Target_YT">'Revenue Summary'!$D$31:$Q$34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4" i="23" l="1"/>
  <c r="AC25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Y110" i="16"/>
  <c r="BY112" i="16"/>
  <c r="E24" i="23"/>
  <c r="E25" i="23"/>
  <c r="AS24" i="23"/>
  <c r="AS25" i="23"/>
  <c r="G3" i="23"/>
  <c r="CI3" i="23" s="1"/>
  <c r="G18" i="23"/>
  <c r="G12" i="23"/>
  <c r="G21" i="23" s="1"/>
  <c r="AS3" i="23"/>
  <c r="AV12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W99" i="3"/>
  <c r="W100" i="3"/>
  <c r="W101" i="3"/>
  <c r="W102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2" i="3"/>
  <c r="W163" i="3"/>
  <c r="W164" i="3"/>
  <c r="AC71" i="2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X141" i="3"/>
  <c r="X142" i="3"/>
  <c r="X143" i="3"/>
  <c r="X144" i="3"/>
  <c r="X145" i="3"/>
  <c r="X146" i="3"/>
  <c r="X147" i="3"/>
  <c r="X148" i="3"/>
  <c r="X130" i="3"/>
  <c r="X131" i="3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O4" i="18" s="1"/>
  <c r="O5" i="18" s="1"/>
  <c r="M4" i="18"/>
  <c r="N4" i="18"/>
  <c r="L3" i="18"/>
  <c r="O3" i="18" s="1"/>
  <c r="M3" i="18"/>
  <c r="N3" i="18"/>
  <c r="C4" i="18"/>
  <c r="D4" i="18"/>
  <c r="F4" i="18" s="1"/>
  <c r="E4" i="18"/>
  <c r="C3" i="18"/>
  <c r="D3" i="18"/>
  <c r="E3" i="18"/>
  <c r="F3" i="18" s="1"/>
  <c r="Q6" i="23"/>
  <c r="W8" i="24"/>
  <c r="Q7" i="23"/>
  <c r="W9" i="24"/>
  <c r="W5" i="24"/>
  <c r="Q15" i="23"/>
  <c r="W17" i="24"/>
  <c r="W26" i="24" s="1"/>
  <c r="Q19" i="23"/>
  <c r="W21" i="24"/>
  <c r="W27" i="24"/>
  <c r="F8" i="24"/>
  <c r="L8" i="24" s="1"/>
  <c r="K8" i="24"/>
  <c r="F9" i="24"/>
  <c r="I9" i="24"/>
  <c r="I27" i="24"/>
  <c r="F17" i="24"/>
  <c r="F21" i="24"/>
  <c r="G8" i="24"/>
  <c r="G5" i="24" s="1"/>
  <c r="G17" i="24"/>
  <c r="G21" i="24"/>
  <c r="G9" i="24"/>
  <c r="G27" i="24" s="1"/>
  <c r="K21" i="24"/>
  <c r="K26" i="24" s="1"/>
  <c r="K17" i="24"/>
  <c r="K14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N21" i="24" s="1"/>
  <c r="AV8" i="23"/>
  <c r="AW8" i="23"/>
  <c r="AX8" i="23"/>
  <c r="AY8" i="23"/>
  <c r="AZ8" i="23"/>
  <c r="BA8" i="23"/>
  <c r="BB8" i="23"/>
  <c r="BC8" i="23"/>
  <c r="BD8" i="23"/>
  <c r="AK7" i="23"/>
  <c r="Y9" i="24"/>
  <c r="Y27" i="24"/>
  <c r="N17" i="24"/>
  <c r="V17" i="24" s="1"/>
  <c r="AK6" i="23"/>
  <c r="Y8" i="24"/>
  <c r="AK15" i="23"/>
  <c r="Y17" i="24"/>
  <c r="Y26" i="24" s="1"/>
  <c r="AK19" i="23"/>
  <c r="Y21" i="24"/>
  <c r="Y20" i="24"/>
  <c r="W20" i="24"/>
  <c r="W14" i="24"/>
  <c r="AA21" i="24"/>
  <c r="AA20" i="24"/>
  <c r="AA17" i="24"/>
  <c r="AA8" i="24"/>
  <c r="AA9" i="24"/>
  <c r="AJ8" i="23"/>
  <c r="AI8" i="23"/>
  <c r="AH8" i="23"/>
  <c r="AG8" i="23"/>
  <c r="AF8" i="23"/>
  <c r="AE8" i="23"/>
  <c r="AD8" i="23"/>
  <c r="AC8" i="23"/>
  <c r="AB8" i="23"/>
  <c r="Q17" i="24" s="1"/>
  <c r="AA8" i="23"/>
  <c r="Z8" i="23"/>
  <c r="Y8" i="23"/>
  <c r="P8" i="23"/>
  <c r="O8" i="23"/>
  <c r="N8" i="23"/>
  <c r="M8" i="23"/>
  <c r="L8" i="23"/>
  <c r="K8" i="23"/>
  <c r="J8" i="23"/>
  <c r="I8" i="23"/>
  <c r="H8" i="23"/>
  <c r="O9" i="24" s="1"/>
  <c r="O27" i="24" s="1"/>
  <c r="G8" i="23"/>
  <c r="F8" i="23"/>
  <c r="E8" i="23"/>
  <c r="P8" i="25"/>
  <c r="O8" i="25"/>
  <c r="N8" i="25"/>
  <c r="M8" i="25"/>
  <c r="L8" i="25"/>
  <c r="K8" i="25"/>
  <c r="J8" i="25"/>
  <c r="I8" i="25"/>
  <c r="H8" i="25"/>
  <c r="S21" i="24" s="1"/>
  <c r="S20" i="24" s="1"/>
  <c r="G8" i="25"/>
  <c r="F8" i="25"/>
  <c r="E8" i="25"/>
  <c r="K9" i="24"/>
  <c r="K5" i="24" s="1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U25" i="25"/>
  <c r="T7" i="25"/>
  <c r="T25" i="25"/>
  <c r="S7" i="25"/>
  <c r="S25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V6" i="25"/>
  <c r="V15" i="25"/>
  <c r="V19" i="25"/>
  <c r="V24" i="25"/>
  <c r="U6" i="25"/>
  <c r="U15" i="25"/>
  <c r="U19" i="25"/>
  <c r="U24" i="25"/>
  <c r="T6" i="25"/>
  <c r="T15" i="25"/>
  <c r="T19" i="25"/>
  <c r="T24" i="25"/>
  <c r="S6" i="25"/>
  <c r="S15" i="25"/>
  <c r="S19" i="25"/>
  <c r="S24" i="25"/>
  <c r="Q19" i="25"/>
  <c r="Q18" i="25"/>
  <c r="Q15" i="25"/>
  <c r="Q12" i="25"/>
  <c r="Q6" i="25"/>
  <c r="Q7" i="25"/>
  <c r="Q3" i="25"/>
  <c r="P18" i="25"/>
  <c r="P12" i="25"/>
  <c r="P3" i="25"/>
  <c r="O18" i="25"/>
  <c r="O12" i="25"/>
  <c r="O3" i="25"/>
  <c r="N18" i="25"/>
  <c r="N12" i="25"/>
  <c r="N21" i="25" s="1"/>
  <c r="N3" i="25"/>
  <c r="M18" i="25"/>
  <c r="M12" i="25"/>
  <c r="M3" i="25"/>
  <c r="L18" i="25"/>
  <c r="L12" i="25"/>
  <c r="L3" i="25"/>
  <c r="K18" i="25"/>
  <c r="K12" i="25"/>
  <c r="K3" i="25"/>
  <c r="J18" i="25"/>
  <c r="J12" i="25"/>
  <c r="J21" i="25" s="1"/>
  <c r="J3" i="25"/>
  <c r="I18" i="25"/>
  <c r="I12" i="25"/>
  <c r="I3" i="25"/>
  <c r="H18" i="25"/>
  <c r="H12" i="25"/>
  <c r="H3" i="25"/>
  <c r="G18" i="25"/>
  <c r="G12" i="25"/>
  <c r="G3" i="25"/>
  <c r="F18" i="25"/>
  <c r="F12" i="25"/>
  <c r="F21" i="25" s="1"/>
  <c r="F3" i="25"/>
  <c r="E18" i="25"/>
  <c r="E12" i="25"/>
  <c r="E3" i="25"/>
  <c r="V18" i="25"/>
  <c r="V12" i="25"/>
  <c r="V3" i="25"/>
  <c r="U18" i="25"/>
  <c r="U12" i="25"/>
  <c r="U3" i="25"/>
  <c r="T18" i="25"/>
  <c r="T12" i="25"/>
  <c r="T21" i="25" s="1"/>
  <c r="T3" i="25"/>
  <c r="S18" i="25"/>
  <c r="S12" i="25"/>
  <c r="S3" i="25"/>
  <c r="K27" i="24"/>
  <c r="I8" i="24"/>
  <c r="I17" i="24"/>
  <c r="I21" i="24"/>
  <c r="F20" i="24"/>
  <c r="I20" i="24"/>
  <c r="J20" i="24" s="1"/>
  <c r="G20" i="24"/>
  <c r="H20" i="24"/>
  <c r="I14" i="24"/>
  <c r="G14" i="24"/>
  <c r="J21" i="24"/>
  <c r="H21" i="24"/>
  <c r="H17" i="24"/>
  <c r="BQ19" i="23"/>
  <c r="BQ15" i="23"/>
  <c r="CD7" i="23"/>
  <c r="CD25" i="23"/>
  <c r="CC7" i="23"/>
  <c r="CC25" i="23"/>
  <c r="BM7" i="23"/>
  <c r="BN7" i="23"/>
  <c r="BO7" i="23"/>
  <c r="CA7" i="23"/>
  <c r="CA25" i="23"/>
  <c r="CD6" i="23"/>
  <c r="CD15" i="23"/>
  <c r="CD19" i="23"/>
  <c r="CD24" i="23"/>
  <c r="CC6" i="23"/>
  <c r="CC15" i="23"/>
  <c r="CC19" i="23"/>
  <c r="CC24" i="23"/>
  <c r="BP15" i="23"/>
  <c r="CB15" i="23" s="1"/>
  <c r="BP19" i="23"/>
  <c r="CB19" i="23"/>
  <c r="BM6" i="23"/>
  <c r="BN6" i="23"/>
  <c r="BO6" i="23"/>
  <c r="CA6" i="23"/>
  <c r="BM15" i="23"/>
  <c r="BM24" i="23" s="1"/>
  <c r="BN15" i="23"/>
  <c r="BO15" i="23"/>
  <c r="BM19" i="23"/>
  <c r="BN19" i="23"/>
  <c r="BO19" i="23"/>
  <c r="CA19" i="23"/>
  <c r="BM25" i="23"/>
  <c r="BN25" i="23"/>
  <c r="BO25" i="23"/>
  <c r="BR25" i="23"/>
  <c r="BS25" i="23"/>
  <c r="BT25" i="23"/>
  <c r="BU25" i="23"/>
  <c r="BV25" i="23"/>
  <c r="BW25" i="23"/>
  <c r="BX25" i="23"/>
  <c r="BN24" i="23"/>
  <c r="BO24" i="23"/>
  <c r="BR24" i="23"/>
  <c r="BS24" i="23"/>
  <c r="BT24" i="23"/>
  <c r="BU24" i="23"/>
  <c r="BV24" i="23"/>
  <c r="BW24" i="23"/>
  <c r="BX24" i="23"/>
  <c r="BG7" i="23"/>
  <c r="BG25" i="23"/>
  <c r="BJ15" i="23"/>
  <c r="BJ12" i="23" s="1"/>
  <c r="BJ19" i="23"/>
  <c r="BI15" i="23"/>
  <c r="BI19" i="23"/>
  <c r="BH15" i="23"/>
  <c r="BH12" i="23" s="1"/>
  <c r="BH19" i="23"/>
  <c r="BG6" i="23"/>
  <c r="BG15" i="23"/>
  <c r="BG24" i="23" s="1"/>
  <c r="BG19" i="23"/>
  <c r="AT25" i="23"/>
  <c r="AU25" i="23"/>
  <c r="AT24" i="23"/>
  <c r="AU24" i="23"/>
  <c r="AP7" i="23"/>
  <c r="AP25" i="23"/>
  <c r="AO7" i="23"/>
  <c r="AO25" i="23"/>
  <c r="AN7" i="23"/>
  <c r="AN25" i="23"/>
  <c r="AM7" i="23"/>
  <c r="AM25" i="23"/>
  <c r="AP6" i="23"/>
  <c r="AP15" i="23"/>
  <c r="AP19" i="23"/>
  <c r="AP24" i="23"/>
  <c r="AO6" i="23"/>
  <c r="AO15" i="23"/>
  <c r="AO19" i="23"/>
  <c r="AO24" i="23"/>
  <c r="AN6" i="23"/>
  <c r="AN15" i="23"/>
  <c r="AN19" i="23"/>
  <c r="AN24" i="23"/>
  <c r="AM6" i="23"/>
  <c r="AM15" i="23"/>
  <c r="AM19" i="23"/>
  <c r="AM24" i="23"/>
  <c r="Y25" i="23"/>
  <c r="Z25" i="23"/>
  <c r="AA25" i="23"/>
  <c r="AB25" i="23"/>
  <c r="AD25" i="23"/>
  <c r="AE25" i="23"/>
  <c r="AF25" i="23"/>
  <c r="AG25" i="23"/>
  <c r="AH25" i="23"/>
  <c r="AI25" i="23"/>
  <c r="AJ25" i="23"/>
  <c r="Y24" i="23"/>
  <c r="Z24" i="23"/>
  <c r="AA24" i="23"/>
  <c r="AB24" i="23"/>
  <c r="AD24" i="23"/>
  <c r="AE24" i="23"/>
  <c r="AF24" i="23"/>
  <c r="AG24" i="23"/>
  <c r="AH24" i="23"/>
  <c r="AI24" i="23"/>
  <c r="AJ24" i="23"/>
  <c r="V7" i="23"/>
  <c r="V25" i="23"/>
  <c r="U7" i="23"/>
  <c r="U25" i="23"/>
  <c r="T7" i="23"/>
  <c r="T25" i="23"/>
  <c r="S7" i="23"/>
  <c r="S25" i="23"/>
  <c r="V6" i="23"/>
  <c r="V15" i="23"/>
  <c r="V19" i="23"/>
  <c r="V24" i="23"/>
  <c r="U6" i="23"/>
  <c r="U15" i="23"/>
  <c r="U19" i="23"/>
  <c r="U24" i="23"/>
  <c r="T6" i="23"/>
  <c r="T15" i="23"/>
  <c r="T19" i="23"/>
  <c r="T24" i="23"/>
  <c r="S6" i="23"/>
  <c r="S15" i="23"/>
  <c r="S19" i="23"/>
  <c r="S24" i="23"/>
  <c r="F25" i="23"/>
  <c r="G25" i="23"/>
  <c r="H25" i="23"/>
  <c r="I25" i="23"/>
  <c r="J25" i="23"/>
  <c r="K25" i="23"/>
  <c r="L25" i="23"/>
  <c r="M25" i="23"/>
  <c r="N25" i="23"/>
  <c r="O25" i="23"/>
  <c r="P25" i="23"/>
  <c r="F24" i="23"/>
  <c r="G24" i="23"/>
  <c r="H24" i="23"/>
  <c r="I24" i="23"/>
  <c r="J24" i="23"/>
  <c r="K24" i="23"/>
  <c r="L24" i="23"/>
  <c r="M24" i="23"/>
  <c r="N24" i="23"/>
  <c r="O24" i="23"/>
  <c r="P24" i="23"/>
  <c r="BE15" i="23"/>
  <c r="BE12" i="23" s="1"/>
  <c r="DM12" i="23" s="1"/>
  <c r="BE19" i="23"/>
  <c r="BE18" i="23"/>
  <c r="AK12" i="23"/>
  <c r="AK3" i="23"/>
  <c r="AK18" i="23"/>
  <c r="BD18" i="23"/>
  <c r="BD12" i="23"/>
  <c r="AJ18" i="23"/>
  <c r="AJ12" i="23"/>
  <c r="AJ3" i="23"/>
  <c r="BC18" i="23"/>
  <c r="BC12" i="23"/>
  <c r="AI18" i="23"/>
  <c r="AI12" i="23"/>
  <c r="AI3" i="23"/>
  <c r="BB18" i="23"/>
  <c r="BB12" i="23"/>
  <c r="AH18" i="23"/>
  <c r="AH12" i="23"/>
  <c r="DJ12" i="23" s="1"/>
  <c r="AH3" i="23"/>
  <c r="BA18" i="23"/>
  <c r="BA12" i="23"/>
  <c r="AG18" i="23"/>
  <c r="AG12" i="23"/>
  <c r="AG3" i="23"/>
  <c r="AZ18" i="23"/>
  <c r="AZ12" i="23"/>
  <c r="AF18" i="23"/>
  <c r="AF12" i="23"/>
  <c r="AF3" i="23"/>
  <c r="AY18" i="23"/>
  <c r="AY12" i="23"/>
  <c r="AE18" i="23"/>
  <c r="AE12" i="23"/>
  <c r="AE3" i="23"/>
  <c r="AX18" i="23"/>
  <c r="AX12" i="23"/>
  <c r="AD18" i="23"/>
  <c r="AD12" i="23"/>
  <c r="DF12" i="23" s="1"/>
  <c r="AD3" i="23"/>
  <c r="AW18" i="23"/>
  <c r="AW12" i="23"/>
  <c r="AC18" i="23"/>
  <c r="AC12" i="23"/>
  <c r="AC3" i="23"/>
  <c r="AV18" i="23"/>
  <c r="AB18" i="23"/>
  <c r="AB12" i="23"/>
  <c r="DD12" i="23" s="1"/>
  <c r="AB3" i="23"/>
  <c r="AU18" i="23"/>
  <c r="AU12" i="23"/>
  <c r="AU3" i="23"/>
  <c r="AA18" i="23"/>
  <c r="AA12" i="23"/>
  <c r="DC12" i="23" s="1"/>
  <c r="AA3" i="23"/>
  <c r="AT18" i="23"/>
  <c r="AT12" i="23"/>
  <c r="AT21" i="23" s="1"/>
  <c r="AT3" i="23"/>
  <c r="Z18" i="23"/>
  <c r="Z12" i="23"/>
  <c r="DB12" i="23" s="1"/>
  <c r="Z3" i="23"/>
  <c r="AS18" i="23"/>
  <c r="AS12" i="23"/>
  <c r="Y18" i="23"/>
  <c r="Y12" i="23"/>
  <c r="Y21" i="23" s="1"/>
  <c r="Y3" i="23"/>
  <c r="DA3" i="23" s="1"/>
  <c r="DM19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M18" i="23"/>
  <c r="DL18" i="23"/>
  <c r="DK18" i="23"/>
  <c r="DJ18" i="23"/>
  <c r="DI18" i="23"/>
  <c r="DH18" i="23"/>
  <c r="DG18" i="23"/>
  <c r="DF18" i="23"/>
  <c r="DE18" i="23"/>
  <c r="DD18" i="23"/>
  <c r="DC18" i="23"/>
  <c r="DB18" i="23"/>
  <c r="DA18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C7" i="23"/>
  <c r="DB7" i="23"/>
  <c r="DA7" i="23"/>
  <c r="DC6" i="23"/>
  <c r="DB6" i="23"/>
  <c r="DA6" i="23"/>
  <c r="DC3" i="23"/>
  <c r="CD12" i="23"/>
  <c r="CD3" i="23"/>
  <c r="CD18" i="23"/>
  <c r="AP12" i="23"/>
  <c r="AP3" i="23"/>
  <c r="AP18" i="23"/>
  <c r="CC12" i="23"/>
  <c r="CC3" i="23"/>
  <c r="CC18" i="23"/>
  <c r="AO12" i="23"/>
  <c r="AO18" i="23"/>
  <c r="AO3" i="23"/>
  <c r="CB18" i="23"/>
  <c r="AN12" i="23"/>
  <c r="AN3" i="23"/>
  <c r="AN18" i="23"/>
  <c r="CA3" i="23"/>
  <c r="CA18" i="23"/>
  <c r="AM12" i="23"/>
  <c r="AM3" i="23"/>
  <c r="AM18" i="23"/>
  <c r="DR19" i="23"/>
  <c r="DQ19" i="23"/>
  <c r="DP19" i="23"/>
  <c r="DO19" i="23"/>
  <c r="DR18" i="23"/>
  <c r="DQ18" i="23"/>
  <c r="DP18" i="23"/>
  <c r="DO18" i="23"/>
  <c r="DR15" i="23"/>
  <c r="DQ15" i="23"/>
  <c r="DR7" i="23"/>
  <c r="DQ7" i="23"/>
  <c r="DO7" i="23"/>
  <c r="DR6" i="23"/>
  <c r="DQ6" i="23"/>
  <c r="DO6" i="23"/>
  <c r="DR3" i="23"/>
  <c r="DO3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O18" i="23"/>
  <c r="BM18" i="23"/>
  <c r="BJ18" i="23"/>
  <c r="V18" i="23"/>
  <c r="U18" i="23"/>
  <c r="Q18" i="23"/>
  <c r="BX18" i="23"/>
  <c r="BW18" i="23"/>
  <c r="BV18" i="23"/>
  <c r="BU18" i="23"/>
  <c r="BT18" i="23"/>
  <c r="BS18" i="23"/>
  <c r="BR18" i="23"/>
  <c r="BQ18" i="23"/>
  <c r="BP18" i="23"/>
  <c r="BN18" i="23"/>
  <c r="BG18" i="23"/>
  <c r="T18" i="23"/>
  <c r="S18" i="23"/>
  <c r="P18" i="23"/>
  <c r="O18" i="23"/>
  <c r="N18" i="23"/>
  <c r="M18" i="23"/>
  <c r="L18" i="23"/>
  <c r="K18" i="23"/>
  <c r="J18" i="23"/>
  <c r="I18" i="23"/>
  <c r="H18" i="23"/>
  <c r="F18" i="23"/>
  <c r="E18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U12" i="23"/>
  <c r="U21" i="23" s="1"/>
  <c r="BX12" i="23"/>
  <c r="BX21" i="23" s="1"/>
  <c r="BW12" i="23"/>
  <c r="BV12" i="23"/>
  <c r="BV21" i="23" s="1"/>
  <c r="BU12" i="23"/>
  <c r="BT12" i="23"/>
  <c r="BS12" i="23"/>
  <c r="BR12" i="23"/>
  <c r="BQ12" i="23"/>
  <c r="BN12" i="23"/>
  <c r="P12" i="23"/>
  <c r="O12" i="23"/>
  <c r="O21" i="23" s="1"/>
  <c r="N12" i="23"/>
  <c r="N21" i="23" s="1"/>
  <c r="M12" i="23"/>
  <c r="L12" i="23"/>
  <c r="K12" i="23"/>
  <c r="K21" i="23" s="1"/>
  <c r="J12" i="23"/>
  <c r="J21" i="23" s="1"/>
  <c r="I12" i="23"/>
  <c r="I21" i="23" s="1"/>
  <c r="H12" i="23"/>
  <c r="F12" i="23"/>
  <c r="CH12" i="23" s="1"/>
  <c r="E12" i="23"/>
  <c r="E21" i="23" s="1"/>
  <c r="BX3" i="23"/>
  <c r="BW3" i="23"/>
  <c r="BV3" i="23"/>
  <c r="BU3" i="23"/>
  <c r="BU21" i="23" s="1"/>
  <c r="BT3" i="23"/>
  <c r="BT21" i="23" s="1"/>
  <c r="BS3" i="23"/>
  <c r="BR3" i="23"/>
  <c r="BR21" i="23" s="1"/>
  <c r="P3" i="23"/>
  <c r="O3" i="23"/>
  <c r="N3" i="23"/>
  <c r="M3" i="23"/>
  <c r="L3" i="23"/>
  <c r="L21" i="23" s="1"/>
  <c r="K3" i="23"/>
  <c r="J3" i="23"/>
  <c r="I3" i="23"/>
  <c r="H3" i="23"/>
  <c r="H21" i="23" s="1"/>
  <c r="F3" i="23"/>
  <c r="E3" i="23"/>
  <c r="Q3" i="23"/>
  <c r="CJ12" i="23"/>
  <c r="CU18" i="23"/>
  <c r="CU19" i="23"/>
  <c r="CN12" i="23"/>
  <c r="S12" i="23"/>
  <c r="CW15" i="23"/>
  <c r="CH18" i="23"/>
  <c r="CL18" i="23"/>
  <c r="CP18" i="23"/>
  <c r="T12" i="23"/>
  <c r="BG12" i="23"/>
  <c r="BM12" i="23"/>
  <c r="S3" i="23"/>
  <c r="V3" i="23"/>
  <c r="U3" i="23"/>
  <c r="T3" i="23"/>
  <c r="Q12" i="23"/>
  <c r="Q21" i="23" s="1"/>
  <c r="V12" i="23"/>
  <c r="BI12" i="23"/>
  <c r="CW12" i="23" s="1"/>
  <c r="BO12" i="23"/>
  <c r="BS21" i="23"/>
  <c r="BW21" i="23"/>
  <c r="CV19" i="23"/>
  <c r="BH18" i="23"/>
  <c r="CJ18" i="23"/>
  <c r="CN18" i="23"/>
  <c r="CR18" i="23"/>
  <c r="CS15" i="23"/>
  <c r="CW19" i="23"/>
  <c r="CG18" i="23"/>
  <c r="CK18" i="23"/>
  <c r="CO18" i="23"/>
  <c r="CS18" i="23"/>
  <c r="T21" i="23"/>
  <c r="CS19" i="23"/>
  <c r="CX19" i="23"/>
  <c r="CX18" i="23"/>
  <c r="P21" i="23"/>
  <c r="BI18" i="23"/>
  <c r="CI18" i="23"/>
  <c r="CM18" i="23"/>
  <c r="CQ18" i="23"/>
  <c r="CV18" i="23"/>
  <c r="BY19" i="23"/>
  <c r="BY18" i="23"/>
  <c r="S21" i="23"/>
  <c r="CW18" i="23"/>
  <c r="A2" i="4"/>
  <c r="AE6" i="4" s="1"/>
  <c r="D36" i="10"/>
  <c r="E36" i="10"/>
  <c r="F36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AG69" i="2"/>
  <c r="AG75" i="2"/>
  <c r="AG76" i="2"/>
  <c r="AG77" i="2"/>
  <c r="AG82" i="2"/>
  <c r="S75" i="2"/>
  <c r="S76" i="2"/>
  <c r="AD76" i="2"/>
  <c r="S77" i="2"/>
  <c r="AD77" i="2"/>
  <c r="AC70" i="2"/>
  <c r="AC75" i="2"/>
  <c r="AC77" i="2"/>
  <c r="V82" i="2"/>
  <c r="R82" i="2"/>
  <c r="L82" i="2"/>
  <c r="K82" i="2"/>
  <c r="H82" i="2"/>
  <c r="G82" i="2"/>
  <c r="W72" i="2"/>
  <c r="W73" i="2"/>
  <c r="W74" i="2"/>
  <c r="R409" i="3"/>
  <c r="AH72" i="2"/>
  <c r="AH73" i="2"/>
  <c r="AG72" i="2"/>
  <c r="AG73" i="2"/>
  <c r="AG74" i="2"/>
  <c r="S72" i="2"/>
  <c r="AD72" i="2"/>
  <c r="S73" i="2"/>
  <c r="AD73" i="2"/>
  <c r="S74" i="2"/>
  <c r="AC72" i="2"/>
  <c r="AC73" i="2"/>
  <c r="W392" i="3"/>
  <c r="AC74" i="2"/>
  <c r="V81" i="2"/>
  <c r="R81" i="2"/>
  <c r="L81" i="2"/>
  <c r="K81" i="2"/>
  <c r="H81" i="2"/>
  <c r="G81" i="2"/>
  <c r="W69" i="2"/>
  <c r="W70" i="2"/>
  <c r="AH70" i="2"/>
  <c r="AA405" i="3"/>
  <c r="W71" i="2"/>
  <c r="AH71" i="2"/>
  <c r="AG70" i="2"/>
  <c r="S69" i="2"/>
  <c r="S70" i="2"/>
  <c r="AD70" i="2"/>
  <c r="W405" i="3"/>
  <c r="S71" i="2"/>
  <c r="AC69" i="2"/>
  <c r="V80" i="2"/>
  <c r="R80" i="2"/>
  <c r="L80" i="2"/>
  <c r="K80" i="2"/>
  <c r="H80" i="2"/>
  <c r="G80" i="2"/>
  <c r="W66" i="2"/>
  <c r="W67" i="2"/>
  <c r="AH67" i="2"/>
  <c r="W68" i="2"/>
  <c r="AH68" i="2"/>
  <c r="AA403" i="3"/>
  <c r="AG66" i="2"/>
  <c r="AA385" i="3"/>
  <c r="AG67" i="2"/>
  <c r="AG68" i="2"/>
  <c r="S66" i="2"/>
  <c r="S67" i="2"/>
  <c r="AD67" i="2"/>
  <c r="S68" i="2"/>
  <c r="AC66" i="2"/>
  <c r="AC67" i="2"/>
  <c r="AC68" i="2"/>
  <c r="V79" i="2"/>
  <c r="R79" i="2"/>
  <c r="L79" i="2"/>
  <c r="K79" i="2"/>
  <c r="H79" i="2"/>
  <c r="G79" i="2"/>
  <c r="E37" i="3"/>
  <c r="E66" i="3"/>
  <c r="E98" i="3"/>
  <c r="E129" i="3"/>
  <c r="E161" i="3"/>
  <c r="E192" i="3"/>
  <c r="E224" i="3"/>
  <c r="E256" i="3"/>
  <c r="E287" i="3"/>
  <c r="E319" i="3"/>
  <c r="E350" i="3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BU68" i="16"/>
  <c r="BU62" i="16"/>
  <c r="CH66" i="16"/>
  <c r="CH60" i="16"/>
  <c r="AT75" i="16"/>
  <c r="AT76" i="16"/>
  <c r="AT37" i="16"/>
  <c r="AT77" i="16"/>
  <c r="AT41" i="16"/>
  <c r="AT78" i="16"/>
  <c r="AT17" i="16"/>
  <c r="AT21" i="16"/>
  <c r="AT64" i="16"/>
  <c r="AL75" i="16"/>
  <c r="AN75" i="16"/>
  <c r="AN76" i="16"/>
  <c r="AN17" i="16"/>
  <c r="AN58" i="16"/>
  <c r="AN61" i="16"/>
  <c r="AN62" i="16"/>
  <c r="AN37" i="16"/>
  <c r="AN77" i="16"/>
  <c r="AN84" i="16"/>
  <c r="AN21" i="16"/>
  <c r="AN64" i="16"/>
  <c r="AN67" i="16"/>
  <c r="AN68" i="16"/>
  <c r="AN41" i="16"/>
  <c r="AN78" i="16"/>
  <c r="AN85" i="16"/>
  <c r="AO75" i="16"/>
  <c r="AS70" i="16"/>
  <c r="AM83" i="16"/>
  <c r="AM76" i="16"/>
  <c r="AO76" i="16"/>
  <c r="AP83" i="16"/>
  <c r="AP76" i="16"/>
  <c r="AR76" i="16"/>
  <c r="AJ17" i="16"/>
  <c r="AJ58" i="16"/>
  <c r="AJ61" i="16"/>
  <c r="AJ62" i="16"/>
  <c r="AJ37" i="16"/>
  <c r="AJ77" i="16"/>
  <c r="AK17" i="16"/>
  <c r="AK58" i="16"/>
  <c r="AK61" i="16"/>
  <c r="AK62" i="16"/>
  <c r="AL17" i="16"/>
  <c r="AM17" i="16"/>
  <c r="AM58" i="16"/>
  <c r="AM61" i="16"/>
  <c r="AM62" i="16"/>
  <c r="AO17" i="16"/>
  <c r="AO58" i="16"/>
  <c r="AO61" i="16"/>
  <c r="AO62" i="16"/>
  <c r="AP17" i="16"/>
  <c r="AP58" i="16"/>
  <c r="AP61" i="16"/>
  <c r="AP62" i="16"/>
  <c r="AP37" i="16"/>
  <c r="AP77" i="16"/>
  <c r="AQ17" i="16"/>
  <c r="AQ58" i="16"/>
  <c r="AQ61" i="16"/>
  <c r="AR17" i="16"/>
  <c r="AS17" i="16"/>
  <c r="AS58" i="16"/>
  <c r="AS59" i="16"/>
  <c r="AJ21" i="16"/>
  <c r="AJ64" i="16"/>
  <c r="AJ67" i="16"/>
  <c r="AJ68" i="16"/>
  <c r="AK21" i="16"/>
  <c r="AL21" i="16"/>
  <c r="AL64" i="16"/>
  <c r="AL67" i="16"/>
  <c r="AL68" i="16"/>
  <c r="AL41" i="16"/>
  <c r="AL78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R64" i="16"/>
  <c r="AR67" i="16"/>
  <c r="AR68" i="16"/>
  <c r="AS21" i="16"/>
  <c r="BB65" i="16"/>
  <c r="BD65" i="16"/>
  <c r="BB66" i="16"/>
  <c r="BD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BB59" i="16"/>
  <c r="BD59" i="16"/>
  <c r="BB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AK37" i="16"/>
  <c r="AK77" i="16"/>
  <c r="AL37" i="16"/>
  <c r="AL77" i="16"/>
  <c r="AM37" i="16"/>
  <c r="AM77" i="16"/>
  <c r="AO37" i="16"/>
  <c r="AO77" i="16"/>
  <c r="AQ37" i="16"/>
  <c r="AQ77" i="16"/>
  <c r="AR37" i="16"/>
  <c r="AR77" i="16"/>
  <c r="AS37" i="16"/>
  <c r="AS77" i="16"/>
  <c r="AT100" i="16"/>
  <c r="AS100" i="16"/>
  <c r="AT99" i="16"/>
  <c r="AS99" i="16"/>
  <c r="AJ76" i="16"/>
  <c r="AJ75" i="16"/>
  <c r="AK76" i="16"/>
  <c r="AP75" i="16"/>
  <c r="AS76" i="16"/>
  <c r="AU76" i="16"/>
  <c r="AK75" i="16"/>
  <c r="AK79" i="16" s="1"/>
  <c r="AM75" i="16"/>
  <c r="AM79" i="16" s="1"/>
  <c r="AQ75" i="16"/>
  <c r="AS75" i="16"/>
  <c r="T82" i="16"/>
  <c r="T86" i="16" s="1"/>
  <c r="X82" i="16"/>
  <c r="AB82" i="16"/>
  <c r="AD82" i="16"/>
  <c r="U83" i="16"/>
  <c r="U86" i="16" s="1"/>
  <c r="V83" i="16"/>
  <c r="V86" i="16" s="1"/>
  <c r="Y83" i="16"/>
  <c r="Z83" i="16"/>
  <c r="Z82" i="16"/>
  <c r="Z86" i="16" s="1"/>
  <c r="Z61" i="16"/>
  <c r="Z62" i="16"/>
  <c r="Z84" i="16"/>
  <c r="Z67" i="16"/>
  <c r="Z68" i="16"/>
  <c r="Z85" i="16"/>
  <c r="AA83" i="16"/>
  <c r="AC83" i="16"/>
  <c r="AD83" i="16"/>
  <c r="AD86" i="16" s="1"/>
  <c r="AE83" i="16"/>
  <c r="T61" i="16"/>
  <c r="U61" i="16"/>
  <c r="U62" i="16"/>
  <c r="U84" i="16"/>
  <c r="V61" i="16"/>
  <c r="V62" i="16"/>
  <c r="V84" i="16"/>
  <c r="W61" i="16"/>
  <c r="W62" i="16"/>
  <c r="W84" i="16"/>
  <c r="T62" i="16"/>
  <c r="T84" i="16"/>
  <c r="X61" i="16"/>
  <c r="X62" i="16"/>
  <c r="X84" i="16"/>
  <c r="Y61" i="16"/>
  <c r="Y62" i="16"/>
  <c r="Y84" i="16"/>
  <c r="AA61" i="16"/>
  <c r="AA62" i="16"/>
  <c r="AA84" i="16"/>
  <c r="AB61" i="16"/>
  <c r="AB62" i="16"/>
  <c r="AB84" i="16"/>
  <c r="AC61" i="16"/>
  <c r="AC62" i="16"/>
  <c r="AC84" i="16"/>
  <c r="AD61" i="16"/>
  <c r="AD62" i="16"/>
  <c r="AD84" i="16"/>
  <c r="AE61" i="16"/>
  <c r="AE62" i="16"/>
  <c r="AE84" i="16"/>
  <c r="AF84" i="16"/>
  <c r="AE82" i="16"/>
  <c r="AE67" i="16"/>
  <c r="AE68" i="16"/>
  <c r="AE85" i="16"/>
  <c r="T67" i="16"/>
  <c r="T68" i="16"/>
  <c r="U67" i="16"/>
  <c r="U68" i="16"/>
  <c r="U85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A85" i="16"/>
  <c r="AA82" i="16"/>
  <c r="AA86" i="16" s="1"/>
  <c r="AB67" i="16"/>
  <c r="AB68" i="16"/>
  <c r="AB85" i="16"/>
  <c r="AC67" i="16"/>
  <c r="AD67" i="16"/>
  <c r="AD68" i="16"/>
  <c r="AD85" i="16"/>
  <c r="AF75" i="16"/>
  <c r="AF76" i="16"/>
  <c r="AF79" i="16" s="1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U37" i="16"/>
  <c r="U41" i="16"/>
  <c r="U42" i="16"/>
  <c r="V37" i="16"/>
  <c r="V41" i="16"/>
  <c r="V42" i="16"/>
  <c r="Y37" i="16"/>
  <c r="Y41" i="16"/>
  <c r="Y42" i="16"/>
  <c r="T37" i="16"/>
  <c r="W37" i="16"/>
  <c r="X37" i="16"/>
  <c r="Z37" i="16"/>
  <c r="AA37" i="16"/>
  <c r="AB37" i="16"/>
  <c r="AC37" i="16"/>
  <c r="AD37" i="16"/>
  <c r="AE37" i="16"/>
  <c r="T41" i="16"/>
  <c r="W41" i="16"/>
  <c r="X41" i="16"/>
  <c r="Z41" i="16"/>
  <c r="AA41" i="16"/>
  <c r="AB41" i="16"/>
  <c r="AC41" i="16"/>
  <c r="AD41" i="16"/>
  <c r="AE41" i="16"/>
  <c r="J37" i="16"/>
  <c r="J41" i="16"/>
  <c r="J42" i="16"/>
  <c r="F37" i="16"/>
  <c r="F41" i="16"/>
  <c r="N37" i="16"/>
  <c r="N41" i="16"/>
  <c r="E37" i="16"/>
  <c r="G37" i="16"/>
  <c r="H37" i="16"/>
  <c r="I37" i="16"/>
  <c r="K37" i="16"/>
  <c r="L37" i="16"/>
  <c r="M37" i="16"/>
  <c r="O37" i="16"/>
  <c r="P37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36" i="16"/>
  <c r="Q36" i="16"/>
  <c r="AF35" i="16"/>
  <c r="Q35" i="16"/>
  <c r="AE17" i="16"/>
  <c r="AE21" i="16"/>
  <c r="AD17" i="16"/>
  <c r="AD21" i="16"/>
  <c r="BB22" i="16"/>
  <c r="AC17" i="16"/>
  <c r="AC21" i="16"/>
  <c r="AC22" i="16"/>
  <c r="U17" i="16"/>
  <c r="U21" i="16"/>
  <c r="V17" i="16"/>
  <c r="V21" i="16"/>
  <c r="Y17" i="16"/>
  <c r="Y21" i="16"/>
  <c r="AA17" i="16"/>
  <c r="AA21" i="16"/>
  <c r="AA22" i="16"/>
  <c r="T17" i="16"/>
  <c r="W17" i="16"/>
  <c r="X17" i="16"/>
  <c r="Z17" i="16"/>
  <c r="AB17" i="16"/>
  <c r="T21" i="16"/>
  <c r="W21" i="16"/>
  <c r="X21" i="16"/>
  <c r="Z21" i="16"/>
  <c r="AB21" i="16"/>
  <c r="J22" i="16"/>
  <c r="K22" i="16"/>
  <c r="F22" i="16"/>
  <c r="AF20" i="16"/>
  <c r="AF19" i="16"/>
  <c r="AI19" i="16"/>
  <c r="AF16" i="16"/>
  <c r="AI16" i="16"/>
  <c r="AF15" i="16"/>
  <c r="AI15" i="16"/>
  <c r="W402" i="3"/>
  <c r="W407" i="3"/>
  <c r="N410" i="3"/>
  <c r="W412" i="3"/>
  <c r="R402" i="3"/>
  <c r="AA407" i="3"/>
  <c r="R408" i="3"/>
  <c r="AA411" i="3"/>
  <c r="R412" i="3"/>
  <c r="AA396" i="3"/>
  <c r="W396" i="3"/>
  <c r="AA395" i="3"/>
  <c r="W395" i="3"/>
  <c r="W394" i="3"/>
  <c r="AA393" i="3"/>
  <c r="W393" i="3"/>
  <c r="AA391" i="3"/>
  <c r="W391" i="3"/>
  <c r="W390" i="3"/>
  <c r="AA388" i="3"/>
  <c r="W388" i="3"/>
  <c r="AA387" i="3"/>
  <c r="W387" i="3"/>
  <c r="AA386" i="3"/>
  <c r="AB63" i="12"/>
  <c r="N60" i="12"/>
  <c r="N63" i="12"/>
  <c r="M86" i="12" s="1"/>
  <c r="AA63" i="12"/>
  <c r="M63" i="12"/>
  <c r="BC63" i="12"/>
  <c r="Z63" i="12"/>
  <c r="AN63" i="12" s="1"/>
  <c r="F60" i="12"/>
  <c r="O16" i="12"/>
  <c r="AB16" i="12"/>
  <c r="AA16" i="12"/>
  <c r="AA24" i="12" s="1"/>
  <c r="Z16" i="12"/>
  <c r="X16" i="12"/>
  <c r="W16" i="12"/>
  <c r="W24" i="12"/>
  <c r="AY24" i="12" s="1"/>
  <c r="G15" i="12"/>
  <c r="M13" i="12"/>
  <c r="F14" i="12"/>
  <c r="E13" i="12"/>
  <c r="D13" i="12"/>
  <c r="R407" i="3"/>
  <c r="N407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AA394" i="3"/>
  <c r="AA392" i="3"/>
  <c r="AA390" i="3"/>
  <c r="R386" i="3"/>
  <c r="R387" i="3"/>
  <c r="R388" i="3"/>
  <c r="R389" i="3"/>
  <c r="R390" i="3"/>
  <c r="R391" i="3"/>
  <c r="R392" i="3"/>
  <c r="R393" i="3"/>
  <c r="R394" i="3"/>
  <c r="R395" i="3"/>
  <c r="R396" i="3"/>
  <c r="N386" i="3"/>
  <c r="N387" i="3"/>
  <c r="N388" i="3"/>
  <c r="N389" i="3"/>
  <c r="N390" i="3"/>
  <c r="N391" i="3"/>
  <c r="N392" i="3"/>
  <c r="N393" i="3"/>
  <c r="N394" i="3"/>
  <c r="N395" i="3"/>
  <c r="N396" i="3"/>
  <c r="R385" i="3"/>
  <c r="N385" i="3"/>
  <c r="I386" i="3"/>
  <c r="I387" i="3"/>
  <c r="I388" i="3"/>
  <c r="I389" i="3"/>
  <c r="I390" i="3"/>
  <c r="I391" i="3"/>
  <c r="I392" i="3"/>
  <c r="I393" i="3"/>
  <c r="I394" i="3"/>
  <c r="I395" i="3"/>
  <c r="I396" i="3"/>
  <c r="E386" i="3"/>
  <c r="E387" i="3"/>
  <c r="E388" i="3"/>
  <c r="E385" i="3"/>
  <c r="E389" i="3"/>
  <c r="E390" i="3"/>
  <c r="E391" i="3"/>
  <c r="E392" i="3"/>
  <c r="E393" i="3"/>
  <c r="E394" i="3"/>
  <c r="E395" i="3"/>
  <c r="E396" i="3"/>
  <c r="I385" i="3"/>
  <c r="D16" i="12"/>
  <c r="O24" i="12"/>
  <c r="N16" i="12"/>
  <c r="N24" i="12"/>
  <c r="BD24" i="12" s="1"/>
  <c r="M16" i="12"/>
  <c r="M39" i="12"/>
  <c r="M47" i="12" s="1"/>
  <c r="L16" i="12"/>
  <c r="L24" i="12" s="1"/>
  <c r="AN24" i="12" s="1"/>
  <c r="K16" i="12"/>
  <c r="K24" i="12" s="1"/>
  <c r="AM24" i="12" s="1"/>
  <c r="J16" i="12"/>
  <c r="AZ16" i="12" s="1"/>
  <c r="I16" i="12"/>
  <c r="I24" i="12"/>
  <c r="H16" i="12"/>
  <c r="G16" i="12"/>
  <c r="G24" i="12" s="1"/>
  <c r="F16" i="12"/>
  <c r="F24" i="12"/>
  <c r="E16" i="12"/>
  <c r="E24" i="12"/>
  <c r="AG24" i="12" s="1"/>
  <c r="S16" i="12"/>
  <c r="S24" i="12"/>
  <c r="AC63" i="12"/>
  <c r="AC71" i="12"/>
  <c r="AQ71" i="12" s="1"/>
  <c r="O63" i="12"/>
  <c r="O71" i="12"/>
  <c r="Y63" i="12"/>
  <c r="Y71" i="12" s="1"/>
  <c r="X63" i="12"/>
  <c r="X71" i="12" s="1"/>
  <c r="U63" i="12"/>
  <c r="AD63" i="12" s="1"/>
  <c r="S63" i="12"/>
  <c r="S71" i="12"/>
  <c r="AG71" i="12" s="1"/>
  <c r="E63" i="12"/>
  <c r="E71" i="12"/>
  <c r="AU71" i="12" s="1"/>
  <c r="R63" i="12"/>
  <c r="R71" i="12" s="1"/>
  <c r="L63" i="12"/>
  <c r="L71" i="12" s="1"/>
  <c r="J63" i="12"/>
  <c r="J71" i="12" s="1"/>
  <c r="K63" i="12"/>
  <c r="K71" i="12" s="1"/>
  <c r="D63" i="12"/>
  <c r="D71" i="12"/>
  <c r="F63" i="12"/>
  <c r="F71" i="12"/>
  <c r="G63" i="12"/>
  <c r="G71" i="12" s="1"/>
  <c r="H63" i="12"/>
  <c r="H71" i="12" s="1"/>
  <c r="I63" i="12"/>
  <c r="I71" i="12" s="1"/>
  <c r="M71" i="12"/>
  <c r="M94" i="12" s="1"/>
  <c r="N71" i="12"/>
  <c r="F61" i="12"/>
  <c r="I61" i="12"/>
  <c r="I64" i="12" s="1"/>
  <c r="I54" i="12"/>
  <c r="O61" i="12"/>
  <c r="M61" i="12"/>
  <c r="M84" i="12" s="1"/>
  <c r="M87" i="12" s="1"/>
  <c r="M54" i="12"/>
  <c r="L61" i="12"/>
  <c r="K61" i="12"/>
  <c r="K64" i="12" s="1"/>
  <c r="J61" i="12"/>
  <c r="E61" i="12"/>
  <c r="O15" i="12"/>
  <c r="N15" i="12"/>
  <c r="P15" i="12" s="1"/>
  <c r="L15" i="12"/>
  <c r="K15" i="12"/>
  <c r="J15" i="12"/>
  <c r="J38" i="12"/>
  <c r="H15" i="12"/>
  <c r="F15" i="12"/>
  <c r="D15" i="12"/>
  <c r="T16" i="12"/>
  <c r="R39" i="12" s="1"/>
  <c r="R16" i="12"/>
  <c r="K14" i="12"/>
  <c r="G14" i="12"/>
  <c r="E14" i="12"/>
  <c r="P14" i="12" s="1"/>
  <c r="D14" i="12"/>
  <c r="O14" i="12"/>
  <c r="N14" i="12"/>
  <c r="M37" i="12" s="1"/>
  <c r="M14" i="12"/>
  <c r="L14" i="12"/>
  <c r="J14" i="12"/>
  <c r="J37" i="12"/>
  <c r="I14" i="12"/>
  <c r="H13" i="12"/>
  <c r="BN77" i="10"/>
  <c r="BH77" i="10"/>
  <c r="BR77" i="10"/>
  <c r="BL77" i="10"/>
  <c r="BX77" i="10"/>
  <c r="BQ77" i="10"/>
  <c r="BP77" i="10"/>
  <c r="BJ77" i="10"/>
  <c r="BV77" i="10"/>
  <c r="BO77" i="10"/>
  <c r="BI77" i="10"/>
  <c r="BK77" i="10"/>
  <c r="BR76" i="10"/>
  <c r="BL76" i="10"/>
  <c r="BX76" i="10"/>
  <c r="BQ76" i="10"/>
  <c r="BK76" i="10"/>
  <c r="BW76" i="10"/>
  <c r="BP76" i="10"/>
  <c r="BO76" i="10"/>
  <c r="BI76" i="10"/>
  <c r="BU76" i="10"/>
  <c r="BN76" i="10"/>
  <c r="BH76" i="10"/>
  <c r="BJ76" i="10"/>
  <c r="I53" i="10"/>
  <c r="I67" i="10"/>
  <c r="H52" i="10"/>
  <c r="H66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BX50" i="10"/>
  <c r="BW50" i="10"/>
  <c r="BV50" i="10"/>
  <c r="BU50" i="10"/>
  <c r="BT50" i="10"/>
  <c r="O49" i="10"/>
  <c r="O64" i="10"/>
  <c r="N49" i="10"/>
  <c r="N64" i="10"/>
  <c r="M49" i="10"/>
  <c r="M64" i="10"/>
  <c r="L49" i="10"/>
  <c r="L64" i="10"/>
  <c r="K49" i="10"/>
  <c r="K64" i="10"/>
  <c r="J49" i="10"/>
  <c r="J64" i="10"/>
  <c r="I49" i="10"/>
  <c r="I64" i="10"/>
  <c r="H49" i="10"/>
  <c r="H64" i="10"/>
  <c r="G49" i="10"/>
  <c r="G64" i="10"/>
  <c r="F49" i="10"/>
  <c r="F64" i="10"/>
  <c r="E49" i="10"/>
  <c r="E64" i="10"/>
  <c r="D49" i="10"/>
  <c r="D64" i="10"/>
  <c r="O48" i="10"/>
  <c r="O63" i="10"/>
  <c r="N48" i="10"/>
  <c r="N63" i="10"/>
  <c r="M48" i="10"/>
  <c r="M63" i="10"/>
  <c r="L48" i="10"/>
  <c r="L63" i="10"/>
  <c r="K48" i="10"/>
  <c r="K63" i="10"/>
  <c r="J48" i="10"/>
  <c r="J63" i="10"/>
  <c r="I48" i="10"/>
  <c r="I63" i="10"/>
  <c r="H48" i="10"/>
  <c r="H63" i="10"/>
  <c r="G48" i="10"/>
  <c r="G63" i="10"/>
  <c r="F48" i="10"/>
  <c r="F63" i="10"/>
  <c r="E48" i="10"/>
  <c r="E63" i="10"/>
  <c r="D48" i="10"/>
  <c r="D63" i="10"/>
  <c r="O56" i="12"/>
  <c r="O32" i="10"/>
  <c r="M56" i="12"/>
  <c r="J56" i="12"/>
  <c r="K56" i="12"/>
  <c r="L56" i="12"/>
  <c r="J79" i="12"/>
  <c r="I56" i="12"/>
  <c r="H56" i="12"/>
  <c r="F56" i="12"/>
  <c r="E56" i="12"/>
  <c r="E62" i="12"/>
  <c r="E70" i="12" s="1"/>
  <c r="BK35" i="10"/>
  <c r="BJ35" i="10"/>
  <c r="BJ34" i="10"/>
  <c r="BJ36" i="10"/>
  <c r="BI35" i="10"/>
  <c r="BH35" i="10"/>
  <c r="P35" i="10"/>
  <c r="P17" i="10"/>
  <c r="P53" i="10"/>
  <c r="P67" i="10"/>
  <c r="BK34" i="10"/>
  <c r="BI34" i="10"/>
  <c r="BI36" i="10"/>
  <c r="BH34" i="10"/>
  <c r="BK36" i="10"/>
  <c r="P34" i="10"/>
  <c r="N32" i="10"/>
  <c r="N55" i="12"/>
  <c r="N69" i="12"/>
  <c r="M32" i="10"/>
  <c r="L32" i="10"/>
  <c r="K32" i="10"/>
  <c r="K55" i="12"/>
  <c r="K69" i="12"/>
  <c r="J32" i="10"/>
  <c r="I32" i="10"/>
  <c r="I55" i="12"/>
  <c r="I69" i="12"/>
  <c r="H32" i="10"/>
  <c r="H55" i="12"/>
  <c r="G32" i="10"/>
  <c r="G55" i="12"/>
  <c r="F32" i="10"/>
  <c r="F55" i="12"/>
  <c r="F69" i="12"/>
  <c r="E32" i="10"/>
  <c r="D32" i="10"/>
  <c r="D38" i="10"/>
  <c r="D39" i="10" s="1"/>
  <c r="D55" i="12"/>
  <c r="BK31" i="10"/>
  <c r="BK30" i="10"/>
  <c r="BK32" i="10"/>
  <c r="BK38" i="10"/>
  <c r="BJ31" i="10"/>
  <c r="BJ30" i="10"/>
  <c r="BJ32" i="10"/>
  <c r="BI31" i="10"/>
  <c r="BH31" i="10"/>
  <c r="BH30" i="10"/>
  <c r="P31" i="10"/>
  <c r="P30" i="10"/>
  <c r="P32" i="10"/>
  <c r="BI30" i="10"/>
  <c r="P12" i="10"/>
  <c r="P48" i="10"/>
  <c r="P63" i="10"/>
  <c r="J54" i="12"/>
  <c r="H54" i="12"/>
  <c r="H68" i="12" s="1"/>
  <c r="G54" i="12"/>
  <c r="F54" i="12"/>
  <c r="F68" i="12" s="1"/>
  <c r="D54" i="12"/>
  <c r="D68" i="12" s="1"/>
  <c r="M53" i="12"/>
  <c r="F53" i="12"/>
  <c r="F57" i="12" s="1"/>
  <c r="D53" i="12"/>
  <c r="O18" i="10"/>
  <c r="O9" i="12"/>
  <c r="N18" i="10"/>
  <c r="M18" i="10"/>
  <c r="M80" i="10"/>
  <c r="L18" i="10"/>
  <c r="K18" i="10"/>
  <c r="K80" i="10"/>
  <c r="J18" i="10"/>
  <c r="J9" i="12"/>
  <c r="I18" i="10"/>
  <c r="I15" i="12"/>
  <c r="G38" i="12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P18" i="10"/>
  <c r="O14" i="10"/>
  <c r="N14" i="10"/>
  <c r="M14" i="10"/>
  <c r="L14" i="10"/>
  <c r="K14" i="10"/>
  <c r="J14" i="10"/>
  <c r="J76" i="10"/>
  <c r="I14" i="10"/>
  <c r="H14" i="10"/>
  <c r="H76" i="10"/>
  <c r="G14" i="10"/>
  <c r="G77" i="10"/>
  <c r="F14" i="10"/>
  <c r="F77" i="10"/>
  <c r="E14" i="10"/>
  <c r="D14" i="10"/>
  <c r="BK13" i="10"/>
  <c r="BJ13" i="10"/>
  <c r="BJ12" i="10"/>
  <c r="BJ14" i="10"/>
  <c r="BI13" i="10"/>
  <c r="BI12" i="10"/>
  <c r="BH12" i="10"/>
  <c r="BK12" i="10"/>
  <c r="BL12" i="10"/>
  <c r="BH13" i="10"/>
  <c r="P13" i="10"/>
  <c r="P49" i="10"/>
  <c r="P64" i="10"/>
  <c r="BK14" i="10"/>
  <c r="J7" i="12"/>
  <c r="J21" i="12" s="1"/>
  <c r="D7" i="12"/>
  <c r="D21" i="12" s="1"/>
  <c r="D25" i="12" s="1"/>
  <c r="L6" i="12"/>
  <c r="J29" i="12" s="1"/>
  <c r="G20" i="10"/>
  <c r="D6" i="12"/>
  <c r="D20" i="12"/>
  <c r="H9" i="12"/>
  <c r="H23" i="12"/>
  <c r="BI53" i="10"/>
  <c r="BI67" i="10"/>
  <c r="G7" i="12"/>
  <c r="G21" i="12" s="1"/>
  <c r="G53" i="12"/>
  <c r="K53" i="12"/>
  <c r="K67" i="12" s="1"/>
  <c r="E15" i="12"/>
  <c r="Q15" i="12"/>
  <c r="M15" i="12"/>
  <c r="N54" i="12"/>
  <c r="H6" i="12"/>
  <c r="F8" i="12"/>
  <c r="F22" i="12"/>
  <c r="F76" i="10"/>
  <c r="J8" i="12"/>
  <c r="H80" i="10"/>
  <c r="D67" i="10"/>
  <c r="L67" i="10"/>
  <c r="F13" i="12"/>
  <c r="J13" i="12"/>
  <c r="J17" i="12" s="1"/>
  <c r="K13" i="12"/>
  <c r="O13" i="12"/>
  <c r="O17" i="12"/>
  <c r="N62" i="12"/>
  <c r="N70" i="12" s="1"/>
  <c r="E7" i="12"/>
  <c r="I7" i="12"/>
  <c r="I21" i="12" s="1"/>
  <c r="K6" i="12"/>
  <c r="O6" i="12"/>
  <c r="F7" i="12"/>
  <c r="N7" i="12"/>
  <c r="E77" i="10"/>
  <c r="F80" i="10"/>
  <c r="J79" i="10"/>
  <c r="J80" i="10"/>
  <c r="H38" i="10"/>
  <c r="L80" i="10"/>
  <c r="AG16" i="12"/>
  <c r="AK16" i="12"/>
  <c r="AN16" i="12"/>
  <c r="AY16" i="12"/>
  <c r="I60" i="12"/>
  <c r="I53" i="12"/>
  <c r="I67" i="12" s="1"/>
  <c r="U71" i="12"/>
  <c r="AI71" i="12" s="1"/>
  <c r="BE63" i="12"/>
  <c r="AQ63" i="12"/>
  <c r="R24" i="12"/>
  <c r="V63" i="12"/>
  <c r="V71" i="12" s="1"/>
  <c r="H62" i="12"/>
  <c r="M24" i="12"/>
  <c r="H20" i="12"/>
  <c r="H60" i="12"/>
  <c r="S350" i="3"/>
  <c r="R350" i="3"/>
  <c r="O350" i="3"/>
  <c r="N350" i="3"/>
  <c r="F350" i="3"/>
  <c r="S319" i="3"/>
  <c r="R319" i="3"/>
  <c r="O319" i="3"/>
  <c r="N319" i="3"/>
  <c r="F319" i="3"/>
  <c r="S287" i="3"/>
  <c r="R287" i="3"/>
  <c r="O287" i="3"/>
  <c r="N287" i="3"/>
  <c r="F287" i="3"/>
  <c r="S256" i="3"/>
  <c r="R256" i="3"/>
  <c r="O256" i="3"/>
  <c r="N256" i="3"/>
  <c r="F256" i="3"/>
  <c r="S224" i="3"/>
  <c r="R224" i="3"/>
  <c r="O224" i="3"/>
  <c r="N224" i="3"/>
  <c r="F224" i="3"/>
  <c r="S192" i="3"/>
  <c r="R192" i="3"/>
  <c r="O192" i="3"/>
  <c r="N192" i="3"/>
  <c r="F192" i="3"/>
  <c r="S161" i="3"/>
  <c r="S37" i="3"/>
  <c r="S66" i="3"/>
  <c r="S98" i="3"/>
  <c r="S129" i="3"/>
  <c r="R161" i="3"/>
  <c r="O161" i="3"/>
  <c r="N161" i="3"/>
  <c r="F161" i="3"/>
  <c r="F37" i="3"/>
  <c r="F66" i="3"/>
  <c r="F98" i="3"/>
  <c r="F129" i="3"/>
  <c r="R129" i="3"/>
  <c r="O129" i="3"/>
  <c r="O37" i="3"/>
  <c r="O66" i="3"/>
  <c r="O98" i="3"/>
  <c r="N129" i="3"/>
  <c r="N37" i="3"/>
  <c r="N66" i="3"/>
  <c r="N98" i="3"/>
  <c r="R98" i="3"/>
  <c r="R37" i="3"/>
  <c r="R66" i="3"/>
  <c r="S5" i="3"/>
  <c r="R5" i="3"/>
  <c r="O5" i="3"/>
  <c r="N5" i="3"/>
  <c r="J5" i="3"/>
  <c r="I5" i="3"/>
  <c r="F5" i="3"/>
  <c r="E5" i="3"/>
  <c r="V65" i="2"/>
  <c r="R65" i="2"/>
  <c r="L65" i="2"/>
  <c r="K65" i="2"/>
  <c r="H65" i="2"/>
  <c r="G65" i="2"/>
  <c r="H77" i="10"/>
  <c r="H8" i="12"/>
  <c r="H22" i="12"/>
  <c r="O20" i="10"/>
  <c r="O77" i="10"/>
  <c r="N79" i="10"/>
  <c r="N80" i="10"/>
  <c r="N9" i="12"/>
  <c r="AG63" i="12"/>
  <c r="M6" i="12"/>
  <c r="M10" i="12" s="1"/>
  <c r="L77" i="10"/>
  <c r="BJ52" i="10"/>
  <c r="BJ66" i="10"/>
  <c r="I6" i="12"/>
  <c r="L54" i="12"/>
  <c r="P36" i="10"/>
  <c r="K38" i="10"/>
  <c r="BL13" i="10"/>
  <c r="G8" i="12"/>
  <c r="G76" i="10"/>
  <c r="BL35" i="10"/>
  <c r="E54" i="12"/>
  <c r="D77" i="12" s="1"/>
  <c r="BV76" i="10"/>
  <c r="D61" i="12"/>
  <c r="J53" i="12"/>
  <c r="G56" i="12"/>
  <c r="G38" i="10"/>
  <c r="BW77" i="10"/>
  <c r="H24" i="12"/>
  <c r="E68" i="12"/>
  <c r="D86" i="12"/>
  <c r="AU63" i="12"/>
  <c r="AC82" i="16"/>
  <c r="AI35" i="16"/>
  <c r="M42" i="16"/>
  <c r="I42" i="16"/>
  <c r="E42" i="16"/>
  <c r="AF37" i="16"/>
  <c r="Q37" i="16"/>
  <c r="S35" i="16"/>
  <c r="AE18" i="16"/>
  <c r="M22" i="16"/>
  <c r="I22" i="16"/>
  <c r="E22" i="16"/>
  <c r="W22" i="16"/>
  <c r="AD22" i="16"/>
  <c r="AE22" i="16"/>
  <c r="AE23" i="16"/>
  <c r="BE65" i="16"/>
  <c r="BF65" i="16"/>
  <c r="AT58" i="16"/>
  <c r="AU17" i="16"/>
  <c r="AU58" i="16"/>
  <c r="AU37" i="16"/>
  <c r="AU77" i="16"/>
  <c r="P22" i="16"/>
  <c r="L22" i="16"/>
  <c r="H22" i="16"/>
  <c r="Z22" i="16"/>
  <c r="O42" i="16"/>
  <c r="K42" i="16"/>
  <c r="G42" i="16"/>
  <c r="P42" i="16"/>
  <c r="L42" i="16"/>
  <c r="H42" i="16"/>
  <c r="AD42" i="16"/>
  <c r="Z42" i="16"/>
  <c r="AR22" i="16"/>
  <c r="AR58" i="16"/>
  <c r="AN22" i="16"/>
  <c r="AD14" i="16"/>
  <c r="AI36" i="16"/>
  <c r="AO42" i="16"/>
  <c r="AS42" i="16"/>
  <c r="AC42" i="16"/>
  <c r="AS64" i="16"/>
  <c r="AS65" i="16"/>
  <c r="AT65" i="16"/>
  <c r="AU21" i="16"/>
  <c r="AU64" i="16"/>
  <c r="AU65" i="16"/>
  <c r="AV65" i="16"/>
  <c r="AO22" i="16"/>
  <c r="AO64" i="16"/>
  <c r="AO67" i="16"/>
  <c r="AO68" i="16"/>
  <c r="AK22" i="16"/>
  <c r="AK64" i="16"/>
  <c r="AE14" i="16"/>
  <c r="AE42" i="16"/>
  <c r="AA42" i="16"/>
  <c r="W42" i="16"/>
  <c r="AB42" i="16"/>
  <c r="X42" i="16"/>
  <c r="T42" i="16"/>
  <c r="AJ85" i="16"/>
  <c r="AT42" i="16"/>
  <c r="AT22" i="16"/>
  <c r="AT3" i="16" s="1"/>
  <c r="BN22" i="16" s="1"/>
  <c r="BN21" i="16" s="1"/>
  <c r="BN64" i="16" s="1"/>
  <c r="BN67" i="16" s="1"/>
  <c r="BN68" i="16" s="1"/>
  <c r="BN41" i="16" s="1"/>
  <c r="H69" i="12"/>
  <c r="AI20" i="16"/>
  <c r="AF17" i="16"/>
  <c r="AH36" i="16"/>
  <c r="W71" i="16"/>
  <c r="Z71" i="16"/>
  <c r="AQ62" i="16"/>
  <c r="AF21" i="16"/>
  <c r="AH20" i="16"/>
  <c r="AD18" i="16"/>
  <c r="Q41" i="16"/>
  <c r="S39" i="16"/>
  <c r="AF41" i="16"/>
  <c r="AF61" i="16"/>
  <c r="AB83" i="16"/>
  <c r="AB86" i="16"/>
  <c r="AB71" i="16"/>
  <c r="AE71" i="16"/>
  <c r="V71" i="16"/>
  <c r="AB22" i="16"/>
  <c r="X22" i="16"/>
  <c r="T22" i="16"/>
  <c r="AI39" i="16"/>
  <c r="X83" i="16"/>
  <c r="X71" i="16"/>
  <c r="AA71" i="16"/>
  <c r="AD71" i="16"/>
  <c r="AH35" i="16"/>
  <c r="T85" i="16"/>
  <c r="T83" i="16"/>
  <c r="W83" i="16"/>
  <c r="W82" i="16"/>
  <c r="AJ22" i="16"/>
  <c r="AJ3" i="16" s="1"/>
  <c r="BD22" i="16" s="1"/>
  <c r="AQ22" i="16"/>
  <c r="AM22" i="16"/>
  <c r="AU75" i="16"/>
  <c r="AV40" i="16"/>
  <c r="AV36" i="16"/>
  <c r="AY36" i="16"/>
  <c r="AV16" i="16"/>
  <c r="AY16" i="16"/>
  <c r="AI17" i="16"/>
  <c r="AH19" i="16"/>
  <c r="AV35" i="16"/>
  <c r="AV39" i="16"/>
  <c r="AV15" i="16"/>
  <c r="AU41" i="16"/>
  <c r="AU78" i="16"/>
  <c r="AU79" i="16"/>
  <c r="AV19" i="16"/>
  <c r="AY19" i="16"/>
  <c r="AV20" i="16"/>
  <c r="AY20" i="16"/>
  <c r="W5" i="3"/>
  <c r="N56" i="12"/>
  <c r="N38" i="10"/>
  <c r="O53" i="12"/>
  <c r="O67" i="12" s="1"/>
  <c r="L60" i="12"/>
  <c r="L64" i="12" s="1"/>
  <c r="E6" i="12"/>
  <c r="N8" i="12"/>
  <c r="N22" i="12"/>
  <c r="N77" i="10"/>
  <c r="N76" i="10"/>
  <c r="L9" i="12"/>
  <c r="L79" i="10"/>
  <c r="M38" i="12"/>
  <c r="M46" i="12" s="1"/>
  <c r="F38" i="10"/>
  <c r="L23" i="12"/>
  <c r="I76" i="10"/>
  <c r="BK53" i="10"/>
  <c r="BK67" i="10"/>
  <c r="I38" i="10"/>
  <c r="BE66" i="16"/>
  <c r="AL58" i="16"/>
  <c r="AL61" i="16"/>
  <c r="AL62" i="16"/>
  <c r="AL84" i="16"/>
  <c r="AS61" i="16"/>
  <c r="AS62" i="16"/>
  <c r="AS84" i="16"/>
  <c r="AN42" i="16"/>
  <c r="AJ42" i="16"/>
  <c r="AK84" i="16"/>
  <c r="AN79" i="16"/>
  <c r="AL22" i="16"/>
  <c r="AV37" i="16"/>
  <c r="AX35" i="16"/>
  <c r="BC35" i="16"/>
  <c r="AK67" i="16"/>
  <c r="AU42" i="16"/>
  <c r="AY35" i="16"/>
  <c r="AY15" i="16"/>
  <c r="AZ63" i="12"/>
  <c r="J60" i="12"/>
  <c r="AV17" i="16"/>
  <c r="AX16" i="16"/>
  <c r="D39" i="12"/>
  <c r="Y16" i="12"/>
  <c r="Y24" i="12"/>
  <c r="AU16" i="12"/>
  <c r="N53" i="12"/>
  <c r="BI32" i="10"/>
  <c r="G39" i="12"/>
  <c r="AW39" i="12" s="1"/>
  <c r="G79" i="10"/>
  <c r="J20" i="10"/>
  <c r="K7" i="12"/>
  <c r="K21" i="12" s="1"/>
  <c r="O79" i="10"/>
  <c r="O80" i="10"/>
  <c r="L53" i="12"/>
  <c r="O54" i="12"/>
  <c r="O68" i="12" s="1"/>
  <c r="G80" i="10"/>
  <c r="H53" i="12"/>
  <c r="H57" i="12"/>
  <c r="AB24" i="12"/>
  <c r="K54" i="12"/>
  <c r="BJ53" i="10"/>
  <c r="BJ67" i="10"/>
  <c r="AA408" i="3"/>
  <c r="N401" i="3"/>
  <c r="W63" i="12"/>
  <c r="R403" i="3"/>
  <c r="R401" i="3"/>
  <c r="R404" i="3"/>
  <c r="R405" i="3"/>
  <c r="R406" i="3"/>
  <c r="R410" i="3"/>
  <c r="R411" i="3"/>
  <c r="R413" i="3"/>
  <c r="E53" i="12"/>
  <c r="D56" i="12"/>
  <c r="AQ70" i="16"/>
  <c r="N42" i="16"/>
  <c r="AR85" i="16"/>
  <c r="AP70" i="16"/>
  <c r="AP22" i="16"/>
  <c r="AP3" i="16" s="1"/>
  <c r="BJ22" i="16" s="1"/>
  <c r="AK68" i="16"/>
  <c r="M76" i="12"/>
  <c r="N67" i="12"/>
  <c r="N57" i="12"/>
  <c r="BC16" i="16"/>
  <c r="AY17" i="16"/>
  <c r="K17" i="12"/>
  <c r="BA16" i="12"/>
  <c r="AX15" i="16"/>
  <c r="BC15" i="16"/>
  <c r="AP82" i="16"/>
  <c r="D47" i="12"/>
  <c r="L62" i="12"/>
  <c r="N402" i="3"/>
  <c r="AC65" i="2"/>
  <c r="W386" i="3"/>
  <c r="W65" i="2"/>
  <c r="N409" i="3"/>
  <c r="N412" i="3"/>
  <c r="AG65" i="2"/>
  <c r="AA402" i="3"/>
  <c r="N405" i="3"/>
  <c r="R397" i="3"/>
  <c r="I397" i="3"/>
  <c r="E397" i="3"/>
  <c r="N397" i="3"/>
  <c r="E413" i="3"/>
  <c r="AY40" i="16"/>
  <c r="AL63" i="12"/>
  <c r="I9" i="12"/>
  <c r="M79" i="12"/>
  <c r="AV21" i="16"/>
  <c r="G79" i="12"/>
  <c r="AU22" i="16"/>
  <c r="M8" i="12"/>
  <c r="G78" i="12"/>
  <c r="AR61" i="16"/>
  <c r="AR70" i="16"/>
  <c r="F21" i="12"/>
  <c r="K20" i="12"/>
  <c r="Q22" i="16"/>
  <c r="V82" i="16"/>
  <c r="I80" i="10"/>
  <c r="I79" i="10"/>
  <c r="N411" i="3"/>
  <c r="W408" i="3"/>
  <c r="N408" i="3"/>
  <c r="S65" i="2"/>
  <c r="T63" i="12"/>
  <c r="R86" i="12"/>
  <c r="AP63" i="12"/>
  <c r="AF63" i="12"/>
  <c r="AT63" i="12"/>
  <c r="D9" i="12"/>
  <c r="G23" i="12"/>
  <c r="O62" i="12"/>
  <c r="U16" i="12"/>
  <c r="M76" i="10"/>
  <c r="M77" i="10"/>
  <c r="K79" i="10"/>
  <c r="K20" i="10"/>
  <c r="AA406" i="3"/>
  <c r="AL76" i="16"/>
  <c r="AQ76" i="16"/>
  <c r="AQ79" i="16" s="1"/>
  <c r="AL42" i="16"/>
  <c r="I413" i="3"/>
  <c r="N404" i="3"/>
  <c r="U22" i="16"/>
  <c r="AP42" i="16"/>
  <c r="N403" i="3"/>
  <c r="F42" i="16"/>
  <c r="AM84" i="16"/>
  <c r="AS79" i="16"/>
  <c r="AQ42" i="16"/>
  <c r="AM42" i="16"/>
  <c r="G86" i="12"/>
  <c r="I62" i="12"/>
  <c r="AY21" i="16"/>
  <c r="AX20" i="16"/>
  <c r="BC20" i="16"/>
  <c r="AH63" i="12"/>
  <c r="D23" i="12"/>
  <c r="W411" i="3"/>
  <c r="M22" i="12"/>
  <c r="K60" i="12"/>
  <c r="AA410" i="3"/>
  <c r="AV63" i="12"/>
  <c r="T71" i="12"/>
  <c r="I23" i="12"/>
  <c r="G32" i="12"/>
  <c r="G46" i="12"/>
  <c r="S4" i="16"/>
  <c r="AR62" i="16"/>
  <c r="AX19" i="16"/>
  <c r="BC19" i="16"/>
  <c r="K68" i="12"/>
  <c r="K62" i="12"/>
  <c r="K70" i="12"/>
  <c r="AV71" i="12"/>
  <c r="AH71" i="12"/>
  <c r="I70" i="12"/>
  <c r="AU67" i="16"/>
  <c r="AU68" i="16"/>
  <c r="AU85" i="16"/>
  <c r="AR84" i="16"/>
  <c r="W71" i="12"/>
  <c r="BF66" i="16"/>
  <c r="BG66" i="16"/>
  <c r="BH66" i="16"/>
  <c r="BI66" i="16"/>
  <c r="BJ66" i="16"/>
  <c r="BK66" i="16"/>
  <c r="BL66" i="16"/>
  <c r="BM66" i="16"/>
  <c r="BN66" i="16"/>
  <c r="BO66" i="16"/>
  <c r="AY39" i="16"/>
  <c r="BG65" i="16"/>
  <c r="BH65" i="16"/>
  <c r="BE59" i="16"/>
  <c r="BF59" i="16"/>
  <c r="BG59" i="16"/>
  <c r="BH59" i="16"/>
  <c r="AK78" i="16"/>
  <c r="AV41" i="16"/>
  <c r="AK42" i="16"/>
  <c r="AS22" i="16"/>
  <c r="L70" i="12"/>
  <c r="AH39" i="16"/>
  <c r="AH40" i="16"/>
  <c r="AI41" i="16"/>
  <c r="AY63" i="12"/>
  <c r="M77" i="12"/>
  <c r="AH16" i="16"/>
  <c r="AH15" i="16"/>
  <c r="AV42" i="16"/>
  <c r="AY42" i="16" s="1"/>
  <c r="M7" i="12"/>
  <c r="M21" i="12" s="1"/>
  <c r="BI18" i="10"/>
  <c r="BI80" i="10"/>
  <c r="BI52" i="10"/>
  <c r="BI66" i="10"/>
  <c r="BI79" i="10"/>
  <c r="O23" i="12"/>
  <c r="AP71" i="16"/>
  <c r="AF42" i="16"/>
  <c r="AI42" i="16" s="1"/>
  <c r="AO85" i="16"/>
  <c r="G6" i="12"/>
  <c r="G10" i="12"/>
  <c r="M20" i="10"/>
  <c r="K8" i="12"/>
  <c r="K22" i="12"/>
  <c r="K77" i="10"/>
  <c r="O76" i="10"/>
  <c r="O8" i="12"/>
  <c r="O22" i="12"/>
  <c r="O7" i="12"/>
  <c r="O21" i="12" s="1"/>
  <c r="E9" i="12"/>
  <c r="E80" i="10"/>
  <c r="BB35" i="16"/>
  <c r="S40" i="16"/>
  <c r="K76" i="10"/>
  <c r="J6" i="12"/>
  <c r="BK52" i="10"/>
  <c r="BH32" i="10"/>
  <c r="BL30" i="10"/>
  <c r="F6" i="12"/>
  <c r="D29" i="12" s="1"/>
  <c r="G61" i="12"/>
  <c r="AO84" i="16"/>
  <c r="AV77" i="16"/>
  <c r="AM16" i="12"/>
  <c r="AY37" i="16"/>
  <c r="AI21" i="16"/>
  <c r="J22" i="12"/>
  <c r="BH14" i="10"/>
  <c r="E76" i="10"/>
  <c r="E8" i="12"/>
  <c r="E22" i="12"/>
  <c r="L55" i="12"/>
  <c r="L38" i="10"/>
  <c r="D24" i="12"/>
  <c r="AF24" i="12" s="1"/>
  <c r="AF16" i="12"/>
  <c r="D17" i="12"/>
  <c r="AT16" i="12"/>
  <c r="I13" i="12"/>
  <c r="H14" i="12"/>
  <c r="Z24" i="12"/>
  <c r="BB24" i="12" s="1"/>
  <c r="BB16" i="12"/>
  <c r="AC16" i="12"/>
  <c r="AQ16" i="12"/>
  <c r="AO63" i="12"/>
  <c r="AA86" i="12"/>
  <c r="AA71" i="12"/>
  <c r="N61" i="12"/>
  <c r="AC68" i="16"/>
  <c r="AF68" i="16"/>
  <c r="AF67" i="16"/>
  <c r="V85" i="16"/>
  <c r="AR75" i="16"/>
  <c r="AR42" i="16"/>
  <c r="BU77" i="10"/>
  <c r="G37" i="12"/>
  <c r="L13" i="12"/>
  <c r="D80" i="10"/>
  <c r="F79" i="10"/>
  <c r="G13" i="12"/>
  <c r="J77" i="10"/>
  <c r="N13" i="12"/>
  <c r="M36" i="12" s="1"/>
  <c r="V16" i="12"/>
  <c r="AM67" i="16"/>
  <c r="AT67" i="16"/>
  <c r="AT68" i="16"/>
  <c r="AT85" i="16"/>
  <c r="AP84" i="16"/>
  <c r="AG81" i="2"/>
  <c r="AC82" i="2"/>
  <c r="AG79" i="2"/>
  <c r="AC80" i="2"/>
  <c r="AH77" i="2"/>
  <c r="W82" i="2"/>
  <c r="AH82" i="2"/>
  <c r="AA412" i="3"/>
  <c r="AM68" i="16"/>
  <c r="AM85" i="16"/>
  <c r="N17" i="12"/>
  <c r="AC71" i="16"/>
  <c r="BE16" i="12"/>
  <c r="AC24" i="12"/>
  <c r="L69" i="12"/>
  <c r="L57" i="12"/>
  <c r="J10" i="12"/>
  <c r="AG37" i="16"/>
  <c r="M60" i="12"/>
  <c r="AX40" i="16"/>
  <c r="AY41" i="16"/>
  <c r="G36" i="12"/>
  <c r="G40" i="12" s="1"/>
  <c r="Q42" i="16"/>
  <c r="R37" i="16" s="1"/>
  <c r="AO71" i="12"/>
  <c r="BC71" i="12"/>
  <c r="G62" i="12"/>
  <c r="F62" i="12"/>
  <c r="D32" i="12"/>
  <c r="AV78" i="16"/>
  <c r="AK85" i="16"/>
  <c r="AJ16" i="12"/>
  <c r="U39" i="12"/>
  <c r="H17" i="12"/>
  <c r="AF22" i="16"/>
  <c r="AI22" i="16" s="1"/>
  <c r="I17" i="12"/>
  <c r="F10" i="12"/>
  <c r="F20" i="12"/>
  <c r="BK66" i="10"/>
  <c r="M31" i="12"/>
  <c r="M45" i="12"/>
  <c r="I20" i="12"/>
  <c r="AX39" i="16"/>
  <c r="G29" i="12"/>
  <c r="BB39" i="16"/>
  <c r="BC39" i="16"/>
  <c r="AH4" i="16"/>
  <c r="AG21" i="16"/>
  <c r="BC40" i="16"/>
  <c r="BB40" i="16"/>
  <c r="G85" i="12"/>
  <c r="F70" i="12"/>
  <c r="F64" i="12"/>
  <c r="R41" i="16"/>
  <c r="AD75" i="2"/>
  <c r="AD82" i="2"/>
  <c r="AH66" i="2"/>
  <c r="S82" i="2"/>
  <c r="AH69" i="2"/>
  <c r="BI65" i="16"/>
  <c r="BJ65" i="16"/>
  <c r="BI59" i="16"/>
  <c r="BJ59" i="16"/>
  <c r="BK59" i="16"/>
  <c r="BL59" i="16"/>
  <c r="BM59" i="16"/>
  <c r="BN59" i="16"/>
  <c r="BO59" i="16"/>
  <c r="O70" i="12"/>
  <c r="BP66" i="16"/>
  <c r="AU59" i="16"/>
  <c r="AU61" i="16"/>
  <c r="H70" i="12"/>
  <c r="X39" i="12"/>
  <c r="AX36" i="16"/>
  <c r="BI14" i="10"/>
  <c r="P79" i="10"/>
  <c r="P52" i="10"/>
  <c r="K9" i="12"/>
  <c r="J32" i="12"/>
  <c r="M9" i="12"/>
  <c r="M79" i="10"/>
  <c r="BJ38" i="10"/>
  <c r="BT76" i="10"/>
  <c r="BH18" i="10"/>
  <c r="BH79" i="10"/>
  <c r="BJ18" i="10"/>
  <c r="P14" i="10"/>
  <c r="P77" i="10"/>
  <c r="N22" i="16"/>
  <c r="AD71" i="2"/>
  <c r="N406" i="3"/>
  <c r="N413" i="3" s="1"/>
  <c r="AG80" i="2"/>
  <c r="AA389" i="3"/>
  <c r="AA397" i="3"/>
  <c r="V22" i="16"/>
  <c r="Y22" i="16"/>
  <c r="AP79" i="16"/>
  <c r="AD68" i="2"/>
  <c r="S81" i="2"/>
  <c r="AD74" i="2"/>
  <c r="W79" i="2"/>
  <c r="AP85" i="16"/>
  <c r="AJ79" i="16"/>
  <c r="BP60" i="16"/>
  <c r="AD66" i="2"/>
  <c r="S79" i="2"/>
  <c r="AC81" i="2"/>
  <c r="W410" i="3"/>
  <c r="AD81" i="2"/>
  <c r="M23" i="12"/>
  <c r="M32" i="12"/>
  <c r="P32" i="12"/>
  <c r="BL14" i="10"/>
  <c r="BI20" i="10"/>
  <c r="AV22" i="16"/>
  <c r="AR3" i="16" s="1"/>
  <c r="BL22" i="16" s="1"/>
  <c r="AA401" i="3"/>
  <c r="AH79" i="2"/>
  <c r="W409" i="3"/>
  <c r="BJ80" i="10"/>
  <c r="BJ79" i="10"/>
  <c r="K23" i="12"/>
  <c r="P9" i="12"/>
  <c r="BC36" i="16"/>
  <c r="BB36" i="16"/>
  <c r="BQ66" i="16"/>
  <c r="BS66" i="16"/>
  <c r="W401" i="3"/>
  <c r="BQ60" i="16"/>
  <c r="BS60" i="16"/>
  <c r="P76" i="10"/>
  <c r="BH20" i="10"/>
  <c r="BH80" i="10"/>
  <c r="P66" i="10"/>
  <c r="W403" i="3"/>
  <c r="W406" i="3"/>
  <c r="BJ20" i="10"/>
  <c r="N5" i="18"/>
  <c r="BT22" i="16"/>
  <c r="AU3" i="16"/>
  <c r="BO22" i="16" s="1"/>
  <c r="AW17" i="16"/>
  <c r="AW21" i="16"/>
  <c r="AQ3" i="16"/>
  <c r="BK22" i="16" s="1"/>
  <c r="J46" i="12"/>
  <c r="U71" i="16"/>
  <c r="BK65" i="16"/>
  <c r="BL65" i="16"/>
  <c r="U82" i="16"/>
  <c r="AU62" i="16"/>
  <c r="BP59" i="16"/>
  <c r="S80" i="2"/>
  <c r="AD79" i="2"/>
  <c r="M67" i="12"/>
  <c r="AT86" i="12"/>
  <c r="AF86" i="12"/>
  <c r="G70" i="12"/>
  <c r="G93" i="12" s="1"/>
  <c r="G68" i="12"/>
  <c r="G43" i="12"/>
  <c r="AQ84" i="16"/>
  <c r="AT59" i="16"/>
  <c r="AV59" i="16"/>
  <c r="AV58" i="16"/>
  <c r="H7" i="12"/>
  <c r="H10" i="12" s="1"/>
  <c r="H20" i="10"/>
  <c r="D8" i="12"/>
  <c r="D76" i="10"/>
  <c r="I77" i="10"/>
  <c r="I20" i="10"/>
  <c r="I8" i="12"/>
  <c r="L8" i="12"/>
  <c r="L76" i="10"/>
  <c r="BL17" i="10"/>
  <c r="BH53" i="10"/>
  <c r="BH67" i="10"/>
  <c r="BH36" i="10"/>
  <c r="BL36" i="10"/>
  <c r="BH52" i="10"/>
  <c r="BH66" i="10"/>
  <c r="BL34" i="10"/>
  <c r="BL52" i="10"/>
  <c r="BL66" i="10"/>
  <c r="F23" i="12"/>
  <c r="F17" i="12"/>
  <c r="Y71" i="16"/>
  <c r="AF71" i="16" s="1"/>
  <c r="Y82" i="16"/>
  <c r="Y86" i="16"/>
  <c r="V24" i="12"/>
  <c r="P13" i="12"/>
  <c r="P17" i="12" s="1"/>
  <c r="L20" i="12"/>
  <c r="N64" i="12"/>
  <c r="J31" i="12"/>
  <c r="J45" i="12"/>
  <c r="BK18" i="10"/>
  <c r="J23" i="12"/>
  <c r="M17" i="12"/>
  <c r="E60" i="12"/>
  <c r="P80" i="10"/>
  <c r="AI37" i="16"/>
  <c r="D84" i="12"/>
  <c r="BL53" i="10"/>
  <c r="BL67" i="10"/>
  <c r="M20" i="12"/>
  <c r="H67" i="12"/>
  <c r="E20" i="10"/>
  <c r="L20" i="10"/>
  <c r="L7" i="12"/>
  <c r="BL31" i="10"/>
  <c r="D69" i="12"/>
  <c r="G57" i="12"/>
  <c r="G69" i="12"/>
  <c r="G92" i="12"/>
  <c r="H61" i="12"/>
  <c r="D62" i="12"/>
  <c r="X24" i="12"/>
  <c r="AP16" i="12"/>
  <c r="AQ24" i="12"/>
  <c r="AG17" i="16"/>
  <c r="E10" i="12"/>
  <c r="G20" i="12"/>
  <c r="AX16" i="12"/>
  <c r="AW41" i="16"/>
  <c r="AC85" i="16"/>
  <c r="AT61" i="16"/>
  <c r="BL32" i="10"/>
  <c r="AS67" i="16"/>
  <c r="D79" i="12"/>
  <c r="P79" i="12"/>
  <c r="J83" i="12"/>
  <c r="U24" i="12"/>
  <c r="AV64" i="16"/>
  <c r="P56" i="12"/>
  <c r="S36" i="16"/>
  <c r="T71" i="16"/>
  <c r="AF62" i="16"/>
  <c r="J62" i="12"/>
  <c r="M55" i="12"/>
  <c r="M38" i="10"/>
  <c r="O55" i="12"/>
  <c r="O38" i="10"/>
  <c r="F20" i="10"/>
  <c r="BT77" i="10"/>
  <c r="BD16" i="12"/>
  <c r="BB63" i="12"/>
  <c r="BE24" i="12"/>
  <c r="E23" i="12"/>
  <c r="D38" i="12"/>
  <c r="D46" i="12" s="1"/>
  <c r="D20" i="10"/>
  <c r="G22" i="12"/>
  <c r="G31" i="12"/>
  <c r="G45" i="12"/>
  <c r="L68" i="12"/>
  <c r="D77" i="10"/>
  <c r="O60" i="12"/>
  <c r="N6" i="12"/>
  <c r="N20" i="10"/>
  <c r="P38" i="10"/>
  <c r="J68" i="12"/>
  <c r="J77" i="12"/>
  <c r="BI38" i="10"/>
  <c r="BL38" i="10"/>
  <c r="BH38" i="10"/>
  <c r="E55" i="12"/>
  <c r="E38" i="10"/>
  <c r="J55" i="12"/>
  <c r="J38" i="10"/>
  <c r="AB71" i="12"/>
  <c r="M62" i="12"/>
  <c r="AQ85" i="16"/>
  <c r="AL85" i="16"/>
  <c r="AJ84" i="16"/>
  <c r="AC79" i="2"/>
  <c r="W385" i="3"/>
  <c r="W397" i="3" s="1"/>
  <c r="W389" i="3"/>
  <c r="AH74" i="2"/>
  <c r="AA409" i="3"/>
  <c r="O22" i="16"/>
  <c r="G22" i="16"/>
  <c r="AD69" i="2"/>
  <c r="W80" i="2"/>
  <c r="W81" i="2"/>
  <c r="AH81" i="2"/>
  <c r="M70" i="12"/>
  <c r="M85" i="12"/>
  <c r="E69" i="12"/>
  <c r="E57" i="12"/>
  <c r="P55" i="12"/>
  <c r="J85" i="12"/>
  <c r="J70" i="12"/>
  <c r="AV67" i="16"/>
  <c r="AS68" i="16"/>
  <c r="X47" i="12"/>
  <c r="AU84" i="16"/>
  <c r="AH80" i="2"/>
  <c r="AA404" i="3"/>
  <c r="AA413" i="3"/>
  <c r="AH65" i="2"/>
  <c r="G60" i="12"/>
  <c r="J69" i="12"/>
  <c r="M69" i="12"/>
  <c r="M57" i="12"/>
  <c r="M78" i="12"/>
  <c r="U47" i="12"/>
  <c r="D92" i="12"/>
  <c r="BK20" i="10"/>
  <c r="BK80" i="10"/>
  <c r="BK79" i="10"/>
  <c r="AX24" i="12"/>
  <c r="AJ24" i="12"/>
  <c r="AV61" i="16"/>
  <c r="Q61" i="12"/>
  <c r="BL18" i="10"/>
  <c r="BM65" i="16"/>
  <c r="J78" i="12"/>
  <c r="J57" i="12"/>
  <c r="D60" i="12"/>
  <c r="D78" i="12"/>
  <c r="H64" i="12"/>
  <c r="L22" i="12"/>
  <c r="P8" i="12"/>
  <c r="W404" i="3"/>
  <c r="W413" i="3"/>
  <c r="AD80" i="2"/>
  <c r="AD65" i="2"/>
  <c r="O64" i="12"/>
  <c r="O69" i="12"/>
  <c r="P69" i="12"/>
  <c r="P20" i="10"/>
  <c r="AT62" i="16"/>
  <c r="P62" i="12"/>
  <c r="L21" i="12"/>
  <c r="L10" i="12"/>
  <c r="E67" i="12"/>
  <c r="E64" i="12"/>
  <c r="AF85" i="16"/>
  <c r="I22" i="12"/>
  <c r="D22" i="12"/>
  <c r="D31" i="12"/>
  <c r="M83" i="12"/>
  <c r="BQ59" i="16"/>
  <c r="BS59" i="16"/>
  <c r="AT84" i="16"/>
  <c r="AV62" i="16"/>
  <c r="D45" i="12"/>
  <c r="P45" i="12"/>
  <c r="P31" i="12"/>
  <c r="P78" i="12"/>
  <c r="J92" i="12"/>
  <c r="BN65" i="16"/>
  <c r="BL20" i="10"/>
  <c r="BL79" i="10"/>
  <c r="M92" i="12"/>
  <c r="P92" i="12"/>
  <c r="J93" i="12"/>
  <c r="G67" i="12"/>
  <c r="G83" i="12"/>
  <c r="P22" i="12"/>
  <c r="D83" i="12"/>
  <c r="Q60" i="12"/>
  <c r="BL80" i="10"/>
  <c r="AS85" i="16"/>
  <c r="AV85" i="16"/>
  <c r="AV68" i="16"/>
  <c r="BO65" i="16"/>
  <c r="AV84" i="16"/>
  <c r="BP65" i="16"/>
  <c r="BQ65" i="16"/>
  <c r="BS65" i="16"/>
  <c r="CI25" i="23"/>
  <c r="CI7" i="23"/>
  <c r="CG7" i="23"/>
  <c r="CU7" i="23"/>
  <c r="CH7" i="23"/>
  <c r="CI6" i="23"/>
  <c r="D5" i="18"/>
  <c r="E5" i="18"/>
  <c r="CH6" i="23"/>
  <c r="CG6" i="23"/>
  <c r="M5" i="18"/>
  <c r="C5" i="18"/>
  <c r="CU6" i="23"/>
  <c r="BO3" i="23"/>
  <c r="BO21" i="23" s="1"/>
  <c r="BM3" i="23"/>
  <c r="CH3" i="23"/>
  <c r="BN3" i="23"/>
  <c r="BN21" i="23" s="1"/>
  <c r="CG3" i="23"/>
  <c r="BG3" i="23"/>
  <c r="BG21" i="23" s="1"/>
  <c r="L5" i="18"/>
  <c r="S17" i="24"/>
  <c r="T17" i="24" s="1"/>
  <c r="Q8" i="24"/>
  <c r="BP6" i="23"/>
  <c r="BP7" i="23"/>
  <c r="BP3" i="23"/>
  <c r="AV3" i="23"/>
  <c r="AV24" i="23"/>
  <c r="CJ6" i="23"/>
  <c r="AV25" i="23"/>
  <c r="CJ7" i="23"/>
  <c r="DD3" i="23"/>
  <c r="DD6" i="23"/>
  <c r="DD7" i="23"/>
  <c r="BP25" i="23"/>
  <c r="X129" i="3"/>
  <c r="W129" i="3"/>
  <c r="AA15" i="12"/>
  <c r="X15" i="12"/>
  <c r="AZ15" i="12" s="1"/>
  <c r="S15" i="12"/>
  <c r="AB15" i="12"/>
  <c r="BD15" i="12" s="1"/>
  <c r="U15" i="12"/>
  <c r="W15" i="12"/>
  <c r="Y15" i="12"/>
  <c r="AM15" i="12" s="1"/>
  <c r="AL15" i="12"/>
  <c r="AO15" i="12"/>
  <c r="BC15" i="12"/>
  <c r="AU15" i="12"/>
  <c r="AG15" i="12"/>
  <c r="AK15" i="12"/>
  <c r="AY15" i="12"/>
  <c r="BA15" i="12"/>
  <c r="X17" i="24" l="1"/>
  <c r="Z17" i="24"/>
  <c r="N20" i="24"/>
  <c r="T21" i="24"/>
  <c r="P21" i="24"/>
  <c r="V21" i="24"/>
  <c r="DD24" i="23"/>
  <c r="R17" i="24"/>
  <c r="S8" i="24"/>
  <c r="Q21" i="24"/>
  <c r="Q20" i="24" s="1"/>
  <c r="O21" i="24"/>
  <c r="O20" i="24" s="1"/>
  <c r="CH24" i="23"/>
  <c r="L21" i="24"/>
  <c r="I26" i="24"/>
  <c r="I23" i="24" s="1"/>
  <c r="O8" i="24"/>
  <c r="Q9" i="24"/>
  <c r="Q27" i="24" s="1"/>
  <c r="O17" i="24"/>
  <c r="P17" i="24" s="1"/>
  <c r="K20" i="24"/>
  <c r="L20" i="24" s="1"/>
  <c r="L9" i="24"/>
  <c r="S9" i="24"/>
  <c r="S27" i="24" s="1"/>
  <c r="L17" i="24"/>
  <c r="K23" i="24"/>
  <c r="CK12" i="23"/>
  <c r="DA12" i="23"/>
  <c r="F21" i="23"/>
  <c r="DQ12" i="23"/>
  <c r="CM12" i="23"/>
  <c r="CR12" i="23"/>
  <c r="CV12" i="23"/>
  <c r="AA26" i="24"/>
  <c r="CB12" i="23"/>
  <c r="DP12" i="23" s="1"/>
  <c r="DP15" i="23"/>
  <c r="CV15" i="23"/>
  <c r="BP12" i="23"/>
  <c r="CX15" i="23"/>
  <c r="CA15" i="23"/>
  <c r="G26" i="24"/>
  <c r="CJ25" i="23"/>
  <c r="BY15" i="23"/>
  <c r="BY12" i="23" s="1"/>
  <c r="CU15" i="23"/>
  <c r="DA24" i="23"/>
  <c r="F14" i="24"/>
  <c r="H14" i="24" s="1"/>
  <c r="BP24" i="23"/>
  <c r="Q14" i="24"/>
  <c r="CO12" i="23"/>
  <c r="DM15" i="23"/>
  <c r="AS21" i="23"/>
  <c r="DA21" i="23" s="1"/>
  <c r="AU21" i="23"/>
  <c r="DE12" i="23"/>
  <c r="AD21" i="23"/>
  <c r="DG12" i="23"/>
  <c r="DI12" i="23"/>
  <c r="AH21" i="23"/>
  <c r="DK12" i="23"/>
  <c r="AK21" i="23"/>
  <c r="BP21" i="23"/>
  <c r="N14" i="24"/>
  <c r="CQ12" i="23"/>
  <c r="CG12" i="23"/>
  <c r="AM21" i="23"/>
  <c r="CD21" i="23"/>
  <c r="AB21" i="23"/>
  <c r="AC21" i="23"/>
  <c r="CL12" i="23"/>
  <c r="DH12" i="23"/>
  <c r="AG21" i="23"/>
  <c r="CP12" i="23"/>
  <c r="DL12" i="23"/>
  <c r="J17" i="24"/>
  <c r="Y14" i="24"/>
  <c r="AA14" i="24" s="1"/>
  <c r="CU21" i="23"/>
  <c r="CX12" i="23"/>
  <c r="CU12" i="23"/>
  <c r="DR12" i="23"/>
  <c r="DQ24" i="23"/>
  <c r="V14" i="24"/>
  <c r="CG21" i="23"/>
  <c r="M21" i="23"/>
  <c r="CI12" i="23"/>
  <c r="CI24" i="23"/>
  <c r="BM21" i="23"/>
  <c r="CU25" i="23"/>
  <c r="V21" i="23"/>
  <c r="AP21" i="23"/>
  <c r="AA21" i="23"/>
  <c r="DC21" i="23" s="1"/>
  <c r="AE21" i="23"/>
  <c r="AI21" i="23"/>
  <c r="CG25" i="23"/>
  <c r="CS12" i="23"/>
  <c r="AN21" i="23"/>
  <c r="AO21" i="23"/>
  <c r="CC21" i="23"/>
  <c r="Z21" i="23"/>
  <c r="AF21" i="23"/>
  <c r="AJ21" i="23"/>
  <c r="CJ24" i="23"/>
  <c r="DR24" i="23"/>
  <c r="CH21" i="23"/>
  <c r="DO25" i="23"/>
  <c r="DR25" i="23"/>
  <c r="Q24" i="23"/>
  <c r="DB25" i="23"/>
  <c r="Y23" i="24"/>
  <c r="W23" i="24"/>
  <c r="Q25" i="23"/>
  <c r="CG24" i="23"/>
  <c r="DQ25" i="23"/>
  <c r="DB24" i="23"/>
  <c r="DC25" i="23"/>
  <c r="AK24" i="23"/>
  <c r="AK25" i="23"/>
  <c r="CJ3" i="23"/>
  <c r="Q5" i="24"/>
  <c r="DQ3" i="23"/>
  <c r="DC24" i="23"/>
  <c r="AA27" i="24"/>
  <c r="CU24" i="23"/>
  <c r="CH25" i="23"/>
  <c r="DA25" i="23"/>
  <c r="DQ21" i="23"/>
  <c r="DR21" i="23"/>
  <c r="DB21" i="23"/>
  <c r="CI21" i="23"/>
  <c r="AV21" i="23"/>
  <c r="CU3" i="23"/>
  <c r="DD25" i="23"/>
  <c r="DB3" i="23"/>
  <c r="I5" i="24"/>
  <c r="Y5" i="24"/>
  <c r="AA5" i="24" s="1"/>
  <c r="J9" i="24"/>
  <c r="H9" i="24"/>
  <c r="W98" i="3"/>
  <c r="W319" i="3"/>
  <c r="J4" i="3"/>
  <c r="W350" i="3"/>
  <c r="AB98" i="3"/>
  <c r="AB129" i="3"/>
  <c r="AA224" i="3"/>
  <c r="J8" i="24"/>
  <c r="N4" i="3"/>
  <c r="AB319" i="3"/>
  <c r="F26" i="24"/>
  <c r="L26" i="24" s="1"/>
  <c r="H8" i="24"/>
  <c r="X37" i="3"/>
  <c r="W37" i="3"/>
  <c r="AA129" i="3"/>
  <c r="F5" i="24"/>
  <c r="L5" i="24" s="1"/>
  <c r="AB350" i="3"/>
  <c r="X66" i="3"/>
  <c r="AA192" i="3"/>
  <c r="F27" i="24"/>
  <c r="S21" i="25"/>
  <c r="Q21" i="25"/>
  <c r="V21" i="25"/>
  <c r="L21" i="25"/>
  <c r="O21" i="25"/>
  <c r="G21" i="25"/>
  <c r="S14" i="24"/>
  <c r="T14" i="24" s="1"/>
  <c r="I21" i="25"/>
  <c r="U21" i="25"/>
  <c r="H21" i="25"/>
  <c r="M21" i="25"/>
  <c r="E21" i="25"/>
  <c r="K21" i="25"/>
  <c r="P21" i="25"/>
  <c r="Q24" i="25"/>
  <c r="Q25" i="25"/>
  <c r="AC86" i="16"/>
  <c r="W86" i="16"/>
  <c r="AE86" i="16"/>
  <c r="X86" i="16"/>
  <c r="AF70" i="16"/>
  <c r="AF82" i="16"/>
  <c r="AF83" i="16"/>
  <c r="AP86" i="16"/>
  <c r="AO79" i="16"/>
  <c r="AT79" i="16"/>
  <c r="AG41" i="16"/>
  <c r="AR79" i="16"/>
  <c r="AH24" i="16"/>
  <c r="AL79" i="16"/>
  <c r="AV75" i="16"/>
  <c r="AL82" i="16"/>
  <c r="AX24" i="16"/>
  <c r="AW37" i="16"/>
  <c r="S24" i="16"/>
  <c r="AU83" i="16"/>
  <c r="AQ83" i="16"/>
  <c r="AO83" i="16"/>
  <c r="AK82" i="16"/>
  <c r="AV76" i="16"/>
  <c r="AJ83" i="16"/>
  <c r="AT72" i="16"/>
  <c r="AS83" i="16"/>
  <c r="BO21" i="16"/>
  <c r="BO64" i="16" s="1"/>
  <c r="BO67" i="16" s="1"/>
  <c r="BO68" i="16" s="1"/>
  <c r="BO41" i="16" s="1"/>
  <c r="BO17" i="16"/>
  <c r="BO58" i="16" s="1"/>
  <c r="AM71" i="16"/>
  <c r="AM82" i="16"/>
  <c r="AM86" i="16" s="1"/>
  <c r="AL3" i="16"/>
  <c r="BF22" i="16" s="1"/>
  <c r="BF21" i="16" s="1"/>
  <c r="AX4" i="16"/>
  <c r="AM3" i="16"/>
  <c r="BG22" i="16" s="1"/>
  <c r="AS3" i="16"/>
  <c r="BM22" i="16" s="1"/>
  <c r="AO70" i="16"/>
  <c r="BN17" i="16"/>
  <c r="BN58" i="16" s="1"/>
  <c r="AO3" i="16"/>
  <c r="BI22" i="16" s="1"/>
  <c r="AN3" i="16"/>
  <c r="BH22" i="16" s="1"/>
  <c r="BH17" i="16" s="1"/>
  <c r="BH58" i="16" s="1"/>
  <c r="BH61" i="16" s="1"/>
  <c r="BH62" i="16" s="1"/>
  <c r="BH37" i="16" s="1"/>
  <c r="AQ72" i="16"/>
  <c r="BN40" i="16"/>
  <c r="BN39" i="16"/>
  <c r="BO40" i="16"/>
  <c r="BO16" i="16"/>
  <c r="BO15" i="16"/>
  <c r="BF17" i="16"/>
  <c r="AR83" i="16"/>
  <c r="AR72" i="16"/>
  <c r="AN71" i="16"/>
  <c r="BD21" i="16"/>
  <c r="BD17" i="16"/>
  <c r="BI21" i="16"/>
  <c r="BI17" i="16"/>
  <c r="AT83" i="16"/>
  <c r="AT70" i="16"/>
  <c r="BL17" i="16"/>
  <c r="BL21" i="16"/>
  <c r="BJ21" i="16"/>
  <c r="BJ17" i="16"/>
  <c r="AN82" i="16"/>
  <c r="AK3" i="16"/>
  <c r="BE22" i="16" s="1"/>
  <c r="BA17" i="16"/>
  <c r="AJ70" i="16"/>
  <c r="BK21" i="16"/>
  <c r="BK17" i="16"/>
  <c r="AL70" i="16"/>
  <c r="AQ82" i="16"/>
  <c r="AQ71" i="16"/>
  <c r="AO82" i="16"/>
  <c r="AO71" i="16"/>
  <c r="BO20" i="16"/>
  <c r="BO19" i="16" s="1"/>
  <c r="AK70" i="16"/>
  <c r="BN20" i="16"/>
  <c r="BN19" i="16"/>
  <c r="AR82" i="16"/>
  <c r="AR71" i="16"/>
  <c r="AR73" i="16" s="1"/>
  <c r="AU70" i="16"/>
  <c r="BA21" i="16"/>
  <c r="AN83" i="16"/>
  <c r="AN70" i="16"/>
  <c r="AM70" i="16"/>
  <c r="F67" i="12"/>
  <c r="F72" i="12" s="1"/>
  <c r="D76" i="12"/>
  <c r="D80" i="12" s="1"/>
  <c r="J76" i="12"/>
  <c r="G76" i="12"/>
  <c r="P76" i="12" s="1"/>
  <c r="G90" i="12"/>
  <c r="N68" i="12"/>
  <c r="K57" i="12"/>
  <c r="M80" i="12"/>
  <c r="I57" i="12"/>
  <c r="P53" i="12"/>
  <c r="O72" i="12"/>
  <c r="M90" i="12"/>
  <c r="J80" i="12"/>
  <c r="P54" i="12"/>
  <c r="P57" i="12" s="1"/>
  <c r="J67" i="12"/>
  <c r="J72" i="12" s="1"/>
  <c r="O57" i="12"/>
  <c r="D57" i="12"/>
  <c r="G77" i="12"/>
  <c r="J91" i="12"/>
  <c r="H72" i="12"/>
  <c r="D33" i="12"/>
  <c r="D10" i="12"/>
  <c r="N10" i="12"/>
  <c r="M29" i="12"/>
  <c r="M43" i="12" s="1"/>
  <c r="M48" i="12" s="1"/>
  <c r="M25" i="12"/>
  <c r="I25" i="12"/>
  <c r="D30" i="12"/>
  <c r="P29" i="12"/>
  <c r="I10" i="12"/>
  <c r="L25" i="12"/>
  <c r="J30" i="12"/>
  <c r="O10" i="12"/>
  <c r="M30" i="12"/>
  <c r="M44" i="12" s="1"/>
  <c r="F25" i="12"/>
  <c r="O20" i="12"/>
  <c r="O25" i="12" s="1"/>
  <c r="N21" i="12"/>
  <c r="P7" i="12"/>
  <c r="G30" i="12"/>
  <c r="P6" i="12"/>
  <c r="P10" i="12" s="1"/>
  <c r="G25" i="12"/>
  <c r="H21" i="12"/>
  <c r="K10" i="12"/>
  <c r="E20" i="12"/>
  <c r="F5" i="18"/>
  <c r="P83" i="12"/>
  <c r="BD71" i="12"/>
  <c r="AA94" i="12"/>
  <c r="AP71" i="12"/>
  <c r="AX71" i="12"/>
  <c r="AJ71" i="12"/>
  <c r="P71" i="12"/>
  <c r="BA71" i="12"/>
  <c r="AM71" i="12"/>
  <c r="AA47" i="12"/>
  <c r="AO24" i="12"/>
  <c r="BC24" i="12"/>
  <c r="AO86" i="12"/>
  <c r="BC86" i="12"/>
  <c r="AI15" i="12"/>
  <c r="AW15" i="12"/>
  <c r="P38" i="12"/>
  <c r="K25" i="12"/>
  <c r="H25" i="12"/>
  <c r="AF39" i="12"/>
  <c r="AT39" i="12"/>
  <c r="G94" i="12"/>
  <c r="AF71" i="12"/>
  <c r="AT71" i="12"/>
  <c r="R94" i="12"/>
  <c r="E72" i="12"/>
  <c r="P46" i="12"/>
  <c r="G72" i="12"/>
  <c r="D67" i="12"/>
  <c r="P60" i="12"/>
  <c r="D64" i="12"/>
  <c r="AW47" i="12"/>
  <c r="M93" i="12"/>
  <c r="M40" i="12"/>
  <c r="D70" i="12"/>
  <c r="D85" i="12"/>
  <c r="P85" i="12" s="1"/>
  <c r="Q62" i="12"/>
  <c r="P23" i="12"/>
  <c r="N72" i="12"/>
  <c r="BA24" i="12"/>
  <c r="AK71" i="12"/>
  <c r="AY71" i="12"/>
  <c r="J94" i="12"/>
  <c r="AZ71" i="12"/>
  <c r="AL71" i="12"/>
  <c r="AW24" i="12"/>
  <c r="AI24" i="12"/>
  <c r="G64" i="12"/>
  <c r="N20" i="12"/>
  <c r="M64" i="12"/>
  <c r="D36" i="12"/>
  <c r="Z71" i="12"/>
  <c r="X94" i="12" s="1"/>
  <c r="E17" i="12"/>
  <c r="AI39" i="12"/>
  <c r="AT24" i="12"/>
  <c r="Q14" i="12"/>
  <c r="D91" i="12"/>
  <c r="G17" i="12"/>
  <c r="K72" i="12"/>
  <c r="AW63" i="12"/>
  <c r="AI16" i="12"/>
  <c r="T24" i="12"/>
  <c r="AM63" i="12"/>
  <c r="AX63" i="12"/>
  <c r="N23" i="12"/>
  <c r="AK24" i="12"/>
  <c r="J39" i="12"/>
  <c r="D94" i="12"/>
  <c r="P94" i="12" s="1"/>
  <c r="BE71" i="12"/>
  <c r="G84" i="12"/>
  <c r="G87" i="12" s="1"/>
  <c r="P61" i="12"/>
  <c r="J64" i="12"/>
  <c r="G47" i="12"/>
  <c r="E21" i="12"/>
  <c r="P21" i="12" s="1"/>
  <c r="AP24" i="12"/>
  <c r="AW71" i="12"/>
  <c r="Q13" i="12"/>
  <c r="AL16" i="12"/>
  <c r="J84" i="12"/>
  <c r="P84" i="12" s="1"/>
  <c r="J36" i="12"/>
  <c r="AU24" i="12"/>
  <c r="L67" i="12"/>
  <c r="AD16" i="12"/>
  <c r="BC16" i="12"/>
  <c r="AO16" i="12"/>
  <c r="U86" i="12"/>
  <c r="U94" i="12"/>
  <c r="AW16" i="12"/>
  <c r="AI63" i="12"/>
  <c r="AV16" i="12"/>
  <c r="J86" i="12"/>
  <c r="P86" i="12" s="1"/>
  <c r="AJ63" i="12"/>
  <c r="J24" i="12"/>
  <c r="X86" i="12"/>
  <c r="AH16" i="12"/>
  <c r="AR16" i="12" s="1"/>
  <c r="D37" i="12"/>
  <c r="M68" i="12"/>
  <c r="I68" i="12"/>
  <c r="BD63" i="12"/>
  <c r="AA39" i="12"/>
  <c r="J20" i="12"/>
  <c r="J25" i="12" s="1"/>
  <c r="L17" i="12"/>
  <c r="AK63" i="12"/>
  <c r="P63" i="12"/>
  <c r="BF63" i="12" s="1"/>
  <c r="BA63" i="12"/>
  <c r="AN4" i="4"/>
  <c r="AY4" i="4"/>
  <c r="BH4" i="4"/>
  <c r="AE4" i="4"/>
  <c r="B2" i="2"/>
  <c r="AP15" i="12"/>
  <c r="X350" i="3"/>
  <c r="AB287" i="3"/>
  <c r="AB66" i="3"/>
  <c r="AC9" i="2"/>
  <c r="V16" i="2"/>
  <c r="AH12" i="2"/>
  <c r="AD9" i="2"/>
  <c r="L11" i="2"/>
  <c r="G8" i="2"/>
  <c r="V7" i="2"/>
  <c r="K13" i="2"/>
  <c r="K14" i="2"/>
  <c r="AC6" i="2"/>
  <c r="K7" i="2"/>
  <c r="W8" i="2"/>
  <c r="AD8" i="2"/>
  <c r="G12" i="2"/>
  <c r="G9" i="2"/>
  <c r="L6" i="2"/>
  <c r="K8" i="2"/>
  <c r="R14" i="2"/>
  <c r="AC12" i="2"/>
  <c r="V10" i="2"/>
  <c r="AH14" i="2"/>
  <c r="H13" i="2"/>
  <c r="AD6" i="2"/>
  <c r="R6" i="2"/>
  <c r="G10" i="2"/>
  <c r="S6" i="2"/>
  <c r="R7" i="2"/>
  <c r="H10" i="2"/>
  <c r="AG6" i="2"/>
  <c r="H7" i="2"/>
  <c r="AG9" i="2"/>
  <c r="S10" i="2"/>
  <c r="R16" i="2"/>
  <c r="AC14" i="2"/>
  <c r="V12" i="2"/>
  <c r="AH16" i="2"/>
  <c r="H16" i="2"/>
  <c r="L14" i="2"/>
  <c r="G17" i="2"/>
  <c r="K16" i="2"/>
  <c r="W7" i="2"/>
  <c r="K6" i="2"/>
  <c r="AD7" i="2"/>
  <c r="S7" i="2"/>
  <c r="S8" i="2"/>
  <c r="L8" i="2"/>
  <c r="L7" i="2"/>
  <c r="W6" i="2"/>
  <c r="G6" i="2"/>
  <c r="V14" i="2"/>
  <c r="L10" i="2"/>
  <c r="K12" i="2"/>
  <c r="G15" i="2"/>
  <c r="AC7" i="2"/>
  <c r="G16" i="2"/>
  <c r="H8" i="2"/>
  <c r="K11" i="2"/>
  <c r="AH7" i="2"/>
  <c r="R12" i="2"/>
  <c r="AD13" i="2"/>
  <c r="W13" i="2"/>
  <c r="AG11" i="2"/>
  <c r="AG16" i="2"/>
  <c r="AB17" i="10" s="1"/>
  <c r="H12" i="2"/>
  <c r="AH17" i="2"/>
  <c r="V15" i="2"/>
  <c r="AC17" i="2"/>
  <c r="R15" i="2"/>
  <c r="AC8" i="2"/>
  <c r="AG15" i="2"/>
  <c r="AD12" i="2"/>
  <c r="K10" i="2"/>
  <c r="H6" i="2"/>
  <c r="S12" i="2"/>
  <c r="AC16" i="2"/>
  <c r="L17" i="2"/>
  <c r="G14" i="2"/>
  <c r="G13" i="2"/>
  <c r="K17" i="2"/>
  <c r="AH8" i="2"/>
  <c r="G11" i="2"/>
  <c r="H11" i="2"/>
  <c r="G7" i="2"/>
  <c r="V8" i="2"/>
  <c r="R8" i="2"/>
  <c r="R10" i="2"/>
  <c r="S17" i="2"/>
  <c r="AD17" i="2"/>
  <c r="AG14" i="2"/>
  <c r="S9" i="2"/>
  <c r="AH9" i="2"/>
  <c r="AH13" i="2"/>
  <c r="Y35" i="10" s="1"/>
  <c r="V11" i="2"/>
  <c r="AC13" i="2"/>
  <c r="K9" i="2"/>
  <c r="AG17" i="2"/>
  <c r="W12" i="2"/>
  <c r="AD14" i="2"/>
  <c r="S16" i="2"/>
  <c r="H14" i="2"/>
  <c r="V6" i="2"/>
  <c r="L15" i="2"/>
  <c r="S15" i="2"/>
  <c r="W11" i="2"/>
  <c r="H15" i="2"/>
  <c r="V17" i="2"/>
  <c r="V22" i="2" s="1"/>
  <c r="V42" i="2" s="1"/>
  <c r="R17" i="2"/>
  <c r="W9" i="2"/>
  <c r="W16" i="2"/>
  <c r="R11" i="2"/>
  <c r="K15" i="2"/>
  <c r="W15" i="2"/>
  <c r="L16" i="2"/>
  <c r="V13" i="2"/>
  <c r="S11" i="2"/>
  <c r="AG7" i="2"/>
  <c r="H9" i="2"/>
  <c r="AH6" i="2"/>
  <c r="L9" i="2"/>
  <c r="L12" i="2"/>
  <c r="AC11" i="2"/>
  <c r="W17" i="2"/>
  <c r="AG8" i="2"/>
  <c r="W10" i="2"/>
  <c r="S14" i="2"/>
  <c r="H17" i="2"/>
  <c r="S13" i="2"/>
  <c r="L13" i="2"/>
  <c r="AD16" i="2"/>
  <c r="V9" i="2"/>
  <c r="AG10" i="2"/>
  <c r="AD15" i="2"/>
  <c r="AD11" i="2"/>
  <c r="AG12" i="2"/>
  <c r="AH15" i="2"/>
  <c r="AG13" i="2"/>
  <c r="R13" i="2"/>
  <c r="R9" i="2"/>
  <c r="AH10" i="2"/>
  <c r="AC10" i="2"/>
  <c r="AC50" i="2" s="1"/>
  <c r="AC15" i="2"/>
  <c r="AD10" i="2"/>
  <c r="W14" i="2"/>
  <c r="AA350" i="3"/>
  <c r="AA98" i="3"/>
  <c r="AB224" i="3"/>
  <c r="X287" i="3"/>
  <c r="X5" i="3"/>
  <c r="AB256" i="3"/>
  <c r="AB5" i="3"/>
  <c r="AH11" i="2"/>
  <c r="X319" i="3"/>
  <c r="X192" i="3"/>
  <c r="W192" i="3"/>
  <c r="W161" i="3"/>
  <c r="AA161" i="3"/>
  <c r="R4" i="3"/>
  <c r="X224" i="3"/>
  <c r="X98" i="3"/>
  <c r="W287" i="3"/>
  <c r="W224" i="3"/>
  <c r="W66" i="3"/>
  <c r="AA287" i="3"/>
  <c r="AA37" i="3"/>
  <c r="AA5" i="3"/>
  <c r="O4" i="3"/>
  <c r="AB192" i="3"/>
  <c r="AB37" i="3"/>
  <c r="X256" i="3"/>
  <c r="W256" i="3"/>
  <c r="AA319" i="3"/>
  <c r="AA256" i="3"/>
  <c r="AA66" i="3"/>
  <c r="F4" i="3"/>
  <c r="S4" i="3"/>
  <c r="I4" i="3"/>
  <c r="E4" i="3"/>
  <c r="AP17" i="10"/>
  <c r="V57" i="2"/>
  <c r="AB395" i="3"/>
  <c r="AG36" i="2"/>
  <c r="AG56" i="2"/>
  <c r="X34" i="10"/>
  <c r="S407" i="3"/>
  <c r="W52" i="2"/>
  <c r="AH21" i="2"/>
  <c r="AH41" i="2" s="1"/>
  <c r="AH33" i="2"/>
  <c r="AB408" i="3"/>
  <c r="AH53" i="2"/>
  <c r="AC20" i="2"/>
  <c r="AC40" i="2" s="1"/>
  <c r="R12" i="10"/>
  <c r="V34" i="2"/>
  <c r="X161" i="3"/>
  <c r="R16" i="10"/>
  <c r="AB161" i="3"/>
  <c r="AA17" i="10"/>
  <c r="AG35" i="2"/>
  <c r="S5" i="24" l="1"/>
  <c r="S26" i="24"/>
  <c r="Q26" i="24"/>
  <c r="Q23" i="24" s="1"/>
  <c r="R21" i="24"/>
  <c r="Z21" i="24"/>
  <c r="V20" i="24"/>
  <c r="X21" i="24"/>
  <c r="O14" i="24"/>
  <c r="O5" i="24"/>
  <c r="O26" i="24"/>
  <c r="O23" i="24" s="1"/>
  <c r="P20" i="24"/>
  <c r="T20" i="24"/>
  <c r="R20" i="24"/>
  <c r="R14" i="24"/>
  <c r="L14" i="24"/>
  <c r="CA12" i="23"/>
  <c r="CA24" i="23"/>
  <c r="DO15" i="23"/>
  <c r="J14" i="24"/>
  <c r="P14" i="24"/>
  <c r="Z14" i="24"/>
  <c r="X14" i="24"/>
  <c r="AA23" i="24"/>
  <c r="G23" i="24"/>
  <c r="H5" i="24"/>
  <c r="CJ21" i="23"/>
  <c r="DD21" i="23"/>
  <c r="H26" i="24"/>
  <c r="F23" i="24"/>
  <c r="J23" i="24" s="1"/>
  <c r="J26" i="24"/>
  <c r="V37" i="2"/>
  <c r="W4" i="3"/>
  <c r="R5" i="2"/>
  <c r="J5" i="24"/>
  <c r="J27" i="24"/>
  <c r="L27" i="24"/>
  <c r="H27" i="24"/>
  <c r="S23" i="24"/>
  <c r="AF86" i="16"/>
  <c r="AR86" i="16"/>
  <c r="AQ86" i="16"/>
  <c r="AV79" i="16"/>
  <c r="AO86" i="16"/>
  <c r="BO61" i="16"/>
  <c r="BO62" i="16" s="1"/>
  <c r="BO37" i="16" s="1"/>
  <c r="BO70" i="16"/>
  <c r="BN16" i="16"/>
  <c r="BN15" i="16" s="1"/>
  <c r="BN103" i="16"/>
  <c r="BH16" i="16"/>
  <c r="BH21" i="16"/>
  <c r="BH64" i="16" s="1"/>
  <c r="AQ73" i="16"/>
  <c r="AN86" i="16"/>
  <c r="BM17" i="16"/>
  <c r="BM21" i="16"/>
  <c r="BG21" i="16"/>
  <c r="BG17" i="16"/>
  <c r="AT71" i="16"/>
  <c r="AT73" i="16" s="1"/>
  <c r="AT82" i="16"/>
  <c r="AT86" i="16" s="1"/>
  <c r="BH36" i="16"/>
  <c r="BH35" i="16"/>
  <c r="BJ58" i="16"/>
  <c r="BJ16" i="16"/>
  <c r="BJ15" i="16" s="1"/>
  <c r="BI20" i="16"/>
  <c r="BI19" i="16" s="1"/>
  <c r="BI64" i="16"/>
  <c r="BI67" i="16" s="1"/>
  <c r="BI68" i="16" s="1"/>
  <c r="BI41" i="16" s="1"/>
  <c r="BO104" i="16"/>
  <c r="BN104" i="16"/>
  <c r="AL71" i="16"/>
  <c r="AL83" i="16"/>
  <c r="AL86" i="16" s="1"/>
  <c r="BL58" i="16"/>
  <c r="BL16" i="16"/>
  <c r="BL15" i="16" s="1"/>
  <c r="BH20" i="16"/>
  <c r="BK58" i="16"/>
  <c r="BK16" i="16"/>
  <c r="BK15" i="16" s="1"/>
  <c r="AV70" i="16"/>
  <c r="BJ64" i="16"/>
  <c r="BJ67" i="16" s="1"/>
  <c r="BJ68" i="16" s="1"/>
  <c r="BJ41" i="16" s="1"/>
  <c r="BJ20" i="16"/>
  <c r="BJ19" i="16" s="1"/>
  <c r="BD16" i="16"/>
  <c r="BD15" i="16" s="1"/>
  <c r="BD58" i="16"/>
  <c r="BO39" i="16"/>
  <c r="BO103" i="16" s="1"/>
  <c r="BE21" i="16"/>
  <c r="BP21" i="16" s="1"/>
  <c r="BE17" i="16"/>
  <c r="BP17" i="16" s="1"/>
  <c r="BI58" i="16"/>
  <c r="BI16" i="16"/>
  <c r="BI15" i="16" s="1"/>
  <c r="BF16" i="16"/>
  <c r="BF15" i="16"/>
  <c r="BF58" i="16"/>
  <c r="AU72" i="16"/>
  <c r="BK20" i="16"/>
  <c r="BK64" i="16"/>
  <c r="BK67" i="16" s="1"/>
  <c r="BK68" i="16" s="1"/>
  <c r="BK41" i="16" s="1"/>
  <c r="BK19" i="16"/>
  <c r="BA22" i="16"/>
  <c r="BN61" i="16"/>
  <c r="BN62" i="16" s="1"/>
  <c r="BN70" i="16"/>
  <c r="BL19" i="16"/>
  <c r="BL20" i="16"/>
  <c r="BL64" i="16"/>
  <c r="BL67" i="16" s="1"/>
  <c r="BL68" i="16" s="1"/>
  <c r="BL41" i="16" s="1"/>
  <c r="BD20" i="16"/>
  <c r="BD19" i="16"/>
  <c r="BD64" i="16"/>
  <c r="BF64" i="16"/>
  <c r="BF67" i="16" s="1"/>
  <c r="BF68" i="16" s="1"/>
  <c r="BF41" i="16" s="1"/>
  <c r="BF20" i="16"/>
  <c r="BF19" i="16" s="1"/>
  <c r="BO71" i="16"/>
  <c r="G80" i="12"/>
  <c r="P77" i="12"/>
  <c r="P80" i="12" s="1"/>
  <c r="M33" i="12"/>
  <c r="P20" i="12"/>
  <c r="P30" i="12"/>
  <c r="G44" i="12"/>
  <c r="G48" i="12" s="1"/>
  <c r="G33" i="12"/>
  <c r="J44" i="12"/>
  <c r="J33" i="12"/>
  <c r="P33" i="12"/>
  <c r="AZ94" i="12"/>
  <c r="AL94" i="12"/>
  <c r="G91" i="12"/>
  <c r="G95" i="12" s="1"/>
  <c r="I72" i="12"/>
  <c r="AZ86" i="12"/>
  <c r="AL86" i="12"/>
  <c r="AI86" i="12"/>
  <c r="AR86" i="12" s="1"/>
  <c r="AD86" i="12"/>
  <c r="BF86" i="12" s="1"/>
  <c r="AW86" i="12"/>
  <c r="L72" i="12"/>
  <c r="J90" i="12"/>
  <c r="J95" i="12" s="1"/>
  <c r="AD24" i="12"/>
  <c r="AH24" i="12"/>
  <c r="R47" i="12"/>
  <c r="AV24" i="12"/>
  <c r="J87" i="12"/>
  <c r="AF94" i="12"/>
  <c r="AT94" i="12"/>
  <c r="AD94" i="12"/>
  <c r="BF94" i="12" s="1"/>
  <c r="D87" i="12"/>
  <c r="M91" i="12"/>
  <c r="M95" i="12" s="1"/>
  <c r="M72" i="12"/>
  <c r="AL24" i="12"/>
  <c r="AZ24" i="12"/>
  <c r="AR63" i="12"/>
  <c r="AI47" i="12"/>
  <c r="P91" i="12"/>
  <c r="N25" i="12"/>
  <c r="P24" i="12"/>
  <c r="P64" i="12"/>
  <c r="AO47" i="12"/>
  <c r="BC47" i="12"/>
  <c r="P87" i="12"/>
  <c r="BC39" i="12"/>
  <c r="AO39" i="12"/>
  <c r="D44" i="12"/>
  <c r="P37" i="12"/>
  <c r="J43" i="12"/>
  <c r="J40" i="12"/>
  <c r="AN71" i="12"/>
  <c r="BB71" i="12"/>
  <c r="AD71" i="12"/>
  <c r="BF71" i="12" s="1"/>
  <c r="D93" i="12"/>
  <c r="P93" i="12" s="1"/>
  <c r="P70" i="12"/>
  <c r="D90" i="12"/>
  <c r="P67" i="12"/>
  <c r="D72" i="12"/>
  <c r="AR71" i="12"/>
  <c r="AO94" i="12"/>
  <c r="BC94" i="12"/>
  <c r="AW94" i="12"/>
  <c r="AI94" i="12"/>
  <c r="BF16" i="12"/>
  <c r="AD39" i="12"/>
  <c r="J47" i="12"/>
  <c r="AZ39" i="12"/>
  <c r="AL39" i="12"/>
  <c r="AR39" i="12" s="1"/>
  <c r="P39" i="12"/>
  <c r="D43" i="12"/>
  <c r="D40" i="12"/>
  <c r="P36" i="12"/>
  <c r="P40" i="12" s="1"/>
  <c r="P25" i="12"/>
  <c r="P68" i="12"/>
  <c r="P47" i="12"/>
  <c r="E25" i="12"/>
  <c r="V15" i="12"/>
  <c r="AC15" i="12"/>
  <c r="Z61" i="12"/>
  <c r="AC61" i="12"/>
  <c r="S61" i="12"/>
  <c r="V61" i="12"/>
  <c r="U61" i="12"/>
  <c r="T61" i="12"/>
  <c r="AA61" i="12"/>
  <c r="W61" i="12"/>
  <c r="AB61" i="12"/>
  <c r="X61" i="12"/>
  <c r="Y61" i="12"/>
  <c r="T15" i="12"/>
  <c r="AC55" i="2"/>
  <c r="AC35" i="2"/>
  <c r="X394" i="3"/>
  <c r="AC22" i="2"/>
  <c r="AC42" i="2" s="1"/>
  <c r="AA13" i="10"/>
  <c r="AB391" i="3"/>
  <c r="AG32" i="2"/>
  <c r="AG21" i="2"/>
  <c r="AG41" i="2" s="1"/>
  <c r="AG52" i="2"/>
  <c r="X17" i="10"/>
  <c r="AB31" i="10"/>
  <c r="X411" i="3"/>
  <c r="AD56" i="2"/>
  <c r="AD36" i="2"/>
  <c r="T17" i="10"/>
  <c r="AG48" i="2"/>
  <c r="AB387" i="3"/>
  <c r="AG28" i="2"/>
  <c r="L49" i="2"/>
  <c r="L29" i="2"/>
  <c r="L20" i="2"/>
  <c r="L40" i="2" s="1"/>
  <c r="J404" i="3"/>
  <c r="Z31" i="10"/>
  <c r="X409" i="3"/>
  <c r="AD34" i="2"/>
  <c r="AD54" i="2"/>
  <c r="F390" i="3"/>
  <c r="G51" i="2"/>
  <c r="G31" i="2"/>
  <c r="AE2" i="4" s="1"/>
  <c r="AA2" i="4"/>
  <c r="X30" i="10"/>
  <c r="S21" i="2"/>
  <c r="S41" i="2" s="1"/>
  <c r="O407" i="3"/>
  <c r="S52" i="2"/>
  <c r="S32" i="2"/>
  <c r="AG31" i="2"/>
  <c r="AB390" i="3"/>
  <c r="W17" i="10"/>
  <c r="AG51" i="2"/>
  <c r="AU54" i="4"/>
  <c r="AC27" i="2"/>
  <c r="AC47" i="2"/>
  <c r="X386" i="3"/>
  <c r="S13" i="10"/>
  <c r="G50" i="2"/>
  <c r="F389" i="3"/>
  <c r="G30" i="2"/>
  <c r="X391" i="3"/>
  <c r="X13" i="10"/>
  <c r="AC52" i="2"/>
  <c r="AC32" i="2"/>
  <c r="AC21" i="2"/>
  <c r="AC41" i="2" s="1"/>
  <c r="K48" i="2"/>
  <c r="J387" i="3"/>
  <c r="K28" i="2"/>
  <c r="AH31" i="2"/>
  <c r="AB406" i="3"/>
  <c r="AH51" i="2"/>
  <c r="W35" i="10"/>
  <c r="BD54" i="4"/>
  <c r="R29" i="2"/>
  <c r="U12" i="10"/>
  <c r="R49" i="2"/>
  <c r="R20" i="2"/>
  <c r="R40" i="2" s="1"/>
  <c r="O388" i="3"/>
  <c r="AB392" i="3"/>
  <c r="AG53" i="2"/>
  <c r="AG33" i="2"/>
  <c r="Y17" i="10"/>
  <c r="Y53" i="10" s="1"/>
  <c r="W13" i="10"/>
  <c r="X390" i="3"/>
  <c r="AC31" i="2"/>
  <c r="AC51" i="2"/>
  <c r="AA54" i="4"/>
  <c r="R35" i="10"/>
  <c r="AH46" i="2"/>
  <c r="AH26" i="2"/>
  <c r="AH19" i="2"/>
  <c r="AH39" i="2" s="1"/>
  <c r="AH5" i="2"/>
  <c r="AB401" i="3"/>
  <c r="J411" i="3"/>
  <c r="L56" i="2"/>
  <c r="L36" i="2"/>
  <c r="J394" i="3"/>
  <c r="K55" i="2"/>
  <c r="K22" i="2"/>
  <c r="K42" i="2" s="1"/>
  <c r="K35" i="2"/>
  <c r="AA29" i="4"/>
  <c r="W12" i="10"/>
  <c r="R31" i="2"/>
  <c r="O390" i="3"/>
  <c r="R51" i="2"/>
  <c r="BD29" i="4"/>
  <c r="S406" i="3"/>
  <c r="W31" i="2"/>
  <c r="W34" i="10"/>
  <c r="W51" i="2"/>
  <c r="V46" i="2"/>
  <c r="S385" i="3"/>
  <c r="V26" i="2"/>
  <c r="V5" i="2"/>
  <c r="V19" i="2"/>
  <c r="V39" i="2" s="1"/>
  <c r="W21" i="2"/>
  <c r="W41" i="2" s="1"/>
  <c r="W32" i="2"/>
  <c r="AM35" i="10"/>
  <c r="CC40" i="16"/>
  <c r="BA35" i="10"/>
  <c r="U30" i="10"/>
  <c r="O404" i="3"/>
  <c r="S29" i="2"/>
  <c r="S20" i="2"/>
  <c r="S40" i="2" s="1"/>
  <c r="S49" i="2"/>
  <c r="O389" i="3"/>
  <c r="R50" i="2"/>
  <c r="R30" i="2"/>
  <c r="V12" i="10"/>
  <c r="S387" i="3"/>
  <c r="T16" i="10"/>
  <c r="V28" i="2"/>
  <c r="V48" i="2"/>
  <c r="AH48" i="2"/>
  <c r="AH28" i="2"/>
  <c r="T35" i="10"/>
  <c r="AB403" i="3"/>
  <c r="AG22" i="2"/>
  <c r="AG42" i="2" s="1"/>
  <c r="AB394" i="3"/>
  <c r="AG55" i="2"/>
  <c r="AA12" i="10"/>
  <c r="O394" i="3"/>
  <c r="R55" i="2"/>
  <c r="R35" i="2"/>
  <c r="R22" i="2"/>
  <c r="R42" i="2" s="1"/>
  <c r="H52" i="2"/>
  <c r="H21" i="2"/>
  <c r="H41" i="2" s="1"/>
  <c r="H32" i="2"/>
  <c r="F407" i="3"/>
  <c r="S408" i="3"/>
  <c r="W53" i="2"/>
  <c r="W33" i="2"/>
  <c r="Y34" i="10"/>
  <c r="G36" i="2"/>
  <c r="F395" i="3"/>
  <c r="G56" i="2"/>
  <c r="L50" i="2"/>
  <c r="L30" i="2"/>
  <c r="J405" i="3"/>
  <c r="AW7" i="23" a="1"/>
  <c r="S27" i="2"/>
  <c r="S47" i="2"/>
  <c r="S30" i="10"/>
  <c r="O402" i="3"/>
  <c r="L54" i="2"/>
  <c r="L34" i="2"/>
  <c r="J409" i="3"/>
  <c r="Z13" i="10"/>
  <c r="AC54" i="2"/>
  <c r="X393" i="3"/>
  <c r="AC34" i="2"/>
  <c r="R26" i="2"/>
  <c r="R19" i="2"/>
  <c r="R39" i="2" s="1"/>
  <c r="O385" i="3"/>
  <c r="R46" i="2"/>
  <c r="Z12" i="10"/>
  <c r="R54" i="2"/>
  <c r="O393" i="3"/>
  <c r="R34" i="2"/>
  <c r="J401" i="3"/>
  <c r="L46" i="2"/>
  <c r="L19" i="2"/>
  <c r="L39" i="2" s="1"/>
  <c r="L5" i="2"/>
  <c r="L26" i="2"/>
  <c r="T31" i="10"/>
  <c r="AD28" i="2"/>
  <c r="X403" i="3"/>
  <c r="AD48" i="2"/>
  <c r="K47" i="2"/>
  <c r="K27" i="2"/>
  <c r="J386" i="3"/>
  <c r="S16" i="10"/>
  <c r="BN16" i="10" s="1"/>
  <c r="S386" i="3"/>
  <c r="V47" i="2"/>
  <c r="V27" i="2"/>
  <c r="V35" i="10"/>
  <c r="AH30" i="2"/>
  <c r="AH50" i="2"/>
  <c r="AB405" i="3"/>
  <c r="AG27" i="2"/>
  <c r="AB386" i="3"/>
  <c r="AG47" i="2"/>
  <c r="S17" i="10"/>
  <c r="L35" i="2"/>
  <c r="L22" i="2"/>
  <c r="L42" i="2" s="1"/>
  <c r="L55" i="2"/>
  <c r="J410" i="3"/>
  <c r="AC30" i="10"/>
  <c r="S37" i="2"/>
  <c r="S57" i="2"/>
  <c r="O412" i="3"/>
  <c r="X31" i="10"/>
  <c r="AD32" i="2"/>
  <c r="X407" i="3"/>
  <c r="AD52" i="2"/>
  <c r="AD21" i="2"/>
  <c r="AD41" i="2" s="1"/>
  <c r="AH37" i="2"/>
  <c r="AB412" i="3"/>
  <c r="AC35" i="10"/>
  <c r="AH57" i="2"/>
  <c r="O403" i="3"/>
  <c r="T30" i="10"/>
  <c r="S48" i="2"/>
  <c r="S28" i="2"/>
  <c r="X16" i="10"/>
  <c r="X52" i="10" s="1"/>
  <c r="S391" i="3"/>
  <c r="V32" i="2"/>
  <c r="V52" i="2"/>
  <c r="V21" i="2"/>
  <c r="V41" i="2" s="1"/>
  <c r="F408" i="3"/>
  <c r="H53" i="2"/>
  <c r="H33" i="2"/>
  <c r="K33" i="2"/>
  <c r="J392" i="3"/>
  <c r="K53" i="2"/>
  <c r="AB16" i="10"/>
  <c r="V56" i="2"/>
  <c r="V36" i="2"/>
  <c r="S395" i="3"/>
  <c r="X4" i="3"/>
  <c r="AB4" i="3"/>
  <c r="AA4" i="3"/>
  <c r="AC30" i="2"/>
  <c r="X389" i="3"/>
  <c r="V13" i="10"/>
  <c r="AD31" i="2"/>
  <c r="AJ54" i="4"/>
  <c r="X406" i="3"/>
  <c r="W31" i="10"/>
  <c r="AD51" i="2"/>
  <c r="AG20" i="2"/>
  <c r="AG40" i="2" s="1"/>
  <c r="V17" i="10"/>
  <c r="AG50" i="2"/>
  <c r="AB389" i="3"/>
  <c r="AG30" i="2"/>
  <c r="L33" i="2"/>
  <c r="J408" i="3"/>
  <c r="L53" i="2"/>
  <c r="S34" i="2"/>
  <c r="S54" i="2"/>
  <c r="O409" i="3"/>
  <c r="Z30" i="10"/>
  <c r="W36" i="2"/>
  <c r="S411" i="3"/>
  <c r="AB34" i="10"/>
  <c r="W56" i="2"/>
  <c r="R57" i="2"/>
  <c r="R37" i="2"/>
  <c r="AC12" i="10"/>
  <c r="O396" i="3"/>
  <c r="AA30" i="10"/>
  <c r="S55" i="2"/>
  <c r="S35" i="2"/>
  <c r="O410" i="3"/>
  <c r="S22" i="2"/>
  <c r="S42" i="2" s="1"/>
  <c r="AG57" i="2"/>
  <c r="AB396" i="3"/>
  <c r="AC17" i="10"/>
  <c r="BQ17" i="10" s="1"/>
  <c r="AG37" i="2"/>
  <c r="AH29" i="2"/>
  <c r="AH20" i="2"/>
  <c r="AH40" i="2" s="1"/>
  <c r="AH49" i="2"/>
  <c r="U35" i="10"/>
  <c r="AB404" i="3"/>
  <c r="AG34" i="2"/>
  <c r="AG54" i="2"/>
  <c r="Z17" i="10"/>
  <c r="AB393" i="3"/>
  <c r="F406" i="3"/>
  <c r="H31" i="2"/>
  <c r="AN2" i="4" s="1"/>
  <c r="AJ2" i="4"/>
  <c r="H51" i="2"/>
  <c r="AN6" i="4" s="1"/>
  <c r="AN3" i="4" s="1"/>
  <c r="AN5" i="4" s="1"/>
  <c r="G33" i="2"/>
  <c r="G53" i="2"/>
  <c r="F392" i="3"/>
  <c r="L57" i="2"/>
  <c r="J412" i="3"/>
  <c r="L37" i="2"/>
  <c r="H46" i="2"/>
  <c r="F401" i="3"/>
  <c r="H26" i="2"/>
  <c r="H19" i="2"/>
  <c r="H39" i="2" s="1"/>
  <c r="H5" i="2"/>
  <c r="AC37" i="2"/>
  <c r="AC13" i="10"/>
  <c r="AC57" i="2"/>
  <c r="X396" i="3"/>
  <c r="Y31" i="10"/>
  <c r="AD33" i="2"/>
  <c r="AD53" i="2"/>
  <c r="X408" i="3"/>
  <c r="J390" i="3"/>
  <c r="AU2" i="4"/>
  <c r="K51" i="2"/>
  <c r="K31" i="2"/>
  <c r="AY2" i="4" s="1"/>
  <c r="G35" i="2"/>
  <c r="F394" i="3"/>
  <c r="G22" i="2"/>
  <c r="G42" i="2" s="1"/>
  <c r="G55" i="2"/>
  <c r="G46" i="2"/>
  <c r="G19" i="2"/>
  <c r="G39" i="2" s="1"/>
  <c r="F385" i="3"/>
  <c r="G26" i="2"/>
  <c r="G5" i="2"/>
  <c r="L27" i="2"/>
  <c r="J402" i="3"/>
  <c r="L47" i="2"/>
  <c r="S31" i="10"/>
  <c r="X402" i="3"/>
  <c r="AD47" i="2"/>
  <c r="AD27" i="2"/>
  <c r="W27" i="2"/>
  <c r="W47" i="2"/>
  <c r="S402" i="3"/>
  <c r="S34" i="10"/>
  <c r="H56" i="2"/>
  <c r="H36" i="2"/>
  <c r="F411" i="3"/>
  <c r="AB12" i="10"/>
  <c r="R36" i="2"/>
  <c r="O395" i="3"/>
  <c r="R56" i="2"/>
  <c r="AB385" i="3"/>
  <c r="R17" i="10"/>
  <c r="AG26" i="2"/>
  <c r="AG46" i="2"/>
  <c r="AG19" i="2"/>
  <c r="AG39" i="2" s="1"/>
  <c r="AG5" i="2"/>
  <c r="O401" i="3"/>
  <c r="R30" i="10"/>
  <c r="R48" i="10" s="1"/>
  <c r="S26" i="2"/>
  <c r="S19" i="2"/>
  <c r="S39" i="2" s="1"/>
  <c r="S46" i="2"/>
  <c r="S5" i="2"/>
  <c r="R31" i="10"/>
  <c r="AD26" i="2"/>
  <c r="AD19" i="2"/>
  <c r="AD39" i="2" s="1"/>
  <c r="AD46" i="2"/>
  <c r="X401" i="3"/>
  <c r="AD5" i="2"/>
  <c r="AB409" i="3"/>
  <c r="AH34" i="2"/>
  <c r="AH54" i="2"/>
  <c r="Z35" i="10"/>
  <c r="G49" i="2"/>
  <c r="G20" i="2"/>
  <c r="G40" i="2" s="1"/>
  <c r="G29" i="2"/>
  <c r="F388" i="3"/>
  <c r="G48" i="2"/>
  <c r="F387" i="3"/>
  <c r="G28" i="2"/>
  <c r="U31" i="10"/>
  <c r="AD49" i="2"/>
  <c r="X404" i="3"/>
  <c r="AD29" i="2"/>
  <c r="AD20" i="2"/>
  <c r="AD40" i="2" s="1"/>
  <c r="X388" i="3"/>
  <c r="AC29" i="2"/>
  <c r="AC49" i="2"/>
  <c r="AC60" i="2" s="1"/>
  <c r="U13" i="10"/>
  <c r="AD50" i="2"/>
  <c r="X405" i="3"/>
  <c r="V31" i="10"/>
  <c r="AD30" i="2"/>
  <c r="R33" i="2"/>
  <c r="R53" i="2"/>
  <c r="O392" i="3"/>
  <c r="Y12" i="10"/>
  <c r="AA31" i="10"/>
  <c r="X410" i="3"/>
  <c r="AD22" i="2"/>
  <c r="AD42" i="2" s="1"/>
  <c r="AD55" i="2"/>
  <c r="AD35" i="2"/>
  <c r="H37" i="2"/>
  <c r="H57" i="2"/>
  <c r="F412" i="3"/>
  <c r="W57" i="2"/>
  <c r="AC34" i="10"/>
  <c r="W37" i="2"/>
  <c r="S412" i="3"/>
  <c r="V33" i="2"/>
  <c r="S392" i="3"/>
  <c r="V53" i="2"/>
  <c r="Y16" i="10"/>
  <c r="H22" i="2"/>
  <c r="H42" i="2" s="1"/>
  <c r="F410" i="3"/>
  <c r="H35" i="2"/>
  <c r="H55" i="2"/>
  <c r="H62" i="2" s="1"/>
  <c r="H34" i="2"/>
  <c r="F409" i="3"/>
  <c r="H54" i="2"/>
  <c r="AU29" i="4"/>
  <c r="S390" i="3"/>
  <c r="V31" i="2"/>
  <c r="V51" i="2"/>
  <c r="W16" i="10"/>
  <c r="R28" i="2"/>
  <c r="R48" i="2"/>
  <c r="O387" i="3"/>
  <c r="T12" i="10"/>
  <c r="F396" i="3"/>
  <c r="G37" i="2"/>
  <c r="G57" i="2"/>
  <c r="H27" i="2"/>
  <c r="F402" i="3"/>
  <c r="H47" i="2"/>
  <c r="J393" i="3"/>
  <c r="K54" i="2"/>
  <c r="K34" i="2"/>
  <c r="Z34" i="10"/>
  <c r="S409" i="3"/>
  <c r="W34" i="2"/>
  <c r="W54" i="2"/>
  <c r="AH35" i="2"/>
  <c r="AH22" i="2"/>
  <c r="AH42" i="2" s="1"/>
  <c r="AA35" i="10"/>
  <c r="AA53" i="10" s="1"/>
  <c r="AB410" i="3"/>
  <c r="AH55" i="2"/>
  <c r="S388" i="3"/>
  <c r="V20" i="2"/>
  <c r="V40" i="2" s="1"/>
  <c r="U16" i="10"/>
  <c r="V29" i="2"/>
  <c r="V49" i="2"/>
  <c r="Y30" i="10"/>
  <c r="O408" i="3"/>
  <c r="S53" i="2"/>
  <c r="S33" i="2"/>
  <c r="V34" i="10"/>
  <c r="W30" i="2"/>
  <c r="S405" i="3"/>
  <c r="W50" i="2"/>
  <c r="J407" i="3"/>
  <c r="L21" i="2"/>
  <c r="L41" i="2" s="1"/>
  <c r="L52" i="2"/>
  <c r="L61" i="2" s="1"/>
  <c r="L32" i="2"/>
  <c r="F404" i="3"/>
  <c r="H20" i="2"/>
  <c r="H40" i="2" s="1"/>
  <c r="H49" i="2"/>
  <c r="H29" i="2"/>
  <c r="S31" i="2"/>
  <c r="W30" i="10"/>
  <c r="S51" i="2"/>
  <c r="AJ29" i="4"/>
  <c r="O406" i="3"/>
  <c r="S410" i="3"/>
  <c r="AA34" i="10"/>
  <c r="W35" i="2"/>
  <c r="W22" i="2"/>
  <c r="W42" i="2" s="1"/>
  <c r="W55" i="2"/>
  <c r="W29" i="2"/>
  <c r="W49" i="2"/>
  <c r="W20" i="2"/>
  <c r="W40" i="2" s="1"/>
  <c r="S404" i="3"/>
  <c r="U34" i="10"/>
  <c r="AC16" i="10"/>
  <c r="S396" i="3"/>
  <c r="S56" i="2"/>
  <c r="AB30" i="10"/>
  <c r="O411" i="3"/>
  <c r="S36" i="2"/>
  <c r="K5" i="2"/>
  <c r="K20" i="2"/>
  <c r="K40" i="2" s="1"/>
  <c r="J388" i="3"/>
  <c r="K49" i="2"/>
  <c r="K29" i="2"/>
  <c r="X392" i="3"/>
  <c r="AC53" i="2"/>
  <c r="Y13" i="10"/>
  <c r="AC33" i="2"/>
  <c r="AC31" i="10"/>
  <c r="AD37" i="2"/>
  <c r="AD57" i="2"/>
  <c r="X412" i="3"/>
  <c r="F386" i="3"/>
  <c r="G27" i="2"/>
  <c r="G47" i="2"/>
  <c r="J396" i="3"/>
  <c r="K57" i="2"/>
  <c r="K37" i="2"/>
  <c r="F393" i="3"/>
  <c r="G54" i="2"/>
  <c r="G34" i="2"/>
  <c r="AC56" i="2"/>
  <c r="X395" i="3"/>
  <c r="AC36" i="2"/>
  <c r="AB13" i="10"/>
  <c r="J389" i="3"/>
  <c r="K30" i="2"/>
  <c r="K50" i="2"/>
  <c r="AC28" i="2"/>
  <c r="T13" i="10"/>
  <c r="X387" i="3"/>
  <c r="AC48" i="2"/>
  <c r="V55" i="2"/>
  <c r="V62" i="2" s="1"/>
  <c r="AA16" i="10"/>
  <c r="AA18" i="10" s="1"/>
  <c r="AA80" i="10" s="1"/>
  <c r="AO80" i="10" s="1"/>
  <c r="S394" i="3"/>
  <c r="V35" i="2"/>
  <c r="BD17" i="10"/>
  <c r="CF20" i="16"/>
  <c r="R52" i="2"/>
  <c r="O391" i="3"/>
  <c r="X12" i="10"/>
  <c r="R32" i="2"/>
  <c r="R21" i="2"/>
  <c r="R41" i="2" s="1"/>
  <c r="AB402" i="3"/>
  <c r="AH47" i="2"/>
  <c r="AH27" i="2"/>
  <c r="S35" i="10"/>
  <c r="H28" i="2"/>
  <c r="H48" i="2"/>
  <c r="F403" i="3"/>
  <c r="J391" i="3"/>
  <c r="K21" i="2"/>
  <c r="K41" i="2" s="1"/>
  <c r="K52" i="2"/>
  <c r="K32" i="2"/>
  <c r="V54" i="2"/>
  <c r="Z16" i="10"/>
  <c r="S393" i="3"/>
  <c r="R34" i="10"/>
  <c r="W26" i="2"/>
  <c r="W19" i="2"/>
  <c r="W39" i="2" s="1"/>
  <c r="W46" i="2"/>
  <c r="W5" i="2"/>
  <c r="S401" i="3"/>
  <c r="L48" i="2"/>
  <c r="L28" i="2"/>
  <c r="J403" i="3"/>
  <c r="K46" i="2"/>
  <c r="K26" i="2"/>
  <c r="J385" i="3"/>
  <c r="K19" i="2"/>
  <c r="K39" i="2" s="1"/>
  <c r="J395" i="3"/>
  <c r="K56" i="2"/>
  <c r="K36" i="2"/>
  <c r="AB35" i="10"/>
  <c r="AH56" i="2"/>
  <c r="AH36" i="2"/>
  <c r="AB411" i="3"/>
  <c r="S50" i="2"/>
  <c r="V30" i="10"/>
  <c r="O405" i="3"/>
  <c r="S30" i="2"/>
  <c r="U17" i="10"/>
  <c r="AD17" i="10" s="1"/>
  <c r="AG49" i="2"/>
  <c r="AB388" i="3"/>
  <c r="AG29" i="2"/>
  <c r="H30" i="2"/>
  <c r="AW6" i="23" a="1"/>
  <c r="F405" i="3"/>
  <c r="H50" i="2"/>
  <c r="O386" i="3"/>
  <c r="R27" i="2"/>
  <c r="S12" i="10"/>
  <c r="R47" i="2"/>
  <c r="R44" i="2" s="1"/>
  <c r="S389" i="3"/>
  <c r="V30" i="2"/>
  <c r="V16" i="10"/>
  <c r="V50" i="2"/>
  <c r="G32" i="2"/>
  <c r="G21" i="2"/>
  <c r="G41" i="2" s="1"/>
  <c r="F391" i="3"/>
  <c r="G52" i="2"/>
  <c r="W28" i="2"/>
  <c r="T34" i="10"/>
  <c r="S403" i="3"/>
  <c r="W48" i="2"/>
  <c r="R13" i="10"/>
  <c r="R14" i="10" s="1"/>
  <c r="R76" i="10" s="1"/>
  <c r="AF76" i="10" s="1"/>
  <c r="AC46" i="2"/>
  <c r="X385" i="3"/>
  <c r="AC26" i="2"/>
  <c r="AC19" i="2"/>
  <c r="AC39" i="2" s="1"/>
  <c r="AC5" i="2"/>
  <c r="L51" i="2"/>
  <c r="BH6" i="4" s="1"/>
  <c r="BH3" i="4" s="1"/>
  <c r="BH5" i="4" s="1"/>
  <c r="BD2" i="4"/>
  <c r="J406" i="3"/>
  <c r="L31" i="2"/>
  <c r="BH2" i="4" s="1"/>
  <c r="X35" i="10"/>
  <c r="X36" i="10" s="1"/>
  <c r="AB407" i="3"/>
  <c r="AH52" i="2"/>
  <c r="AH32" i="2"/>
  <c r="AF16" i="10"/>
  <c r="R18" i="10"/>
  <c r="R79" i="10" s="1"/>
  <c r="AF79" i="10" s="1"/>
  <c r="AT16" i="10"/>
  <c r="BV19" i="16"/>
  <c r="AF12" i="10"/>
  <c r="BV15" i="16"/>
  <c r="AT12" i="10"/>
  <c r="AL34" i="10"/>
  <c r="AZ34" i="10"/>
  <c r="CB39" i="16"/>
  <c r="AA30" i="4"/>
  <c r="R25" i="2"/>
  <c r="S32" i="4" s="1"/>
  <c r="AO17" i="10"/>
  <c r="BC17" i="10"/>
  <c r="CE20" i="16"/>
  <c r="Z20" i="24" l="1"/>
  <c r="X20" i="24"/>
  <c r="CA21" i="23"/>
  <c r="DO21" i="23" s="1"/>
  <c r="DO12" i="23"/>
  <c r="DO24" i="23"/>
  <c r="H23" i="24"/>
  <c r="L23" i="24"/>
  <c r="AH61" i="2"/>
  <c r="AG45" i="2"/>
  <c r="AB413" i="3"/>
  <c r="AD16" i="10"/>
  <c r="BF16" i="10" s="1"/>
  <c r="AC45" i="2"/>
  <c r="AD34" i="10"/>
  <c r="AB397" i="3"/>
  <c r="BH19" i="16"/>
  <c r="BG20" i="16"/>
  <c r="BG64" i="16"/>
  <c r="BG67" i="16" s="1"/>
  <c r="BG68" i="16" s="1"/>
  <c r="BG41" i="16" s="1"/>
  <c r="BG19" i="16"/>
  <c r="BM64" i="16"/>
  <c r="BM67" i="16" s="1"/>
  <c r="BM68" i="16" s="1"/>
  <c r="BM41" i="16" s="1"/>
  <c r="BM20" i="16"/>
  <c r="BM19" i="16" s="1"/>
  <c r="BG16" i="16"/>
  <c r="BG58" i="16"/>
  <c r="BG15" i="16"/>
  <c r="BM58" i="16"/>
  <c r="BM16" i="16"/>
  <c r="BM15" i="16"/>
  <c r="BH100" i="16"/>
  <c r="BH15" i="16"/>
  <c r="BH99" i="16" s="1"/>
  <c r="BS21" i="16"/>
  <c r="BT21" i="16"/>
  <c r="BQ21" i="16"/>
  <c r="AS72" i="16"/>
  <c r="BK40" i="16"/>
  <c r="BK104" i="16" s="1"/>
  <c r="BF70" i="16"/>
  <c r="BF61" i="16"/>
  <c r="BF62" i="16" s="1"/>
  <c r="BI70" i="16"/>
  <c r="BI61" i="16"/>
  <c r="BI62" i="16" s="1"/>
  <c r="BS17" i="16"/>
  <c r="BQ17" i="16"/>
  <c r="BP23" i="16"/>
  <c r="BT23" i="16" s="1"/>
  <c r="BQ22" i="16"/>
  <c r="BJ40" i="16"/>
  <c r="BJ104" i="16" s="1"/>
  <c r="BK61" i="16"/>
  <c r="BK62" i="16" s="1"/>
  <c r="BK70" i="16"/>
  <c r="BJ61" i="16"/>
  <c r="BJ62" i="16" s="1"/>
  <c r="BJ70" i="16"/>
  <c r="BF40" i="16"/>
  <c r="BF104" i="16" s="1"/>
  <c r="BF39" i="16"/>
  <c r="BF103" i="16" s="1"/>
  <c r="BO36" i="16"/>
  <c r="BO100" i="16" s="1"/>
  <c r="BO35" i="16"/>
  <c r="BO99" i="16" s="1"/>
  <c r="BO42" i="16"/>
  <c r="BL39" i="16"/>
  <c r="BL103" i="16" s="1"/>
  <c r="BL40" i="16"/>
  <c r="BL104" i="16" s="1"/>
  <c r="BN37" i="16"/>
  <c r="BN71" i="16"/>
  <c r="BI40" i="16"/>
  <c r="BI104" i="16" s="1"/>
  <c r="BI39" i="16"/>
  <c r="BI103" i="16" s="1"/>
  <c r="AU82" i="16"/>
  <c r="AU86" i="16" s="1"/>
  <c r="AU71" i="16"/>
  <c r="AU73" i="16" s="1"/>
  <c r="BE20" i="16"/>
  <c r="BE19" i="16" s="1"/>
  <c r="BE64" i="16"/>
  <c r="BE67" i="16" s="1"/>
  <c r="BE68" i="16" s="1"/>
  <c r="BE41" i="16" s="1"/>
  <c r="AJ71" i="16"/>
  <c r="AJ82" i="16"/>
  <c r="BD67" i="16"/>
  <c r="BE16" i="16"/>
  <c r="BE15" i="16" s="1"/>
  <c r="BE58" i="16"/>
  <c r="BP58" i="16" s="1"/>
  <c r="BQ103" i="16"/>
  <c r="BP103" i="16"/>
  <c r="BD61" i="16"/>
  <c r="BD70" i="16"/>
  <c r="BH67" i="16"/>
  <c r="BH68" i="16" s="1"/>
  <c r="BH70" i="16"/>
  <c r="BL61" i="16"/>
  <c r="BL62" i="16" s="1"/>
  <c r="BL70" i="16"/>
  <c r="BQ104" i="16"/>
  <c r="BP104" i="16"/>
  <c r="AV72" i="16"/>
  <c r="AK83" i="16"/>
  <c r="AK71" i="16"/>
  <c r="P44" i="12"/>
  <c r="BF39" i="12"/>
  <c r="P72" i="12"/>
  <c r="J48" i="12"/>
  <c r="BF24" i="12"/>
  <c r="D95" i="12"/>
  <c r="P90" i="12"/>
  <c r="P95" i="12" s="1"/>
  <c r="AD47" i="12"/>
  <c r="BF47" i="12" s="1"/>
  <c r="AF47" i="12"/>
  <c r="AT47" i="12"/>
  <c r="D48" i="12"/>
  <c r="P43" i="12"/>
  <c r="P48" i="12" s="1"/>
  <c r="AZ47" i="12"/>
  <c r="AL47" i="12"/>
  <c r="AR94" i="12"/>
  <c r="AR24" i="12"/>
  <c r="T13" i="12"/>
  <c r="AC13" i="12"/>
  <c r="AB13" i="12"/>
  <c r="W13" i="12"/>
  <c r="AH15" i="12"/>
  <c r="AV15" i="12"/>
  <c r="R61" i="12"/>
  <c r="AI61" i="12"/>
  <c r="U84" i="12"/>
  <c r="AW61" i="12"/>
  <c r="BB61" i="12"/>
  <c r="AN61" i="12"/>
  <c r="R14" i="12"/>
  <c r="T14" i="12"/>
  <c r="Y14" i="12"/>
  <c r="V13" i="12"/>
  <c r="AM61" i="12"/>
  <c r="BA61" i="12"/>
  <c r="AK61" i="12"/>
  <c r="AY61" i="12"/>
  <c r="AJ61" i="12"/>
  <c r="AX61" i="12"/>
  <c r="BE15" i="12"/>
  <c r="AQ15" i="12"/>
  <c r="AA38" i="12"/>
  <c r="AB14" i="12"/>
  <c r="W14" i="12"/>
  <c r="U14" i="12"/>
  <c r="AX15" i="12"/>
  <c r="AJ15" i="12"/>
  <c r="U38" i="12"/>
  <c r="X84" i="12"/>
  <c r="AL61" i="12"/>
  <c r="AZ61" i="12"/>
  <c r="BC61" i="12"/>
  <c r="AA84" i="12"/>
  <c r="AO61" i="12"/>
  <c r="AG61" i="12"/>
  <c r="AU61" i="12"/>
  <c r="AC14" i="12"/>
  <c r="X14" i="12"/>
  <c r="Z14" i="12"/>
  <c r="Z15" i="12"/>
  <c r="R15" i="12"/>
  <c r="BD61" i="12"/>
  <c r="AP61" i="12"/>
  <c r="AH61" i="12"/>
  <c r="AV61" i="12"/>
  <c r="BE61" i="12"/>
  <c r="AQ61" i="12"/>
  <c r="S14" i="12"/>
  <c r="AA14" i="12"/>
  <c r="V14" i="12"/>
  <c r="V45" i="2"/>
  <c r="AH45" i="2"/>
  <c r="S413" i="3"/>
  <c r="W45" i="2"/>
  <c r="F413" i="3"/>
  <c r="V61" i="2"/>
  <c r="W61" i="2"/>
  <c r="R62" i="2"/>
  <c r="R60" i="2"/>
  <c r="AD12" i="10"/>
  <c r="BN12" i="10"/>
  <c r="BT12" i="10" s="1"/>
  <c r="H61" i="2"/>
  <c r="AG62" i="2"/>
  <c r="AJ16" i="10"/>
  <c r="AX16" i="10"/>
  <c r="V18" i="10"/>
  <c r="V79" i="10" s="1"/>
  <c r="AJ79" i="10" s="1"/>
  <c r="BZ19" i="16"/>
  <c r="BD35" i="10"/>
  <c r="CF40" i="16"/>
  <c r="CF104" i="16" s="1"/>
  <c r="AP35" i="10"/>
  <c r="AB53" i="10"/>
  <c r="CB15" i="16"/>
  <c r="AL12" i="10"/>
  <c r="X14" i="10"/>
  <c r="X76" i="10" s="1"/>
  <c r="AL76" i="10" s="1"/>
  <c r="AZ12" i="10"/>
  <c r="BP12" i="10"/>
  <c r="BQ34" i="10"/>
  <c r="AA36" i="10"/>
  <c r="AO34" i="10"/>
  <c r="CE39" i="16"/>
  <c r="AA52" i="10"/>
  <c r="BC34" i="10"/>
  <c r="AO31" i="10"/>
  <c r="BQ31" i="10"/>
  <c r="BW31" i="10" s="1"/>
  <c r="AA49" i="10"/>
  <c r="CE36" i="16"/>
  <c r="BC31" i="10"/>
  <c r="S61" i="2"/>
  <c r="G61" i="2"/>
  <c r="BD30" i="4"/>
  <c r="W25" i="2"/>
  <c r="T33" i="4" s="1"/>
  <c r="AO16" i="10"/>
  <c r="AO18" i="10" s="1"/>
  <c r="BC16" i="10"/>
  <c r="BQ16" i="10"/>
  <c r="BW16" i="10" s="1"/>
  <c r="CE19" i="16"/>
  <c r="AU3" i="4"/>
  <c r="K25" i="2"/>
  <c r="T7" i="4" s="1"/>
  <c r="AW34" i="10"/>
  <c r="AI34" i="10"/>
  <c r="BO34" i="10"/>
  <c r="BY39" i="16"/>
  <c r="U36" i="10"/>
  <c r="U52" i="10"/>
  <c r="H60" i="2"/>
  <c r="AD61" i="2"/>
  <c r="CD15" i="16"/>
  <c r="AN12" i="10"/>
  <c r="Z14" i="10"/>
  <c r="Z76" i="10" s="1"/>
  <c r="AN76" i="10" s="1"/>
  <c r="BB12" i="10"/>
  <c r="AZ13" i="10"/>
  <c r="AL13" i="10"/>
  <c r="BP13" i="10"/>
  <c r="BV13" i="10" s="1"/>
  <c r="CB16" i="16"/>
  <c r="AG13" i="10"/>
  <c r="BW16" i="16"/>
  <c r="AU13" i="10"/>
  <c r="W62" i="2"/>
  <c r="AD62" i="2"/>
  <c r="G60" i="2"/>
  <c r="AU55" i="4"/>
  <c r="AG25" i="2"/>
  <c r="T57" i="4" s="1"/>
  <c r="AA3" i="4"/>
  <c r="G25" i="2"/>
  <c r="S7" i="4" s="1"/>
  <c r="G59" i="2"/>
  <c r="G45" i="2"/>
  <c r="AC62" i="2"/>
  <c r="H45" i="2"/>
  <c r="CG15" i="16"/>
  <c r="AC14" i="10"/>
  <c r="AC76" i="10" s="1"/>
  <c r="AQ76" i="10" s="1"/>
  <c r="BE12" i="10"/>
  <c r="AQ12" i="10"/>
  <c r="BZ16" i="16"/>
  <c r="AJ13" i="10"/>
  <c r="AX13" i="10"/>
  <c r="R20" i="10"/>
  <c r="O397" i="3"/>
  <c r="S60" i="2"/>
  <c r="S397" i="3"/>
  <c r="AY34" i="10"/>
  <c r="CA39" i="16"/>
  <c r="W52" i="10"/>
  <c r="AK34" i="10"/>
  <c r="W36" i="10"/>
  <c r="BO12" i="10"/>
  <c r="AK12" i="10"/>
  <c r="CA15" i="16"/>
  <c r="AY12" i="10"/>
  <c r="W14" i="10"/>
  <c r="BY15" i="16"/>
  <c r="U14" i="10"/>
  <c r="U77" i="10" s="1"/>
  <c r="AI77" i="10" s="1"/>
  <c r="AW12" i="10"/>
  <c r="AI12" i="10"/>
  <c r="AO13" i="10"/>
  <c r="CE16" i="16"/>
  <c r="BC13" i="10"/>
  <c r="BQ13" i="10"/>
  <c r="BW13" i="10" s="1"/>
  <c r="BP35" i="10"/>
  <c r="X53" i="10"/>
  <c r="AZ35" i="10"/>
  <c r="CB40" i="16"/>
  <c r="AL35" i="10"/>
  <c r="AA55" i="4"/>
  <c r="AC25" i="2"/>
  <c r="S57" i="4" s="1"/>
  <c r="BX39" i="16"/>
  <c r="AV34" i="10"/>
  <c r="AH34" i="10"/>
  <c r="T52" i="10"/>
  <c r="T36" i="10"/>
  <c r="BW15" i="16"/>
  <c r="AG12" i="10"/>
  <c r="S14" i="10"/>
  <c r="AU12" i="10"/>
  <c r="AN16" i="10"/>
  <c r="BB16" i="10"/>
  <c r="Z18" i="10"/>
  <c r="Z79" i="10" s="1"/>
  <c r="AN79" i="10" s="1"/>
  <c r="CD19" i="16"/>
  <c r="H59" i="2"/>
  <c r="AP13" i="10"/>
  <c r="BD13" i="10"/>
  <c r="CF16" i="16"/>
  <c r="CG36" i="16"/>
  <c r="BE31" i="10"/>
  <c r="AQ31" i="10"/>
  <c r="AC49" i="10"/>
  <c r="Y48" i="10"/>
  <c r="AM30" i="10"/>
  <c r="Y32" i="10"/>
  <c r="CC35" i="16"/>
  <c r="BA30" i="10"/>
  <c r="AJ31" i="10"/>
  <c r="AX31" i="10"/>
  <c r="BZ36" i="16"/>
  <c r="V49" i="10"/>
  <c r="AI13" i="10"/>
  <c r="BY16" i="16"/>
  <c r="BO13" i="10"/>
  <c r="BU13" i="10" s="1"/>
  <c r="AW13" i="10"/>
  <c r="BY36" i="16"/>
  <c r="BY100" i="16" s="1"/>
  <c r="U49" i="10"/>
  <c r="BO31" i="10"/>
  <c r="BU31" i="10" s="1"/>
  <c r="AW31" i="10"/>
  <c r="AI31" i="10"/>
  <c r="AJ30" i="4"/>
  <c r="S25" i="2"/>
  <c r="S33" i="4" s="1"/>
  <c r="AF30" i="10"/>
  <c r="R32" i="10"/>
  <c r="AT30" i="10"/>
  <c r="BN30" i="10"/>
  <c r="AD30" i="10"/>
  <c r="BV35" i="16"/>
  <c r="BV99" i="16" s="1"/>
  <c r="AB14" i="10"/>
  <c r="AB77" i="10" s="1"/>
  <c r="AP77" i="10" s="1"/>
  <c r="BD12" i="10"/>
  <c r="CF15" i="16"/>
  <c r="AP12" i="10"/>
  <c r="AP14" i="10" s="1"/>
  <c r="BW39" i="16"/>
  <c r="AU34" i="10"/>
  <c r="S52" i="10"/>
  <c r="S36" i="10"/>
  <c r="AG34" i="10"/>
  <c r="G62" i="2"/>
  <c r="CC36" i="16"/>
  <c r="BA31" i="10"/>
  <c r="AM31" i="10"/>
  <c r="Y49" i="10"/>
  <c r="BE13" i="10"/>
  <c r="AQ13" i="10"/>
  <c r="CG16" i="16"/>
  <c r="CD20" i="16"/>
  <c r="AN17" i="10"/>
  <c r="BB17" i="10"/>
  <c r="U53" i="10"/>
  <c r="AI35" i="10"/>
  <c r="BY40" i="16"/>
  <c r="BO35" i="10"/>
  <c r="AW35" i="10"/>
  <c r="S62" i="2"/>
  <c r="AG60" i="2"/>
  <c r="CA36" i="16"/>
  <c r="AY31" i="10"/>
  <c r="AK31" i="10"/>
  <c r="W49" i="10"/>
  <c r="BX35" i="16"/>
  <c r="AV30" i="10"/>
  <c r="AH30" i="10"/>
  <c r="AH32" i="10" s="1"/>
  <c r="T48" i="10"/>
  <c r="T32" i="10"/>
  <c r="AH31" i="10"/>
  <c r="BX36" i="16"/>
  <c r="T49" i="10"/>
  <c r="AV31" i="10"/>
  <c r="L59" i="2"/>
  <c r="L45" i="2"/>
  <c r="CD16" i="16"/>
  <c r="AN13" i="10"/>
  <c r="BB13" i="10"/>
  <c r="Y36" i="10"/>
  <c r="BA34" i="10"/>
  <c r="Y52" i="10"/>
  <c r="AM34" i="10"/>
  <c r="AM36" i="10" s="1"/>
  <c r="CC39" i="16"/>
  <c r="BC12" i="10"/>
  <c r="CE15" i="16"/>
  <c r="CE17" i="16" s="1"/>
  <c r="CE58" i="16" s="1"/>
  <c r="CE61" i="16" s="1"/>
  <c r="CE62" i="16" s="1"/>
  <c r="AO12" i="10"/>
  <c r="AO14" i="10" s="1"/>
  <c r="AA14" i="10"/>
  <c r="AA20" i="10" s="1"/>
  <c r="BQ12" i="10"/>
  <c r="BA53" i="10"/>
  <c r="Y67" i="10"/>
  <c r="AM53" i="10"/>
  <c r="AM17" i="10"/>
  <c r="BA17" i="10"/>
  <c r="CC20" i="16"/>
  <c r="CC104" i="16" s="1"/>
  <c r="AK17" i="10"/>
  <c r="AY17" i="10"/>
  <c r="CA20" i="16"/>
  <c r="AE3" i="4"/>
  <c r="AE5" i="4" s="1"/>
  <c r="BY20" i="16"/>
  <c r="AI17" i="10"/>
  <c r="AW17" i="10"/>
  <c r="BO17" i="10"/>
  <c r="BU17" i="10" s="1"/>
  <c r="AF34" i="10"/>
  <c r="AT34" i="10"/>
  <c r="BV39" i="16"/>
  <c r="BN34" i="10"/>
  <c r="BN52" i="10" s="1"/>
  <c r="R36" i="10"/>
  <c r="CC16" i="16"/>
  <c r="BA13" i="10"/>
  <c r="AM13" i="10"/>
  <c r="R49" i="10"/>
  <c r="AD31" i="10"/>
  <c r="AT31" i="10"/>
  <c r="BV36" i="16"/>
  <c r="AF31" i="10"/>
  <c r="BN31" i="10"/>
  <c r="AP16" i="10"/>
  <c r="AP18" i="10" s="1"/>
  <c r="CF19" i="16"/>
  <c r="CF21" i="16" s="1"/>
  <c r="CF64" i="16" s="1"/>
  <c r="CF67" i="16" s="1"/>
  <c r="CF68" i="16" s="1"/>
  <c r="BD16" i="10"/>
  <c r="AB18" i="10"/>
  <c r="AB79" i="10" s="1"/>
  <c r="AP79" i="10" s="1"/>
  <c r="BE35" i="10"/>
  <c r="AC53" i="10"/>
  <c r="CG40" i="16"/>
  <c r="AQ35" i="10"/>
  <c r="AG17" i="10"/>
  <c r="BW20" i="16"/>
  <c r="AU17" i="10"/>
  <c r="BD3" i="4"/>
  <c r="L25" i="2"/>
  <c r="T8" i="4" s="1"/>
  <c r="R45" i="2"/>
  <c r="R59" i="2"/>
  <c r="S32" i="10"/>
  <c r="AG30" i="10"/>
  <c r="AU30" i="10"/>
  <c r="S48" i="10"/>
  <c r="BW35" i="16"/>
  <c r="BD55" i="4"/>
  <c r="AH25" i="2"/>
  <c r="T58" i="4" s="1"/>
  <c r="AT35" i="10"/>
  <c r="R53" i="10"/>
  <c r="AD35" i="10"/>
  <c r="BF35" i="10" s="1"/>
  <c r="BN35" i="10"/>
  <c r="BV40" i="16"/>
  <c r="AF35" i="10"/>
  <c r="AK13" i="10"/>
  <c r="AY13" i="10"/>
  <c r="CA16" i="16"/>
  <c r="AY35" i="10"/>
  <c r="W53" i="10"/>
  <c r="CA40" i="16"/>
  <c r="AK35" i="10"/>
  <c r="AZ17" i="10"/>
  <c r="BP17" i="10"/>
  <c r="BV17" i="10" s="1"/>
  <c r="AL17" i="10"/>
  <c r="CB20" i="16"/>
  <c r="X397" i="3"/>
  <c r="J397" i="3"/>
  <c r="W59" i="2"/>
  <c r="K61" i="2"/>
  <c r="BW40" i="16"/>
  <c r="AU35" i="10"/>
  <c r="S53" i="10"/>
  <c r="AG35" i="10"/>
  <c r="BX16" i="16"/>
  <c r="AV13" i="10"/>
  <c r="AH13" i="10"/>
  <c r="K60" i="2"/>
  <c r="CA35" i="16"/>
  <c r="W32" i="10"/>
  <c r="W48" i="10"/>
  <c r="AY30" i="10"/>
  <c r="AK30" i="10"/>
  <c r="AX34" i="10"/>
  <c r="AJ34" i="10"/>
  <c r="BZ39" i="16"/>
  <c r="V52" i="10"/>
  <c r="V36" i="10"/>
  <c r="AW16" i="10"/>
  <c r="BY19" i="16"/>
  <c r="AI16" i="10"/>
  <c r="AI18" i="10" s="1"/>
  <c r="U18" i="10"/>
  <c r="BO16" i="10"/>
  <c r="BQ35" i="10"/>
  <c r="BW35" i="10" s="1"/>
  <c r="BC35" i="10"/>
  <c r="CE40" i="16"/>
  <c r="AO35" i="10"/>
  <c r="AN34" i="10"/>
  <c r="Z52" i="10"/>
  <c r="Z36" i="10"/>
  <c r="CD39" i="16"/>
  <c r="BB34" i="10"/>
  <c r="AH12" i="10"/>
  <c r="BX15" i="16"/>
  <c r="AV12" i="10"/>
  <c r="T14" i="10"/>
  <c r="CA19" i="16"/>
  <c r="W18" i="10"/>
  <c r="W79" i="10" s="1"/>
  <c r="AK79" i="10" s="1"/>
  <c r="AK16" i="10"/>
  <c r="AK18" i="10" s="1"/>
  <c r="AY16" i="10"/>
  <c r="AM16" i="10"/>
  <c r="AM18" i="10" s="1"/>
  <c r="BA16" i="10"/>
  <c r="Y18" i="10"/>
  <c r="Y79" i="10" s="1"/>
  <c r="AM79" i="10" s="1"/>
  <c r="CC19" i="16"/>
  <c r="BA12" i="10"/>
  <c r="Y14" i="10"/>
  <c r="CC15" i="16"/>
  <c r="CC17" i="16" s="1"/>
  <c r="CC58" i="16" s="1"/>
  <c r="CC61" i="16" s="1"/>
  <c r="CC62" i="16" s="1"/>
  <c r="AM12" i="10"/>
  <c r="AD60" i="2"/>
  <c r="AD59" i="2"/>
  <c r="AD45" i="2"/>
  <c r="AT17" i="10"/>
  <c r="AF17" i="10"/>
  <c r="BN17" i="10"/>
  <c r="BT17" i="10" s="1"/>
  <c r="BV20" i="16"/>
  <c r="AG31" i="10"/>
  <c r="AU31" i="10"/>
  <c r="BW36" i="16"/>
  <c r="S49" i="10"/>
  <c r="H25" i="2"/>
  <c r="S8" i="4" s="1"/>
  <c r="AJ3" i="4"/>
  <c r="AB52" i="10"/>
  <c r="AP34" i="10"/>
  <c r="AB36" i="10"/>
  <c r="BD34" i="10"/>
  <c r="CF39" i="16"/>
  <c r="AN30" i="10"/>
  <c r="CD35" i="16"/>
  <c r="Z32" i="10"/>
  <c r="Z48" i="10"/>
  <c r="BB30" i="10"/>
  <c r="AQ30" i="10"/>
  <c r="BE30" i="10"/>
  <c r="CG35" i="16"/>
  <c r="AC32" i="10"/>
  <c r="AC38" i="10" s="1"/>
  <c r="BE38" i="10" s="1"/>
  <c r="AC48" i="10"/>
  <c r="V59" i="2"/>
  <c r="AX12" i="10"/>
  <c r="BZ15" i="16"/>
  <c r="V14" i="10"/>
  <c r="AJ12" i="10"/>
  <c r="AJ14" i="10" s="1"/>
  <c r="U32" i="10"/>
  <c r="U48" i="10"/>
  <c r="AW30" i="10"/>
  <c r="BO30" i="10"/>
  <c r="BY35" i="16"/>
  <c r="AI30" i="10"/>
  <c r="K62" i="2"/>
  <c r="AG61" i="2"/>
  <c r="AL36" i="10"/>
  <c r="BP34" i="10"/>
  <c r="BP36" i="10" s="1"/>
  <c r="R52" i="10"/>
  <c r="R66" i="10" s="1"/>
  <c r="AF13" i="10"/>
  <c r="BV16" i="16"/>
  <c r="AT13" i="10"/>
  <c r="AD13" i="10"/>
  <c r="BF13" i="10" s="1"/>
  <c r="BN13" i="10"/>
  <c r="BC6" i="23"/>
  <c r="BA6" i="23"/>
  <c r="AW6" i="23"/>
  <c r="BB6" i="23"/>
  <c r="AZ6" i="23"/>
  <c r="AX6" i="23"/>
  <c r="AY6" i="23"/>
  <c r="BD6" i="23"/>
  <c r="BZ35" i="16"/>
  <c r="AJ30" i="10"/>
  <c r="AX30" i="10"/>
  <c r="V48" i="10"/>
  <c r="V32" i="10"/>
  <c r="K45" i="2"/>
  <c r="K59" i="2"/>
  <c r="AH59" i="2"/>
  <c r="AC59" i="2"/>
  <c r="AB48" i="10"/>
  <c r="AB32" i="10"/>
  <c r="BD30" i="10"/>
  <c r="CF35" i="16"/>
  <c r="AP30" i="10"/>
  <c r="AQ16" i="10"/>
  <c r="CG19" i="16"/>
  <c r="AC18" i="10"/>
  <c r="AC80" i="10" s="1"/>
  <c r="AQ80" i="10" s="1"/>
  <c r="BE16" i="10"/>
  <c r="W60" i="2"/>
  <c r="V60" i="2"/>
  <c r="AH62" i="2"/>
  <c r="CG39" i="16"/>
  <c r="AC52" i="10"/>
  <c r="AQ34" i="10"/>
  <c r="BE34" i="10"/>
  <c r="AC36" i="10"/>
  <c r="R61" i="2"/>
  <c r="X413" i="3"/>
  <c r="BB35" i="10"/>
  <c r="AN35" i="10"/>
  <c r="Z53" i="10"/>
  <c r="CD40" i="16"/>
  <c r="AJ55" i="4"/>
  <c r="AD25" i="2"/>
  <c r="S58" i="4" s="1"/>
  <c r="S59" i="2"/>
  <c r="S45" i="2"/>
  <c r="O413" i="3"/>
  <c r="AG59" i="2"/>
  <c r="F397" i="3"/>
  <c r="AY6" i="4"/>
  <c r="AY3" i="4" s="1"/>
  <c r="AY5" i="4" s="1"/>
  <c r="AH60" i="2"/>
  <c r="AQ17" i="10"/>
  <c r="BE17" i="10"/>
  <c r="CG20" i="16"/>
  <c r="BC30" i="10"/>
  <c r="CE35" i="16"/>
  <c r="AA32" i="10"/>
  <c r="AA48" i="10"/>
  <c r="BQ30" i="10"/>
  <c r="AO30" i="10"/>
  <c r="AO32" i="10" s="1"/>
  <c r="AX17" i="10"/>
  <c r="BZ20" i="16"/>
  <c r="AJ17" i="10"/>
  <c r="AJ18" i="10" s="1"/>
  <c r="AL16" i="10"/>
  <c r="CB19" i="16"/>
  <c r="AZ16" i="10"/>
  <c r="BP16" i="10"/>
  <c r="X18" i="10"/>
  <c r="X80" i="10" s="1"/>
  <c r="AL80" i="10" s="1"/>
  <c r="AL31" i="10"/>
  <c r="BP31" i="10"/>
  <c r="BV31" i="10" s="1"/>
  <c r="X49" i="10"/>
  <c r="AZ31" i="10"/>
  <c r="CB36" i="16"/>
  <c r="L62" i="2"/>
  <c r="BZ40" i="16"/>
  <c r="AX35" i="10"/>
  <c r="AJ35" i="10"/>
  <c r="V53" i="10"/>
  <c r="AG16" i="10"/>
  <c r="BW19" i="16"/>
  <c r="AU16" i="10"/>
  <c r="S18" i="10"/>
  <c r="J413" i="3"/>
  <c r="AW7" i="23"/>
  <c r="BA7" i="23"/>
  <c r="AX7" i="23"/>
  <c r="BD7" i="23"/>
  <c r="AZ7" i="23"/>
  <c r="BC7" i="23"/>
  <c r="AY7" i="23"/>
  <c r="BB7" i="23"/>
  <c r="T53" i="10"/>
  <c r="BX40" i="16"/>
  <c r="AH35" i="10"/>
  <c r="AV35" i="10"/>
  <c r="AH16" i="10"/>
  <c r="T18" i="10"/>
  <c r="T79" i="10"/>
  <c r="AH79" i="10" s="1"/>
  <c r="BX19" i="16"/>
  <c r="AV16" i="10"/>
  <c r="V25" i="2"/>
  <c r="T32" i="4" s="1"/>
  <c r="AU30" i="4"/>
  <c r="AC61" i="2"/>
  <c r="CB35" i="16"/>
  <c r="AL30" i="10"/>
  <c r="AL32" i="10" s="1"/>
  <c r="AZ30" i="10"/>
  <c r="X32" i="10"/>
  <c r="X48" i="10"/>
  <c r="BP30" i="10"/>
  <c r="BB31" i="10"/>
  <c r="AN31" i="10"/>
  <c r="CD36" i="16"/>
  <c r="CD100" i="16" s="1"/>
  <c r="Z49" i="10"/>
  <c r="L60" i="2"/>
  <c r="AV17" i="10"/>
  <c r="BX20" i="16"/>
  <c r="AH17" i="10"/>
  <c r="T80" i="10"/>
  <c r="AH80" i="10" s="1"/>
  <c r="CF36" i="16"/>
  <c r="AB49" i="10"/>
  <c r="AP31" i="10"/>
  <c r="BD31" i="10"/>
  <c r="CB103" i="16"/>
  <c r="AF48" i="10"/>
  <c r="BH48" i="10" s="1"/>
  <c r="AT48" i="10"/>
  <c r="R63" i="10"/>
  <c r="R77" i="10"/>
  <c r="AF77" i="10" s="1"/>
  <c r="AT14" i="10"/>
  <c r="AT77" i="10" s="1"/>
  <c r="R8" i="12"/>
  <c r="BV21" i="16"/>
  <c r="BV64" i="16" s="1"/>
  <c r="AF18" i="10"/>
  <c r="AZ52" i="10"/>
  <c r="AL52" i="10"/>
  <c r="X66" i="10"/>
  <c r="BF12" i="10"/>
  <c r="AD48" i="10"/>
  <c r="V6" i="12"/>
  <c r="BF34" i="10"/>
  <c r="AD52" i="10"/>
  <c r="AD36" i="10"/>
  <c r="BF36" i="10" s="1"/>
  <c r="AZ36" i="10"/>
  <c r="X56" i="12"/>
  <c r="AF52" i="10"/>
  <c r="BT16" i="10"/>
  <c r="Z7" i="12"/>
  <c r="Z20" i="10"/>
  <c r="AF14" i="10"/>
  <c r="R80" i="10"/>
  <c r="AF80" i="10" s="1"/>
  <c r="R9" i="12"/>
  <c r="AT18" i="10"/>
  <c r="CB76" i="16"/>
  <c r="AA9" i="12"/>
  <c r="BC18" i="10"/>
  <c r="AA79" i="10"/>
  <c r="AO79" i="10" s="1"/>
  <c r="AD53" i="10"/>
  <c r="BF17" i="10"/>
  <c r="AD18" i="10"/>
  <c r="CE104" i="16"/>
  <c r="CE21" i="16"/>
  <c r="AC53" i="12"/>
  <c r="BC53" i="10"/>
  <c r="AA67" i="10"/>
  <c r="AO53" i="10"/>
  <c r="BW17" i="10"/>
  <c r="BQ18" i="10"/>
  <c r="BQ80" i="10" s="1"/>
  <c r="BW80" i="10" s="1"/>
  <c r="BN14" i="10" l="1"/>
  <c r="AH14" i="10"/>
  <c r="BW21" i="16"/>
  <c r="BW64" i="16" s="1"/>
  <c r="BW65" i="16" s="1"/>
  <c r="BW67" i="16" s="1"/>
  <c r="BW68" i="16" s="1"/>
  <c r="BX100" i="16"/>
  <c r="BW104" i="16"/>
  <c r="AH18" i="10"/>
  <c r="AT52" i="10"/>
  <c r="AD14" i="10"/>
  <c r="AD76" i="10" s="1"/>
  <c r="AR76" i="10" s="1"/>
  <c r="BY21" i="16"/>
  <c r="CH16" i="16"/>
  <c r="CK16" i="16" s="1"/>
  <c r="BP52" i="10"/>
  <c r="AA76" i="10"/>
  <c r="AO76" i="10" s="1"/>
  <c r="BX21" i="16"/>
  <c r="BX64" i="16" s="1"/>
  <c r="BP19" i="16"/>
  <c r="BG70" i="16"/>
  <c r="BG61" i="16"/>
  <c r="BG62" i="16" s="1"/>
  <c r="BM40" i="16"/>
  <c r="BM104" i="16" s="1"/>
  <c r="BG40" i="16"/>
  <c r="BG104" i="16" s="1"/>
  <c r="BG39" i="16"/>
  <c r="BG103" i="16" s="1"/>
  <c r="BK39" i="16"/>
  <c r="BK103" i="16" s="1"/>
  <c r="BP15" i="16"/>
  <c r="BJ39" i="16"/>
  <c r="BJ103" i="16" s="1"/>
  <c r="BM61" i="16"/>
  <c r="BM62" i="16" s="1"/>
  <c r="BM70" i="16"/>
  <c r="BR19" i="16"/>
  <c r="BS19" i="16"/>
  <c r="BR15" i="16"/>
  <c r="BS15" i="16"/>
  <c r="AV83" i="16"/>
  <c r="AK86" i="16"/>
  <c r="BE40" i="16"/>
  <c r="BE104" i="16" s="1"/>
  <c r="BL37" i="16"/>
  <c r="BL71" i="16"/>
  <c r="BE61" i="16"/>
  <c r="BE62" i="16" s="1"/>
  <c r="BE70" i="16"/>
  <c r="AJ86" i="16"/>
  <c r="BN36" i="16"/>
  <c r="BN100" i="16" s="1"/>
  <c r="BN42" i="16"/>
  <c r="BQ99" i="16"/>
  <c r="BP99" i="16"/>
  <c r="BI37" i="16"/>
  <c r="BI71" i="16"/>
  <c r="BF37" i="16"/>
  <c r="BF71" i="16"/>
  <c r="BP20" i="16"/>
  <c r="BH41" i="16"/>
  <c r="BH71" i="16"/>
  <c r="BD68" i="16"/>
  <c r="BP67" i="16"/>
  <c r="BP16" i="16"/>
  <c r="AS82" i="16"/>
  <c r="AS86" i="16" s="1"/>
  <c r="AS71" i="16"/>
  <c r="AS73" i="16" s="1"/>
  <c r="BP61" i="16"/>
  <c r="BD62" i="16"/>
  <c r="BP64" i="16"/>
  <c r="AV71" i="16"/>
  <c r="AV73" i="16" s="1"/>
  <c r="BQ100" i="16"/>
  <c r="BP100" i="16"/>
  <c r="BJ37" i="16"/>
  <c r="BJ71" i="16"/>
  <c r="BK37" i="16"/>
  <c r="BK71" i="16"/>
  <c r="AR47" i="12"/>
  <c r="AB62" i="12"/>
  <c r="AX14" i="12"/>
  <c r="AJ14" i="12"/>
  <c r="AA62" i="12"/>
  <c r="Y62" i="12"/>
  <c r="BB15" i="12"/>
  <c r="X38" i="12"/>
  <c r="AN15" i="12"/>
  <c r="AN14" i="12"/>
  <c r="BB14" i="12"/>
  <c r="Y13" i="12"/>
  <c r="T62" i="12"/>
  <c r="Z62" i="12"/>
  <c r="BD14" i="12"/>
  <c r="AP14" i="12"/>
  <c r="Z60" i="12"/>
  <c r="W60" i="12"/>
  <c r="W62" i="12"/>
  <c r="U62" i="12"/>
  <c r="V62" i="12"/>
  <c r="U13" i="12"/>
  <c r="R37" i="12"/>
  <c r="AF14" i="12"/>
  <c r="AD14" i="12"/>
  <c r="AT14" i="12"/>
  <c r="AI84" i="12"/>
  <c r="AW84" i="12"/>
  <c r="AC17" i="12"/>
  <c r="BE17" i="12" s="1"/>
  <c r="BE13" i="12"/>
  <c r="AQ13" i="12"/>
  <c r="BC14" i="12"/>
  <c r="AA37" i="12"/>
  <c r="AO14" i="12"/>
  <c r="V60" i="12"/>
  <c r="AL14" i="12"/>
  <c r="AZ14" i="12"/>
  <c r="X37" i="12"/>
  <c r="BC84" i="12"/>
  <c r="AO84" i="12"/>
  <c r="AZ84" i="12"/>
  <c r="AL84" i="12"/>
  <c r="AA60" i="12"/>
  <c r="R60" i="12"/>
  <c r="R13" i="12"/>
  <c r="AI38" i="12"/>
  <c r="AW38" i="12"/>
  <c r="AA13" i="12"/>
  <c r="AO38" i="12"/>
  <c r="BC38" i="12"/>
  <c r="AB60" i="12"/>
  <c r="AM14" i="12"/>
  <c r="BA14" i="12"/>
  <c r="R62" i="12"/>
  <c r="S13" i="12"/>
  <c r="Z13" i="12"/>
  <c r="AG14" i="12"/>
  <c r="AU14" i="12"/>
  <c r="AQ14" i="12"/>
  <c r="BE14" i="12"/>
  <c r="AC62" i="12"/>
  <c r="U37" i="12"/>
  <c r="AW14" i="12"/>
  <c r="AI14" i="12"/>
  <c r="AH14" i="12"/>
  <c r="AV14" i="12"/>
  <c r="AC60" i="12"/>
  <c r="X62" i="12"/>
  <c r="U60" i="12"/>
  <c r="S60" i="12"/>
  <c r="S62" i="12"/>
  <c r="AF15" i="12"/>
  <c r="AR15" i="12" s="1"/>
  <c r="AT15" i="12"/>
  <c r="R38" i="12"/>
  <c r="AD15" i="12"/>
  <c r="X13" i="12"/>
  <c r="X60" i="12"/>
  <c r="AY14" i="12"/>
  <c r="AK14" i="12"/>
  <c r="AX13" i="12"/>
  <c r="AJ13" i="12"/>
  <c r="AJ17" i="12" s="1"/>
  <c r="V17" i="12"/>
  <c r="AX17" i="12" s="1"/>
  <c r="AT61" i="12"/>
  <c r="AD61" i="12"/>
  <c r="BF61" i="12" s="1"/>
  <c r="R84" i="12"/>
  <c r="AF61" i="12"/>
  <c r="AR61" i="12" s="1"/>
  <c r="T60" i="12"/>
  <c r="Y60" i="12"/>
  <c r="W17" i="12"/>
  <c r="AY17" i="12" s="1"/>
  <c r="AY13" i="12"/>
  <c r="AK13" i="12"/>
  <c r="AB17" i="12"/>
  <c r="BD17" i="12" s="1"/>
  <c r="AP13" i="12"/>
  <c r="AP17" i="12" s="1"/>
  <c r="BD13" i="12"/>
  <c r="AH13" i="12"/>
  <c r="AH17" i="12" s="1"/>
  <c r="AV13" i="12"/>
  <c r="T17" i="12"/>
  <c r="AV17" i="12" s="1"/>
  <c r="CC21" i="16"/>
  <c r="CC64" i="16" s="1"/>
  <c r="CC67" i="16" s="1"/>
  <c r="CC68" i="16" s="1"/>
  <c r="CG100" i="16"/>
  <c r="AL38" i="10"/>
  <c r="BQ53" i="10"/>
  <c r="BZ104" i="16"/>
  <c r="BW100" i="16"/>
  <c r="CG104" i="16"/>
  <c r="Z80" i="10"/>
  <c r="AN80" i="10" s="1"/>
  <c r="AC77" i="10"/>
  <c r="AQ77" i="10" s="1"/>
  <c r="AG14" i="10"/>
  <c r="AG18" i="10"/>
  <c r="AM14" i="10"/>
  <c r="AM20" i="10" s="1"/>
  <c r="AJ36" i="10"/>
  <c r="BV41" i="16"/>
  <c r="BV78" i="16" s="1"/>
  <c r="BR17" i="10"/>
  <c r="BC79" i="10"/>
  <c r="CF100" i="16"/>
  <c r="CD104" i="16"/>
  <c r="AJ32" i="10"/>
  <c r="CB21" i="16"/>
  <c r="CB64" i="16" s="1"/>
  <c r="CB67" i="16" s="1"/>
  <c r="CB68" i="16" s="1"/>
  <c r="BY104" i="16"/>
  <c r="CF17" i="16"/>
  <c r="BW17" i="16"/>
  <c r="BW58" i="16" s="1"/>
  <c r="BW59" i="16" s="1"/>
  <c r="BW61" i="16" s="1"/>
  <c r="BW62" i="16" s="1"/>
  <c r="BY17" i="16"/>
  <c r="AL14" i="10"/>
  <c r="BC25" i="23"/>
  <c r="DK7" i="23"/>
  <c r="CQ7" i="23"/>
  <c r="CM6" i="23"/>
  <c r="AY24" i="23"/>
  <c r="DG6" i="23"/>
  <c r="BI6" i="23"/>
  <c r="S20" i="10"/>
  <c r="S6" i="12"/>
  <c r="BD3" i="23"/>
  <c r="BB48" i="10"/>
  <c r="AN48" i="10"/>
  <c r="BP48" i="10" s="1"/>
  <c r="Z63" i="10"/>
  <c r="BU16" i="10"/>
  <c r="BO18" i="10"/>
  <c r="BO79" i="10" s="1"/>
  <c r="BU79" i="10" s="1"/>
  <c r="BT31" i="10"/>
  <c r="BR31" i="10"/>
  <c r="BX31" i="10" s="1"/>
  <c r="CA21" i="16"/>
  <c r="CA64" i="16" s="1"/>
  <c r="CA67" i="16" s="1"/>
  <c r="CA68" i="16" s="1"/>
  <c r="AM52" i="10"/>
  <c r="Y66" i="10"/>
  <c r="BA52" i="10"/>
  <c r="U54" i="12"/>
  <c r="S56" i="12"/>
  <c r="AU36" i="10"/>
  <c r="AT32" i="10"/>
  <c r="R55" i="12"/>
  <c r="S77" i="10"/>
  <c r="AG77" i="10" s="1"/>
  <c r="AU14" i="10"/>
  <c r="AU76" i="10" s="1"/>
  <c r="S8" i="12"/>
  <c r="AV52" i="10"/>
  <c r="AH52" i="10"/>
  <c r="T66" i="10"/>
  <c r="Y6" i="12"/>
  <c r="Y20" i="10"/>
  <c r="T38" i="10"/>
  <c r="AV38" i="10" s="1"/>
  <c r="T53" i="12"/>
  <c r="AB7" i="12"/>
  <c r="BC49" i="10"/>
  <c r="AO49" i="10"/>
  <c r="BQ49" i="10" s="1"/>
  <c r="AA64" i="10"/>
  <c r="CE41" i="16"/>
  <c r="CE78" i="16" s="1"/>
  <c r="CE103" i="16"/>
  <c r="BV12" i="10"/>
  <c r="BP14" i="10"/>
  <c r="BV14" i="10" s="1"/>
  <c r="AR12" i="10"/>
  <c r="BR12" i="10"/>
  <c r="BX12" i="10" s="1"/>
  <c r="BR34" i="10"/>
  <c r="BV17" i="16"/>
  <c r="BV58" i="16" s="1"/>
  <c r="V20" i="10"/>
  <c r="AR16" i="10"/>
  <c r="BV103" i="16"/>
  <c r="AP49" i="10"/>
  <c r="BR49" i="10" s="1"/>
  <c r="AB64" i="10"/>
  <c r="BD49" i="10"/>
  <c r="X63" i="10"/>
  <c r="AZ48" i="10"/>
  <c r="AL48" i="10"/>
  <c r="BN48" i="10" s="1"/>
  <c r="BN63" i="10" s="1"/>
  <c r="CA76" i="16"/>
  <c r="AZ25" i="23"/>
  <c r="CN7" i="23"/>
  <c r="DH7" i="23"/>
  <c r="BH7" i="23"/>
  <c r="N9" i="24"/>
  <c r="BE7" i="23"/>
  <c r="CK7" i="23"/>
  <c r="AW25" i="23"/>
  <c r="DE7" i="23"/>
  <c r="BQ7" i="23"/>
  <c r="S53" i="12"/>
  <c r="S38" i="10"/>
  <c r="AU38" i="10" s="1"/>
  <c r="AO48" i="10"/>
  <c r="BQ48" i="10" s="1"/>
  <c r="BQ63" i="10" s="1"/>
  <c r="AA63" i="10"/>
  <c r="BC48" i="10"/>
  <c r="R7" i="12"/>
  <c r="BE52" i="10"/>
  <c r="AQ52" i="10"/>
  <c r="AC66" i="10"/>
  <c r="CG103" i="16"/>
  <c r="CG21" i="16"/>
  <c r="CG64" i="16" s="1"/>
  <c r="CG67" i="16" s="1"/>
  <c r="CG68" i="16" s="1"/>
  <c r="AA54" i="12"/>
  <c r="CE76" i="16"/>
  <c r="CL6" i="23"/>
  <c r="DF6" i="23"/>
  <c r="AX24" i="23"/>
  <c r="DI6" i="23"/>
  <c r="CO6" i="23"/>
  <c r="BA24" i="23"/>
  <c r="BT13" i="10"/>
  <c r="BR13" i="10"/>
  <c r="BX13" i="10" s="1"/>
  <c r="AR13" i="10"/>
  <c r="AW48" i="10"/>
  <c r="AI48" i="10"/>
  <c r="BK48" i="10" s="1"/>
  <c r="U63" i="10"/>
  <c r="V8" i="12"/>
  <c r="AX14" i="10"/>
  <c r="AX77" i="10" s="1"/>
  <c r="AC55" i="12"/>
  <c r="BE32" i="10"/>
  <c r="AY3" i="23"/>
  <c r="BA3" i="23"/>
  <c r="BB32" i="10"/>
  <c r="Z55" i="12"/>
  <c r="AB56" i="12"/>
  <c r="BD36" i="10"/>
  <c r="Y76" i="10"/>
  <c r="AM76" i="10" s="1"/>
  <c r="BA14" i="10"/>
  <c r="Y8" i="12"/>
  <c r="Y80" i="10"/>
  <c r="AM80" i="10" s="1"/>
  <c r="Y9" i="12"/>
  <c r="BA18" i="10"/>
  <c r="T8" i="12"/>
  <c r="AV14" i="10"/>
  <c r="T77" i="10"/>
  <c r="AH77" i="10" s="1"/>
  <c r="AN52" i="10"/>
  <c r="Z66" i="10"/>
  <c r="BB52" i="10"/>
  <c r="U79" i="10"/>
  <c r="AI79" i="10" s="1"/>
  <c r="AW18" i="10"/>
  <c r="AW80" i="10" s="1"/>
  <c r="U9" i="12"/>
  <c r="V56" i="12"/>
  <c r="AX36" i="10"/>
  <c r="AK48" i="10"/>
  <c r="W63" i="10"/>
  <c r="AY48" i="10"/>
  <c r="AL18" i="10"/>
  <c r="AL20" i="10" s="1"/>
  <c r="CA104" i="16"/>
  <c r="AA7" i="12"/>
  <c r="AR35" i="10"/>
  <c r="AT53" i="10"/>
  <c r="AF53" i="10"/>
  <c r="R67" i="10"/>
  <c r="AG32" i="10"/>
  <c r="AC67" i="10"/>
  <c r="AQ53" i="10"/>
  <c r="BE53" i="10"/>
  <c r="AF32" i="10"/>
  <c r="AR31" i="10"/>
  <c r="R64" i="10"/>
  <c r="AF49" i="10"/>
  <c r="BH49" i="10" s="1"/>
  <c r="BH64" i="10" s="1"/>
  <c r="AT49" i="10"/>
  <c r="BA67" i="10"/>
  <c r="AM67" i="10"/>
  <c r="BW12" i="10"/>
  <c r="BQ14" i="10"/>
  <c r="BW14" i="10" s="1"/>
  <c r="U7" i="12"/>
  <c r="CD76" i="16"/>
  <c r="AB20" i="10"/>
  <c r="AB6" i="12"/>
  <c r="AG52" i="10"/>
  <c r="AU52" i="10"/>
  <c r="S66" i="10"/>
  <c r="AB76" i="10"/>
  <c r="AP76" i="10" s="1"/>
  <c r="BF30" i="10"/>
  <c r="AD32" i="10"/>
  <c r="BF32" i="10" s="1"/>
  <c r="AR30" i="10"/>
  <c r="U64" i="10"/>
  <c r="AW49" i="10"/>
  <c r="AI49" i="10"/>
  <c r="BK49" i="10" s="1"/>
  <c r="BK64" i="10" s="1"/>
  <c r="BZ100" i="16"/>
  <c r="BX76" i="16"/>
  <c r="CC37" i="16"/>
  <c r="CC77" i="16" s="1"/>
  <c r="CC99" i="16"/>
  <c r="AQ49" i="10"/>
  <c r="AC64" i="10"/>
  <c r="BE49" i="10"/>
  <c r="Z6" i="12"/>
  <c r="AN18" i="10"/>
  <c r="AH36" i="10"/>
  <c r="AH38" i="10" s="1"/>
  <c r="AL53" i="10"/>
  <c r="AZ53" i="10"/>
  <c r="X67" i="10"/>
  <c r="T76" i="10"/>
  <c r="AH76" i="10" s="1"/>
  <c r="AI14" i="10"/>
  <c r="AI20" i="10" s="1"/>
  <c r="W8" i="12"/>
  <c r="AY14" i="10"/>
  <c r="W76" i="10"/>
  <c r="AK76" i="10" s="1"/>
  <c r="BU12" i="10"/>
  <c r="BO14" i="10"/>
  <c r="BU14" i="10" s="1"/>
  <c r="CA103" i="16"/>
  <c r="CA41" i="16"/>
  <c r="CA78" i="16" s="1"/>
  <c r="CA85" i="16" s="1"/>
  <c r="V77" i="10"/>
  <c r="AJ77" i="10" s="1"/>
  <c r="Z77" i="10"/>
  <c r="AN77" i="10" s="1"/>
  <c r="Z8" i="12"/>
  <c r="BB14" i="10"/>
  <c r="BB77" i="10" s="1"/>
  <c r="BY41" i="16"/>
  <c r="BY78" i="16" s="1"/>
  <c r="BY103" i="16"/>
  <c r="U20" i="10"/>
  <c r="U6" i="12"/>
  <c r="V7" i="12"/>
  <c r="U38" i="10"/>
  <c r="AW38" i="10" s="1"/>
  <c r="U53" i="12"/>
  <c r="AO36" i="10"/>
  <c r="AO38" i="10" s="1"/>
  <c r="CB99" i="16"/>
  <c r="CB17" i="16"/>
  <c r="CB58" i="16" s="1"/>
  <c r="CB61" i="16" s="1"/>
  <c r="CB62" i="16" s="1"/>
  <c r="BV30" i="10"/>
  <c r="BP32" i="10"/>
  <c r="BV32" i="10" s="1"/>
  <c r="BX65" i="16"/>
  <c r="AL49" i="10"/>
  <c r="BN49" i="10" s="1"/>
  <c r="AZ49" i="10"/>
  <c r="X64" i="10"/>
  <c r="BZ76" i="16"/>
  <c r="W6" i="12"/>
  <c r="W20" i="10"/>
  <c r="BE18" i="10"/>
  <c r="BE79" i="10" s="1"/>
  <c r="AC9" i="12"/>
  <c r="BH6" i="23"/>
  <c r="AW24" i="23"/>
  <c r="CK6" i="23"/>
  <c r="BE6" i="23"/>
  <c r="BQ6" i="23"/>
  <c r="N8" i="24"/>
  <c r="DE6" i="23"/>
  <c r="BE48" i="10"/>
  <c r="AC63" i="10"/>
  <c r="AQ48" i="10"/>
  <c r="BC3" i="23"/>
  <c r="BB36" i="10"/>
  <c r="Z56" i="12"/>
  <c r="BF31" i="10"/>
  <c r="AD49" i="10"/>
  <c r="BD14" i="10"/>
  <c r="BD76" i="10" s="1"/>
  <c r="AB8" i="12"/>
  <c r="BV37" i="16"/>
  <c r="CH35" i="16"/>
  <c r="AX49" i="10"/>
  <c r="AJ49" i="10"/>
  <c r="BL49" i="10" s="1"/>
  <c r="BL64" i="10" s="1"/>
  <c r="V64" i="10"/>
  <c r="BY58" i="16"/>
  <c r="BY59" i="16"/>
  <c r="AK52" i="10"/>
  <c r="W66" i="10"/>
  <c r="AY52" i="10"/>
  <c r="X38" i="10"/>
  <c r="AZ38" i="10" s="1"/>
  <c r="X53" i="12"/>
  <c r="U56" i="12"/>
  <c r="AW36" i="10"/>
  <c r="AR17" i="10"/>
  <c r="AR18" i="10" s="1"/>
  <c r="BV34" i="10"/>
  <c r="BR16" i="10"/>
  <c r="BX16" i="10" s="1"/>
  <c r="AT76" i="10"/>
  <c r="AZ32" i="10"/>
  <c r="X55" i="12"/>
  <c r="S7" i="12"/>
  <c r="W54" i="12"/>
  <c r="AV18" i="10"/>
  <c r="AV80" i="10" s="1"/>
  <c r="T9" i="12"/>
  <c r="BX104" i="16"/>
  <c r="AC54" i="12"/>
  <c r="DJ7" i="23"/>
  <c r="BJ7" i="23"/>
  <c r="BB25" i="23"/>
  <c r="CP7" i="23"/>
  <c r="DL7" i="23"/>
  <c r="CR7" i="23"/>
  <c r="BD25" i="23"/>
  <c r="S80" i="10"/>
  <c r="AG80" i="10" s="1"/>
  <c r="AU18" i="10"/>
  <c r="AU79" i="10" s="1"/>
  <c r="S9" i="12"/>
  <c r="CB37" i="16"/>
  <c r="CB77" i="16" s="1"/>
  <c r="CB100" i="16"/>
  <c r="AZ18" i="10"/>
  <c r="AZ80" i="10" s="1"/>
  <c r="X79" i="10"/>
  <c r="AL79" i="10" s="1"/>
  <c r="X9" i="12"/>
  <c r="V80" i="10"/>
  <c r="AJ80" i="10" s="1"/>
  <c r="CC76" i="16"/>
  <c r="AA55" i="12"/>
  <c r="BC32" i="10"/>
  <c r="X7" i="12"/>
  <c r="AC56" i="12"/>
  <c r="BE36" i="10"/>
  <c r="CG41" i="16"/>
  <c r="CG78" i="16" s="1"/>
  <c r="AC79" i="10"/>
  <c r="AQ79" i="10" s="1"/>
  <c r="AQ18" i="10"/>
  <c r="AB55" i="12"/>
  <c r="BD32" i="10"/>
  <c r="V55" i="12"/>
  <c r="AX32" i="10"/>
  <c r="BZ99" i="16"/>
  <c r="BZ37" i="16"/>
  <c r="BZ77" i="16" s="1"/>
  <c r="CN6" i="23"/>
  <c r="AZ24" i="23"/>
  <c r="DH6" i="23"/>
  <c r="CQ6" i="23"/>
  <c r="DK6" i="23"/>
  <c r="BC24" i="23"/>
  <c r="AA38" i="10"/>
  <c r="BC38" i="10" s="1"/>
  <c r="AA53" i="12"/>
  <c r="BY99" i="16"/>
  <c r="BY37" i="16"/>
  <c r="BY77" i="16" s="1"/>
  <c r="U55" i="12"/>
  <c r="AW32" i="10"/>
  <c r="BZ17" i="16"/>
  <c r="BZ58" i="16" s="1"/>
  <c r="BZ61" i="16" s="1"/>
  <c r="BZ62" i="16" s="1"/>
  <c r="CG37" i="16"/>
  <c r="CG77" i="16" s="1"/>
  <c r="AZ3" i="23"/>
  <c r="AW3" i="23"/>
  <c r="T7" i="12"/>
  <c r="CD37" i="16"/>
  <c r="CD77" i="16" s="1"/>
  <c r="CD99" i="16"/>
  <c r="AA6" i="12"/>
  <c r="BA76" i="10"/>
  <c r="BA79" i="10"/>
  <c r="AN36" i="10"/>
  <c r="AX52" i="10"/>
  <c r="V66" i="10"/>
  <c r="AJ52" i="10"/>
  <c r="AY32" i="10"/>
  <c r="W55" i="12"/>
  <c r="AK53" i="10"/>
  <c r="AY53" i="10"/>
  <c r="W67" i="10"/>
  <c r="BV104" i="16"/>
  <c r="CH40" i="16"/>
  <c r="CK40" i="16" s="1"/>
  <c r="BW37" i="16"/>
  <c r="BW77" i="16" s="1"/>
  <c r="BW99" i="16"/>
  <c r="S55" i="12"/>
  <c r="AU32" i="10"/>
  <c r="AB38" i="10"/>
  <c r="BD38" i="10" s="1"/>
  <c r="AB53" i="12"/>
  <c r="CH36" i="16"/>
  <c r="CK36" i="16" s="1"/>
  <c r="BV100" i="16"/>
  <c r="Y77" i="10"/>
  <c r="AM77" i="10" s="1"/>
  <c r="AT36" i="10"/>
  <c r="R56" i="12"/>
  <c r="AF36" i="10"/>
  <c r="BA80" i="10"/>
  <c r="AC7" i="12"/>
  <c r="AA77" i="10"/>
  <c r="AO77" i="10" s="1"/>
  <c r="AA8" i="12"/>
  <c r="BC14" i="10"/>
  <c r="BC76" i="10" s="1"/>
  <c r="CC41" i="16"/>
  <c r="CC78" i="16" s="1"/>
  <c r="CC85" i="16" s="1"/>
  <c r="CC103" i="16"/>
  <c r="BA36" i="10"/>
  <c r="Y56" i="12"/>
  <c r="AV32" i="10"/>
  <c r="T55" i="12"/>
  <c r="BX37" i="16"/>
  <c r="BX77" i="16" s="1"/>
  <c r="BX99" i="16"/>
  <c r="CA100" i="16"/>
  <c r="AW53" i="10"/>
  <c r="U67" i="10"/>
  <c r="AI53" i="10"/>
  <c r="CC100" i="16"/>
  <c r="CF58" i="16"/>
  <c r="CF61" i="16" s="1"/>
  <c r="CF62" i="16" s="1"/>
  <c r="CG17" i="16"/>
  <c r="CG58" i="16" s="1"/>
  <c r="CG61" i="16" s="1"/>
  <c r="CG62" i="16" s="1"/>
  <c r="CG84" i="16" s="1"/>
  <c r="BT30" i="10"/>
  <c r="BR30" i="10"/>
  <c r="BX30" i="10" s="1"/>
  <c r="BN32" i="10"/>
  <c r="AI32" i="10"/>
  <c r="BA32" i="10"/>
  <c r="Y55" i="12"/>
  <c r="AQ32" i="10"/>
  <c r="CD21" i="16"/>
  <c r="CD64" i="16" s="1"/>
  <c r="CD67" i="16" s="1"/>
  <c r="CD68" i="16" s="1"/>
  <c r="S76" i="10"/>
  <c r="AG76" i="10" s="1"/>
  <c r="X54" i="12"/>
  <c r="BV35" i="10"/>
  <c r="BP53" i="10"/>
  <c r="W56" i="12"/>
  <c r="AY36" i="10"/>
  <c r="BE14" i="10"/>
  <c r="BE76" i="10" s="1"/>
  <c r="AC8" i="12"/>
  <c r="CF76" i="16"/>
  <c r="CF83" i="16" s="1"/>
  <c r="AN14" i="10"/>
  <c r="BU34" i="10"/>
  <c r="BO52" i="10"/>
  <c r="BO36" i="10"/>
  <c r="BU36" i="10" s="1"/>
  <c r="AC6" i="12"/>
  <c r="AC20" i="10"/>
  <c r="AP20" i="10"/>
  <c r="V53" i="12"/>
  <c r="V38" i="10"/>
  <c r="AX38" i="10" s="1"/>
  <c r="R53" i="12"/>
  <c r="R38" i="10"/>
  <c r="AT38" i="10" s="1"/>
  <c r="BC36" i="10"/>
  <c r="AA56" i="12"/>
  <c r="BD53" i="10"/>
  <c r="AB67" i="10"/>
  <c r="AP53" i="10"/>
  <c r="W77" i="10"/>
  <c r="AK77" i="10" s="1"/>
  <c r="Z64" i="10"/>
  <c r="BB49" i="10"/>
  <c r="AN49" i="10"/>
  <c r="BP49" i="10" s="1"/>
  <c r="BA25" i="23"/>
  <c r="DI7" i="23"/>
  <c r="CO7" i="23"/>
  <c r="AJ53" i="10"/>
  <c r="V67" i="10"/>
  <c r="AX53" i="10"/>
  <c r="BW30" i="10"/>
  <c r="BQ32" i="10"/>
  <c r="BW32" i="10" s="1"/>
  <c r="CF99" i="16"/>
  <c r="CF37" i="16"/>
  <c r="CF77" i="16" s="1"/>
  <c r="Y7" i="12"/>
  <c r="AW79" i="10"/>
  <c r="BA77" i="10"/>
  <c r="AO20" i="10"/>
  <c r="BY76" i="16"/>
  <c r="T54" i="12"/>
  <c r="BA48" i="10"/>
  <c r="AM48" i="10"/>
  <c r="BO48" i="10" s="1"/>
  <c r="Y63" i="10"/>
  <c r="AK14" i="10"/>
  <c r="AK20" i="10" s="1"/>
  <c r="R6" i="12"/>
  <c r="AX18" i="10"/>
  <c r="AX79" i="10" s="1"/>
  <c r="V9" i="12"/>
  <c r="CH20" i="16"/>
  <c r="AJ20" i="10"/>
  <c r="BN18" i="10"/>
  <c r="BN79" i="10" s="1"/>
  <c r="BT79" i="10" s="1"/>
  <c r="CH15" i="16"/>
  <c r="CK15" i="16" s="1"/>
  <c r="CH19" i="16"/>
  <c r="CK19" i="16" s="1"/>
  <c r="CH39" i="16"/>
  <c r="CK39" i="16" s="1"/>
  <c r="BY22" i="16"/>
  <c r="X6" i="12"/>
  <c r="X20" i="10"/>
  <c r="AV79" i="10"/>
  <c r="AV53" i="10"/>
  <c r="T67" i="10"/>
  <c r="AH53" i="10"/>
  <c r="CG76" i="16"/>
  <c r="DG7" i="23"/>
  <c r="AY25" i="23"/>
  <c r="BI7" i="23"/>
  <c r="CM7" i="23"/>
  <c r="DF7" i="23"/>
  <c r="AX25" i="23"/>
  <c r="CL7" i="23"/>
  <c r="S79" i="10"/>
  <c r="AG79" i="10" s="1"/>
  <c r="T6" i="12"/>
  <c r="T20" i="10"/>
  <c r="BV16" i="10"/>
  <c r="BP18" i="10"/>
  <c r="Y53" i="12"/>
  <c r="Y38" i="10"/>
  <c r="BA38" i="10" s="1"/>
  <c r="Y54" i="12"/>
  <c r="CE99" i="16"/>
  <c r="CE37" i="16"/>
  <c r="CE77" i="16" s="1"/>
  <c r="CE84" i="16" s="1"/>
  <c r="AF20" i="10"/>
  <c r="CB83" i="16"/>
  <c r="BB53" i="10"/>
  <c r="AN53" i="10"/>
  <c r="Z67" i="10"/>
  <c r="AP32" i="10"/>
  <c r="AP48" i="10"/>
  <c r="BR48" i="10" s="1"/>
  <c r="BD48" i="10"/>
  <c r="AB63" i="10"/>
  <c r="AX48" i="10"/>
  <c r="AJ48" i="10"/>
  <c r="BL48" i="10" s="1"/>
  <c r="BL63" i="10" s="1"/>
  <c r="V63" i="10"/>
  <c r="CR6" i="23"/>
  <c r="DL6" i="23"/>
  <c r="BD24" i="23"/>
  <c r="CP6" i="23"/>
  <c r="DJ6" i="23"/>
  <c r="BJ6" i="23"/>
  <c r="BB24" i="23"/>
  <c r="BO32" i="10"/>
  <c r="BU32" i="10" s="1"/>
  <c r="BU30" i="10"/>
  <c r="V76" i="10"/>
  <c r="AJ76" i="10" s="1"/>
  <c r="BB3" i="23"/>
  <c r="AX3" i="23"/>
  <c r="AN32" i="10"/>
  <c r="CF103" i="16"/>
  <c r="CF41" i="16"/>
  <c r="CF78" i="16" s="1"/>
  <c r="CF85" i="16" s="1"/>
  <c r="BD52" i="10"/>
  <c r="AB66" i="10"/>
  <c r="AP52" i="10"/>
  <c r="S54" i="12"/>
  <c r="AU49" i="10"/>
  <c r="S64" i="10"/>
  <c r="AG49" i="10"/>
  <c r="BI49" i="10" s="1"/>
  <c r="BI64" i="10" s="1"/>
  <c r="W9" i="12"/>
  <c r="AY18" i="10"/>
  <c r="AY80" i="10" s="1"/>
  <c r="BX17" i="16"/>
  <c r="CD103" i="16"/>
  <c r="CD41" i="16"/>
  <c r="CD78" i="16" s="1"/>
  <c r="W7" i="12"/>
  <c r="BY64" i="16"/>
  <c r="BY65" i="16"/>
  <c r="BZ41" i="16"/>
  <c r="BZ78" i="16" s="1"/>
  <c r="AK32" i="10"/>
  <c r="CA99" i="16"/>
  <c r="CA37" i="16"/>
  <c r="CA77" i="16" s="1"/>
  <c r="S67" i="10"/>
  <c r="AG53" i="10"/>
  <c r="AU53" i="10"/>
  <c r="BT35" i="10"/>
  <c r="BN53" i="10"/>
  <c r="BR35" i="10"/>
  <c r="BX35" i="10" s="1"/>
  <c r="S63" i="10"/>
  <c r="AU48" i="10"/>
  <c r="AG48" i="10"/>
  <c r="BI48" i="10" s="1"/>
  <c r="BI63" i="10" s="1"/>
  <c r="AQ36" i="10"/>
  <c r="BD18" i="10"/>
  <c r="BD80" i="10" s="1"/>
  <c r="AB9" i="12"/>
  <c r="AB80" i="10"/>
  <c r="AP80" i="10" s="1"/>
  <c r="BT34" i="10"/>
  <c r="BN36" i="10"/>
  <c r="BT36" i="10" s="1"/>
  <c r="U80" i="10"/>
  <c r="AI80" i="10" s="1"/>
  <c r="W80" i="10"/>
  <c r="AK80" i="10" s="1"/>
  <c r="Z54" i="12"/>
  <c r="T64" i="10"/>
  <c r="AH49" i="10"/>
  <c r="BJ49" i="10" s="1"/>
  <c r="BJ64" i="10" s="1"/>
  <c r="AV49" i="10"/>
  <c r="AH48" i="10"/>
  <c r="BJ48" i="10" s="1"/>
  <c r="BJ63" i="10" s="1"/>
  <c r="T63" i="10"/>
  <c r="AV48" i="10"/>
  <c r="AK49" i="10"/>
  <c r="AY49" i="10"/>
  <c r="W64" i="10"/>
  <c r="R54" i="12"/>
  <c r="BU35" i="10"/>
  <c r="BO53" i="10"/>
  <c r="Y64" i="10"/>
  <c r="BA49" i="10"/>
  <c r="AM49" i="10"/>
  <c r="BO49" i="10" s="1"/>
  <c r="AG36" i="10"/>
  <c r="BW41" i="16"/>
  <c r="BW103" i="16"/>
  <c r="Z53" i="12"/>
  <c r="Z38" i="10"/>
  <c r="BB38" i="10" s="1"/>
  <c r="AM32" i="10"/>
  <c r="AM38" i="10" s="1"/>
  <c r="BW76" i="16"/>
  <c r="BB18" i="10"/>
  <c r="BB79" i="10" s="1"/>
  <c r="Z9" i="12"/>
  <c r="T56" i="12"/>
  <c r="AV36" i="10"/>
  <c r="BX103" i="16"/>
  <c r="BX41" i="16"/>
  <c r="BX78" i="16" s="1"/>
  <c r="CB104" i="16"/>
  <c r="U76" i="10"/>
  <c r="AI76" i="10" s="1"/>
  <c r="AW14" i="10"/>
  <c r="AW77" i="10" s="1"/>
  <c r="U8" i="12"/>
  <c r="CA17" i="16"/>
  <c r="CA58" i="16" s="1"/>
  <c r="CA61" i="16" s="1"/>
  <c r="CA62" i="16" s="1"/>
  <c r="AK36" i="10"/>
  <c r="W53" i="12"/>
  <c r="W38" i="10"/>
  <c r="AY38" i="10" s="1"/>
  <c r="AQ14" i="10"/>
  <c r="CG99" i="16"/>
  <c r="V54" i="12"/>
  <c r="AB54" i="12"/>
  <c r="CD17" i="16"/>
  <c r="CD58" i="16" s="1"/>
  <c r="CD61" i="16" s="1"/>
  <c r="CD62" i="16" s="1"/>
  <c r="CD84" i="16" s="1"/>
  <c r="U66" i="10"/>
  <c r="AI52" i="10"/>
  <c r="AW52" i="10"/>
  <c r="AI36" i="10"/>
  <c r="AR34" i="10"/>
  <c r="AR36" i="10" s="1"/>
  <c r="CE100" i="16"/>
  <c r="AA66" i="10"/>
  <c r="AO52" i="10"/>
  <c r="BC52" i="10"/>
  <c r="BQ36" i="10"/>
  <c r="BW36" i="10" s="1"/>
  <c r="BQ52" i="10"/>
  <c r="BW34" i="10"/>
  <c r="X77" i="10"/>
  <c r="AL77" i="10" s="1"/>
  <c r="X8" i="12"/>
  <c r="AZ14" i="10"/>
  <c r="AZ76" i="10" s="1"/>
  <c r="AP36" i="10"/>
  <c r="BZ103" i="16"/>
  <c r="BZ21" i="16"/>
  <c r="BZ64" i="16" s="1"/>
  <c r="BZ67" i="16" s="1"/>
  <c r="BZ68" i="16" s="1"/>
  <c r="CB41" i="16"/>
  <c r="CB78" i="16" s="1"/>
  <c r="CB85" i="16" s="1"/>
  <c r="AT79" i="10"/>
  <c r="AT80" i="10"/>
  <c r="BN66" i="10"/>
  <c r="BT66" i="10" s="1"/>
  <c r="BT52" i="10"/>
  <c r="AD66" i="10"/>
  <c r="BF52" i="10"/>
  <c r="BV65" i="16"/>
  <c r="BH63" i="10"/>
  <c r="AT9" i="12"/>
  <c r="R23" i="12"/>
  <c r="AF9" i="12"/>
  <c r="BT14" i="10"/>
  <c r="BB20" i="10"/>
  <c r="AZ56" i="12"/>
  <c r="AL56" i="12"/>
  <c r="X70" i="12"/>
  <c r="AX20" i="10"/>
  <c r="BP66" i="10"/>
  <c r="BV66" i="10" s="1"/>
  <c r="BV52" i="10"/>
  <c r="BV36" i="10"/>
  <c r="BP38" i="10"/>
  <c r="BV38" i="10" s="1"/>
  <c r="BN80" i="10"/>
  <c r="BT80" i="10" s="1"/>
  <c r="V20" i="12"/>
  <c r="AX6" i="12"/>
  <c r="AJ6" i="12"/>
  <c r="U29" i="12"/>
  <c r="BF48" i="10"/>
  <c r="AR48" i="10"/>
  <c r="AD63" i="10"/>
  <c r="AT20" i="10"/>
  <c r="AF63" i="10"/>
  <c r="AT63" i="10"/>
  <c r="BX34" i="10"/>
  <c r="BR52" i="10"/>
  <c r="BB7" i="12"/>
  <c r="AN7" i="12"/>
  <c r="Z21" i="12"/>
  <c r="AT66" i="10"/>
  <c r="AF66" i="10"/>
  <c r="AD77" i="10"/>
  <c r="AR77" i="10" s="1"/>
  <c r="BF14" i="10"/>
  <c r="AL66" i="10"/>
  <c r="AZ66" i="10"/>
  <c r="CC84" i="16"/>
  <c r="R22" i="12"/>
  <c r="R10" i="12"/>
  <c r="AT10" i="12" s="1"/>
  <c r="AT8" i="12"/>
  <c r="AF8" i="12"/>
  <c r="R31" i="12"/>
  <c r="BX17" i="10"/>
  <c r="CK20" i="16"/>
  <c r="CG75" i="16"/>
  <c r="BF53" i="10"/>
  <c r="AD67" i="10"/>
  <c r="BC20" i="10"/>
  <c r="CE64" i="16"/>
  <c r="BF18" i="10"/>
  <c r="BF79" i="10" s="1"/>
  <c r="AD79" i="10"/>
  <c r="AR79" i="10" s="1"/>
  <c r="AD20" i="10"/>
  <c r="BC80" i="10"/>
  <c r="BQ79" i="10"/>
  <c r="BW79" i="10" s="1"/>
  <c r="BW18" i="10"/>
  <c r="BE53" i="12"/>
  <c r="AQ53" i="12"/>
  <c r="AC67" i="12"/>
  <c r="BQ67" i="10"/>
  <c r="BW67" i="10" s="1"/>
  <c r="BW53" i="10"/>
  <c r="AO67" i="10"/>
  <c r="BC67" i="10"/>
  <c r="AD80" i="10"/>
  <c r="AR80" i="10" s="1"/>
  <c r="BC9" i="12"/>
  <c r="AA23" i="12"/>
  <c r="AO9" i="12"/>
  <c r="BW84" i="16" l="1"/>
  <c r="CH65" i="16"/>
  <c r="BR14" i="10"/>
  <c r="BX14" i="10" s="1"/>
  <c r="BR53" i="10"/>
  <c r="BX53" i="10" s="1"/>
  <c r="AI38" i="10"/>
  <c r="X79" i="12"/>
  <c r="AA32" i="12"/>
  <c r="Z10" i="12"/>
  <c r="BB10" i="12" s="1"/>
  <c r="BC77" i="10"/>
  <c r="AD8" i="12"/>
  <c r="BF8" i="12" s="1"/>
  <c r="V10" i="12"/>
  <c r="AX10" i="12" s="1"/>
  <c r="CD22" i="16"/>
  <c r="BY61" i="16"/>
  <c r="BY62" i="16" s="1"/>
  <c r="AD9" i="12"/>
  <c r="BD77" i="10"/>
  <c r="CD85" i="16"/>
  <c r="BY84" i="16"/>
  <c r="BT18" i="10"/>
  <c r="BN20" i="10"/>
  <c r="BY67" i="16"/>
  <c r="BY68" i="16" s="1"/>
  <c r="BY85" i="16" s="1"/>
  <c r="BZ83" i="16"/>
  <c r="BP70" i="16"/>
  <c r="BM37" i="16"/>
  <c r="BM71" i="16"/>
  <c r="BG37" i="16"/>
  <c r="BG71" i="16"/>
  <c r="BN35" i="16"/>
  <c r="BN99" i="16" s="1"/>
  <c r="BE39" i="16"/>
  <c r="BE103" i="16" s="1"/>
  <c r="BM39" i="16"/>
  <c r="BM103" i="16" s="1"/>
  <c r="BR20" i="16"/>
  <c r="BS20" i="16"/>
  <c r="BJ36" i="16"/>
  <c r="BJ100" i="16" s="1"/>
  <c r="BJ42" i="16"/>
  <c r="BP68" i="16"/>
  <c r="BD41" i="16"/>
  <c r="BE37" i="16"/>
  <c r="BE71" i="16"/>
  <c r="BF36" i="16"/>
  <c r="BF100" i="16" s="1"/>
  <c r="BF35" i="16"/>
  <c r="BF99" i="16" s="1"/>
  <c r="BF42" i="16"/>
  <c r="BI36" i="16"/>
  <c r="BI100" i="16" s="1"/>
  <c r="BI42" i="16"/>
  <c r="BL36" i="16"/>
  <c r="BL100" i="16" s="1"/>
  <c r="BL42" i="16"/>
  <c r="BK36" i="16"/>
  <c r="BK100" i="16" s="1"/>
  <c r="BK42" i="16"/>
  <c r="BD37" i="16"/>
  <c r="BP62" i="16"/>
  <c r="BD71" i="16"/>
  <c r="BS4" i="16"/>
  <c r="BR16" i="16"/>
  <c r="BS16" i="16"/>
  <c r="BH42" i="16"/>
  <c r="BH40" i="16"/>
  <c r="BH104" i="16" s="1"/>
  <c r="AV82" i="16"/>
  <c r="AV86" i="16" s="1"/>
  <c r="AW86" i="16" s="1"/>
  <c r="CC83" i="16"/>
  <c r="CE83" i="16"/>
  <c r="AA76" i="12"/>
  <c r="BC76" i="12" s="1"/>
  <c r="AA10" i="12"/>
  <c r="BC10" i="12" s="1"/>
  <c r="AK17" i="12"/>
  <c r="AH60" i="12"/>
  <c r="T64" i="12"/>
  <c r="AV64" i="12" s="1"/>
  <c r="AV60" i="12"/>
  <c r="AF84" i="12"/>
  <c r="AR84" i="12" s="1"/>
  <c r="AD84" i="12"/>
  <c r="BF84" i="12" s="1"/>
  <c r="AT84" i="12"/>
  <c r="AD38" i="12"/>
  <c r="BF38" i="12" s="1"/>
  <c r="BF15" i="12"/>
  <c r="U83" i="12"/>
  <c r="AI60" i="12"/>
  <c r="AW60" i="12"/>
  <c r="U64" i="12"/>
  <c r="AW64" i="12" s="1"/>
  <c r="AC64" i="12"/>
  <c r="BE64" i="12" s="1"/>
  <c r="BE60" i="12"/>
  <c r="AQ60" i="12"/>
  <c r="Z17" i="12"/>
  <c r="BB17" i="12" s="1"/>
  <c r="AN13" i="12"/>
  <c r="AN17" i="12" s="1"/>
  <c r="BB13" i="12"/>
  <c r="AG13" i="12"/>
  <c r="AG17" i="12" s="1"/>
  <c r="AU13" i="12"/>
  <c r="S17" i="12"/>
  <c r="AU17" i="12" s="1"/>
  <c r="AP60" i="12"/>
  <c r="BD60" i="12"/>
  <c r="AB64" i="12"/>
  <c r="BD64" i="12" s="1"/>
  <c r="AR14" i="12"/>
  <c r="AJ62" i="12"/>
  <c r="AX62" i="12"/>
  <c r="AK62" i="12"/>
  <c r="AY62" i="12"/>
  <c r="AZ38" i="12"/>
  <c r="AL38" i="12"/>
  <c r="AM62" i="12"/>
  <c r="BA62" i="12"/>
  <c r="AF38" i="12"/>
  <c r="AR38" i="12" s="1"/>
  <c r="AT38" i="12"/>
  <c r="AT62" i="12"/>
  <c r="R85" i="12"/>
  <c r="AD62" i="12"/>
  <c r="BF62" i="12" s="1"/>
  <c r="AF62" i="12"/>
  <c r="R17" i="12"/>
  <c r="AT17" i="12" s="1"/>
  <c r="AD13" i="12"/>
  <c r="AT13" i="12"/>
  <c r="R36" i="12"/>
  <c r="AF13" i="12"/>
  <c r="AD60" i="12"/>
  <c r="R64" i="12"/>
  <c r="AT64" i="12" s="1"/>
  <c r="R83" i="12"/>
  <c r="AF60" i="12"/>
  <c r="AT60" i="12"/>
  <c r="AL37" i="12"/>
  <c r="AZ37" i="12"/>
  <c r="AO37" i="12"/>
  <c r="BC37" i="12"/>
  <c r="AQ17" i="12"/>
  <c r="AF37" i="12"/>
  <c r="AT37" i="12"/>
  <c r="AI13" i="12"/>
  <c r="AI17" i="12" s="1"/>
  <c r="U36" i="12"/>
  <c r="U17" i="12"/>
  <c r="AW17" i="12" s="1"/>
  <c r="AW13" i="12"/>
  <c r="U85" i="12"/>
  <c r="AI62" i="12"/>
  <c r="AW62" i="12"/>
  <c r="AK60" i="12"/>
  <c r="AK64" i="12" s="1"/>
  <c r="W64" i="12"/>
  <c r="AY64" i="12" s="1"/>
  <c r="AY60" i="12"/>
  <c r="AH62" i="12"/>
  <c r="AV62" i="12"/>
  <c r="BD62" i="12"/>
  <c r="AP62" i="12"/>
  <c r="AM60" i="12"/>
  <c r="Y64" i="12"/>
  <c r="BA64" i="12" s="1"/>
  <c r="BA60" i="12"/>
  <c r="X64" i="12"/>
  <c r="AZ64" i="12" s="1"/>
  <c r="AL60" i="12"/>
  <c r="X83" i="12"/>
  <c r="AZ60" i="12"/>
  <c r="AZ62" i="12"/>
  <c r="AL62" i="12"/>
  <c r="X85" i="12"/>
  <c r="AI37" i="12"/>
  <c r="AW37" i="12"/>
  <c r="AO60" i="12"/>
  <c r="AA83" i="12"/>
  <c r="BC60" i="12"/>
  <c r="AA64" i="12"/>
  <c r="BC64" i="12" s="1"/>
  <c r="AX60" i="12"/>
  <c r="AJ60" i="12"/>
  <c r="AJ64" i="12" s="1"/>
  <c r="V64" i="12"/>
  <c r="AX64" i="12" s="1"/>
  <c r="Z64" i="12"/>
  <c r="BB64" i="12" s="1"/>
  <c r="BB60" i="12"/>
  <c r="AN60" i="12"/>
  <c r="Y17" i="12"/>
  <c r="BA17" i="12" s="1"/>
  <c r="BA13" i="12"/>
  <c r="AM13" i="12"/>
  <c r="AM17" i="12" s="1"/>
  <c r="AZ13" i="12"/>
  <c r="X17" i="12"/>
  <c r="AZ17" i="12" s="1"/>
  <c r="X36" i="12"/>
  <c r="AL13" i="12"/>
  <c r="AL17" i="12" s="1"/>
  <c r="AG62" i="12"/>
  <c r="AU62" i="12"/>
  <c r="S64" i="12"/>
  <c r="AU64" i="12" s="1"/>
  <c r="AG60" i="12"/>
  <c r="AG64" i="12" s="1"/>
  <c r="AU60" i="12"/>
  <c r="AQ62" i="12"/>
  <c r="BE62" i="12"/>
  <c r="BC13" i="12"/>
  <c r="AA36" i="12"/>
  <c r="AO13" i="12"/>
  <c r="AO17" i="12" s="1"/>
  <c r="AA17" i="12"/>
  <c r="BC17" i="12" s="1"/>
  <c r="AD37" i="12"/>
  <c r="BF37" i="12" s="1"/>
  <c r="BF14" i="12"/>
  <c r="BB62" i="12"/>
  <c r="AN62" i="12"/>
  <c r="BC62" i="12"/>
  <c r="AA85" i="12"/>
  <c r="AO62" i="12"/>
  <c r="BO20" i="10"/>
  <c r="BU20" i="10" s="1"/>
  <c r="AR14" i="10"/>
  <c r="BY70" i="16"/>
  <c r="AQ20" i="10"/>
  <c r="CA84" i="16"/>
  <c r="AG20" i="10"/>
  <c r="AP38" i="10"/>
  <c r="BE80" i="10"/>
  <c r="AQ38" i="10"/>
  <c r="AH20" i="10"/>
  <c r="AN20" i="10"/>
  <c r="CG85" i="16"/>
  <c r="CE22" i="16"/>
  <c r="BZ85" i="16"/>
  <c r="AX76" i="10"/>
  <c r="BB80" i="10"/>
  <c r="AF38" i="10"/>
  <c r="BX67" i="16"/>
  <c r="BX68" i="16" s="1"/>
  <c r="BX85" i="16" s="1"/>
  <c r="AJ38" i="10"/>
  <c r="AR32" i="10"/>
  <c r="W57" i="12"/>
  <c r="AY57" i="12" s="1"/>
  <c r="AY53" i="12"/>
  <c r="W67" i="12"/>
  <c r="AK53" i="12"/>
  <c r="BU53" i="10"/>
  <c r="BO67" i="10"/>
  <c r="BU67" i="10" s="1"/>
  <c r="AG67" i="10"/>
  <c r="AU67" i="10"/>
  <c r="BJ24" i="23"/>
  <c r="CX6" i="23"/>
  <c r="BP80" i="10"/>
  <c r="BV80" i="10" s="1"/>
  <c r="BV18" i="10"/>
  <c r="CE75" i="16"/>
  <c r="CE42" i="16"/>
  <c r="AX67" i="10"/>
  <c r="AJ67" i="10"/>
  <c r="AA31" i="12"/>
  <c r="AO8" i="12"/>
  <c r="AA22" i="12"/>
  <c r="BC8" i="12"/>
  <c r="AB69" i="12"/>
  <c r="AP55" i="12"/>
  <c r="BD55" i="12"/>
  <c r="BC55" i="12"/>
  <c r="AA69" i="12"/>
  <c r="AO55" i="12"/>
  <c r="AA78" i="12"/>
  <c r="AU9" i="12"/>
  <c r="AG9" i="12"/>
  <c r="S23" i="12"/>
  <c r="AQ54" i="12"/>
  <c r="BE54" i="12"/>
  <c r="AC68" i="12"/>
  <c r="AL55" i="12"/>
  <c r="AZ55" i="12"/>
  <c r="X69" i="12"/>
  <c r="X78" i="12"/>
  <c r="CV6" i="23"/>
  <c r="BH24" i="23"/>
  <c r="AZ64" i="10"/>
  <c r="AL64" i="10"/>
  <c r="AB10" i="12"/>
  <c r="BD10" i="12" s="1"/>
  <c r="AP6" i="12"/>
  <c r="AB20" i="12"/>
  <c r="BD6" i="12"/>
  <c r="AW7" i="12"/>
  <c r="U21" i="12"/>
  <c r="AI7" i="12"/>
  <c r="U30" i="12"/>
  <c r="CO24" i="23"/>
  <c r="DI24" i="23"/>
  <c r="S57" i="12"/>
  <c r="AU57" i="12" s="1"/>
  <c r="S67" i="12"/>
  <c r="AU53" i="12"/>
  <c r="AG53" i="12"/>
  <c r="AX80" i="10"/>
  <c r="BQ38" i="10"/>
  <c r="BW38" i="10" s="1"/>
  <c r="BR18" i="10"/>
  <c r="BR80" i="10" s="1"/>
  <c r="BX80" i="10" s="1"/>
  <c r="BZ22" i="16"/>
  <c r="BR36" i="10"/>
  <c r="BX36" i="10" s="1"/>
  <c r="BT48" i="10"/>
  <c r="AZ77" i="10"/>
  <c r="AX54" i="12"/>
  <c r="AJ54" i="12"/>
  <c r="V68" i="12"/>
  <c r="BV70" i="16"/>
  <c r="AW8" i="12"/>
  <c r="U22" i="12"/>
  <c r="AI8" i="12"/>
  <c r="U31" i="12"/>
  <c r="BO64" i="10"/>
  <c r="BU64" i="10" s="1"/>
  <c r="BU49" i="10"/>
  <c r="AK9" i="12"/>
  <c r="AY9" i="12"/>
  <c r="W23" i="12"/>
  <c r="AG64" i="10"/>
  <c r="AU64" i="10"/>
  <c r="BD66" i="10"/>
  <c r="AP66" i="10"/>
  <c r="AN38" i="10"/>
  <c r="BJ3" i="23"/>
  <c r="AP63" i="10"/>
  <c r="BD63" i="10"/>
  <c r="BI25" i="23"/>
  <c r="CW7" i="23"/>
  <c r="AU77" i="10"/>
  <c r="AM63" i="10"/>
  <c r="BA63" i="10"/>
  <c r="Y21" i="12"/>
  <c r="BA7" i="12"/>
  <c r="AM7" i="12"/>
  <c r="AP67" i="10"/>
  <c r="BD67" i="10"/>
  <c r="BY75" i="16"/>
  <c r="BY79" i="16" s="1"/>
  <c r="BY42" i="16"/>
  <c r="BE20" i="10"/>
  <c r="BX75" i="16"/>
  <c r="BX79" i="16" s="1"/>
  <c r="BX42" i="16"/>
  <c r="BV53" i="10"/>
  <c r="BP67" i="10"/>
  <c r="BV67" i="10" s="1"/>
  <c r="CF22" i="16"/>
  <c r="BR32" i="10"/>
  <c r="BX32" i="10" s="1"/>
  <c r="BT32" i="10"/>
  <c r="CF84" i="16"/>
  <c r="AI67" i="10"/>
  <c r="AW67" i="10"/>
  <c r="CG83" i="16"/>
  <c r="R70" i="12"/>
  <c r="AF56" i="12"/>
  <c r="AT56" i="12"/>
  <c r="R79" i="12"/>
  <c r="AK67" i="10"/>
  <c r="AY67" i="10"/>
  <c r="AX66" i="10"/>
  <c r="AJ66" i="10"/>
  <c r="AW21" i="23"/>
  <c r="CK3" i="23"/>
  <c r="DE3" i="23"/>
  <c r="BE3" i="23"/>
  <c r="AZ21" i="23"/>
  <c r="CN3" i="23"/>
  <c r="DH3" i="23"/>
  <c r="AI55" i="12"/>
  <c r="AW55" i="12"/>
  <c r="U69" i="12"/>
  <c r="U78" i="12"/>
  <c r="AA57" i="12"/>
  <c r="BC57" i="12" s="1"/>
  <c r="BC53" i="12"/>
  <c r="AO53" i="12"/>
  <c r="AA67" i="12"/>
  <c r="CX7" i="23"/>
  <c r="BJ25" i="23"/>
  <c r="CB22" i="16"/>
  <c r="AW56" i="12"/>
  <c r="AI56" i="12"/>
  <c r="U70" i="12"/>
  <c r="U79" i="12"/>
  <c r="BD8" i="12"/>
  <c r="AB22" i="12"/>
  <c r="AP8" i="12"/>
  <c r="AU80" i="10"/>
  <c r="Z70" i="12"/>
  <c r="BB56" i="12"/>
  <c r="AN56" i="12"/>
  <c r="CQ3" i="23"/>
  <c r="DK3" i="23"/>
  <c r="BC21" i="23"/>
  <c r="DM6" i="23"/>
  <c r="CS6" i="23"/>
  <c r="BE9" i="12"/>
  <c r="AC23" i="12"/>
  <c r="AQ9" i="12"/>
  <c r="W20" i="12"/>
  <c r="AK6" i="12"/>
  <c r="AY6" i="12"/>
  <c r="W10" i="12"/>
  <c r="AY10" i="12" s="1"/>
  <c r="CB84" i="16"/>
  <c r="AW20" i="10"/>
  <c r="AK8" i="12"/>
  <c r="W22" i="12"/>
  <c r="AY8" i="12"/>
  <c r="BD20" i="10"/>
  <c r="AQ67" i="10"/>
  <c r="BE67" i="10"/>
  <c r="BI3" i="23"/>
  <c r="V22" i="12"/>
  <c r="AX8" i="12"/>
  <c r="AJ8" i="12"/>
  <c r="AT7" i="12"/>
  <c r="R21" i="12"/>
  <c r="AF7" i="12"/>
  <c r="AD7" i="12"/>
  <c r="BF7" i="12" s="1"/>
  <c r="AO63" i="10"/>
  <c r="BC63" i="10"/>
  <c r="AP64" i="10"/>
  <c r="BD64" i="10"/>
  <c r="AR52" i="10"/>
  <c r="BB76" i="10"/>
  <c r="CC22" i="16"/>
  <c r="AN63" i="10"/>
  <c r="BB63" i="10"/>
  <c r="DL3" i="23"/>
  <c r="BD21" i="23"/>
  <c r="CR3" i="23"/>
  <c r="AU20" i="10"/>
  <c r="AL8" i="12"/>
  <c r="AZ8" i="12"/>
  <c r="X22" i="12"/>
  <c r="X31" i="12"/>
  <c r="BB53" i="12"/>
  <c r="AN53" i="12"/>
  <c r="Z57" i="12"/>
  <c r="BB57" i="12" s="1"/>
  <c r="Z67" i="12"/>
  <c r="AU54" i="12"/>
  <c r="S68" i="12"/>
  <c r="AG54" i="12"/>
  <c r="CL3" i="23"/>
  <c r="AX21" i="23"/>
  <c r="DF3" i="23"/>
  <c r="Y68" i="12"/>
  <c r="BA54" i="12"/>
  <c r="AM54" i="12"/>
  <c r="DI25" i="23"/>
  <c r="CO25" i="23"/>
  <c r="BE8" i="12"/>
  <c r="AQ8" i="12"/>
  <c r="AC22" i="12"/>
  <c r="AG38" i="10"/>
  <c r="BH3" i="23"/>
  <c r="CA70" i="16"/>
  <c r="DJ25" i="23"/>
  <c r="CP25" i="23"/>
  <c r="BV77" i="16"/>
  <c r="CH77" i="16" s="1"/>
  <c r="CH37" i="16"/>
  <c r="CJ35" i="16" s="1"/>
  <c r="AQ63" i="10"/>
  <c r="BE63" i="10"/>
  <c r="U10" i="12"/>
  <c r="AW10" i="12" s="1"/>
  <c r="AW6" i="12"/>
  <c r="AI6" i="12"/>
  <c r="U20" i="12"/>
  <c r="AY77" i="10"/>
  <c r="AY76" i="10"/>
  <c r="AO7" i="12"/>
  <c r="AA30" i="12"/>
  <c r="BC7" i="12"/>
  <c r="AA21" i="12"/>
  <c r="AY79" i="10"/>
  <c r="DG3" i="23"/>
  <c r="CM3" i="23"/>
  <c r="AY21" i="23"/>
  <c r="DE25" i="23"/>
  <c r="CK25" i="23"/>
  <c r="BE25" i="23"/>
  <c r="AV66" i="10"/>
  <c r="AH66" i="10"/>
  <c r="AI54" i="12"/>
  <c r="U68" i="12"/>
  <c r="AW54" i="12"/>
  <c r="U77" i="12"/>
  <c r="BA66" i="10"/>
  <c r="AM66" i="10"/>
  <c r="AU6" i="12"/>
  <c r="S10" i="12"/>
  <c r="AU10" i="12" s="1"/>
  <c r="AG6" i="12"/>
  <c r="S20" i="12"/>
  <c r="AD38" i="10"/>
  <c r="BF38" i="10" s="1"/>
  <c r="AD53" i="12"/>
  <c r="BQ20" i="10"/>
  <c r="BW20" i="10" s="1"/>
  <c r="CH21" i="16"/>
  <c r="CJ20" i="16" s="1"/>
  <c r="CG42" i="16"/>
  <c r="R32" i="12"/>
  <c r="AT32" i="12" s="1"/>
  <c r="BT63" i="10"/>
  <c r="BV22" i="16"/>
  <c r="BZ75" i="16"/>
  <c r="BZ79" i="16" s="1"/>
  <c r="BZ42" i="16"/>
  <c r="BO38" i="10"/>
  <c r="BU38" i="10" s="1"/>
  <c r="AW66" i="10"/>
  <c r="AI66" i="10"/>
  <c r="AV56" i="12"/>
  <c r="T70" i="12"/>
  <c r="AH56" i="12"/>
  <c r="BB9" i="12"/>
  <c r="Z23" i="12"/>
  <c r="AN9" i="12"/>
  <c r="R68" i="12"/>
  <c r="AF54" i="12"/>
  <c r="AT54" i="12"/>
  <c r="R77" i="12"/>
  <c r="AD54" i="12"/>
  <c r="BF54" i="12" s="1"/>
  <c r="AV63" i="10"/>
  <c r="AH63" i="10"/>
  <c r="AV64" i="10"/>
  <c r="AH64" i="10"/>
  <c r="CF75" i="16"/>
  <c r="CF42" i="16"/>
  <c r="AU63" i="10"/>
  <c r="AG63" i="10"/>
  <c r="BW42" i="16"/>
  <c r="BW75" i="16"/>
  <c r="AJ63" i="10"/>
  <c r="AX63" i="10"/>
  <c r="AM53" i="12"/>
  <c r="BA53" i="12"/>
  <c r="Y67" i="12"/>
  <c r="Y57" i="12"/>
  <c r="BA57" i="12" s="1"/>
  <c r="DF25" i="23"/>
  <c r="CL25" i="23"/>
  <c r="CM25" i="23"/>
  <c r="DG25" i="23"/>
  <c r="AZ20" i="10"/>
  <c r="AF6" i="12"/>
  <c r="AT6" i="12"/>
  <c r="R20" i="12"/>
  <c r="R29" i="12"/>
  <c r="BO63" i="10"/>
  <c r="BU63" i="10" s="1"/>
  <c r="BU48" i="10"/>
  <c r="BB64" i="10"/>
  <c r="AN64" i="10"/>
  <c r="BO66" i="10"/>
  <c r="BU66" i="10" s="1"/>
  <c r="BU52" i="10"/>
  <c r="W70" i="12"/>
  <c r="AK56" i="12"/>
  <c r="AY56" i="12"/>
  <c r="Y69" i="12"/>
  <c r="AM55" i="12"/>
  <c r="BA55" i="12"/>
  <c r="AH55" i="12"/>
  <c r="AV55" i="12"/>
  <c r="T69" i="12"/>
  <c r="BV75" i="16"/>
  <c r="BV42" i="16"/>
  <c r="AA20" i="12"/>
  <c r="AA29" i="12"/>
  <c r="AA33" i="12" s="1"/>
  <c r="BC33" i="12" s="1"/>
  <c r="AO6" i="12"/>
  <c r="BC6" i="12"/>
  <c r="R30" i="12"/>
  <c r="AH7" i="12"/>
  <c r="T21" i="12"/>
  <c r="AV7" i="12"/>
  <c r="DK24" i="23"/>
  <c r="CQ24" i="23"/>
  <c r="CN24" i="23"/>
  <c r="DH24" i="23"/>
  <c r="X21" i="12"/>
  <c r="AZ7" i="12"/>
  <c r="X30" i="12"/>
  <c r="AL7" i="12"/>
  <c r="AH9" i="12"/>
  <c r="AV9" i="12"/>
  <c r="T23" i="12"/>
  <c r="AU7" i="12"/>
  <c r="AG7" i="12"/>
  <c r="S21" i="12"/>
  <c r="AL53" i="12"/>
  <c r="X76" i="12"/>
  <c r="X67" i="12"/>
  <c r="X57" i="12"/>
  <c r="AZ57" i="12" s="1"/>
  <c r="AZ53" i="12"/>
  <c r="BN64" i="10"/>
  <c r="BT64" i="10" s="1"/>
  <c r="BT49" i="10"/>
  <c r="BN38" i="10"/>
  <c r="BT38" i="10" s="1"/>
  <c r="AL67" i="10"/>
  <c r="AZ67" i="10"/>
  <c r="BE77" i="10"/>
  <c r="BD79" i="10"/>
  <c r="AJ56" i="12"/>
  <c r="AX56" i="12"/>
  <c r="V70" i="12"/>
  <c r="AV76" i="10"/>
  <c r="AV77" i="10"/>
  <c r="AM9" i="12"/>
  <c r="Y23" i="12"/>
  <c r="BA9" i="12"/>
  <c r="AI63" i="10"/>
  <c r="AW63" i="10"/>
  <c r="AA68" i="12"/>
  <c r="AO54" i="12"/>
  <c r="AA77" i="12"/>
  <c r="BC54" i="12"/>
  <c r="BE66" i="10"/>
  <c r="AQ66" i="10"/>
  <c r="BY7" i="23"/>
  <c r="CB7" i="23"/>
  <c r="BQ25" i="23"/>
  <c r="DM7" i="23"/>
  <c r="CS7" i="23"/>
  <c r="AL63" i="10"/>
  <c r="AZ63" i="10"/>
  <c r="BR64" i="10"/>
  <c r="BX64" i="10" s="1"/>
  <c r="BX49" i="10"/>
  <c r="BC64" i="10"/>
  <c r="AO64" i="10"/>
  <c r="BD7" i="12"/>
  <c r="AP7" i="12"/>
  <c r="AB21" i="12"/>
  <c r="AV53" i="12"/>
  <c r="AH53" i="12"/>
  <c r="T57" i="12"/>
  <c r="AV57" i="12" s="1"/>
  <c r="T67" i="12"/>
  <c r="BA20" i="10"/>
  <c r="AU56" i="12"/>
  <c r="AG56" i="12"/>
  <c r="S70" i="12"/>
  <c r="BO80" i="10"/>
  <c r="BU80" i="10" s="1"/>
  <c r="BU18" i="10"/>
  <c r="BP63" i="10"/>
  <c r="BV63" i="10" s="1"/>
  <c r="BV48" i="10"/>
  <c r="BI24" i="23"/>
  <c r="CW6" i="23"/>
  <c r="BX22" i="16"/>
  <c r="DK25" i="23"/>
  <c r="CQ25" i="23"/>
  <c r="BT53" i="10"/>
  <c r="BN67" i="10"/>
  <c r="BT67" i="10" s="1"/>
  <c r="AH6" i="12"/>
  <c r="T20" i="12"/>
  <c r="AV6" i="12"/>
  <c r="T10" i="12"/>
  <c r="AV10" i="12" s="1"/>
  <c r="AH54" i="12"/>
  <c r="T68" i="12"/>
  <c r="AV54" i="12"/>
  <c r="BP64" i="10"/>
  <c r="BV64" i="10" s="1"/>
  <c r="BV49" i="10"/>
  <c r="AO56" i="12"/>
  <c r="AA70" i="12"/>
  <c r="AA79" i="12"/>
  <c r="BC56" i="12"/>
  <c r="CA75" i="16"/>
  <c r="CA79" i="16" s="1"/>
  <c r="CA42" i="16"/>
  <c r="BV76" i="16"/>
  <c r="AB57" i="12"/>
  <c r="BD57" i="12" s="1"/>
  <c r="AP53" i="12"/>
  <c r="AB67" i="12"/>
  <c r="AA90" i="12" s="1"/>
  <c r="BD53" i="12"/>
  <c r="AK55" i="12"/>
  <c r="AY55" i="12"/>
  <c r="W69" i="12"/>
  <c r="CR25" i="23"/>
  <c r="DL25" i="23"/>
  <c r="AY54" i="12"/>
  <c r="W68" i="12"/>
  <c r="AK54" i="12"/>
  <c r="AY66" i="10"/>
  <c r="AK66" i="10"/>
  <c r="AX64" i="10"/>
  <c r="AJ64" i="10"/>
  <c r="BQ24" i="23"/>
  <c r="CB6" i="23"/>
  <c r="BY6" i="23"/>
  <c r="CD75" i="16"/>
  <c r="CD42" i="16"/>
  <c r="BA8" i="12"/>
  <c r="AM8" i="12"/>
  <c r="Y22" i="12"/>
  <c r="AB70" i="12"/>
  <c r="AP56" i="12"/>
  <c r="BD56" i="12"/>
  <c r="BH25" i="23"/>
  <c r="CV7" i="23"/>
  <c r="DG24" i="23"/>
  <c r="CM24" i="23"/>
  <c r="AR38" i="10"/>
  <c r="AC57" i="12"/>
  <c r="BE57" i="12" s="1"/>
  <c r="BP20" i="10"/>
  <c r="BV20" i="10" s="1"/>
  <c r="AD6" i="12"/>
  <c r="BF6" i="12" s="1"/>
  <c r="AR53" i="10"/>
  <c r="AD56" i="12"/>
  <c r="BF56" i="12" s="1"/>
  <c r="CH17" i="16"/>
  <c r="CJ15" i="16" s="1"/>
  <c r="BW52" i="10"/>
  <c r="BQ66" i="10"/>
  <c r="BW66" i="10" s="1"/>
  <c r="AO66" i="10"/>
  <c r="BC66" i="10"/>
  <c r="CG22" i="16"/>
  <c r="AB68" i="12"/>
  <c r="BD54" i="12"/>
  <c r="AP54" i="12"/>
  <c r="BW78" i="16"/>
  <c r="CH78" i="16" s="1"/>
  <c r="CH41" i="16"/>
  <c r="CH42" i="16" s="1"/>
  <c r="BA64" i="10"/>
  <c r="AM64" i="10"/>
  <c r="AK64" i="10"/>
  <c r="AY64" i="10"/>
  <c r="Z68" i="12"/>
  <c r="BB54" i="12"/>
  <c r="AN54" i="12"/>
  <c r="AP9" i="12"/>
  <c r="BD9" i="12"/>
  <c r="AB23" i="12"/>
  <c r="AK38" i="10"/>
  <c r="W21" i="12"/>
  <c r="AK7" i="12"/>
  <c r="AY7" i="12"/>
  <c r="BX59" i="16"/>
  <c r="BX58" i="16"/>
  <c r="BX70" i="16" s="1"/>
  <c r="CP3" i="23"/>
  <c r="BB21" i="23"/>
  <c r="DJ3" i="23"/>
  <c r="CP24" i="23"/>
  <c r="DJ24" i="23"/>
  <c r="CR24" i="23"/>
  <c r="DL24" i="23"/>
  <c r="BX48" i="10"/>
  <c r="BR63" i="10"/>
  <c r="BX63" i="10" s="1"/>
  <c r="BB67" i="10"/>
  <c r="AN67" i="10"/>
  <c r="BP79" i="10"/>
  <c r="BV79" i="10" s="1"/>
  <c r="AV20" i="10"/>
  <c r="AH67" i="10"/>
  <c r="AV67" i="10"/>
  <c r="AL6" i="12"/>
  <c r="X20" i="12"/>
  <c r="AZ6" i="12"/>
  <c r="X29" i="12"/>
  <c r="X10" i="12"/>
  <c r="AZ10" i="12" s="1"/>
  <c r="AX9" i="12"/>
  <c r="V23" i="12"/>
  <c r="AJ9" i="12"/>
  <c r="AF53" i="12"/>
  <c r="R57" i="12"/>
  <c r="AT57" i="12" s="1"/>
  <c r="AT53" i="12"/>
  <c r="R76" i="12"/>
  <c r="R67" i="12"/>
  <c r="AX53" i="12"/>
  <c r="AJ53" i="12"/>
  <c r="V67" i="12"/>
  <c r="V57" i="12"/>
  <c r="AX57" i="12" s="1"/>
  <c r="AQ6" i="12"/>
  <c r="BE6" i="12"/>
  <c r="AC20" i="12"/>
  <c r="AC10" i="12"/>
  <c r="BE10" i="12" s="1"/>
  <c r="AW76" i="10"/>
  <c r="AZ54" i="12"/>
  <c r="X68" i="12"/>
  <c r="AL54" i="12"/>
  <c r="X77" i="12"/>
  <c r="BA56" i="12"/>
  <c r="Y70" i="12"/>
  <c r="AM56" i="12"/>
  <c r="AC21" i="12"/>
  <c r="BE7" i="12"/>
  <c r="AQ7" i="12"/>
  <c r="AG55" i="12"/>
  <c r="S69" i="12"/>
  <c r="AU55" i="12"/>
  <c r="BQ3" i="23"/>
  <c r="BQ21" i="23" s="1"/>
  <c r="N5" i="24"/>
  <c r="BZ84" i="16"/>
  <c r="AJ55" i="12"/>
  <c r="AX55" i="12"/>
  <c r="V69" i="12"/>
  <c r="CA22" i="16"/>
  <c r="AC70" i="12"/>
  <c r="AQ56" i="12"/>
  <c r="BE56" i="12"/>
  <c r="X32" i="12"/>
  <c r="X23" i="12"/>
  <c r="AL9" i="12"/>
  <c r="AZ9" i="12"/>
  <c r="CB75" i="16"/>
  <c r="CB79" i="16" s="1"/>
  <c r="CB42" i="16"/>
  <c r="BW22" i="16"/>
  <c r="CK35" i="16"/>
  <c r="BF49" i="10"/>
  <c r="AR49" i="10"/>
  <c r="AD64" i="10"/>
  <c r="P8" i="24"/>
  <c r="T8" i="24"/>
  <c r="R8" i="24"/>
  <c r="N26" i="24"/>
  <c r="V8" i="24"/>
  <c r="CK24" i="23"/>
  <c r="BE24" i="23"/>
  <c r="DE24" i="23"/>
  <c r="AY20" i="10"/>
  <c r="AI53" i="12"/>
  <c r="U76" i="12"/>
  <c r="U67" i="12"/>
  <c r="U57" i="12"/>
  <c r="AW57" i="12" s="1"/>
  <c r="AW53" i="12"/>
  <c r="AX7" i="12"/>
  <c r="V21" i="12"/>
  <c r="AJ7" i="12"/>
  <c r="AJ10" i="12" s="1"/>
  <c r="Z22" i="12"/>
  <c r="AN8" i="12"/>
  <c r="BB8" i="12"/>
  <c r="Z20" i="12"/>
  <c r="AN6" i="12"/>
  <c r="BB6" i="12"/>
  <c r="AQ64" i="10"/>
  <c r="BE64" i="10"/>
  <c r="AW64" i="10"/>
  <c r="AI64" i="10"/>
  <c r="AG66" i="10"/>
  <c r="AU66" i="10"/>
  <c r="AF64" i="10"/>
  <c r="AT64" i="10"/>
  <c r="AF67" i="10"/>
  <c r="AT67" i="10"/>
  <c r="AK63" i="10"/>
  <c r="AY63" i="10"/>
  <c r="AW9" i="12"/>
  <c r="U32" i="12"/>
  <c r="U23" i="12"/>
  <c r="AI9" i="12"/>
  <c r="BB66" i="10"/>
  <c r="AN66" i="10"/>
  <c r="T22" i="12"/>
  <c r="AV8" i="12"/>
  <c r="AH8" i="12"/>
  <c r="BB55" i="12"/>
  <c r="AN55" i="12"/>
  <c r="Z69" i="12"/>
  <c r="DI3" i="23"/>
  <c r="BA21" i="23"/>
  <c r="CO3" i="23"/>
  <c r="AQ55" i="12"/>
  <c r="BE55" i="12"/>
  <c r="AC69" i="12"/>
  <c r="BW48" i="10"/>
  <c r="BK63" i="10"/>
  <c r="BW63" i="10" s="1"/>
  <c r="CL24" i="23"/>
  <c r="DF24" i="23"/>
  <c r="CC75" i="16"/>
  <c r="CC42" i="16"/>
  <c r="R9" i="24"/>
  <c r="V9" i="24"/>
  <c r="T9" i="24"/>
  <c r="P9" i="24"/>
  <c r="N27" i="24"/>
  <c r="CN25" i="23"/>
  <c r="DH25" i="23"/>
  <c r="CA83" i="16"/>
  <c r="BW49" i="10"/>
  <c r="BQ64" i="10"/>
  <c r="BW64" i="10" s="1"/>
  <c r="Y10" i="12"/>
  <c r="BA10" i="12" s="1"/>
  <c r="BA6" i="12"/>
  <c r="AM6" i="12"/>
  <c r="Y20" i="12"/>
  <c r="AU8" i="12"/>
  <c r="S22" i="12"/>
  <c r="AG8" i="12"/>
  <c r="R69" i="12"/>
  <c r="R78" i="12"/>
  <c r="AF55" i="12"/>
  <c r="AT55" i="12"/>
  <c r="AD55" i="12"/>
  <c r="BF55" i="12" s="1"/>
  <c r="AZ79" i="10"/>
  <c r="AF22" i="12"/>
  <c r="AT22" i="12"/>
  <c r="AF10" i="12"/>
  <c r="BR66" i="10"/>
  <c r="BX66" i="10" s="1"/>
  <c r="BX52" i="10"/>
  <c r="AR63" i="10"/>
  <c r="BF63" i="10"/>
  <c r="AI29" i="12"/>
  <c r="AW29" i="12"/>
  <c r="BV59" i="16"/>
  <c r="CH58" i="16"/>
  <c r="AR66" i="10"/>
  <c r="BF66" i="10"/>
  <c r="AF31" i="12"/>
  <c r="AD31" i="12"/>
  <c r="BF31" i="12" s="1"/>
  <c r="AT31" i="12"/>
  <c r="AN21" i="12"/>
  <c r="BB21" i="12"/>
  <c r="AR20" i="10"/>
  <c r="BZ70" i="16"/>
  <c r="X93" i="12"/>
  <c r="AL70" i="12"/>
  <c r="AZ70" i="12"/>
  <c r="AF23" i="12"/>
  <c r="AT23" i="12"/>
  <c r="BV67" i="16"/>
  <c r="BV68" i="16" s="1"/>
  <c r="BV85" i="16" s="1"/>
  <c r="BF76" i="10"/>
  <c r="BF77" i="10"/>
  <c r="AJ20" i="12"/>
  <c r="AX20" i="12"/>
  <c r="AL79" i="12"/>
  <c r="AZ79" i="12"/>
  <c r="BT20" i="10"/>
  <c r="CD70" i="16"/>
  <c r="BF20" i="10"/>
  <c r="BF9" i="12"/>
  <c r="BF80" i="10"/>
  <c r="AR67" i="10"/>
  <c r="BF67" i="10"/>
  <c r="CG79" i="16"/>
  <c r="BF53" i="12"/>
  <c r="BX18" i="10"/>
  <c r="BR79" i="10"/>
  <c r="BX79" i="10" s="1"/>
  <c r="BR20" i="10"/>
  <c r="BR67" i="10"/>
  <c r="BX67" i="10" s="1"/>
  <c r="BC32" i="12"/>
  <c r="AO32" i="12"/>
  <c r="AO76" i="12"/>
  <c r="AO23" i="12"/>
  <c r="BC23" i="12"/>
  <c r="AA25" i="12"/>
  <c r="BC25" i="12" s="1"/>
  <c r="AQ67" i="12"/>
  <c r="BE67" i="12"/>
  <c r="CE67" i="16"/>
  <c r="CH64" i="16"/>
  <c r="CE70" i="16"/>
  <c r="AO10" i="12" l="1"/>
  <c r="Z25" i="12"/>
  <c r="BB25" i="12" s="1"/>
  <c r="BP71" i="16"/>
  <c r="BJ35" i="16"/>
  <c r="BJ99" i="16" s="1"/>
  <c r="BG36" i="16"/>
  <c r="BG100" i="16" s="1"/>
  <c r="BG42" i="16"/>
  <c r="BH39" i="16"/>
  <c r="BH103" i="16" s="1"/>
  <c r="BM35" i="16"/>
  <c r="BM99" i="16" s="1"/>
  <c r="BM36" i="16"/>
  <c r="BM100" i="16" s="1"/>
  <c r="BM42" i="16"/>
  <c r="BD36" i="16"/>
  <c r="BD35" i="16" s="1"/>
  <c r="BP37" i="16"/>
  <c r="BD42" i="16"/>
  <c r="BL35" i="16"/>
  <c r="BL99" i="16" s="1"/>
  <c r="BK35" i="16"/>
  <c r="BK99" i="16" s="1"/>
  <c r="BE36" i="16"/>
  <c r="BE100" i="16" s="1"/>
  <c r="BE42" i="16"/>
  <c r="BI35" i="16"/>
  <c r="BI99" i="16" s="1"/>
  <c r="BD40" i="16"/>
  <c r="BP41" i="16"/>
  <c r="AA80" i="12"/>
  <c r="BC80" i="12" s="1"/>
  <c r="AD76" i="12"/>
  <c r="AQ57" i="12"/>
  <c r="AD10" i="12"/>
  <c r="BF10" i="12" s="1"/>
  <c r="R25" i="12"/>
  <c r="AT25" i="12" s="1"/>
  <c r="AR7" i="12"/>
  <c r="AR6" i="12"/>
  <c r="R33" i="12"/>
  <c r="AT33" i="12" s="1"/>
  <c r="AM64" i="12"/>
  <c r="BC85" i="12"/>
  <c r="AO85" i="12"/>
  <c r="AN64" i="12"/>
  <c r="AA87" i="12"/>
  <c r="BC87" i="12" s="1"/>
  <c r="BC83" i="12"/>
  <c r="AO83" i="12"/>
  <c r="AO87" i="12" s="1"/>
  <c r="AW83" i="12"/>
  <c r="U87" i="12"/>
  <c r="AW87" i="12" s="1"/>
  <c r="AI83" i="12"/>
  <c r="AA40" i="12"/>
  <c r="BC40" i="12" s="1"/>
  <c r="BC36" i="12"/>
  <c r="AO36" i="12"/>
  <c r="AO40" i="12" s="1"/>
  <c r="AL36" i="12"/>
  <c r="AL40" i="12" s="1"/>
  <c r="X40" i="12"/>
  <c r="AZ40" i="12" s="1"/>
  <c r="AZ36" i="12"/>
  <c r="AO64" i="12"/>
  <c r="AR37" i="12"/>
  <c r="AD64" i="12"/>
  <c r="BF64" i="12" s="1"/>
  <c r="BF60" i="12"/>
  <c r="AD17" i="12"/>
  <c r="BF17" i="12" s="1"/>
  <c r="AD36" i="12"/>
  <c r="BF13" i="12"/>
  <c r="AR62" i="12"/>
  <c r="AP64" i="12"/>
  <c r="AQ64" i="12"/>
  <c r="AZ83" i="12"/>
  <c r="X87" i="12"/>
  <c r="AZ87" i="12" s="1"/>
  <c r="AL83" i="12"/>
  <c r="AW36" i="12"/>
  <c r="U40" i="12"/>
  <c r="AW40" i="12" s="1"/>
  <c r="AI36" i="12"/>
  <c r="AI40" i="12" s="1"/>
  <c r="AR60" i="12"/>
  <c r="AF64" i="12"/>
  <c r="AF17" i="12"/>
  <c r="AR13" i="12"/>
  <c r="AR17" i="12" s="1"/>
  <c r="AH64" i="12"/>
  <c r="AA46" i="12"/>
  <c r="AD23" i="12"/>
  <c r="AZ85" i="12"/>
  <c r="AL85" i="12"/>
  <c r="AL64" i="12"/>
  <c r="AI85" i="12"/>
  <c r="AW85" i="12"/>
  <c r="AT83" i="12"/>
  <c r="AF83" i="12"/>
  <c r="R87" i="12"/>
  <c r="AT87" i="12" s="1"/>
  <c r="AD83" i="12"/>
  <c r="R40" i="12"/>
  <c r="AT40" i="12" s="1"/>
  <c r="AF36" i="12"/>
  <c r="AT36" i="12"/>
  <c r="AD85" i="12"/>
  <c r="BF85" i="12" s="1"/>
  <c r="AT85" i="12"/>
  <c r="AF85" i="12"/>
  <c r="AR85" i="12" s="1"/>
  <c r="AI64" i="12"/>
  <c r="CI21" i="16"/>
  <c r="AR56" i="12"/>
  <c r="AI57" i="12"/>
  <c r="AD20" i="12"/>
  <c r="BF20" i="12" s="1"/>
  <c r="CJ16" i="16"/>
  <c r="AP57" i="12"/>
  <c r="CK21" i="16"/>
  <c r="CK17" i="16"/>
  <c r="AR8" i="12"/>
  <c r="AM10" i="12"/>
  <c r="AC72" i="12"/>
  <c r="BE72" i="12" s="1"/>
  <c r="AH10" i="12"/>
  <c r="AN10" i="12"/>
  <c r="AD67" i="12"/>
  <c r="BF67" i="12" s="1"/>
  <c r="AJ57" i="12"/>
  <c r="AL10" i="12"/>
  <c r="AD70" i="12"/>
  <c r="BF70" i="12" s="1"/>
  <c r="AL57" i="12"/>
  <c r="AD57" i="12"/>
  <c r="BF57" i="12" s="1"/>
  <c r="CJ19" i="16"/>
  <c r="CI17" i="16"/>
  <c r="CH22" i="16"/>
  <c r="BY3" i="16" s="1"/>
  <c r="AF32" i="12"/>
  <c r="AO57" i="12"/>
  <c r="V27" i="24"/>
  <c r="X9" i="24"/>
  <c r="Z9" i="24"/>
  <c r="AN22" i="12"/>
  <c r="BB22" i="12"/>
  <c r="BY3" i="23"/>
  <c r="BY21" i="23" s="1"/>
  <c r="AO68" i="12"/>
  <c r="AA91" i="12"/>
  <c r="BC68" i="12"/>
  <c r="AM57" i="12"/>
  <c r="AF77" i="12"/>
  <c r="AT77" i="12"/>
  <c r="AD77" i="12"/>
  <c r="BF77" i="12" s="1"/>
  <c r="AW70" i="12"/>
  <c r="AI70" i="12"/>
  <c r="U93" i="12"/>
  <c r="AF79" i="12"/>
  <c r="AT79" i="12"/>
  <c r="AG57" i="12"/>
  <c r="U43" i="12"/>
  <c r="AI43" i="12" s="1"/>
  <c r="AR55" i="12"/>
  <c r="AU22" i="12"/>
  <c r="AG22" i="12"/>
  <c r="P27" i="24"/>
  <c r="R27" i="24"/>
  <c r="T27" i="24"/>
  <c r="BB69" i="12"/>
  <c r="AN69" i="12"/>
  <c r="AW32" i="12"/>
  <c r="AI32" i="12"/>
  <c r="AN20" i="12"/>
  <c r="BB20" i="12"/>
  <c r="AW76" i="12"/>
  <c r="AI76" i="12"/>
  <c r="U80" i="12"/>
  <c r="AW80" i="12" s="1"/>
  <c r="DM24" i="23"/>
  <c r="CS24" i="23"/>
  <c r="BW70" i="16"/>
  <c r="T5" i="24"/>
  <c r="R5" i="24"/>
  <c r="P5" i="24"/>
  <c r="V5" i="24"/>
  <c r="CB3" i="23"/>
  <c r="BA70" i="12"/>
  <c r="AM70" i="12"/>
  <c r="AZ77" i="12"/>
  <c r="AL77" i="12"/>
  <c r="AZ29" i="12"/>
  <c r="X33" i="12"/>
  <c r="AZ33" i="12" s="1"/>
  <c r="AL29" i="12"/>
  <c r="DJ21" i="23"/>
  <c r="CP21" i="23"/>
  <c r="BD23" i="12"/>
  <c r="AP23" i="12"/>
  <c r="AP68" i="12"/>
  <c r="BD68" i="12"/>
  <c r="CV25" i="23"/>
  <c r="BA22" i="12"/>
  <c r="AM22" i="12"/>
  <c r="CB24" i="23"/>
  <c r="DP6" i="23"/>
  <c r="AO79" i="12"/>
  <c r="BC79" i="12"/>
  <c r="AH57" i="12"/>
  <c r="AG21" i="12"/>
  <c r="AU21" i="12"/>
  <c r="AT30" i="12"/>
  <c r="AF30" i="12"/>
  <c r="AF33" i="12" s="1"/>
  <c r="AD30" i="12"/>
  <c r="BF30" i="12" s="1"/>
  <c r="AO20" i="12"/>
  <c r="AA43" i="12"/>
  <c r="BC20" i="12"/>
  <c r="AF29" i="12"/>
  <c r="AT29" i="12"/>
  <c r="AI77" i="12"/>
  <c r="AW77" i="12"/>
  <c r="BC30" i="12"/>
  <c r="AO30" i="12"/>
  <c r="AI10" i="12"/>
  <c r="CV3" i="23"/>
  <c r="BH21" i="23"/>
  <c r="CV21" i="23" s="1"/>
  <c r="CL21" i="23"/>
  <c r="DF21" i="23"/>
  <c r="AN67" i="12"/>
  <c r="Z72" i="12"/>
  <c r="BB72" i="12" s="1"/>
  <c r="BB67" i="12"/>
  <c r="AZ31" i="12"/>
  <c r="AL31" i="12"/>
  <c r="AK10" i="12"/>
  <c r="AC25" i="12"/>
  <c r="BE25" i="12" s="1"/>
  <c r="BE23" i="12"/>
  <c r="AQ23" i="12"/>
  <c r="DK21" i="23"/>
  <c r="CQ21" i="23"/>
  <c r="AP22" i="12"/>
  <c r="BD22" i="12"/>
  <c r="CX25" i="23"/>
  <c r="CN21" i="23"/>
  <c r="DH21" i="23"/>
  <c r="BJ21" i="23"/>
  <c r="CX21" i="23" s="1"/>
  <c r="CX3" i="23"/>
  <c r="AW31" i="12"/>
  <c r="AI31" i="12"/>
  <c r="AI21" i="12"/>
  <c r="AW21" i="12"/>
  <c r="AP10" i="12"/>
  <c r="BC78" i="12"/>
  <c r="AO78" i="12"/>
  <c r="BD69" i="12"/>
  <c r="AP69" i="12"/>
  <c r="BC31" i="12"/>
  <c r="AO31" i="12"/>
  <c r="AK57" i="12"/>
  <c r="BW85" i="16"/>
  <c r="P26" i="24"/>
  <c r="T26" i="24"/>
  <c r="R26" i="24"/>
  <c r="AX69" i="12"/>
  <c r="AJ69" i="12"/>
  <c r="BC29" i="12"/>
  <c r="AO29" i="12"/>
  <c r="AG10" i="12"/>
  <c r="AF21" i="12"/>
  <c r="AT21" i="12"/>
  <c r="R44" i="12"/>
  <c r="AD21" i="12"/>
  <c r="BF21" i="12" s="1"/>
  <c r="AJ22" i="12"/>
  <c r="AX22" i="12"/>
  <c r="AQ10" i="12"/>
  <c r="CB70" i="16"/>
  <c r="AW69" i="12"/>
  <c r="AI69" i="12"/>
  <c r="U92" i="12"/>
  <c r="AY23" i="12"/>
  <c r="AK23" i="12"/>
  <c r="CB3" i="16"/>
  <c r="R45" i="12"/>
  <c r="AT78" i="12"/>
  <c r="AF78" i="12"/>
  <c r="AD78" i="12"/>
  <c r="BF78" i="12" s="1"/>
  <c r="AH22" i="12"/>
  <c r="AV22" i="12"/>
  <c r="U44" i="12"/>
  <c r="AX21" i="12"/>
  <c r="AJ21" i="12"/>
  <c r="AL23" i="12"/>
  <c r="X46" i="12"/>
  <c r="AZ23" i="12"/>
  <c r="BE70" i="12"/>
  <c r="AQ70" i="12"/>
  <c r="R72" i="12"/>
  <c r="AT72" i="12" s="1"/>
  <c r="AT67" i="12"/>
  <c r="R90" i="12"/>
  <c r="AF67" i="12"/>
  <c r="AF57" i="12"/>
  <c r="AX23" i="12"/>
  <c r="AJ23" i="12"/>
  <c r="BB68" i="12"/>
  <c r="AN68" i="12"/>
  <c r="BY24" i="23"/>
  <c r="AY68" i="12"/>
  <c r="AK68" i="12"/>
  <c r="BC70" i="12"/>
  <c r="AO70" i="12"/>
  <c r="BY25" i="23"/>
  <c r="BC77" i="12"/>
  <c r="AO77" i="12"/>
  <c r="AO80" i="12" s="1"/>
  <c r="AM23" i="12"/>
  <c r="BA23" i="12"/>
  <c r="AX70" i="12"/>
  <c r="AJ70" i="12"/>
  <c r="X72" i="12"/>
  <c r="AZ72" i="12" s="1"/>
  <c r="AL67" i="12"/>
  <c r="X90" i="12"/>
  <c r="AZ67" i="12"/>
  <c r="AL30" i="12"/>
  <c r="AZ30" i="12"/>
  <c r="AK70" i="12"/>
  <c r="AY70" i="12"/>
  <c r="AT20" i="12"/>
  <c r="AF20" i="12"/>
  <c r="AF25" i="12" s="1"/>
  <c r="R43" i="12"/>
  <c r="AM67" i="12"/>
  <c r="BA67" i="12"/>
  <c r="Y72" i="12"/>
  <c r="BA72" i="12" s="1"/>
  <c r="CF79" i="16"/>
  <c r="AR54" i="12"/>
  <c r="AV70" i="12"/>
  <c r="AH70" i="12"/>
  <c r="CJ36" i="16"/>
  <c r="CI37" i="16"/>
  <c r="CK37" i="16"/>
  <c r="CA82" i="16"/>
  <c r="CA86" i="16" s="1"/>
  <c r="CA71" i="16"/>
  <c r="AL22" i="12"/>
  <c r="AZ22" i="12"/>
  <c r="X45" i="12"/>
  <c r="CC71" i="16"/>
  <c r="CC70" i="16"/>
  <c r="BI21" i="23"/>
  <c r="CW21" i="23" s="1"/>
  <c r="CW3" i="23"/>
  <c r="AN70" i="12"/>
  <c r="BB70" i="12"/>
  <c r="CF71" i="16"/>
  <c r="CF70" i="16"/>
  <c r="AU67" i="12"/>
  <c r="AG67" i="12"/>
  <c r="S72" i="12"/>
  <c r="AU72" i="12" s="1"/>
  <c r="S25" i="12"/>
  <c r="AU25" i="12" s="1"/>
  <c r="AU23" i="12"/>
  <c r="AG23" i="12"/>
  <c r="AY67" i="12"/>
  <c r="AK67" i="12"/>
  <c r="W72" i="12"/>
  <c r="AY72" i="12" s="1"/>
  <c r="BY82" i="16"/>
  <c r="CC79" i="16"/>
  <c r="BE69" i="12"/>
  <c r="AQ69" i="12"/>
  <c r="U46" i="12"/>
  <c r="AI23" i="12"/>
  <c r="AW23" i="12"/>
  <c r="U72" i="12"/>
  <c r="AW72" i="12" s="1"/>
  <c r="U90" i="12"/>
  <c r="AI67" i="12"/>
  <c r="AW67" i="12"/>
  <c r="N23" i="24"/>
  <c r="AA93" i="12"/>
  <c r="BD70" i="12"/>
  <c r="AP70" i="12"/>
  <c r="AG70" i="12"/>
  <c r="AU70" i="12"/>
  <c r="AH23" i="12"/>
  <c r="AV23" i="12"/>
  <c r="AL21" i="12"/>
  <c r="AZ21" i="12"/>
  <c r="U25" i="12"/>
  <c r="AW25" i="12" s="1"/>
  <c r="AW20" i="12"/>
  <c r="AI20" i="12"/>
  <c r="AG68" i="12"/>
  <c r="AU68" i="12"/>
  <c r="AK22" i="12"/>
  <c r="AY22" i="12"/>
  <c r="CW25" i="23"/>
  <c r="AB25" i="12"/>
  <c r="BD25" i="12" s="1"/>
  <c r="AP20" i="12"/>
  <c r="BD20" i="12"/>
  <c r="AL69" i="12"/>
  <c r="AZ69" i="12"/>
  <c r="X92" i="12"/>
  <c r="AD32" i="12"/>
  <c r="AR53" i="12"/>
  <c r="AD79" i="12"/>
  <c r="BF79" i="12" s="1"/>
  <c r="AD29" i="12"/>
  <c r="BF29" i="12" s="1"/>
  <c r="AD22" i="12"/>
  <c r="BF22" i="12" s="1"/>
  <c r="AR9" i="12"/>
  <c r="BR38" i="10"/>
  <c r="BX38" i="10" s="1"/>
  <c r="V25" i="12"/>
  <c r="AX25" i="12" s="1"/>
  <c r="R46" i="12"/>
  <c r="AF46" i="12" s="1"/>
  <c r="U33" i="12"/>
  <c r="AW33" i="12" s="1"/>
  <c r="R92" i="12"/>
  <c r="AT69" i="12"/>
  <c r="AF69" i="12"/>
  <c r="AD69" i="12"/>
  <c r="BF69" i="12" s="1"/>
  <c r="BA20" i="12"/>
  <c r="Y25" i="12"/>
  <c r="BA25" i="12" s="1"/>
  <c r="AM20" i="12"/>
  <c r="CO21" i="23"/>
  <c r="DI21" i="23"/>
  <c r="V26" i="24"/>
  <c r="X8" i="24"/>
  <c r="Z8" i="24"/>
  <c r="AR64" i="10"/>
  <c r="BF64" i="10"/>
  <c r="AZ32" i="12"/>
  <c r="AL32" i="12"/>
  <c r="AG69" i="12"/>
  <c r="AU69" i="12"/>
  <c r="BE21" i="12"/>
  <c r="AQ21" i="12"/>
  <c r="AL68" i="12"/>
  <c r="AZ68" i="12"/>
  <c r="X91" i="12"/>
  <c r="AQ20" i="12"/>
  <c r="BE20" i="12"/>
  <c r="AX67" i="12"/>
  <c r="AJ67" i="12"/>
  <c r="V72" i="12"/>
  <c r="AX72" i="12" s="1"/>
  <c r="R80" i="12"/>
  <c r="AT80" i="12" s="1"/>
  <c r="AT76" i="12"/>
  <c r="AF76" i="12"/>
  <c r="AL20" i="12"/>
  <c r="AZ20" i="12"/>
  <c r="X43" i="12"/>
  <c r="X25" i="12"/>
  <c r="AZ25" i="12" s="1"/>
  <c r="BX61" i="16"/>
  <c r="BX62" i="16" s="1"/>
  <c r="BX84" i="16" s="1"/>
  <c r="AY21" i="12"/>
  <c r="AK21" i="12"/>
  <c r="CJ39" i="16"/>
  <c r="CJ40" i="16"/>
  <c r="CI41" i="16"/>
  <c r="CK41" i="16"/>
  <c r="CG70" i="16"/>
  <c r="CD79" i="16"/>
  <c r="CD82" i="16"/>
  <c r="AK69" i="12"/>
  <c r="AY69" i="12"/>
  <c r="AB72" i="12"/>
  <c r="BD72" i="12" s="1"/>
  <c r="AP67" i="12"/>
  <c r="BD67" i="12"/>
  <c r="CH76" i="16"/>
  <c r="AV68" i="12"/>
  <c r="AH68" i="12"/>
  <c r="AV20" i="12"/>
  <c r="AH20" i="12"/>
  <c r="T25" i="12"/>
  <c r="AV25" i="12" s="1"/>
  <c r="CW24" i="23"/>
  <c r="AV67" i="12"/>
  <c r="T72" i="12"/>
  <c r="AV72" i="12" s="1"/>
  <c r="AH67" i="12"/>
  <c r="AP21" i="12"/>
  <c r="BD21" i="12"/>
  <c r="CB25" i="23"/>
  <c r="DP7" i="23"/>
  <c r="X80" i="12"/>
  <c r="AZ80" i="12" s="1"/>
  <c r="AL76" i="12"/>
  <c r="AZ76" i="12"/>
  <c r="AV21" i="12"/>
  <c r="AH21" i="12"/>
  <c r="CH75" i="16"/>
  <c r="CH79" i="16" s="1"/>
  <c r="BV79" i="16"/>
  <c r="AV69" i="12"/>
  <c r="AH69" i="12"/>
  <c r="AM69" i="12"/>
  <c r="BA69" i="12"/>
  <c r="BW79" i="16"/>
  <c r="R91" i="12"/>
  <c r="AT68" i="12"/>
  <c r="AF68" i="12"/>
  <c r="AD68" i="12"/>
  <c r="BF68" i="12" s="1"/>
  <c r="BB23" i="12"/>
  <c r="AN23" i="12"/>
  <c r="X44" i="12"/>
  <c r="AU20" i="12"/>
  <c r="AG20" i="12"/>
  <c r="AI68" i="12"/>
  <c r="U91" i="12"/>
  <c r="AW68" i="12"/>
  <c r="DM25" i="23"/>
  <c r="CS25" i="23"/>
  <c r="CM21" i="23"/>
  <c r="DG21" i="23"/>
  <c r="AO21" i="12"/>
  <c r="BC21" i="12"/>
  <c r="AA44" i="12"/>
  <c r="AQ22" i="12"/>
  <c r="BE22" i="12"/>
  <c r="AM68" i="12"/>
  <c r="BA68" i="12"/>
  <c r="AN57" i="12"/>
  <c r="BX82" i="16"/>
  <c r="DL21" i="23"/>
  <c r="CR21" i="23"/>
  <c r="AK20" i="12"/>
  <c r="AY20" i="12"/>
  <c r="W25" i="12"/>
  <c r="AY25" i="12" s="1"/>
  <c r="AI79" i="12"/>
  <c r="AW79" i="12"/>
  <c r="BC67" i="12"/>
  <c r="AO67" i="12"/>
  <c r="AA72" i="12"/>
  <c r="BC72" i="12" s="1"/>
  <c r="AI78" i="12"/>
  <c r="AW78" i="12"/>
  <c r="CS3" i="23"/>
  <c r="BE21" i="23"/>
  <c r="DM3" i="23"/>
  <c r="DE21" i="23"/>
  <c r="CK21" i="23"/>
  <c r="AF70" i="12"/>
  <c r="AT70" i="12"/>
  <c r="R93" i="12"/>
  <c r="AD93" i="12" s="1"/>
  <c r="BF93" i="12" s="1"/>
  <c r="BX83" i="16"/>
  <c r="BA21" i="12"/>
  <c r="AM21" i="12"/>
  <c r="AW22" i="12"/>
  <c r="AI22" i="12"/>
  <c r="U45" i="12"/>
  <c r="AX68" i="12"/>
  <c r="AJ68" i="12"/>
  <c r="AW30" i="12"/>
  <c r="AI30" i="12"/>
  <c r="AI33" i="12" s="1"/>
  <c r="CV24" i="23"/>
  <c r="AL78" i="12"/>
  <c r="AZ78" i="12"/>
  <c r="BE68" i="12"/>
  <c r="AQ68" i="12"/>
  <c r="AQ72" i="12" s="1"/>
  <c r="BC69" i="12"/>
  <c r="AO69" i="12"/>
  <c r="AA92" i="12"/>
  <c r="AA95" i="12" s="1"/>
  <c r="BC95" i="12" s="1"/>
  <c r="BC22" i="12"/>
  <c r="AA45" i="12"/>
  <c r="AO22" i="12"/>
  <c r="CE79" i="16"/>
  <c r="CE82" i="16"/>
  <c r="CX24" i="23"/>
  <c r="CJ4" i="16"/>
  <c r="CG3" i="16"/>
  <c r="BV61" i="16"/>
  <c r="CH59" i="16"/>
  <c r="AJ25" i="12"/>
  <c r="BY83" i="16"/>
  <c r="BY71" i="16"/>
  <c r="BZ82" i="16"/>
  <c r="BZ86" i="16" s="1"/>
  <c r="BZ71" i="16"/>
  <c r="BV3" i="16"/>
  <c r="CC3" i="16"/>
  <c r="CD83" i="16"/>
  <c r="CD71" i="16"/>
  <c r="AZ93" i="12"/>
  <c r="AL93" i="12"/>
  <c r="AF45" i="12"/>
  <c r="CE68" i="16"/>
  <c r="CH67" i="16"/>
  <c r="BF76" i="12"/>
  <c r="BF32" i="12"/>
  <c r="BW82" i="16"/>
  <c r="AO90" i="12"/>
  <c r="BC90" i="12"/>
  <c r="AO46" i="12"/>
  <c r="BC46" i="12"/>
  <c r="AD46" i="12"/>
  <c r="BF23" i="12"/>
  <c r="BX20" i="10"/>
  <c r="CK42" i="16"/>
  <c r="CJ24" i="16"/>
  <c r="BW3" i="16" l="1"/>
  <c r="AT46" i="12"/>
  <c r="CF3" i="16"/>
  <c r="CA3" i="16"/>
  <c r="CE3" i="16"/>
  <c r="AR79" i="12"/>
  <c r="AR22" i="12"/>
  <c r="AR32" i="12"/>
  <c r="BG35" i="16"/>
  <c r="BG99" i="16" s="1"/>
  <c r="BD104" i="16"/>
  <c r="BP40" i="16"/>
  <c r="BE35" i="16"/>
  <c r="BE99" i="16" s="1"/>
  <c r="BS37" i="16"/>
  <c r="BP42" i="16"/>
  <c r="BQ41" i="16" s="1"/>
  <c r="CH70" i="16"/>
  <c r="BD99" i="16"/>
  <c r="BS41" i="16"/>
  <c r="BD39" i="16"/>
  <c r="BD100" i="16"/>
  <c r="BP36" i="16"/>
  <c r="AF80" i="12"/>
  <c r="AO25" i="12"/>
  <c r="AP72" i="12"/>
  <c r="AR64" i="12"/>
  <c r="AN25" i="12"/>
  <c r="AR36" i="12"/>
  <c r="AR40" i="12" s="1"/>
  <c r="AF40" i="12"/>
  <c r="AF87" i="12"/>
  <c r="AR83" i="12"/>
  <c r="AR87" i="12" s="1"/>
  <c r="AI87" i="12"/>
  <c r="BF83" i="12"/>
  <c r="AD87" i="12"/>
  <c r="BF87" i="12" s="1"/>
  <c r="BF36" i="12"/>
  <c r="AD40" i="12"/>
  <c r="BF40" i="12" s="1"/>
  <c r="AL87" i="12"/>
  <c r="AR70" i="12"/>
  <c r="CD86" i="16"/>
  <c r="AK25" i="12"/>
  <c r="AR23" i="12"/>
  <c r="AR21" i="12"/>
  <c r="AL80" i="12"/>
  <c r="AR10" i="12"/>
  <c r="AR57" i="12"/>
  <c r="AO33" i="12"/>
  <c r="AR31" i="12"/>
  <c r="AR67" i="12"/>
  <c r="AL33" i="12"/>
  <c r="AD25" i="12"/>
  <c r="BF25" i="12" s="1"/>
  <c r="AD33" i="12"/>
  <c r="BF33" i="12" s="1"/>
  <c r="AD72" i="12"/>
  <c r="BF72" i="12" s="1"/>
  <c r="AW43" i="12"/>
  <c r="AR20" i="12"/>
  <c r="AR25" i="12" s="1"/>
  <c r="AD45" i="12"/>
  <c r="BF45" i="12" s="1"/>
  <c r="BZ3" i="16"/>
  <c r="CD3" i="16"/>
  <c r="BX3" i="16"/>
  <c r="BW83" i="16"/>
  <c r="BW71" i="16"/>
  <c r="AK72" i="12"/>
  <c r="AZ43" i="12"/>
  <c r="AL43" i="12"/>
  <c r="X48" i="12"/>
  <c r="AZ48" i="12" s="1"/>
  <c r="X26" i="24"/>
  <c r="Z26" i="24"/>
  <c r="AT92" i="12"/>
  <c r="AF92" i="12"/>
  <c r="AD92" i="12"/>
  <c r="BF92" i="12" s="1"/>
  <c r="AI25" i="12"/>
  <c r="AO93" i="12"/>
  <c r="BC93" i="12"/>
  <c r="AL90" i="12"/>
  <c r="AZ90" i="12"/>
  <c r="X95" i="12"/>
  <c r="AZ95" i="12" s="1"/>
  <c r="AQ25" i="12"/>
  <c r="AI80" i="12"/>
  <c r="AR77" i="12"/>
  <c r="BX86" i="16"/>
  <c r="AF43" i="12"/>
  <c r="AT43" i="12"/>
  <c r="AH25" i="12"/>
  <c r="AR76" i="12"/>
  <c r="AT45" i="12"/>
  <c r="AD43" i="12"/>
  <c r="BF43" i="12" s="1"/>
  <c r="AI45" i="12"/>
  <c r="AW45" i="12"/>
  <c r="AR29" i="12"/>
  <c r="R48" i="12"/>
  <c r="AT48" i="12" s="1"/>
  <c r="U48" i="12"/>
  <c r="AW48" i="12" s="1"/>
  <c r="AO45" i="12"/>
  <c r="AO48" i="12" s="1"/>
  <c r="BC45" i="12"/>
  <c r="AR78" i="12"/>
  <c r="AO44" i="12"/>
  <c r="BC44" i="12"/>
  <c r="AH72" i="12"/>
  <c r="CG71" i="16"/>
  <c r="CG82" i="16"/>
  <c r="CG86" i="16" s="1"/>
  <c r="AI72" i="12"/>
  <c r="AZ45" i="12"/>
  <c r="AL45" i="12"/>
  <c r="AL72" i="12"/>
  <c r="AJ72" i="12"/>
  <c r="AO72" i="12"/>
  <c r="AN72" i="12"/>
  <c r="AL46" i="12"/>
  <c r="AZ46" i="12"/>
  <c r="AW44" i="12"/>
  <c r="AI44" i="12"/>
  <c r="AI92" i="12"/>
  <c r="AW92" i="12"/>
  <c r="CB71" i="16"/>
  <c r="CB82" i="16"/>
  <c r="CB86" i="16" s="1"/>
  <c r="V23" i="24"/>
  <c r="AO91" i="12"/>
  <c r="BC91" i="12"/>
  <c r="AO92" i="12"/>
  <c r="BC92" i="12"/>
  <c r="AL91" i="12"/>
  <c r="AZ91" i="12"/>
  <c r="CF82" i="16"/>
  <c r="CF86" i="16" s="1"/>
  <c r="AF90" i="12"/>
  <c r="AT90" i="12"/>
  <c r="R95" i="12"/>
  <c r="AT95" i="12" s="1"/>
  <c r="AO43" i="12"/>
  <c r="BC43" i="12"/>
  <c r="AA48" i="12"/>
  <c r="BC48" i="12" s="1"/>
  <c r="AD90" i="12"/>
  <c r="BF90" i="12" s="1"/>
  <c r="AT93" i="12"/>
  <c r="AF93" i="12"/>
  <c r="AT91" i="12"/>
  <c r="AF91" i="12"/>
  <c r="AD91" i="12"/>
  <c r="BF91" i="12" s="1"/>
  <c r="AD80" i="12"/>
  <c r="BF80" i="12" s="1"/>
  <c r="DM21" i="23"/>
  <c r="CS21" i="23"/>
  <c r="BX71" i="16"/>
  <c r="AW91" i="12"/>
  <c r="AI91" i="12"/>
  <c r="AL44" i="12"/>
  <c r="AZ44" i="12"/>
  <c r="AR68" i="12"/>
  <c r="DP25" i="23"/>
  <c r="AL25" i="12"/>
  <c r="AM25" i="12"/>
  <c r="AR69" i="12"/>
  <c r="AZ92" i="12"/>
  <c r="AL92" i="12"/>
  <c r="AP25" i="12"/>
  <c r="T23" i="24"/>
  <c r="R23" i="24"/>
  <c r="P23" i="24"/>
  <c r="AI90" i="12"/>
  <c r="AR90" i="12" s="1"/>
  <c r="U95" i="12"/>
  <c r="AW95" i="12" s="1"/>
  <c r="AW90" i="12"/>
  <c r="AW46" i="12"/>
  <c r="AI46" i="12"/>
  <c r="CC82" i="16"/>
  <c r="CC86" i="16" s="1"/>
  <c r="AG25" i="12"/>
  <c r="AG72" i="12"/>
  <c r="AM72" i="12"/>
  <c r="AR30" i="12"/>
  <c r="AF72" i="12"/>
  <c r="AF44" i="12"/>
  <c r="AF48" i="12" s="1"/>
  <c r="AT44" i="12"/>
  <c r="AD44" i="12"/>
  <c r="BF44" i="12" s="1"/>
  <c r="DP24" i="23"/>
  <c r="CB21" i="23"/>
  <c r="DP21" i="23" s="1"/>
  <c r="DP3" i="23"/>
  <c r="Z5" i="24"/>
  <c r="X5" i="24"/>
  <c r="AI93" i="12"/>
  <c r="AW93" i="12"/>
  <c r="X27" i="24"/>
  <c r="Z27" i="24"/>
  <c r="BY86" i="16"/>
  <c r="BV62" i="16"/>
  <c r="CH61" i="16"/>
  <c r="BW86" i="16"/>
  <c r="BW87" i="16" s="1"/>
  <c r="CE85" i="16"/>
  <c r="CE71" i="16"/>
  <c r="CH68" i="16"/>
  <c r="BF46" i="12"/>
  <c r="AR45" i="12" l="1"/>
  <c r="AI48" i="12"/>
  <c r="AR72" i="12"/>
  <c r="BQ37" i="16"/>
  <c r="BR36" i="16"/>
  <c r="BS36" i="16"/>
  <c r="BR24" i="16"/>
  <c r="BS40" i="16"/>
  <c r="BR40" i="16"/>
  <c r="BD103" i="16"/>
  <c r="BP39" i="16"/>
  <c r="BP35" i="16"/>
  <c r="AD95" i="12"/>
  <c r="BF95" i="12" s="1"/>
  <c r="AR43" i="12"/>
  <c r="AR33" i="12"/>
  <c r="AD48" i="12"/>
  <c r="BF48" i="12" s="1"/>
  <c r="AO95" i="12"/>
  <c r="AR46" i="12"/>
  <c r="AR80" i="12"/>
  <c r="AR93" i="12"/>
  <c r="AR44" i="12"/>
  <c r="AR48" i="12" s="1"/>
  <c r="AL95" i="12"/>
  <c r="AL48" i="12"/>
  <c r="AI95" i="12"/>
  <c r="AR92" i="12"/>
  <c r="AR91" i="12"/>
  <c r="AF95" i="12"/>
  <c r="Z23" i="24"/>
  <c r="X23" i="24"/>
  <c r="BV84" i="16"/>
  <c r="CH62" i="16"/>
  <c r="CE86" i="16"/>
  <c r="CH85" i="16"/>
  <c r="AR95" i="12" l="1"/>
  <c r="BR35" i="16"/>
  <c r="BS35" i="16"/>
  <c r="BR39" i="16"/>
  <c r="BS39" i="16"/>
  <c r="BV83" i="16"/>
  <c r="CH83" i="16" s="1"/>
  <c r="BV71" i="16"/>
  <c r="CH71" i="16" s="1"/>
  <c r="BV82" i="16"/>
  <c r="CH82" i="16" s="1"/>
  <c r="CH84" i="16"/>
  <c r="BV86" i="16" l="1"/>
  <c r="BV87" i="16" s="1"/>
  <c r="CH86" i="16"/>
  <c r="CI86" i="16" s="1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57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<sst xmlns="http://schemas.openxmlformats.org/spreadsheetml/2006/main" count="699" uniqueCount="158">
  <si>
    <t>TOTAL</t>
  </si>
  <si>
    <t>KIDS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</si>
  <si>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</si>
  <si>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</si>
  <si>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</si>
  <si>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</si>
  <si>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</si>
  <si>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</si>
  <si>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</si>
  <si>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</si>
  <si>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</si>
  <si>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</si>
  <si>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</si>
  <si>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</si>
  <si>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</si>
  <si>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</si>
  <si>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</si>
  <si>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</si>
  <si>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</si>
  <si>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</si>
  <si>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</si>
  <si>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</si>
  <si>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</si>
  <si>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</si>
  <si>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</si>
  <si>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</si>
  <si>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</si>
  <si>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</si>
  <si>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</si>
  <si>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</si>
  <si>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</si>
  <si>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</si>
  <si>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</si>
  <si>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</si>
  <si>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</si>
  <si>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</si>
  <si>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</si>
  <si>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</si>
  <si>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</si>
  <si>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</si>
  <si>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</si>
  <si>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</si>
  <si>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</si>
  <si>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</si>
  <si>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</si>
  <si>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</si>
  <si>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</si>
  <si>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</si>
  <si>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</si>
  <si>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</si>
  <si>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</si>
  <si>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Kids CMS</t>
  </si>
  <si>
    <t>POPS Afiliate (Ent.)</t>
  </si>
  <si>
    <t>Total views VN</t>
  </si>
  <si>
    <t>POPS Afiliate</t>
  </si>
  <si>
    <t>Total revenue VN</t>
  </si>
  <si>
    <t>CPV</t>
  </si>
  <si>
    <t>POPS Kids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</si>
  <si>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</si>
  <si>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</si>
  <si>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</si>
  <si>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</si>
  <si>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</si>
  <si>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</si>
  <si>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</si>
  <si>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</si>
  <si>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</si>
  <si>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</si>
  <si>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</si>
  <si>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</si>
  <si>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</si>
  <si>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</si>
  <si>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</si>
  <si>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</si>
  <si>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</si>
  <si>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</si>
  <si>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</si>
  <si>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</si>
  <si>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</si>
  <si>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</si>
  <si>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</si>
  <si>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</si>
  <si>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</si>
  <si>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</si>
  <si>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</si>
  <si>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</si>
  <si>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</si>
  <si>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</si>
  <si>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</si>
  <si>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</si>
  <si>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</si>
  <si>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</si>
  <si>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</si>
  <si>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</si>
  <si>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</si>
  <si>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</si>
  <si>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</si>
  <si>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</si>
  <si>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</si>
  <si>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</si>
  <si>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VN View</t>
  </si>
  <si>
    <t>EX VN View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</si>
  <si>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</si>
  <si>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</si>
  <si>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</si>
  <si>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</si>
  <si>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</si>
  <si>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</si>
  <si>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</si>
  <si>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</si>
  <si>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</si>
  <si>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</si>
  <si>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</si>
  <si>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</si>
  <si>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</si>
  <si>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</si>
  <si>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</si>
  <si>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</si>
  <si>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</si>
  <si>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</si>
  <si>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</si>
  <si>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</si>
  <si>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</si>
  <si>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</si>
  <si>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</si>
  <si>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</si>
  <si>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</si>
  <si>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</si>
  <si>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</si>
  <si>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</si>
  <si>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</si>
  <si>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</si>
  <si>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</si>
  <si>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</si>
  <si>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</si>
  <si>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</si>
  <si>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</si>
  <si>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</si>
  <si>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POPS APP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</si>
  <si>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</si>
  <si>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</si>
  <si>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</si>
  <si>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</si>
  <si>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</si>
  <si>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</si>
  <si>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</si>
  <si>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</si>
  <si>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</si>
  <si>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</si>
  <si>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</si>
  <si>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</si>
  <si>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</si>
  <si>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</si>
  <si>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</si>
  <si>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</si>
  <si>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</si>
  <si>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Fillrate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</si>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</sst>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 style="thin">
        <color rgb="FFFF5050"/>
      </top>
      <bottom/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6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166" fontId="2" fillId="18" borderId="71" xfId="1" applyNumberFormat="1" applyFont="1" applyFill="1" applyBorder="1"/>
    <xf numFmtId="9" fontId="2" fillId="18" borderId="72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6" borderId="73" xfId="0" applyFont="1" applyFill="1" applyBorder="1" applyAlignment="1">
      <alignment horizontal="center"/>
    </xf>
    <xf numFmtId="0" fontId="4" fillId="26" borderId="74" xfId="0" applyFont="1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0" fontId="0" fillId="0" borderId="77" xfId="0" quotePrefix="1" applyFill="1" applyBorder="1" applyAlignment="1">
      <alignment horizontal="right"/>
    </xf>
    <xf numFmtId="0" fontId="0" fillId="0" borderId="78" xfId="0" applyFill="1" applyBorder="1"/>
    <xf numFmtId="17" fontId="2" fillId="0" borderId="79" xfId="0" quotePrefix="1" applyNumberFormat="1" applyFont="1" applyBorder="1" applyAlignment="1">
      <alignment horizontal="center"/>
    </xf>
    <xf numFmtId="17" fontId="2" fillId="0" borderId="80" xfId="0" quotePrefix="1" applyNumberFormat="1" applyFont="1" applyBorder="1" applyAlignment="1">
      <alignment horizontal="center"/>
    </xf>
    <xf numFmtId="166" fontId="18" fillId="26" borderId="81" xfId="0" applyNumberFormat="1" applyFont="1" applyFill="1" applyBorder="1"/>
    <xf numFmtId="166" fontId="18" fillId="26" borderId="82" xfId="0" applyNumberFormat="1" applyFont="1" applyFill="1" applyBorder="1"/>
    <xf numFmtId="166" fontId="0" fillId="0" borderId="76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29" fillId="0" borderId="78" xfId="1" applyNumberFormat="1" applyFont="1" applyFill="1" applyBorder="1"/>
    <xf numFmtId="166" fontId="29" fillId="0" borderId="84" xfId="1" applyNumberFormat="1" applyFont="1" applyFill="1" applyBorder="1"/>
    <xf numFmtId="166" fontId="0" fillId="0" borderId="84" xfId="1" applyNumberFormat="1" applyFont="1" applyFill="1" applyBorder="1"/>
    <xf numFmtId="166" fontId="2" fillId="0" borderId="84" xfId="1" applyNumberFormat="1" applyFont="1" applyFill="1" applyBorder="1"/>
    <xf numFmtId="166" fontId="18" fillId="26" borderId="80" xfId="0" applyNumberFormat="1" applyFont="1" applyFill="1" applyBorder="1"/>
    <xf numFmtId="166" fontId="28" fillId="0" borderId="84" xfId="1" applyNumberFormat="1" applyFont="1" applyFill="1" applyBorder="1"/>
    <xf numFmtId="9" fontId="0" fillId="0" borderId="0" xfId="2" applyFont="1" applyBorder="1"/>
    <xf numFmtId="166" fontId="0" fillId="0" borderId="83" xfId="1" applyNumberFormat="1" applyFont="1" applyBorder="1"/>
    <xf numFmtId="166" fontId="0" fillId="0" borderId="84" xfId="1" applyNumberFormat="1" applyFont="1" applyBorder="1"/>
    <xf numFmtId="166" fontId="0" fillId="0" borderId="75" xfId="1" applyNumberFormat="1" applyFont="1" applyBorder="1"/>
    <xf numFmtId="9" fontId="0" fillId="0" borderId="76" xfId="2" applyFont="1" applyBorder="1"/>
    <xf numFmtId="166" fontId="0" fillId="0" borderId="77" xfId="1" applyNumberFormat="1" applyFont="1" applyBorder="1"/>
    <xf numFmtId="9" fontId="0" fillId="0" borderId="78" xfId="2" applyFont="1" applyBorder="1"/>
    <xf numFmtId="0" fontId="4" fillId="26" borderId="85" xfId="0" applyFont="1" applyFill="1" applyBorder="1"/>
    <xf numFmtId="166" fontId="18" fillId="26" borderId="73" xfId="0" applyNumberFormat="1" applyFont="1" applyFill="1" applyBorder="1"/>
    <xf numFmtId="9" fontId="18" fillId="26" borderId="74" xfId="2" applyFont="1" applyFill="1" applyBorder="1"/>
    <xf numFmtId="0" fontId="0" fillId="0" borderId="86" xfId="0" applyFill="1" applyBorder="1"/>
    <xf numFmtId="9" fontId="18" fillId="26" borderId="82" xfId="2" applyFont="1" applyFill="1" applyBorder="1"/>
    <xf numFmtId="9" fontId="0" fillId="0" borderId="83" xfId="2" applyFont="1" applyBorder="1"/>
    <xf numFmtId="9" fontId="0" fillId="0" borderId="84" xfId="2" applyFont="1" applyBorder="1"/>
    <xf numFmtId="9" fontId="18" fillId="26" borderId="80" xfId="2" applyFont="1" applyFill="1" applyBorder="1"/>
    <xf numFmtId="166" fontId="28" fillId="0" borderId="83" xfId="1" applyNumberFormat="1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0" fillId="0" borderId="0" xfId="2" applyFont="1" applyFill="1"/>
    <xf numFmtId="9" fontId="28" fillId="0" borderId="84" xfId="2" applyFont="1" applyFill="1" applyBorder="1"/>
    <xf numFmtId="9" fontId="0" fillId="0" borderId="84" xfId="2" applyFont="1" applyFill="1" applyBorder="1"/>
    <xf numFmtId="9" fontId="2" fillId="0" borderId="84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9" fillId="0" borderId="83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3" xfId="2" applyFont="1" applyFill="1" applyBorder="1"/>
    <xf numFmtId="9" fontId="29" fillId="0" borderId="84" xfId="2" applyFont="1" applyFill="1" applyBorder="1"/>
    <xf numFmtId="166" fontId="1" fillId="0" borderId="84" xfId="1" applyNumberFormat="1" applyFont="1" applyFill="1" applyBorder="1"/>
    <xf numFmtId="166" fontId="0" fillId="0" borderId="0" xfId="0" applyNumberFormat="1"/>
    <xf numFmtId="0" fontId="18" fillId="26" borderId="90" xfId="0" applyFont="1" applyFill="1" applyBorder="1" applyAlignment="1">
      <alignment horizontal="center"/>
    </xf>
    <xf numFmtId="0" fontId="18" fillId="26" borderId="91" xfId="0" applyFont="1" applyFill="1" applyBorder="1" applyAlignment="1">
      <alignment horizontal="center"/>
    </xf>
    <xf numFmtId="0" fontId="18" fillId="26" borderId="92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0" fontId="0" fillId="0" borderId="0" xfId="2" applyNumberFormat="1" applyFont="1" applyFill="1" applyBorder="1"/>
    <xf numFmtId="0" fontId="18" fillId="26" borderId="87" xfId="0" applyFont="1" applyFill="1" applyBorder="1" applyAlignment="1">
      <alignment horizontal="center"/>
    </xf>
    <xf numFmtId="0" fontId="18" fillId="26" borderId="88" xfId="0" applyFont="1" applyFill="1" applyBorder="1" applyAlignment="1">
      <alignment horizontal="center"/>
    </xf>
    <xf numFmtId="0" fontId="18" fillId="26" borderId="89" xfId="0" applyFont="1" applyFill="1" applyBorder="1" applyAlignment="1">
      <alignment horizontal="center"/>
    </xf>
    <xf numFmtId="0" fontId="18" fillId="26" borderId="0" xfId="0" applyFont="1" applyFill="1" applyBorder="1" applyAlignment="1">
      <alignment horizontal="center"/>
    </xf>
    <xf numFmtId="0" fontId="18" fillId="26" borderId="76" xfId="0" applyFont="1" applyFill="1" applyBorder="1" applyAlignment="1">
      <alignment horizontal="center"/>
    </xf>
    <xf numFmtId="0" fontId="18" fillId="26" borderId="90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4472C4"/>
      <color rgb="FFED7D31"/>
      <color rgb="FFFF0000"/>
      <color rgb="FF6199FF"/>
      <color rgb="FFFF5050"/>
      <color rgb="FFFFDDDD"/>
      <color rgb="FF0000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94840752"/>
        <c:axId val="-1994858160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4838576"/>
        <c:axId val="-1994839120"/>
      </c:barChart>
      <c:catAx>
        <c:axId val="-19948407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858160"/>
        <c:crosses val="autoZero"/>
        <c:auto val="1"/>
        <c:lblAlgn val="ctr"/>
        <c:lblOffset val="100"/>
        <c:noMultiLvlLbl val="1"/>
      </c:catAx>
      <c:valAx>
        <c:axId val="-1994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840752"/>
        <c:crosses val="autoZero"/>
        <c:crossBetween val="between"/>
      </c:valAx>
      <c:valAx>
        <c:axId val="-1994839120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94838576"/>
        <c:crosses val="max"/>
        <c:crossBetween val="between"/>
      </c:valAx>
      <c:catAx>
        <c:axId val="-19948385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199483912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4858704"/>
        <c:axId val="-1994870128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4867952"/>
        <c:axId val="-1994867408"/>
      </c:barChart>
      <c:catAx>
        <c:axId val="-199485870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870128"/>
        <c:crosses val="autoZero"/>
        <c:auto val="1"/>
        <c:lblAlgn val="ctr"/>
        <c:lblOffset val="100"/>
        <c:noMultiLvlLbl val="1"/>
      </c:catAx>
      <c:valAx>
        <c:axId val="-19948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858704"/>
        <c:crosses val="autoZero"/>
        <c:crossBetween val="between"/>
      </c:valAx>
      <c:valAx>
        <c:axId val="-199486740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94867952"/>
        <c:crosses val="max"/>
        <c:crossBetween val="between"/>
      </c:valAx>
      <c:catAx>
        <c:axId val="-199486795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1994867408"/>
        <c:crosses val="autoZero"/>
        <c:auto val="1"/>
        <c:lblAlgn val="ctr"/>
        <c:lblOffset val="100"/>
        <c:noMultiLvlLbl val="1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94863056"/>
        <c:axId val="-1994866320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4865776"/>
        <c:axId val="-1994860336"/>
      </c:barChart>
      <c:catAx>
        <c:axId val="-19948630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866320"/>
        <c:crosses val="autoZero"/>
        <c:auto val="1"/>
        <c:lblAlgn val="ctr"/>
        <c:lblOffset val="100"/>
        <c:noMultiLvlLbl val="1"/>
      </c:catAx>
      <c:valAx>
        <c:axId val="-19948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4863056"/>
        <c:crosses val="autoZero"/>
        <c:crossBetween val="between"/>
      </c:valAx>
      <c:valAx>
        <c:axId val="-199486033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994865776"/>
        <c:crosses val="max"/>
        <c:crossBetween val="between"/>
      </c:valAx>
      <c:catAx>
        <c:axId val="-19948657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1994860336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VN_Graphs!$S$7:$T$7</c:f>
              <c:numCache>
                <c:formatCode>0.0%</c:formatCode>
                <c:ptCount val="2"/>
                <c:pt idx="0">
                  <c:v>0.40071061542857145</c:v>
                </c:pt>
                <c:pt idx="1">
                  <c:v>0.92512908159999985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18712496"/>
        <c:axId val="-2018713040"/>
      </c:barChart>
      <c:catAx>
        <c:axId val="-201871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713040"/>
        <c:crosses val="autoZero"/>
        <c:auto val="1"/>
        <c:lblAlgn val="ctr"/>
        <c:lblOffset val="100"/>
        <c:noMultiLvlLbl val="0"/>
      </c:catAx>
      <c:valAx>
        <c:axId val="-201871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71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VN_Graphs!$S$8:$T$8</c:f>
              <c:numCache>
                <c:formatCode>0.0%</c:formatCode>
                <c:ptCount val="2"/>
                <c:pt idx="0">
                  <c:v>0.44615290784628325</c:v>
                </c:pt>
                <c:pt idx="1">
                  <c:v>1.7648956765976802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504304"/>
        <c:axId val="-1625503760"/>
      </c:barChart>
      <c:catAx>
        <c:axId val="-16255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3760"/>
        <c:crosses val="autoZero"/>
        <c:auto val="1"/>
        <c:lblAlgn val="ctr"/>
        <c:lblOffset val="100"/>
        <c:noMultiLvlLbl val="0"/>
      </c:catAx>
      <c:valAx>
        <c:axId val="-1625503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VN_Graphs!$S$32:$T$32</c:f>
              <c:numCache>
                <c:formatCode>0.0%</c:formatCode>
                <c:ptCount val="2"/>
                <c:pt idx="0">
                  <c:v>0.34415504971973948</c:v>
                </c:pt>
                <c:pt idx="1">
                  <c:v>0.61786861378531077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502672"/>
        <c:axId val="-1625503216"/>
      </c:barChart>
      <c:catAx>
        <c:axId val="-16255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3216"/>
        <c:crosses val="autoZero"/>
        <c:auto val="1"/>
        <c:lblAlgn val="ctr"/>
        <c:lblOffset val="100"/>
        <c:noMultiLvlLbl val="0"/>
      </c:catAx>
      <c:valAx>
        <c:axId val="-1625503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VN_Graphs!$S$33:$T$33</c:f>
              <c:numCache>
                <c:formatCode>0.0%</c:formatCode>
                <c:ptCount val="2"/>
                <c:pt idx="0">
                  <c:v>0.36591190314187938</c:v>
                </c:pt>
                <c:pt idx="1">
                  <c:v>0.92854239691342499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509200"/>
        <c:axId val="-1625508656"/>
      </c:barChart>
      <c:catAx>
        <c:axId val="-162550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8656"/>
        <c:crosses val="autoZero"/>
        <c:auto val="1"/>
        <c:lblAlgn val="ctr"/>
        <c:lblOffset val="100"/>
        <c:noMultiLvlLbl val="0"/>
      </c:catAx>
      <c:valAx>
        <c:axId val="-16255086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VN_Graphs!$S$57:$T$57</c:f>
              <c:numCache>
                <c:formatCode>0.0%</c:formatCode>
                <c:ptCount val="2"/>
                <c:pt idx="0">
                  <c:v>1.3363579568922297</c:v>
                </c:pt>
                <c:pt idx="1">
                  <c:v>3.2896987686956529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508112"/>
        <c:axId val="-1625506480"/>
      </c:barChart>
      <c:catAx>
        <c:axId val="-162550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6480"/>
        <c:crosses val="autoZero"/>
        <c:auto val="1"/>
        <c:lblAlgn val="ctr"/>
        <c:lblOffset val="100"/>
        <c:noMultiLvlLbl val="0"/>
      </c:catAx>
      <c:valAx>
        <c:axId val="-1625506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VN_Graphs!$S$58:$T$58</c:f>
              <c:numCache>
                <c:formatCode>0.0%</c:formatCode>
                <c:ptCount val="2"/>
                <c:pt idx="0">
                  <c:v>0.95204650220880427</c:v>
                </c:pt>
                <c:pt idx="1">
                  <c:v>2.3643407247629002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509744"/>
        <c:axId val="-1625505392"/>
      </c:barChart>
      <c:catAx>
        <c:axId val="-162550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5392"/>
        <c:crosses val="autoZero"/>
        <c:auto val="1"/>
        <c:lblAlgn val="ctr"/>
        <c:lblOffset val="100"/>
        <c:noMultiLvlLbl val="0"/>
      </c:catAx>
      <c:valAx>
        <c:axId val="-1625505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50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45662768"/>
        <c:axId val="-18456692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796396532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45668208"/>
        <c:axId val="-1845668752"/>
      </c:barChart>
      <c:catAx>
        <c:axId val="-184566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669296"/>
        <c:crosses val="autoZero"/>
        <c:auto val="1"/>
        <c:lblAlgn val="ctr"/>
        <c:lblOffset val="100"/>
        <c:noMultiLvlLbl val="0"/>
      </c:catAx>
      <c:valAx>
        <c:axId val="-184566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662768"/>
        <c:crosses val="autoZero"/>
        <c:crossBetween val="between"/>
      </c:valAx>
      <c:valAx>
        <c:axId val="-1845668752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845668208"/>
        <c:crosses val="max"/>
        <c:crossBetween val="between"/>
      </c:valAx>
      <c:catAx>
        <c:axId val="-184566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45668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45667664"/>
        <c:axId val="-184566712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206786.54000000004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45666576"/>
        <c:axId val="-1845664944"/>
      </c:barChart>
      <c:catAx>
        <c:axId val="-184566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667120"/>
        <c:crosses val="autoZero"/>
        <c:auto val="1"/>
        <c:lblAlgn val="ctr"/>
        <c:lblOffset val="100"/>
        <c:noMultiLvlLbl val="0"/>
      </c:catAx>
      <c:valAx>
        <c:axId val="-184566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667664"/>
        <c:crosses val="autoZero"/>
        <c:crossBetween val="between"/>
      </c:valAx>
      <c:valAx>
        <c:axId val="-1845664944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45666576"/>
        <c:crosses val="max"/>
        <c:crossBetween val="between"/>
      </c:valAx>
      <c:catAx>
        <c:axId val="-184566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45664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25360752"/>
        <c:axId val="-182536619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5365648"/>
        <c:axId val="-1825363472"/>
      </c:barChart>
      <c:catAx>
        <c:axId val="-182536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5366192"/>
        <c:crosses val="autoZero"/>
        <c:auto val="1"/>
        <c:lblAlgn val="ctr"/>
        <c:lblOffset val="100"/>
        <c:noMultiLvlLbl val="0"/>
      </c:catAx>
      <c:valAx>
        <c:axId val="-18253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5360752"/>
        <c:crosses val="autoZero"/>
        <c:crossBetween val="between"/>
      </c:valAx>
      <c:valAx>
        <c:axId val="-182536347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825365648"/>
        <c:crosses val="max"/>
        <c:crossBetween val="between"/>
      </c:valAx>
      <c:catAx>
        <c:axId val="-182536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5363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25362384"/>
        <c:axId val="-18253618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5366736"/>
        <c:axId val="-1825360208"/>
      </c:barChart>
      <c:catAx>
        <c:axId val="-18253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5361840"/>
        <c:crosses val="autoZero"/>
        <c:auto val="1"/>
        <c:lblAlgn val="ctr"/>
        <c:lblOffset val="100"/>
        <c:noMultiLvlLbl val="0"/>
      </c:catAx>
      <c:valAx>
        <c:axId val="-182536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5362384"/>
        <c:crosses val="autoZero"/>
        <c:crossBetween val="between"/>
      </c:valAx>
      <c:valAx>
        <c:axId val="-1825360208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25366736"/>
        <c:crosses val="max"/>
        <c:crossBetween val="between"/>
      </c:valAx>
      <c:catAx>
        <c:axId val="-182536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5360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45558976"/>
        <c:axId val="-18455568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579917316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45559520"/>
        <c:axId val="-1845556256"/>
      </c:barChart>
      <c:catAx>
        <c:axId val="-18455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556800"/>
        <c:crosses val="autoZero"/>
        <c:auto val="1"/>
        <c:lblAlgn val="ctr"/>
        <c:lblOffset val="100"/>
        <c:noMultiLvlLbl val="0"/>
      </c:catAx>
      <c:valAx>
        <c:axId val="-184555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558976"/>
        <c:crosses val="autoZero"/>
        <c:crossBetween val="between"/>
      </c:valAx>
      <c:valAx>
        <c:axId val="-1845556256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845559520"/>
        <c:crosses val="max"/>
        <c:crossBetween val="between"/>
      </c:valAx>
      <c:catAx>
        <c:axId val="-1845559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45556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45557888"/>
        <c:axId val="-18455573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122478.54000000001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0151920"/>
        <c:axId val="-1990154640"/>
      </c:barChart>
      <c:catAx>
        <c:axId val="-18455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557344"/>
        <c:crosses val="autoZero"/>
        <c:auto val="1"/>
        <c:lblAlgn val="ctr"/>
        <c:lblOffset val="100"/>
        <c:noMultiLvlLbl val="0"/>
      </c:catAx>
      <c:valAx>
        <c:axId val="-18455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5557888"/>
        <c:crosses val="autoZero"/>
        <c:crossBetween val="between"/>
      </c:valAx>
      <c:valAx>
        <c:axId val="-1990154640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90151920"/>
        <c:crosses val="max"/>
        <c:crossBetween val="between"/>
      </c:valAx>
      <c:catAx>
        <c:axId val="-199015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9015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84463776"/>
        <c:axId val="-19844670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4464320"/>
        <c:axId val="-1984465952"/>
      </c:barChart>
      <c:catAx>
        <c:axId val="-198446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4467040"/>
        <c:crosses val="autoZero"/>
        <c:auto val="1"/>
        <c:lblAlgn val="ctr"/>
        <c:lblOffset val="100"/>
        <c:noMultiLvlLbl val="0"/>
      </c:catAx>
      <c:valAx>
        <c:axId val="-19844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4463776"/>
        <c:crosses val="autoZero"/>
        <c:crossBetween val="between"/>
      </c:valAx>
      <c:valAx>
        <c:axId val="-1984465952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984464320"/>
        <c:crosses val="max"/>
        <c:crossBetween val="between"/>
      </c:valAx>
      <c:catAx>
        <c:axId val="-198446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4465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744141968"/>
        <c:axId val="-17441403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4139792"/>
        <c:axId val="-1744138160"/>
      </c:barChart>
      <c:catAx>
        <c:axId val="-17441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40336"/>
        <c:crosses val="autoZero"/>
        <c:auto val="1"/>
        <c:lblAlgn val="ctr"/>
        <c:lblOffset val="100"/>
        <c:noMultiLvlLbl val="0"/>
      </c:catAx>
      <c:valAx>
        <c:axId val="-17441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41968"/>
        <c:crosses val="autoZero"/>
        <c:crossBetween val="between"/>
      </c:valAx>
      <c:valAx>
        <c:axId val="-1744138160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744139792"/>
        <c:crosses val="max"/>
        <c:crossBetween val="between"/>
      </c:valAx>
      <c:catAx>
        <c:axId val="-1744139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4138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744135984"/>
        <c:axId val="-17441425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216479216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2979808"/>
        <c:axId val="-1632983616"/>
      </c:barChart>
      <c:catAx>
        <c:axId val="-174413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42512"/>
        <c:crosses val="autoZero"/>
        <c:auto val="1"/>
        <c:lblAlgn val="ctr"/>
        <c:lblOffset val="100"/>
        <c:noMultiLvlLbl val="0"/>
      </c:catAx>
      <c:valAx>
        <c:axId val="-17441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35984"/>
        <c:crosses val="autoZero"/>
        <c:crossBetween val="between"/>
      </c:valAx>
      <c:valAx>
        <c:axId val="-163298361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632979808"/>
        <c:crosses val="max"/>
        <c:crossBetween val="between"/>
      </c:valAx>
      <c:catAx>
        <c:axId val="-163297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29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2978720"/>
        <c:axId val="-16329808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84308.000000000015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2984704"/>
        <c:axId val="-1632979264"/>
      </c:barChart>
      <c:catAx>
        <c:axId val="-163297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0896"/>
        <c:crosses val="autoZero"/>
        <c:auto val="1"/>
        <c:lblAlgn val="ctr"/>
        <c:lblOffset val="100"/>
        <c:noMultiLvlLbl val="0"/>
      </c:catAx>
      <c:valAx>
        <c:axId val="-16329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78720"/>
        <c:crosses val="autoZero"/>
        <c:crossBetween val="between"/>
      </c:valAx>
      <c:valAx>
        <c:axId val="-1632979264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632984704"/>
        <c:crosses val="max"/>
        <c:crossBetween val="between"/>
      </c:valAx>
      <c:catAx>
        <c:axId val="-163298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2979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6191792"/>
        <c:axId val="-12619614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197776"/>
        <c:axId val="-126195600"/>
      </c:barChart>
      <c:catAx>
        <c:axId val="-1261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6144"/>
        <c:crosses val="autoZero"/>
        <c:auto val="1"/>
        <c:lblAlgn val="ctr"/>
        <c:lblOffset val="100"/>
        <c:noMultiLvlLbl val="0"/>
      </c:catAx>
      <c:valAx>
        <c:axId val="-12619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1792"/>
        <c:crosses val="autoZero"/>
        <c:crossBetween val="between"/>
      </c:valAx>
      <c:valAx>
        <c:axId val="-12619560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26197776"/>
        <c:crosses val="max"/>
        <c:crossBetween val="between"/>
      </c:valAx>
      <c:catAx>
        <c:axId val="-126197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195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6196688"/>
        <c:axId val="-1261972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192880"/>
        <c:axId val="-126195056"/>
      </c:barChart>
      <c:catAx>
        <c:axId val="-12619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7232"/>
        <c:crosses val="autoZero"/>
        <c:auto val="1"/>
        <c:lblAlgn val="ctr"/>
        <c:lblOffset val="100"/>
        <c:noMultiLvlLbl val="0"/>
      </c:catAx>
      <c:valAx>
        <c:axId val="-1261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6688"/>
        <c:crosses val="autoZero"/>
        <c:crossBetween val="between"/>
      </c:valAx>
      <c:valAx>
        <c:axId val="-126195056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26192880"/>
        <c:crosses val="max"/>
        <c:crossBetween val="between"/>
      </c:valAx>
      <c:catAx>
        <c:axId val="-126192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6195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6194512"/>
        <c:axId val="-126193968"/>
      </c:barChart>
      <c:catAx>
        <c:axId val="-12619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3968"/>
        <c:crosses val="autoZero"/>
        <c:auto val="1"/>
        <c:lblAlgn val="ctr"/>
        <c:lblOffset val="100"/>
        <c:noMultiLvlLbl val="0"/>
      </c:catAx>
      <c:valAx>
        <c:axId val="-126193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26193424"/>
        <c:axId val="-126192336"/>
      </c:barChart>
      <c:catAx>
        <c:axId val="-12619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2336"/>
        <c:crosses val="autoZero"/>
        <c:auto val="1"/>
        <c:lblAlgn val="ctr"/>
        <c:lblOffset val="100"/>
        <c:noMultiLvlLbl val="0"/>
      </c:catAx>
      <c:valAx>
        <c:axId val="-126192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26191248"/>
        <c:axId val="-12619070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07056"/>
        <c:axId val="-1854302160"/>
      </c:barChart>
      <c:catAx>
        <c:axId val="-12619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0704"/>
        <c:crosses val="autoZero"/>
        <c:auto val="1"/>
        <c:lblAlgn val="ctr"/>
        <c:lblOffset val="100"/>
        <c:noMultiLvlLbl val="0"/>
      </c:catAx>
      <c:valAx>
        <c:axId val="-12619070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191248"/>
        <c:crosses val="autoZero"/>
        <c:crossBetween val="between"/>
      </c:valAx>
      <c:valAx>
        <c:axId val="-185430216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854307056"/>
        <c:crosses val="max"/>
        <c:crossBetween val="between"/>
      </c:valAx>
      <c:catAx>
        <c:axId val="-185430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0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54305968"/>
        <c:axId val="-1854307600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08144"/>
        <c:axId val="-1854303792"/>
      </c:barChart>
      <c:catAx>
        <c:axId val="-185430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07600"/>
        <c:crosses val="autoZero"/>
        <c:auto val="1"/>
        <c:lblAlgn val="ctr"/>
        <c:lblOffset val="100"/>
        <c:noMultiLvlLbl val="0"/>
      </c:catAx>
      <c:valAx>
        <c:axId val="-1854307600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05968"/>
        <c:crosses val="autoZero"/>
        <c:crossBetween val="between"/>
      </c:valAx>
      <c:valAx>
        <c:axId val="-1854303792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54308144"/>
        <c:crosses val="max"/>
        <c:crossBetween val="between"/>
      </c:valAx>
      <c:catAx>
        <c:axId val="-185430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03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54303248"/>
        <c:axId val="-1854306512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05424"/>
        <c:axId val="-1854308688"/>
      </c:barChart>
      <c:catAx>
        <c:axId val="-185430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06512"/>
        <c:crosses val="autoZero"/>
        <c:auto val="1"/>
        <c:lblAlgn val="ctr"/>
        <c:lblOffset val="100"/>
        <c:noMultiLvlLbl val="0"/>
      </c:catAx>
      <c:valAx>
        <c:axId val="-18543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03248"/>
        <c:crosses val="autoZero"/>
        <c:crossBetween val="between"/>
      </c:valAx>
      <c:valAx>
        <c:axId val="-1854308688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854305424"/>
        <c:crosses val="max"/>
        <c:crossBetween val="between"/>
      </c:valAx>
      <c:catAx>
        <c:axId val="-185430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0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54304880"/>
        <c:axId val="-185430161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04336"/>
        <c:axId val="-1854302704"/>
      </c:barChart>
      <c:catAx>
        <c:axId val="-185430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01616"/>
        <c:crosses val="autoZero"/>
        <c:auto val="1"/>
        <c:lblAlgn val="ctr"/>
        <c:lblOffset val="100"/>
        <c:noMultiLvlLbl val="0"/>
      </c:catAx>
      <c:valAx>
        <c:axId val="-1854301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04880"/>
        <c:crosses val="autoZero"/>
        <c:crossBetween val="between"/>
      </c:valAx>
      <c:valAx>
        <c:axId val="-1854302704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54304336"/>
        <c:crosses val="max"/>
        <c:crossBetween val="between"/>
      </c:valAx>
      <c:catAx>
        <c:axId val="-1854304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0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400713632"/>
        <c:axId val="-40071526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0714720"/>
        <c:axId val="-400719072"/>
      </c:barChart>
      <c:catAx>
        <c:axId val="-4007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5264"/>
        <c:crosses val="autoZero"/>
        <c:auto val="1"/>
        <c:lblAlgn val="ctr"/>
        <c:lblOffset val="100"/>
        <c:noMultiLvlLbl val="0"/>
      </c:catAx>
      <c:valAx>
        <c:axId val="-400715264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3632"/>
        <c:crosses val="autoZero"/>
        <c:crossBetween val="between"/>
      </c:valAx>
      <c:valAx>
        <c:axId val="-40071907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400714720"/>
        <c:crosses val="max"/>
        <c:crossBetween val="between"/>
      </c:valAx>
      <c:catAx>
        <c:axId val="-40071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00719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400708192"/>
        <c:axId val="-40071036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0714176"/>
        <c:axId val="-400717440"/>
      </c:barChart>
      <c:catAx>
        <c:axId val="-40070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0368"/>
        <c:crosses val="autoZero"/>
        <c:auto val="1"/>
        <c:lblAlgn val="ctr"/>
        <c:lblOffset val="100"/>
        <c:noMultiLvlLbl val="0"/>
      </c:catAx>
      <c:valAx>
        <c:axId val="-400710368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08192"/>
        <c:crosses val="autoZero"/>
        <c:crossBetween val="between"/>
      </c:valAx>
      <c:valAx>
        <c:axId val="-400717440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400714176"/>
        <c:crosses val="max"/>
        <c:crossBetween val="between"/>
      </c:valAx>
      <c:catAx>
        <c:axId val="-40071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00717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[KIDS]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354688.12538633024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400712544"/>
        <c:axId val="-40071091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146115.793493</c:v>
                </c:pt>
                <c:pt idx="1">
                  <c:v>116245.57551000001</c:v>
                </c:pt>
                <c:pt idx="2">
                  <c:v>166621.43036999996</c:v>
                </c:pt>
                <c:pt idx="3">
                  <c:v>428982.79937299999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0712000"/>
        <c:axId val="-400718528"/>
      </c:barChart>
      <c:catAx>
        <c:axId val="-40071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0912"/>
        <c:crosses val="autoZero"/>
        <c:auto val="1"/>
        <c:lblAlgn val="ctr"/>
        <c:lblOffset val="100"/>
        <c:noMultiLvlLbl val="0"/>
      </c:catAx>
      <c:valAx>
        <c:axId val="-400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2544"/>
        <c:crosses val="autoZero"/>
        <c:crossBetween val="between"/>
      </c:valAx>
      <c:valAx>
        <c:axId val="-400718528"/>
        <c:scaling>
          <c:orientation val="minMax"/>
          <c:max val="6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2000"/>
        <c:crosses val="max"/>
        <c:crossBetween val="between"/>
      </c:valAx>
      <c:catAx>
        <c:axId val="-400712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00718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'2018-Q1 graphs'!#REF!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400711456"/>
        <c:axId val="-400707648"/>
      </c:barChart>
      <c:barChart>
        <c:barDir val="col"/>
        <c:grouping val="clustered"/>
        <c:varyColors val="0"/>
        <c:ser>
          <c:idx val="1"/>
          <c:order val="1"/>
          <c:tx>
            <c:strRef>
              <c:f>'2018-Q1 graphs'!#REF!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00707104"/>
        <c:axId val="-400706016"/>
      </c:barChart>
      <c:catAx>
        <c:axId val="-40071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07648"/>
        <c:crosses val="autoZero"/>
        <c:auto val="1"/>
        <c:lblAlgn val="ctr"/>
        <c:lblOffset val="100"/>
        <c:noMultiLvlLbl val="0"/>
      </c:catAx>
      <c:valAx>
        <c:axId val="-400707648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11456"/>
        <c:crosses val="autoZero"/>
        <c:crossBetween val="between"/>
      </c:valAx>
      <c:valAx>
        <c:axId val="-4007060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00707104"/>
        <c:crosses val="max"/>
        <c:crossBetween val="between"/>
      </c:valAx>
      <c:catAx>
        <c:axId val="-400707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00706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5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5</xdr:row>
      <xdr:rowOff>0</xdr:rowOff>
    </xdr:from>
    <xdr:to>
      <xdr:col>40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5</xdr:row>
      <xdr:rowOff>0</xdr:rowOff>
    </xdr:from>
    <xdr:to>
      <xdr:col>60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0</xdr:colOff>
      <xdr:row>30</xdr:row>
      <xdr:rowOff>0</xdr:rowOff>
    </xdr:from>
    <xdr:to>
      <xdr:col>31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40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0</xdr:colOff>
      <xdr:row>30</xdr:row>
      <xdr:rowOff>0</xdr:rowOff>
    </xdr:from>
    <xdr:to>
      <xdr:col>51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0</xdr:colOff>
      <xdr:row>30</xdr:row>
      <xdr:rowOff>0</xdr:rowOff>
    </xdr:from>
    <xdr:to>
      <xdr:col>60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31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55</xdr:row>
      <xdr:rowOff>0</xdr:rowOff>
    </xdr:from>
    <xdr:to>
      <xdr:col>40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0</xdr:colOff>
      <xdr:row>55</xdr:row>
      <xdr:rowOff>0</xdr:rowOff>
    </xdr:from>
    <xdr:to>
      <xdr:col>51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0</xdr:colOff>
      <xdr:row>55</xdr:row>
      <xdr:rowOff>0</xdr:rowOff>
    </xdr:from>
    <xdr:to>
      <xdr:col>60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8" t="s">
        <v>141</v>
      </c>
      <c r="AC1" s="713"/>
    </row>
    <row r="2" spans="2:29">
      <c r="B2" s="750">
        <v>5</v>
      </c>
      <c r="C2" s="749">
        <v>2018</v>
      </c>
      <c r="F2" s="826" t="s">
        <v>141</v>
      </c>
      <c r="G2" s="827"/>
      <c r="H2" s="827"/>
      <c r="I2" s="827"/>
      <c r="J2" s="827"/>
      <c r="K2" s="827"/>
      <c r="L2" s="828"/>
      <c r="N2" s="826" t="s">
        <v>145</v>
      </c>
      <c r="O2" s="827"/>
      <c r="P2" s="827"/>
      <c r="Q2" s="827"/>
      <c r="R2" s="827"/>
      <c r="S2" s="827"/>
      <c r="T2" s="828"/>
      <c r="V2" s="829" t="s">
        <v>146</v>
      </c>
      <c r="W2" s="829"/>
      <c r="X2" s="829"/>
      <c r="Y2" s="829"/>
      <c r="Z2" s="829"/>
      <c r="AA2" s="830"/>
      <c r="AC2" s="713"/>
    </row>
    <row r="3" spans="2:29">
      <c r="F3" s="803" t="s">
        <v>26</v>
      </c>
      <c r="G3" s="804" t="s">
        <v>81</v>
      </c>
      <c r="H3" s="805" t="s">
        <v>149</v>
      </c>
      <c r="I3" s="804" t="s">
        <v>25</v>
      </c>
      <c r="J3" s="805" t="s">
        <v>142</v>
      </c>
      <c r="K3" s="804" t="s">
        <v>143</v>
      </c>
      <c r="L3" s="805" t="s">
        <v>144</v>
      </c>
      <c r="N3" s="803" t="s">
        <v>26</v>
      </c>
      <c r="O3" s="804" t="s">
        <v>81</v>
      </c>
      <c r="P3" s="805" t="s">
        <v>149</v>
      </c>
      <c r="Q3" s="804" t="s">
        <v>25</v>
      </c>
      <c r="R3" s="805" t="s">
        <v>142</v>
      </c>
      <c r="S3" s="804" t="s">
        <v>143</v>
      </c>
      <c r="T3" s="805" t="s">
        <v>144</v>
      </c>
      <c r="V3" s="803" t="s">
        <v>26</v>
      </c>
      <c r="W3" s="804" t="s">
        <v>81</v>
      </c>
      <c r="X3" s="805" t="s">
        <v>149</v>
      </c>
      <c r="Y3" s="804" t="s">
        <v>25</v>
      </c>
      <c r="Z3" s="805" t="s">
        <v>142</v>
      </c>
      <c r="AA3" s="803" t="s">
        <v>150</v>
      </c>
      <c r="AC3" s="713"/>
    </row>
    <row r="4" spans="2:29">
      <c r="C4" s="553" t="s">
        <v>128</v>
      </c>
      <c r="AC4" s="713"/>
    </row>
    <row r="5" spans="2:29">
      <c r="D5" s="751" t="s">
        <v>135</v>
      </c>
      <c r="E5" s="777"/>
      <c r="F5" s="768">
        <f>SUM(F6:F9)</f>
        <v>382814.50000000012</v>
      </c>
      <c r="G5" s="778">
        <f>SUM(G6:G9)</f>
        <v>165512.49977376132</v>
      </c>
      <c r="H5" s="779">
        <f>IFERROR($F5/G5,0)</f>
        <v>2.312903862386638</v>
      </c>
      <c r="I5" s="778">
        <f>SUM(I6:I9)</f>
        <v>211359.43208163226</v>
      </c>
      <c r="J5" s="779">
        <f>IFERROR($F5/I5,0)</f>
        <v>1.8112014033617749</v>
      </c>
      <c r="K5" s="778">
        <f>SUM(K6:K9)</f>
        <v>46701.466194999994</v>
      </c>
      <c r="L5" s="779">
        <f>IFERROR($F5/K5,0)</f>
        <v>8.1970552787695006</v>
      </c>
      <c r="N5" s="768">
        <f>SUM(N6:N9)</f>
        <v>1169012.2244950002</v>
      </c>
      <c r="O5" s="778">
        <f>SUM(O6:O9)</f>
        <v>713765.07330774236</v>
      </c>
      <c r="P5" s="779">
        <f>IFERROR($N5/O5,0)</f>
        <v>1.637810910356742</v>
      </c>
      <c r="Q5" s="778">
        <f>SUM(Q6:Q9)</f>
        <v>911477.86868206714</v>
      </c>
      <c r="R5" s="779">
        <f>IFERROR($N5/Q5,0)</f>
        <v>1.2825459231229712</v>
      </c>
      <c r="S5" s="778">
        <f>SUM(S6:S9)</f>
        <v>211951.32243500001</v>
      </c>
      <c r="T5" s="779">
        <f>IFERROR($N5/S5,0)</f>
        <v>5.5154750207020102</v>
      </c>
      <c r="V5" s="778">
        <f>SUM(V6:V9)</f>
        <v>1169012.2244950002</v>
      </c>
      <c r="W5" s="778">
        <f>SUM(W6:W9)</f>
        <v>2028822.3183935368</v>
      </c>
      <c r="X5" s="779">
        <f t="shared" ref="X5:X28" si="0">IFERROR(V5/W5,0)</f>
        <v>0.57620236818995962</v>
      </c>
      <c r="Y5" s="778">
        <f>SUM(Y6:Y9)</f>
        <v>2542461.1908162641</v>
      </c>
      <c r="Z5" s="779">
        <f t="shared" ref="Z5:Z28" si="1">IFERROR(V5/Y5,0)</f>
        <v>0.45979550394619223</v>
      </c>
      <c r="AA5" s="784">
        <f t="shared" ref="AA5:AA28" si="2">IFERROR(W5/Y5,0)</f>
        <v>0.79797572750448864</v>
      </c>
      <c r="AC5" s="713"/>
    </row>
    <row r="6" spans="2:29" hidden="1">
      <c r="D6" s="753"/>
      <c r="E6" s="681"/>
      <c r="F6" s="771"/>
      <c r="G6" s="773"/>
      <c r="H6" s="774"/>
      <c r="I6" s="773"/>
      <c r="J6" s="774"/>
      <c r="K6" s="773"/>
      <c r="L6" s="774"/>
      <c r="N6" s="771"/>
      <c r="O6" s="773"/>
      <c r="P6" s="774"/>
      <c r="Q6" s="773"/>
      <c r="R6" s="774"/>
      <c r="S6" s="773"/>
      <c r="T6" s="774"/>
      <c r="V6" s="773"/>
      <c r="W6" s="773"/>
      <c r="X6" s="774"/>
      <c r="Y6" s="773"/>
      <c r="Z6" s="774"/>
      <c r="AA6" s="782"/>
      <c r="AC6" s="713"/>
    </row>
    <row r="7" spans="2:29" hidden="1">
      <c r="D7" s="753"/>
      <c r="E7" s="681"/>
      <c r="F7" s="771"/>
      <c r="G7" s="773"/>
      <c r="H7" s="774"/>
      <c r="I7" s="773"/>
      <c r="J7" s="774"/>
      <c r="K7" s="773"/>
      <c r="L7" s="774"/>
      <c r="N7" s="771"/>
      <c r="O7" s="773"/>
      <c r="P7" s="774"/>
      <c r="Q7" s="773"/>
      <c r="R7" s="774"/>
      <c r="S7" s="773"/>
      <c r="T7" s="774"/>
      <c r="V7" s="773"/>
      <c r="W7" s="773"/>
      <c r="X7" s="774"/>
      <c r="Y7" s="773"/>
      <c r="Z7" s="774"/>
      <c r="AA7" s="782"/>
      <c r="AC7" s="713"/>
    </row>
    <row r="8" spans="2:29">
      <c r="D8" s="753" t="s">
        <v>147</v>
      </c>
      <c r="E8" s="681" t="s">
        <v>70</v>
      </c>
      <c r="F8" s="771">
        <f>VLOOKUP($E8,RS_VN_Actual_YT,$B$2+1,0)</f>
        <v>206786.54000000004</v>
      </c>
      <c r="G8" s="773">
        <f>VLOOKUP($E8,RS_VN_Target_YT,$B$2+1,0)</f>
        <v>148441.64822180182</v>
      </c>
      <c r="H8" s="774">
        <f t="shared" ref="H7:J9" si="3">IFERROR($F8/G8,0)</f>
        <v>1.3930493394348409</v>
      </c>
      <c r="I8" s="773">
        <f>VLOOKUP($E8,RS_VN_Forecast_YT,$B$2+1,0)</f>
        <v>193963.98069846816</v>
      </c>
      <c r="J8" s="774">
        <f t="shared" si="3"/>
        <v>1.0661079405328637</v>
      </c>
      <c r="K8" s="773">
        <f>VLOOKUP($E8,PAST_VN_Actual_YT_2017,$B$2+1,0)</f>
        <v>37888.326292999991</v>
      </c>
      <c r="L8" s="774">
        <f t="shared" ref="L8" si="4">IFERROR($F8/K8,0)</f>
        <v>5.4577903072536786</v>
      </c>
      <c r="N8" s="771">
        <f>SUMPRODUCT('Revenue Summary'!AS6:BD6,'Revenue Summary'!$AS$8:$BD$8)</f>
        <v>803762.41937300004</v>
      </c>
      <c r="O8" s="773">
        <f>SUMPRODUCT('Revenue Summary'!E6:P6,'Revenue Summary'!$E$8:$P$8)</f>
        <v>640147.80798902002</v>
      </c>
      <c r="P8" s="774">
        <f t="shared" ref="P6:P9" si="5">IFERROR($N8/O8,0)</f>
        <v>1.2555888020580184</v>
      </c>
      <c r="Q8" s="773">
        <f>SUMPRODUCT('Revenue Summary'!Y6:AJ6,'Revenue Summary'!$Y$8:$AJ$8)</f>
        <v>836460.78146087739</v>
      </c>
      <c r="R8" s="774">
        <f t="shared" ref="R6:R9" si="6">IFERROR($N8/Q8,0)</f>
        <v>0.9609086728121673</v>
      </c>
      <c r="S8" s="773">
        <f>SUMPRODUCT('Past data'!E6:P6,'Past data'!$E$8:$P$8)</f>
        <v>171926.479831</v>
      </c>
      <c r="T8" s="774">
        <f t="shared" ref="T6:T9" si="7">IFERROR($N8/S8,0)</f>
        <v>4.6750356324580196</v>
      </c>
      <c r="V8" s="773">
        <f t="shared" ref="V6:V9" si="8">N8</f>
        <v>803762.41937300004</v>
      </c>
      <c r="W8" s="773">
        <f>'Revenue Summary'!Q6</f>
        <v>1819570.9043315225</v>
      </c>
      <c r="X8" s="774">
        <f t="shared" si="0"/>
        <v>0.44173184867906418</v>
      </c>
      <c r="Y8" s="773">
        <f>'Revenue Summary'!AK6</f>
        <v>2333209.7767542498</v>
      </c>
      <c r="Z8" s="774">
        <f t="shared" si="1"/>
        <v>0.34448784990568726</v>
      </c>
      <c r="AA8" s="782">
        <f t="shared" si="2"/>
        <v>0.77985739750445626</v>
      </c>
      <c r="AC8" s="713"/>
    </row>
    <row r="9" spans="2:29">
      <c r="D9" s="755" t="s">
        <v>147</v>
      </c>
      <c r="E9" s="780" t="s">
        <v>71</v>
      </c>
      <c r="F9" s="772">
        <f>VLOOKUP($E9,RS_VN_Actual_YT,$B$2+1,0)</f>
        <v>176027.96000000005</v>
      </c>
      <c r="G9" s="775">
        <f>VLOOKUP($E9,RS_VN_Target_YT,$B$2+1,0)</f>
        <v>17070.851551959495</v>
      </c>
      <c r="H9" s="776">
        <f t="shared" si="3"/>
        <v>10.31160979077195</v>
      </c>
      <c r="I9" s="775">
        <f>VLOOKUP($E9,RS_VN_Forecast_YT,$B$2+1,0)</f>
        <v>17395.451383164098</v>
      </c>
      <c r="J9" s="776">
        <f t="shared" si="3"/>
        <v>10.119194732156581</v>
      </c>
      <c r="K9" s="775">
        <f>VLOOKUP($E9,PAST_VN_Actual_YT_2017,$B$2+1,0)</f>
        <v>8813.1399020000008</v>
      </c>
      <c r="L9" s="776">
        <f t="shared" ref="L9" si="9">IFERROR($F9/K9,0)</f>
        <v>19.973353646644522</v>
      </c>
      <c r="N9" s="772">
        <f>SUMPRODUCT('Revenue Summary'!AS7:BD7,'Revenue Summary'!$AS$8:$BD$8)</f>
        <v>365249.80512200005</v>
      </c>
      <c r="O9" s="775">
        <f>SUMPRODUCT('Revenue Summary'!E7:P7,'Revenue Summary'!$E$8:$P$8)</f>
        <v>73617.265318722333</v>
      </c>
      <c r="P9" s="776">
        <f t="shared" si="5"/>
        <v>4.961469344734132</v>
      </c>
      <c r="Q9" s="775">
        <f>SUMPRODUCT('Revenue Summary'!Y7:AJ7,'Revenue Summary'!$Y$8:$AJ$8)</f>
        <v>75017.087221189693</v>
      </c>
      <c r="R9" s="776">
        <f t="shared" si="6"/>
        <v>4.8688881247155358</v>
      </c>
      <c r="S9" s="775">
        <f>SUMPRODUCT('Past data'!E7:P7,'Past data'!$E$8:$P$8)</f>
        <v>40024.842604000005</v>
      </c>
      <c r="T9" s="776">
        <f t="shared" si="7"/>
        <v>9.1255775503161551</v>
      </c>
      <c r="V9" s="775">
        <f t="shared" si="8"/>
        <v>365249.80512200005</v>
      </c>
      <c r="W9" s="775">
        <f>'Revenue Summary'!Q7</f>
        <v>209251.41406201432</v>
      </c>
      <c r="X9" s="776">
        <f t="shared" si="0"/>
        <v>1.7455069862216255</v>
      </c>
      <c r="Y9" s="775">
        <f>'Revenue Summary'!AK7</f>
        <v>209251.41406201434</v>
      </c>
      <c r="Z9" s="776">
        <f t="shared" si="1"/>
        <v>1.745506986221625</v>
      </c>
      <c r="AA9" s="783">
        <f t="shared" si="2"/>
        <v>0.99999999999999989</v>
      </c>
      <c r="AC9" s="713"/>
    </row>
    <row r="10" spans="2:29">
      <c r="AC10" s="713"/>
    </row>
    <row r="11" spans="2:29" hidden="1">
      <c r="D11" s="751"/>
      <c r="E11" s="777"/>
      <c r="F11" s="768"/>
      <c r="G11" s="778"/>
      <c r="H11" s="779"/>
      <c r="I11" s="778"/>
      <c r="J11" s="779"/>
      <c r="K11" s="778"/>
      <c r="L11" s="779"/>
      <c r="N11" s="768"/>
      <c r="O11" s="778"/>
      <c r="P11" s="779"/>
      <c r="Q11" s="778"/>
      <c r="R11" s="779"/>
      <c r="S11" s="778"/>
      <c r="T11" s="779"/>
      <c r="V11" s="778"/>
      <c r="W11" s="778"/>
      <c r="X11" s="779"/>
      <c r="Y11" s="778"/>
      <c r="Z11" s="779"/>
      <c r="AA11" s="779"/>
      <c r="AC11" s="713"/>
    </row>
    <row r="12" spans="2:29" hidden="1">
      <c r="C12" s="677"/>
      <c r="D12" s="755"/>
      <c r="E12" s="780"/>
      <c r="F12" s="772"/>
      <c r="G12" s="775"/>
      <c r="H12" s="776"/>
      <c r="I12" s="775"/>
      <c r="J12" s="776"/>
      <c r="K12" s="775"/>
      <c r="L12" s="776"/>
      <c r="N12" s="772"/>
      <c r="O12" s="775"/>
      <c r="P12" s="776"/>
      <c r="Q12" s="775"/>
      <c r="R12" s="776"/>
      <c r="S12" s="775"/>
      <c r="T12" s="776"/>
      <c r="V12" s="775"/>
      <c r="W12" s="775"/>
      <c r="X12" s="776"/>
      <c r="Y12" s="775"/>
      <c r="Z12" s="776"/>
      <c r="AA12" s="776"/>
      <c r="AC12" s="713"/>
    </row>
    <row r="13" spans="2:29" hidden="1">
      <c r="AC13" s="713"/>
    </row>
    <row r="14" spans="2:29">
      <c r="D14" s="751" t="s">
        <v>137</v>
      </c>
      <c r="E14" s="777"/>
      <c r="F14" s="768">
        <f>SUM(F15:F18)</f>
        <v>0</v>
      </c>
      <c r="G14" s="778">
        <f>SUM(G15:G18)</f>
        <v>67916.666666666672</v>
      </c>
      <c r="H14" s="779">
        <f>IFERROR($F14/G14,0)</f>
        <v>0</v>
      </c>
      <c r="I14" s="778">
        <f>SUM(I15:I18)</f>
        <v>67916.666666666672</v>
      </c>
      <c r="J14" s="779">
        <f>IFERROR($F14/I14,0)</f>
        <v>0</v>
      </c>
      <c r="K14" s="778">
        <f>SUM(K15:K18)</f>
        <v>0</v>
      </c>
      <c r="L14" s="779">
        <f>IFERROR($F14/K14,0)</f>
        <v>0</v>
      </c>
      <c r="N14" s="768">
        <f>SUM(N15:N18)</f>
        <v>10310.400000000001</v>
      </c>
      <c r="O14" s="778">
        <f>SUM(O15:O18)</f>
        <v>339583.33333333337</v>
      </c>
      <c r="P14" s="779">
        <f>IFERROR($N14/O14,0)</f>
        <v>3.0361914110429447E-2</v>
      </c>
      <c r="Q14" s="778">
        <f>SUM(Q15:Q18)</f>
        <v>339583.33333333337</v>
      </c>
      <c r="R14" s="779">
        <f>IFERROR($N14/Q14,0)</f>
        <v>3.0361914110429447E-2</v>
      </c>
      <c r="S14" s="778">
        <f>SUM(S15:S18)</f>
        <v>0</v>
      </c>
      <c r="T14" s="779">
        <f>IFERROR($N14/S14,0)</f>
        <v>0</v>
      </c>
      <c r="V14" s="778">
        <f>SUM(V15:V18)</f>
        <v>10310.400000000001</v>
      </c>
      <c r="W14" s="778">
        <f>SUM(W15:W18)</f>
        <v>814999.99999999988</v>
      </c>
      <c r="X14" s="779">
        <f t="shared" si="0"/>
        <v>1.2650797546012274E-2</v>
      </c>
      <c r="Y14" s="778">
        <f>SUM(Y15:Y18)</f>
        <v>814999.99999999988</v>
      </c>
      <c r="Z14" s="779">
        <f t="shared" si="1"/>
        <v>1.2650797546012274E-2</v>
      </c>
      <c r="AA14" s="784">
        <f t="shared" si="2"/>
        <v>1</v>
      </c>
      <c r="AC14" s="713"/>
    </row>
    <row r="15" spans="2:29" hidden="1">
      <c r="D15" s="753"/>
      <c r="E15" s="681"/>
      <c r="F15" s="771"/>
      <c r="G15" s="773"/>
      <c r="H15" s="774"/>
      <c r="I15" s="773"/>
      <c r="J15" s="774"/>
      <c r="K15" s="773"/>
      <c r="L15" s="774"/>
      <c r="N15" s="771"/>
      <c r="O15" s="773"/>
      <c r="P15" s="774"/>
      <c r="Q15" s="773"/>
      <c r="R15" s="774"/>
      <c r="S15" s="773"/>
      <c r="T15" s="774"/>
      <c r="V15" s="773"/>
      <c r="W15" s="773"/>
      <c r="X15" s="774"/>
      <c r="Y15" s="773"/>
      <c r="Z15" s="774"/>
      <c r="AA15" s="782"/>
      <c r="AC15" s="713"/>
    </row>
    <row r="16" spans="2:29" hidden="1">
      <c r="D16" s="753"/>
      <c r="E16" s="681"/>
      <c r="F16" s="771"/>
      <c r="G16" s="773"/>
      <c r="H16" s="774"/>
      <c r="I16" s="773"/>
      <c r="J16" s="774"/>
      <c r="K16" s="773"/>
      <c r="L16" s="774"/>
      <c r="N16" s="771"/>
      <c r="O16" s="773"/>
      <c r="P16" s="774"/>
      <c r="Q16" s="773"/>
      <c r="R16" s="774"/>
      <c r="S16" s="773"/>
      <c r="T16" s="774"/>
      <c r="V16" s="773"/>
      <c r="W16" s="773"/>
      <c r="X16" s="774"/>
      <c r="Y16" s="773"/>
      <c r="Z16" s="774"/>
      <c r="AA16" s="782"/>
      <c r="AC16" s="713"/>
    </row>
    <row r="17" spans="1:29" s="817" customFormat="1">
      <c r="D17" s="755" t="s">
        <v>148</v>
      </c>
      <c r="E17" s="780" t="s">
        <v>70</v>
      </c>
      <c r="F17" s="772">
        <f>VLOOKUP($E17,RS_VN_Actual_BD,$B$2+1,0)</f>
        <v>0</v>
      </c>
      <c r="G17" s="775">
        <f>VLOOKUP($E17,RS_VN_Target_BD,$B$2+1,0)</f>
        <v>67916.666666666672</v>
      </c>
      <c r="H17" s="776">
        <f t="shared" ref="H17" si="10">IFERROR($F17/G17,0)</f>
        <v>0</v>
      </c>
      <c r="I17" s="775">
        <f>VLOOKUP($E17,RS_VN_Forecast_BD,$B$2+1,0)</f>
        <v>67916.666666666672</v>
      </c>
      <c r="J17" s="776">
        <f t="shared" ref="J17" si="11">IFERROR($F17/I17,0)</f>
        <v>0</v>
      </c>
      <c r="K17" s="775">
        <f>VLOOKUP($E17,PAST_VN_Actual_BD_2017,$B$2+1,0)</f>
        <v>0</v>
      </c>
      <c r="L17" s="776">
        <f t="shared" ref="L17" si="12">IFERROR($F17/K17,0)</f>
        <v>0</v>
      </c>
      <c r="N17" s="772">
        <f>SUMPRODUCT('Revenue Summary'!AS15:BD15,'Revenue Summary'!$AS$8:$BD$8)</f>
        <v>10310.400000000001</v>
      </c>
      <c r="O17" s="775">
        <f>SUMPRODUCT('Revenue Summary'!E15:P15,'Revenue Summary'!$E$8:$P$8)</f>
        <v>339583.33333333337</v>
      </c>
      <c r="P17" s="776">
        <f t="shared" ref="P15:P18" si="13">IFERROR($N17/O17,0)</f>
        <v>3.0361914110429447E-2</v>
      </c>
      <c r="Q17" s="775">
        <f>SUMPRODUCT('Revenue Summary'!Y15:AJ15,'Revenue Summary'!$Y$8:$AJ$8)</f>
        <v>339583.33333333337</v>
      </c>
      <c r="R17" s="776">
        <f t="shared" ref="R15:R18" si="14">IFERROR($N17/Q17,0)</f>
        <v>3.0361914110429447E-2</v>
      </c>
      <c r="S17" s="775">
        <f>SUMPRODUCT('Past data'!E15:P15,'Past data'!$E$8:$P$8)</f>
        <v>0</v>
      </c>
      <c r="T17" s="776">
        <f t="shared" ref="T15:T18" si="15">IFERROR($N17/S17,0)</f>
        <v>0</v>
      </c>
      <c r="V17" s="775">
        <f t="shared" ref="V15:V18" si="16">N17</f>
        <v>10310.400000000001</v>
      </c>
      <c r="W17" s="775">
        <f>'Revenue Summary'!Q15</f>
        <v>814999.99999999988</v>
      </c>
      <c r="X17" s="776">
        <f t="shared" si="0"/>
        <v>1.2650797546012274E-2</v>
      </c>
      <c r="Y17" s="775">
        <f>'Revenue Summary'!AK15</f>
        <v>814999.99999999988</v>
      </c>
      <c r="Z17" s="776">
        <f t="shared" si="1"/>
        <v>1.2650797546012274E-2</v>
      </c>
      <c r="AA17" s="783">
        <f t="shared" si="2"/>
        <v>1</v>
      </c>
      <c r="AC17" s="713"/>
    </row>
    <row r="18" spans="1:29" hidden="1">
      <c r="D18" s="755"/>
      <c r="E18" s="780"/>
      <c r="F18" s="772"/>
      <c r="G18" s="775"/>
      <c r="H18" s="776"/>
      <c r="I18" s="775"/>
      <c r="J18" s="776"/>
      <c r="K18" s="775"/>
      <c r="L18" s="776"/>
      <c r="N18" s="772"/>
      <c r="O18" s="775"/>
      <c r="P18" s="776"/>
      <c r="Q18" s="775"/>
      <c r="R18" s="776"/>
      <c r="S18" s="775"/>
      <c r="T18" s="776"/>
      <c r="V18" s="775"/>
      <c r="W18" s="775"/>
      <c r="X18" s="776"/>
      <c r="Y18" s="775"/>
      <c r="Z18" s="776"/>
      <c r="AA18" s="783"/>
      <c r="AC18" s="713"/>
    </row>
    <row r="19" spans="1:29">
      <c r="AC19" s="713"/>
    </row>
    <row r="20" spans="1:29">
      <c r="D20" s="751" t="s">
        <v>138</v>
      </c>
      <c r="E20" s="777"/>
      <c r="F20" s="768">
        <f>SUM(F21:F21)</f>
        <v>0</v>
      </c>
      <c r="G20" s="778">
        <f>SUM(G21:G21)</f>
        <v>12035.781591710998</v>
      </c>
      <c r="H20" s="779">
        <f>IFERROR($F20/G20,0)</f>
        <v>0</v>
      </c>
      <c r="I20" s="778">
        <f>SUM(I21:I21)</f>
        <v>12035.781591710998</v>
      </c>
      <c r="J20" s="779">
        <f>IFERROR($F20/I20,0)</f>
        <v>0</v>
      </c>
      <c r="K20" s="778">
        <f>SUM(K21:K21)</f>
        <v>0</v>
      </c>
      <c r="L20" s="779">
        <f>IFERROR($F20/K20,0)</f>
        <v>0</v>
      </c>
      <c r="N20" s="768">
        <f>SUM(N21:N21)</f>
        <v>0</v>
      </c>
      <c r="O20" s="778">
        <f>SUM(O21:O21)</f>
        <v>23059.721198130996</v>
      </c>
      <c r="P20" s="779">
        <f>IFERROR($N20/O20,0)</f>
        <v>0</v>
      </c>
      <c r="Q20" s="778">
        <f>SUM(Q21:Q21)</f>
        <v>23059.721198130996</v>
      </c>
      <c r="R20" s="779">
        <f>IFERROR($N20/Q20,0)</f>
        <v>0</v>
      </c>
      <c r="S20" s="778">
        <f>SUM(S21:S21)</f>
        <v>0</v>
      </c>
      <c r="T20" s="779">
        <f>IFERROR($N20/S20,0)</f>
        <v>0</v>
      </c>
      <c r="V20" s="778">
        <f>SUM(V21:V21)</f>
        <v>0</v>
      </c>
      <c r="W20" s="778">
        <f>SUM(W21:W21)</f>
        <v>207936.65351650899</v>
      </c>
      <c r="X20" s="779">
        <f t="shared" si="0"/>
        <v>0</v>
      </c>
      <c r="Y20" s="778">
        <f>SUM(Y21:Y21)</f>
        <v>207936.65351650899</v>
      </c>
      <c r="Z20" s="779">
        <f t="shared" si="1"/>
        <v>0</v>
      </c>
      <c r="AA20" s="779">
        <f t="shared" si="2"/>
        <v>1</v>
      </c>
      <c r="AC20" s="713"/>
    </row>
    <row r="21" spans="1:29">
      <c r="C21" s="677"/>
      <c r="D21" s="755" t="s">
        <v>148</v>
      </c>
      <c r="E21" s="780" t="s">
        <v>70</v>
      </c>
      <c r="F21" s="772">
        <f>VLOOKUP($E21,RS_VN_Actual_APP,$B$2+1,0)</f>
        <v>0</v>
      </c>
      <c r="G21" s="775">
        <f>VLOOKUP($E21,RS_VN_Target_APP,$B$2+1,0)</f>
        <v>12035.781591710998</v>
      </c>
      <c r="H21" s="776">
        <f>IFERROR($F21/G21,0)</f>
        <v>0</v>
      </c>
      <c r="I21" s="775">
        <f>VLOOKUP($E21,RS_VN_Forecast_APP,$B$2+1,0)</f>
        <v>12035.781591710998</v>
      </c>
      <c r="J21" s="776">
        <f>IFERROR($F21/I21,0)</f>
        <v>0</v>
      </c>
      <c r="K21" s="775">
        <f>VLOOKUP($E21,PAST_VN_Actual_APP_2017,$B$2+1,0)</f>
        <v>0</v>
      </c>
      <c r="L21" s="776">
        <f>IFERROR($F21/K21,0)</f>
        <v>0</v>
      </c>
      <c r="N21" s="772">
        <f>SUMPRODUCT('Revenue Summary'!AS19:BD19,'Revenue Summary'!$AS$8:$BD$8)</f>
        <v>0</v>
      </c>
      <c r="O21" s="775">
        <f>SUMPRODUCT('Revenue Summary'!E19:P19,'Revenue Summary'!$E$8:$P$8)</f>
        <v>23059.721198130996</v>
      </c>
      <c r="P21" s="776">
        <f>IFERROR($N21/O21,0)</f>
        <v>0</v>
      </c>
      <c r="Q21" s="775">
        <f>SUMPRODUCT('Revenue Summary'!Y19:AJ19,'Revenue Summary'!$Y$8:$AJ$8)</f>
        <v>23059.721198130996</v>
      </c>
      <c r="R21" s="776">
        <f>IFERROR($N21/Q21,0)</f>
        <v>0</v>
      </c>
      <c r="S21" s="775">
        <f>SUMPRODUCT('Past data'!E19:P19,'Past data'!$E$8:$P$8)</f>
        <v>0</v>
      </c>
      <c r="T21" s="776">
        <f>IFERROR($N21/S21,0)</f>
        <v>0</v>
      </c>
      <c r="V21" s="775">
        <f t="shared" ref="V21" si="17">N21</f>
        <v>0</v>
      </c>
      <c r="W21" s="775">
        <f>'Revenue Summary'!Q19</f>
        <v>207936.65351650899</v>
      </c>
      <c r="X21" s="776">
        <f t="shared" si="0"/>
        <v>0</v>
      </c>
      <c r="Y21" s="775">
        <f>'Revenue Summary'!AK19</f>
        <v>207936.65351650899</v>
      </c>
      <c r="Z21" s="776">
        <f t="shared" si="1"/>
        <v>0</v>
      </c>
      <c r="AA21" s="776">
        <f t="shared" si="2"/>
        <v>1</v>
      </c>
      <c r="AC21" s="713"/>
    </row>
    <row r="22" spans="1:29">
      <c r="AC22" s="713"/>
    </row>
    <row r="23" spans="1:29">
      <c r="D23" s="678" t="s">
        <v>140</v>
      </c>
      <c r="E23" s="679"/>
      <c r="F23" s="725">
        <f>SUM(F24:F28)</f>
        <v>382814.50000000012</v>
      </c>
      <c r="G23" s="725">
        <f>SUM(G24:G28)</f>
        <v>245464.94803213896</v>
      </c>
      <c r="H23" s="730">
        <f>IFERROR($F23/G23,0)</f>
        <v>1.5595485346033107</v>
      </c>
      <c r="I23" s="725">
        <f>SUM(I24:I28)</f>
        <v>291311.88034000993</v>
      </c>
      <c r="J23" s="730">
        <f>IFERROR($F23/I23,0)</f>
        <v>1.3141053483750518</v>
      </c>
      <c r="K23" s="725">
        <f>SUM(K24:K28)</f>
        <v>46701.466194999994</v>
      </c>
      <c r="L23" s="730">
        <f>IFERROR($F23/K23,0)</f>
        <v>8.1970552787695006</v>
      </c>
      <c r="N23" s="725">
        <f>SUM(N24:N28)</f>
        <v>1179322.6244950001</v>
      </c>
      <c r="O23" s="725">
        <f>SUM(O24:O28)</f>
        <v>1076408.1278392067</v>
      </c>
      <c r="P23" s="730">
        <f>IFERROR($N23/O23,0)</f>
        <v>1.0956091783349733</v>
      </c>
      <c r="Q23" s="725">
        <f>SUM(Q24:Q28)</f>
        <v>1274120.9232135315</v>
      </c>
      <c r="R23" s="730">
        <f>IFERROR($N23/Q23,0)</f>
        <v>0.92559709444262539</v>
      </c>
      <c r="S23" s="725">
        <f>SUM(S24:S28)</f>
        <v>211951.32243500001</v>
      </c>
      <c r="T23" s="730">
        <f>IFERROR($N23/S23,0)</f>
        <v>5.5641201524310748</v>
      </c>
      <c r="V23" s="725">
        <f>SUM(V24:V28)</f>
        <v>1179322.6244950001</v>
      </c>
      <c r="W23" s="725">
        <f>SUM(W24:W28)</f>
        <v>3051758.9719100459</v>
      </c>
      <c r="X23" s="730">
        <f t="shared" si="0"/>
        <v>0.38644029077987158</v>
      </c>
      <c r="Y23" s="725">
        <f>SUM(Y24:Y28)</f>
        <v>3565397.8443327732</v>
      </c>
      <c r="Z23" s="730">
        <f t="shared" si="1"/>
        <v>0.33076887236288155</v>
      </c>
      <c r="AA23" s="730">
        <f t="shared" si="2"/>
        <v>0.85593785186156435</v>
      </c>
      <c r="AC23" s="713"/>
    </row>
    <row r="24" spans="1:29" hidden="1">
      <c r="D24" s="680"/>
      <c r="E24" s="681"/>
      <c r="F24" s="723"/>
      <c r="G24" s="726"/>
      <c r="H24" s="727"/>
      <c r="I24" s="726"/>
      <c r="J24" s="727"/>
      <c r="K24" s="726"/>
      <c r="L24" s="727"/>
      <c r="N24" s="723"/>
      <c r="O24" s="726"/>
      <c r="P24" s="727"/>
      <c r="Q24" s="726"/>
      <c r="R24" s="727"/>
      <c r="S24" s="726"/>
      <c r="T24" s="727"/>
      <c r="V24" s="726"/>
      <c r="W24" s="726"/>
      <c r="X24" s="727"/>
      <c r="Y24" s="726"/>
      <c r="Z24" s="727"/>
      <c r="AA24" s="727"/>
      <c r="AC24" s="713"/>
    </row>
    <row r="25" spans="1:29" hidden="1">
      <c r="D25" s="680"/>
      <c r="E25" s="681"/>
      <c r="F25" s="723"/>
      <c r="G25" s="726"/>
      <c r="H25" s="727"/>
      <c r="I25" s="726"/>
      <c r="J25" s="727"/>
      <c r="K25" s="726"/>
      <c r="L25" s="727"/>
      <c r="N25" s="723"/>
      <c r="O25" s="726"/>
      <c r="P25" s="727"/>
      <c r="Q25" s="726"/>
      <c r="R25" s="727"/>
      <c r="S25" s="726"/>
      <c r="T25" s="727"/>
      <c r="V25" s="726"/>
      <c r="W25" s="726"/>
      <c r="X25" s="727"/>
      <c r="Y25" s="726"/>
      <c r="Z25" s="727"/>
      <c r="AA25" s="727"/>
      <c r="AC25" s="713"/>
    </row>
    <row r="26" spans="1:29">
      <c r="D26" s="680" t="s">
        <v>148</v>
      </c>
      <c r="E26" s="681" t="s">
        <v>70</v>
      </c>
      <c r="F26" s="723">
        <f t="shared" ref="F25:K28" si="18">SUMIF($E$6:$E$21,$E26,F$6:F$21)</f>
        <v>206786.54000000004</v>
      </c>
      <c r="G26" s="726">
        <f t="shared" si="18"/>
        <v>228394.09648017946</v>
      </c>
      <c r="H26" s="727">
        <f t="shared" ref="H24:H28" si="19">IFERROR($F26/G26,0)</f>
        <v>0.90539354206970679</v>
      </c>
      <c r="I26" s="726">
        <f t="shared" si="18"/>
        <v>273916.42895684583</v>
      </c>
      <c r="J26" s="727">
        <f t="shared" ref="J25:J28" si="20">IFERROR($F26/I26,0)</f>
        <v>0.75492565665923683</v>
      </c>
      <c r="K26" s="726">
        <f t="shared" si="18"/>
        <v>37888.326292999991</v>
      </c>
      <c r="L26" s="727">
        <f t="shared" ref="L24:L28" si="21">IFERROR($F26/K26,0)</f>
        <v>5.4577903072536786</v>
      </c>
      <c r="N26" s="723">
        <f t="shared" ref="N25:S28" si="22">SUMIF($E$6:$E$21,$E26,N$6:N$21)</f>
        <v>814072.81937300006</v>
      </c>
      <c r="O26" s="726">
        <f>SUMIF($E$6:$E$21,$E26,O$6:O$21)</f>
        <v>1002790.8625204844</v>
      </c>
      <c r="P26" s="727">
        <f t="shared" ref="P24:P28" si="23">IFERROR($N26/O26,0)</f>
        <v>0.81180717714843631</v>
      </c>
      <c r="Q26" s="726">
        <f>SUMIF($E$6:$E$21,$E26,Q$6:Q$21)</f>
        <v>1199103.8359923419</v>
      </c>
      <c r="R26" s="727">
        <f t="shared" ref="R24:R28" si="24">IFERROR($N26/Q26,0)</f>
        <v>0.67890102169450417</v>
      </c>
      <c r="S26" s="726">
        <f>SUMIF($E$6:$E$21,$E26,S$6:S$21)</f>
        <v>171926.479831</v>
      </c>
      <c r="T26" s="727">
        <f t="shared" ref="T24:T28" si="25">IFERROR($N26/S26,0)</f>
        <v>4.7350054521747662</v>
      </c>
      <c r="V26" s="726">
        <f t="shared" ref="V25:Y28" si="26">SUMIF($E$6:$E$21,$E26,V$6:V$21)</f>
        <v>814072.81937300006</v>
      </c>
      <c r="W26" s="726">
        <f t="shared" si="26"/>
        <v>2842507.5578480316</v>
      </c>
      <c r="X26" s="727">
        <f t="shared" si="0"/>
        <v>0.28639249071665007</v>
      </c>
      <c r="Y26" s="726">
        <f t="shared" si="26"/>
        <v>3356146.4302707589</v>
      </c>
      <c r="Z26" s="727">
        <f t="shared" si="1"/>
        <v>0.24256177025843426</v>
      </c>
      <c r="AA26" s="727">
        <f t="shared" si="2"/>
        <v>0.84695576218309132</v>
      </c>
      <c r="AC26" s="713"/>
    </row>
    <row r="27" spans="1:29" s="817" customFormat="1">
      <c r="D27" s="682" t="s">
        <v>147</v>
      </c>
      <c r="E27" s="683" t="s">
        <v>71</v>
      </c>
      <c r="F27" s="724">
        <f t="shared" si="18"/>
        <v>176027.96000000005</v>
      </c>
      <c r="G27" s="728">
        <f t="shared" si="18"/>
        <v>17070.851551959495</v>
      </c>
      <c r="H27" s="729">
        <f t="shared" si="19"/>
        <v>10.31160979077195</v>
      </c>
      <c r="I27" s="728">
        <f t="shared" si="18"/>
        <v>17395.451383164098</v>
      </c>
      <c r="J27" s="729">
        <f t="shared" si="20"/>
        <v>10.119194732156581</v>
      </c>
      <c r="K27" s="728">
        <f t="shared" si="18"/>
        <v>8813.1399020000008</v>
      </c>
      <c r="L27" s="729">
        <f t="shared" si="21"/>
        <v>19.973353646644522</v>
      </c>
      <c r="N27" s="724">
        <f t="shared" si="22"/>
        <v>365249.80512200005</v>
      </c>
      <c r="O27" s="728">
        <f t="shared" si="22"/>
        <v>73617.265318722333</v>
      </c>
      <c r="P27" s="729">
        <f t="shared" si="23"/>
        <v>4.961469344734132</v>
      </c>
      <c r="Q27" s="728">
        <f t="shared" si="22"/>
        <v>75017.087221189693</v>
      </c>
      <c r="R27" s="729">
        <f t="shared" si="24"/>
        <v>4.8688881247155358</v>
      </c>
      <c r="S27" s="728">
        <f t="shared" si="22"/>
        <v>40024.842604000005</v>
      </c>
      <c r="T27" s="729">
        <f t="shared" si="25"/>
        <v>9.1255775503161551</v>
      </c>
      <c r="V27" s="728">
        <f t="shared" si="26"/>
        <v>365249.80512200005</v>
      </c>
      <c r="W27" s="728">
        <f t="shared" si="26"/>
        <v>209251.41406201432</v>
      </c>
      <c r="X27" s="729">
        <f t="shared" si="0"/>
        <v>1.7455069862216255</v>
      </c>
      <c r="Y27" s="728">
        <f t="shared" si="26"/>
        <v>209251.41406201434</v>
      </c>
      <c r="Z27" s="729">
        <f t="shared" si="1"/>
        <v>1.745506986221625</v>
      </c>
      <c r="AA27" s="729">
        <f t="shared" si="2"/>
        <v>0.99999999999999989</v>
      </c>
      <c r="AC27" s="713"/>
    </row>
    <row r="28" spans="1:29" hidden="1">
      <c r="D28" s="682"/>
      <c r="E28" s="683"/>
      <c r="F28" s="724"/>
      <c r="G28" s="728"/>
      <c r="H28" s="729"/>
      <c r="I28" s="728"/>
      <c r="J28" s="729"/>
      <c r="K28" s="728"/>
      <c r="L28" s="729"/>
      <c r="N28" s="724"/>
      <c r="O28" s="728"/>
      <c r="P28" s="729"/>
      <c r="Q28" s="728"/>
      <c r="R28" s="729"/>
      <c r="S28" s="728"/>
      <c r="T28" s="729"/>
      <c r="V28" s="728"/>
      <c r="W28" s="728"/>
      <c r="X28" s="729"/>
      <c r="Y28" s="728"/>
      <c r="Z28" s="729"/>
      <c r="AA28" s="729"/>
      <c r="AC28" s="713"/>
    </row>
    <row r="29" spans="1:29">
      <c r="D29" s="707"/>
      <c r="E29" s="708"/>
      <c r="AC29" s="713"/>
    </row>
    <row r="30" spans="1:29" ht="2.5499999999999998" customHeight="1">
      <c r="A30" s="710"/>
      <c r="B30" s="710"/>
      <c r="C30" s="710"/>
      <c r="D30" s="711"/>
      <c r="E30" s="712"/>
      <c r="F30" s="713"/>
      <c r="G30" s="713"/>
      <c r="H30" s="713"/>
      <c r="I30" s="713"/>
      <c r="J30" s="713"/>
      <c r="K30" s="713"/>
      <c r="L30" s="713"/>
      <c r="M30" s="710"/>
      <c r="N30" s="713"/>
      <c r="O30" s="713"/>
      <c r="P30" s="713"/>
      <c r="Q30" s="713"/>
      <c r="R30" s="713"/>
      <c r="S30" s="713"/>
      <c r="T30" s="713"/>
      <c r="U30" s="710"/>
      <c r="V30" s="713"/>
      <c r="W30" s="713"/>
      <c r="X30" s="713"/>
      <c r="Y30" s="713"/>
      <c r="Z30" s="713"/>
      <c r="AA30" s="713"/>
      <c r="AB30" s="713"/>
      <c r="AC30" s="713"/>
    </row>
    <row r="31" spans="1:29" hidden="1">
      <c r="C31" s="553"/>
      <c r="AC31" s="713"/>
    </row>
    <row r="32" spans="1:29" hidden="1">
      <c r="D32" s="751"/>
      <c r="E32" s="777"/>
      <c r="F32" s="768"/>
      <c r="G32" s="778"/>
      <c r="H32" s="779"/>
      <c r="I32" s="778"/>
      <c r="J32" s="779"/>
      <c r="K32" s="778"/>
      <c r="L32" s="779"/>
      <c r="N32" s="768"/>
      <c r="O32" s="778"/>
      <c r="P32" s="779"/>
      <c r="Q32" s="778"/>
      <c r="R32" s="779"/>
      <c r="S32" s="778"/>
      <c r="T32" s="779"/>
      <c r="V32" s="778"/>
      <c r="W32" s="778"/>
      <c r="X32" s="779"/>
      <c r="Y32" s="778"/>
      <c r="Z32" s="779"/>
      <c r="AA32" s="784"/>
      <c r="AC32" s="713"/>
    </row>
    <row r="33" spans="3:29" hidden="1">
      <c r="D33" s="753"/>
      <c r="E33" s="681"/>
      <c r="F33" s="771"/>
      <c r="G33" s="773"/>
      <c r="H33" s="774"/>
      <c r="I33" s="773"/>
      <c r="J33" s="774"/>
      <c r="K33" s="773"/>
      <c r="L33" s="774"/>
      <c r="N33" s="771"/>
      <c r="O33" s="773"/>
      <c r="P33" s="774"/>
      <c r="Q33" s="773"/>
      <c r="R33" s="774"/>
      <c r="S33" s="773"/>
      <c r="T33" s="774"/>
      <c r="V33" s="773"/>
      <c r="W33" s="773"/>
      <c r="X33" s="774"/>
      <c r="Y33" s="773"/>
      <c r="Z33" s="774"/>
      <c r="AA33" s="782"/>
      <c r="AC33" s="713"/>
    </row>
    <row r="34" spans="3:29" hidden="1">
      <c r="D34" s="753"/>
      <c r="E34" s="681"/>
      <c r="F34" s="771"/>
      <c r="G34" s="773"/>
      <c r="H34" s="774"/>
      <c r="I34" s="773"/>
      <c r="J34" s="774"/>
      <c r="K34" s="773"/>
      <c r="L34" s="774"/>
      <c r="N34" s="771"/>
      <c r="O34" s="773"/>
      <c r="P34" s="774"/>
      <c r="Q34" s="773"/>
      <c r="R34" s="774"/>
      <c r="S34" s="773"/>
      <c r="T34" s="774"/>
      <c r="V34" s="773"/>
      <c r="W34" s="773"/>
      <c r="X34" s="774"/>
      <c r="Y34" s="773"/>
      <c r="Z34" s="774"/>
      <c r="AA34" s="782"/>
      <c r="AC34" s="713"/>
    </row>
    <row r="35" spans="3:29" hidden="1">
      <c r="D35" s="753"/>
      <c r="E35" s="681"/>
      <c r="F35" s="771"/>
      <c r="G35" s="773"/>
      <c r="H35" s="774"/>
      <c r="I35" s="773"/>
      <c r="J35" s="774"/>
      <c r="K35" s="773"/>
      <c r="L35" s="774"/>
      <c r="N35" s="771"/>
      <c r="O35" s="773"/>
      <c r="P35" s="774"/>
      <c r="Q35" s="773"/>
      <c r="R35" s="774"/>
      <c r="S35" s="773"/>
      <c r="T35" s="774"/>
      <c r="V35" s="773"/>
      <c r="W35" s="773"/>
      <c r="X35" s="774"/>
      <c r="Y35" s="773"/>
      <c r="Z35" s="774"/>
      <c r="AA35" s="782"/>
      <c r="AC35" s="713"/>
    </row>
    <row r="36" spans="3:29" hidden="1">
      <c r="D36" s="755"/>
      <c r="E36" s="780"/>
      <c r="F36" s="772"/>
      <c r="G36" s="775"/>
      <c r="H36" s="776"/>
      <c r="I36" s="775"/>
      <c r="J36" s="776"/>
      <c r="K36" s="775"/>
      <c r="L36" s="776"/>
      <c r="N36" s="772"/>
      <c r="O36" s="775"/>
      <c r="P36" s="776"/>
      <c r="Q36" s="775"/>
      <c r="R36" s="776"/>
      <c r="S36" s="775"/>
      <c r="T36" s="776"/>
      <c r="V36" s="775"/>
      <c r="W36" s="775"/>
      <c r="X36" s="776"/>
      <c r="Y36" s="775"/>
      <c r="Z36" s="776"/>
      <c r="AA36" s="783"/>
      <c r="AC36" s="713"/>
    </row>
    <row r="37" spans="3:29" hidden="1">
      <c r="AC37" s="713"/>
    </row>
    <row r="38" spans="3:29" hidden="1">
      <c r="D38" s="751"/>
      <c r="E38" s="777"/>
      <c r="F38" s="768"/>
      <c r="G38" s="778"/>
      <c r="H38" s="779"/>
      <c r="I38" s="778"/>
      <c r="J38" s="779"/>
      <c r="K38" s="778"/>
      <c r="L38" s="779"/>
      <c r="N38" s="768"/>
      <c r="O38" s="778"/>
      <c r="P38" s="779"/>
      <c r="Q38" s="778"/>
      <c r="R38" s="779"/>
      <c r="S38" s="778"/>
      <c r="T38" s="779"/>
      <c r="V38" s="778"/>
      <c r="W38" s="778"/>
      <c r="X38" s="779"/>
      <c r="Y38" s="778"/>
      <c r="Z38" s="779"/>
      <c r="AA38" s="779"/>
      <c r="AC38" s="713"/>
    </row>
    <row r="39" spans="3:29" hidden="1">
      <c r="C39" s="677"/>
      <c r="D39" s="755"/>
      <c r="E39" s="780"/>
      <c r="F39" s="772"/>
      <c r="G39" s="775"/>
      <c r="H39" s="776"/>
      <c r="I39" s="775"/>
      <c r="J39" s="776"/>
      <c r="K39" s="775"/>
      <c r="L39" s="776"/>
      <c r="N39" s="772"/>
      <c r="O39" s="775"/>
      <c r="P39" s="776"/>
      <c r="Q39" s="775"/>
      <c r="R39" s="776"/>
      <c r="S39" s="775"/>
      <c r="T39" s="776"/>
      <c r="V39" s="775"/>
      <c r="W39" s="775"/>
      <c r="X39" s="776"/>
      <c r="Y39" s="775"/>
      <c r="Z39" s="776"/>
      <c r="AA39" s="776"/>
      <c r="AC39" s="713"/>
    </row>
    <row r="40" spans="3:29" hidden="1">
      <c r="AC40" s="713"/>
    </row>
    <row r="41" spans="3:29" hidden="1">
      <c r="D41" s="751"/>
      <c r="E41" s="777"/>
      <c r="F41" s="768"/>
      <c r="G41" s="778"/>
      <c r="H41" s="779"/>
      <c r="I41" s="778"/>
      <c r="J41" s="779"/>
      <c r="K41" s="778"/>
      <c r="L41" s="779"/>
      <c r="N41" s="768"/>
      <c r="O41" s="778"/>
      <c r="P41" s="779"/>
      <c r="Q41" s="778"/>
      <c r="R41" s="779"/>
      <c r="S41" s="778"/>
      <c r="T41" s="779"/>
      <c r="V41" s="778"/>
      <c r="W41" s="778"/>
      <c r="X41" s="779"/>
      <c r="Y41" s="778"/>
      <c r="Z41" s="779"/>
      <c r="AA41" s="784"/>
      <c r="AC41" s="713"/>
    </row>
    <row r="42" spans="3:29" hidden="1">
      <c r="D42" s="753"/>
      <c r="E42" s="681"/>
      <c r="F42" s="771"/>
      <c r="G42" s="773"/>
      <c r="H42" s="774"/>
      <c r="I42" s="773"/>
      <c r="J42" s="774"/>
      <c r="K42" s="773"/>
      <c r="L42" s="774"/>
      <c r="N42" s="771"/>
      <c r="O42" s="773"/>
      <c r="P42" s="774"/>
      <c r="Q42" s="773"/>
      <c r="R42" s="774"/>
      <c r="S42" s="773"/>
      <c r="T42" s="774"/>
      <c r="V42" s="773"/>
      <c r="W42" s="773"/>
      <c r="X42" s="774"/>
      <c r="Y42" s="773"/>
      <c r="Z42" s="774"/>
      <c r="AA42" s="782"/>
      <c r="AC42" s="713"/>
    </row>
    <row r="43" spans="3:29" hidden="1">
      <c r="D43" s="753"/>
      <c r="E43" s="681"/>
      <c r="F43" s="771"/>
      <c r="G43" s="773"/>
      <c r="H43" s="774"/>
      <c r="I43" s="773"/>
      <c r="J43" s="774"/>
      <c r="K43" s="773"/>
      <c r="L43" s="774"/>
      <c r="N43" s="771"/>
      <c r="O43" s="773"/>
      <c r="P43" s="774"/>
      <c r="Q43" s="773"/>
      <c r="R43" s="774"/>
      <c r="S43" s="773"/>
      <c r="T43" s="774"/>
      <c r="V43" s="773"/>
      <c r="W43" s="773"/>
      <c r="X43" s="774"/>
      <c r="Y43" s="773"/>
      <c r="Z43" s="774"/>
      <c r="AA43" s="782"/>
      <c r="AC43" s="713"/>
    </row>
    <row r="44" spans="3:29" hidden="1">
      <c r="D44" s="753"/>
      <c r="E44" s="681"/>
      <c r="F44" s="771"/>
      <c r="G44" s="773"/>
      <c r="H44" s="774"/>
      <c r="I44" s="773"/>
      <c r="J44" s="774"/>
      <c r="K44" s="773"/>
      <c r="L44" s="774"/>
      <c r="N44" s="771"/>
      <c r="O44" s="773"/>
      <c r="P44" s="774"/>
      <c r="Q44" s="773"/>
      <c r="R44" s="774"/>
      <c r="S44" s="773"/>
      <c r="T44" s="774"/>
      <c r="V44" s="773"/>
      <c r="W44" s="773"/>
      <c r="X44" s="774"/>
      <c r="Y44" s="773"/>
      <c r="Z44" s="774"/>
      <c r="AA44" s="782"/>
      <c r="AC44" s="713"/>
    </row>
    <row r="45" spans="3:29" hidden="1">
      <c r="D45" s="755"/>
      <c r="E45" s="780"/>
      <c r="F45" s="772"/>
      <c r="G45" s="775"/>
      <c r="H45" s="776"/>
      <c r="I45" s="775"/>
      <c r="J45" s="776"/>
      <c r="K45" s="775"/>
      <c r="L45" s="776"/>
      <c r="N45" s="772"/>
      <c r="O45" s="775"/>
      <c r="P45" s="776"/>
      <c r="Q45" s="775"/>
      <c r="R45" s="776"/>
      <c r="S45" s="775"/>
      <c r="T45" s="776"/>
      <c r="V45" s="775"/>
      <c r="W45" s="775"/>
      <c r="X45" s="776"/>
      <c r="Y45" s="775"/>
      <c r="Z45" s="776"/>
      <c r="AA45" s="783"/>
      <c r="AC45" s="713"/>
    </row>
    <row r="46" spans="3:29" hidden="1">
      <c r="AC46" s="713"/>
    </row>
    <row r="47" spans="3:29" hidden="1">
      <c r="D47" s="751"/>
      <c r="E47" s="777"/>
      <c r="F47" s="768"/>
      <c r="G47" s="778"/>
      <c r="H47" s="779"/>
      <c r="I47" s="778"/>
      <c r="J47" s="779"/>
      <c r="K47" s="778"/>
      <c r="L47" s="779"/>
      <c r="N47" s="768"/>
      <c r="O47" s="778"/>
      <c r="P47" s="779"/>
      <c r="Q47" s="778"/>
      <c r="R47" s="779"/>
      <c r="S47" s="778"/>
      <c r="T47" s="779"/>
      <c r="V47" s="778"/>
      <c r="W47" s="778"/>
      <c r="X47" s="779"/>
      <c r="Y47" s="778"/>
      <c r="Z47" s="779"/>
      <c r="AA47" s="779"/>
      <c r="AC47" s="713"/>
    </row>
    <row r="48" spans="3:29" hidden="1">
      <c r="C48" s="677"/>
      <c r="D48" s="755"/>
      <c r="E48" s="780"/>
      <c r="F48" s="772"/>
      <c r="G48" s="775"/>
      <c r="H48" s="776"/>
      <c r="I48" s="775"/>
      <c r="J48" s="776"/>
      <c r="K48" s="775"/>
      <c r="L48" s="776"/>
      <c r="N48" s="772"/>
      <c r="O48" s="775"/>
      <c r="P48" s="776"/>
      <c r="Q48" s="775"/>
      <c r="R48" s="776"/>
      <c r="S48" s="775"/>
      <c r="T48" s="776"/>
      <c r="V48" s="775"/>
      <c r="W48" s="775"/>
      <c r="X48" s="776"/>
      <c r="Y48" s="775"/>
      <c r="Z48" s="776"/>
      <c r="AA48" s="776"/>
      <c r="AC48" s="713"/>
    </row>
    <row r="49" spans="1:29" hidden="1">
      <c r="AC49" s="713"/>
    </row>
    <row r="50" spans="1:29" hidden="1">
      <c r="D50" s="678"/>
      <c r="E50" s="679"/>
      <c r="F50" s="725"/>
      <c r="G50" s="725"/>
      <c r="H50" s="730"/>
      <c r="I50" s="725"/>
      <c r="J50" s="730"/>
      <c r="K50" s="725"/>
      <c r="L50" s="730"/>
      <c r="N50" s="725"/>
      <c r="O50" s="725"/>
      <c r="P50" s="730"/>
      <c r="Q50" s="725"/>
      <c r="R50" s="730"/>
      <c r="S50" s="725"/>
      <c r="T50" s="730"/>
      <c r="V50" s="725"/>
      <c r="W50" s="725"/>
      <c r="X50" s="730"/>
      <c r="Y50" s="725"/>
      <c r="Z50" s="730"/>
      <c r="AA50" s="730"/>
      <c r="AC50" s="713"/>
    </row>
    <row r="51" spans="1:29" hidden="1">
      <c r="D51" s="680"/>
      <c r="E51" s="681"/>
      <c r="F51" s="723"/>
      <c r="G51" s="726"/>
      <c r="H51" s="727"/>
      <c r="I51" s="726"/>
      <c r="J51" s="727"/>
      <c r="K51" s="726"/>
      <c r="L51" s="727"/>
      <c r="N51" s="723"/>
      <c r="O51" s="726"/>
      <c r="P51" s="727"/>
      <c r="Q51" s="726"/>
      <c r="R51" s="727"/>
      <c r="S51" s="726"/>
      <c r="T51" s="727"/>
      <c r="V51" s="726"/>
      <c r="W51" s="726"/>
      <c r="X51" s="727"/>
      <c r="Y51" s="726"/>
      <c r="Z51" s="727"/>
      <c r="AA51" s="727"/>
      <c r="AC51" s="713"/>
    </row>
    <row r="52" spans="1:29" hidden="1">
      <c r="D52" s="680"/>
      <c r="E52" s="681"/>
      <c r="F52" s="723"/>
      <c r="G52" s="726"/>
      <c r="H52" s="727"/>
      <c r="I52" s="726"/>
      <c r="J52" s="727"/>
      <c r="K52" s="726"/>
      <c r="L52" s="727"/>
      <c r="N52" s="723"/>
      <c r="O52" s="726"/>
      <c r="P52" s="727"/>
      <c r="Q52" s="726"/>
      <c r="R52" s="727"/>
      <c r="S52" s="726"/>
      <c r="T52" s="727"/>
      <c r="V52" s="726"/>
      <c r="W52" s="726"/>
      <c r="X52" s="727"/>
      <c r="Y52" s="726"/>
      <c r="Z52" s="727"/>
      <c r="AA52" s="727"/>
      <c r="AC52" s="713"/>
    </row>
    <row r="53" spans="1:29" hidden="1">
      <c r="D53" s="680"/>
      <c r="E53" s="681"/>
      <c r="F53" s="723"/>
      <c r="G53" s="726"/>
      <c r="H53" s="727"/>
      <c r="I53" s="726"/>
      <c r="J53" s="727"/>
      <c r="K53" s="726"/>
      <c r="L53" s="727"/>
      <c r="N53" s="723"/>
      <c r="O53" s="726"/>
      <c r="P53" s="727"/>
      <c r="Q53" s="726"/>
      <c r="R53" s="727"/>
      <c r="S53" s="726"/>
      <c r="T53" s="727"/>
      <c r="V53" s="726"/>
      <c r="W53" s="726"/>
      <c r="X53" s="727"/>
      <c r="Y53" s="726"/>
      <c r="Z53" s="727"/>
      <c r="AA53" s="727"/>
      <c r="AC53" s="713"/>
    </row>
    <row r="54" spans="1:29" hidden="1">
      <c r="D54" s="680"/>
      <c r="E54" s="681"/>
      <c r="F54" s="723"/>
      <c r="G54" s="726"/>
      <c r="H54" s="727"/>
      <c r="I54" s="726"/>
      <c r="J54" s="727"/>
      <c r="K54" s="726"/>
      <c r="L54" s="727"/>
      <c r="N54" s="723"/>
      <c r="O54" s="726"/>
      <c r="P54" s="727"/>
      <c r="Q54" s="726"/>
      <c r="R54" s="727"/>
      <c r="S54" s="726"/>
      <c r="T54" s="727"/>
      <c r="V54" s="726"/>
      <c r="W54" s="726"/>
      <c r="X54" s="727"/>
      <c r="Y54" s="726"/>
      <c r="Z54" s="727"/>
      <c r="AA54" s="727"/>
      <c r="AC54" s="713"/>
    </row>
    <row r="55" spans="1:29" hidden="1">
      <c r="D55" s="682"/>
      <c r="E55" s="683"/>
      <c r="F55" s="724"/>
      <c r="G55" s="728"/>
      <c r="H55" s="729"/>
      <c r="I55" s="728"/>
      <c r="J55" s="729"/>
      <c r="K55" s="728"/>
      <c r="L55" s="729"/>
      <c r="N55" s="724"/>
      <c r="O55" s="728"/>
      <c r="P55" s="729"/>
      <c r="Q55" s="728"/>
      <c r="R55" s="729"/>
      <c r="S55" s="728"/>
      <c r="T55" s="729"/>
      <c r="V55" s="728"/>
      <c r="W55" s="728"/>
      <c r="X55" s="729"/>
      <c r="Y55" s="728"/>
      <c r="Z55" s="729"/>
      <c r="AA55" s="729"/>
      <c r="AC55" s="713"/>
    </row>
    <row r="56" spans="1:29" hidden="1">
      <c r="AC56" s="713"/>
    </row>
    <row r="57" spans="1:29" ht="2.5499999999999998" hidden="1" customHeight="1">
      <c r="A57" s="710"/>
      <c r="B57" s="710"/>
      <c r="C57" s="710"/>
      <c r="D57" s="711"/>
      <c r="E57" s="712"/>
      <c r="F57" s="713"/>
      <c r="G57" s="713"/>
      <c r="H57" s="713"/>
      <c r="I57" s="713"/>
      <c r="J57" s="713"/>
      <c r="K57" s="713"/>
      <c r="L57" s="713"/>
      <c r="M57" s="710"/>
      <c r="N57" s="713"/>
      <c r="O57" s="713"/>
      <c r="P57" s="713"/>
      <c r="Q57" s="713"/>
      <c r="R57" s="713"/>
      <c r="S57" s="713"/>
      <c r="T57" s="713"/>
      <c r="U57" s="710"/>
      <c r="V57" s="713"/>
      <c r="W57" s="713"/>
      <c r="X57" s="713"/>
      <c r="Y57" s="713"/>
      <c r="Z57" s="713"/>
      <c r="AA57" s="713"/>
      <c r="AB57" s="713"/>
      <c r="AC57" s="713"/>
    </row>
    <row r="58" spans="1:29" hidden="1">
      <c r="C58" s="100"/>
      <c r="AC58" s="713"/>
    </row>
    <row r="59" spans="1:29" hidden="1">
      <c r="C59" s="100"/>
      <c r="D59" s="686"/>
      <c r="E59" s="687"/>
      <c r="F59" s="731"/>
      <c r="G59" s="731"/>
      <c r="H59" s="689"/>
      <c r="I59" s="731"/>
      <c r="J59" s="689"/>
      <c r="K59" s="731"/>
      <c r="L59" s="689"/>
      <c r="N59" s="731"/>
      <c r="O59" s="747"/>
      <c r="P59" s="748"/>
      <c r="Q59" s="747"/>
      <c r="R59" s="748"/>
      <c r="S59" s="747"/>
      <c r="T59" s="748"/>
      <c r="V59" s="747"/>
      <c r="W59" s="747"/>
      <c r="X59" s="748"/>
      <c r="Y59" s="747"/>
      <c r="Z59" s="748"/>
      <c r="AA59" s="748"/>
      <c r="AC59" s="713"/>
    </row>
    <row r="60" spans="1:29" hidden="1">
      <c r="D60" s="736"/>
      <c r="E60" s="716"/>
      <c r="F60" s="692"/>
      <c r="G60" s="732"/>
      <c r="H60" s="733"/>
      <c r="I60" s="732"/>
      <c r="J60" s="733"/>
      <c r="K60" s="732"/>
      <c r="L60" s="733"/>
      <c r="N60" s="692"/>
      <c r="O60" s="732"/>
      <c r="P60" s="733"/>
      <c r="Q60" s="732"/>
      <c r="R60" s="733"/>
      <c r="S60" s="732"/>
      <c r="T60" s="733"/>
      <c r="V60" s="732"/>
      <c r="W60" s="732"/>
      <c r="X60" s="733"/>
      <c r="Y60" s="732"/>
      <c r="Z60" s="733"/>
      <c r="AA60" s="733"/>
      <c r="AC60" s="713"/>
    </row>
    <row r="61" spans="1:29" hidden="1">
      <c r="D61" s="736"/>
      <c r="E61" s="716"/>
      <c r="F61" s="692"/>
      <c r="G61" s="732"/>
      <c r="H61" s="733"/>
      <c r="I61" s="732"/>
      <c r="J61" s="733"/>
      <c r="K61" s="732"/>
      <c r="L61" s="733"/>
      <c r="N61" s="692"/>
      <c r="O61" s="732"/>
      <c r="P61" s="733"/>
      <c r="Q61" s="732"/>
      <c r="R61" s="733"/>
      <c r="S61" s="732"/>
      <c r="T61" s="733"/>
      <c r="V61" s="732"/>
      <c r="W61" s="732"/>
      <c r="X61" s="733"/>
      <c r="Y61" s="732"/>
      <c r="Z61" s="733"/>
      <c r="AA61" s="733"/>
      <c r="AC61" s="713"/>
    </row>
    <row r="62" spans="1:29" hidden="1">
      <c r="D62" s="736"/>
      <c r="E62" s="716"/>
      <c r="F62" s="692"/>
      <c r="G62" s="732"/>
      <c r="H62" s="733"/>
      <c r="I62" s="732"/>
      <c r="J62" s="733"/>
      <c r="K62" s="732"/>
      <c r="L62" s="733"/>
      <c r="N62" s="692"/>
      <c r="O62" s="732"/>
      <c r="P62" s="733"/>
      <c r="Q62" s="732"/>
      <c r="R62" s="733"/>
      <c r="S62" s="732"/>
      <c r="T62" s="733"/>
      <c r="V62" s="732"/>
      <c r="W62" s="732"/>
      <c r="X62" s="733"/>
      <c r="Y62" s="732"/>
      <c r="Z62" s="733"/>
      <c r="AA62" s="733"/>
      <c r="AC62" s="713"/>
    </row>
    <row r="63" spans="1:29" hidden="1">
      <c r="D63" s="736"/>
      <c r="E63" s="716"/>
      <c r="F63" s="692"/>
      <c r="G63" s="732"/>
      <c r="H63" s="733"/>
      <c r="I63" s="732"/>
      <c r="J63" s="733"/>
      <c r="K63" s="732"/>
      <c r="L63" s="733"/>
      <c r="N63" s="692"/>
      <c r="O63" s="732"/>
      <c r="P63" s="733"/>
      <c r="Q63" s="732"/>
      <c r="R63" s="733"/>
      <c r="S63" s="732"/>
      <c r="T63" s="733"/>
      <c r="V63" s="732"/>
      <c r="W63" s="732"/>
      <c r="X63" s="733"/>
      <c r="Y63" s="732"/>
      <c r="Z63" s="733"/>
      <c r="AA63" s="733"/>
      <c r="AC63" s="713"/>
    </row>
    <row r="64" spans="1:29" hidden="1">
      <c r="D64" s="737"/>
      <c r="E64" s="717"/>
      <c r="F64" s="696"/>
      <c r="G64" s="734"/>
      <c r="H64" s="735"/>
      <c r="I64" s="734"/>
      <c r="J64" s="735"/>
      <c r="K64" s="734"/>
      <c r="L64" s="735"/>
      <c r="N64" s="696"/>
      <c r="O64" s="734"/>
      <c r="P64" s="735"/>
      <c r="Q64" s="734"/>
      <c r="R64" s="735"/>
      <c r="S64" s="734"/>
      <c r="T64" s="735"/>
      <c r="V64" s="734"/>
      <c r="W64" s="734"/>
      <c r="X64" s="735"/>
      <c r="Y64" s="734"/>
      <c r="Z64" s="735"/>
      <c r="AA64" s="735"/>
      <c r="AC64" s="713"/>
    </row>
    <row r="65" spans="1:29" hidden="1">
      <c r="AC65" s="713"/>
    </row>
    <row r="66" spans="1:29" ht="2.5499999999999998" hidden="1" customHeight="1">
      <c r="A66" s="710"/>
      <c r="B66" s="710"/>
      <c r="C66" s="710"/>
      <c r="D66" s="711"/>
      <c r="E66" s="712"/>
      <c r="F66" s="713"/>
      <c r="G66" s="713"/>
      <c r="H66" s="713"/>
      <c r="I66" s="713"/>
      <c r="J66" s="713"/>
      <c r="K66" s="713"/>
      <c r="L66" s="713"/>
      <c r="M66" s="710"/>
      <c r="N66" s="713"/>
      <c r="O66" s="713"/>
      <c r="P66" s="713"/>
      <c r="Q66" s="713"/>
      <c r="R66" s="713"/>
      <c r="S66" s="713"/>
      <c r="T66" s="713"/>
      <c r="U66" s="710"/>
      <c r="V66" s="713"/>
      <c r="W66" s="713"/>
      <c r="X66" s="713"/>
      <c r="Y66" s="713"/>
      <c r="Z66" s="713"/>
      <c r="AA66" s="713"/>
      <c r="AB66" s="713"/>
      <c r="AC66" s="713"/>
    </row>
    <row r="67" spans="1:29" hidden="1"/>
    <row r="68" spans="1:29" hidden="1">
      <c r="F68" s="831"/>
      <c r="G68" s="831"/>
      <c r="N68" s="831"/>
      <c r="O68" s="831"/>
      <c r="V68" s="831"/>
      <c r="W68" s="831"/>
    </row>
    <row r="69" spans="1:29" hidden="1">
      <c r="F69" s="803"/>
      <c r="G69" s="803"/>
      <c r="N69" s="803"/>
      <c r="O69" s="803"/>
      <c r="V69" s="803"/>
      <c r="W69" s="803"/>
    </row>
    <row r="70" spans="1:29" hidden="1">
      <c r="D70" s="807"/>
      <c r="E70" s="679"/>
      <c r="F70" s="679"/>
      <c r="G70" s="679"/>
      <c r="H70" s="679"/>
      <c r="I70" s="679"/>
      <c r="J70" s="679"/>
      <c r="K70" s="679"/>
      <c r="L70" s="679"/>
      <c r="M70" s="679"/>
      <c r="N70" s="679"/>
      <c r="O70" s="679"/>
      <c r="P70" s="679"/>
      <c r="Q70" s="679"/>
      <c r="R70" s="679"/>
      <c r="S70" s="679"/>
      <c r="T70" s="679"/>
      <c r="U70" s="679"/>
      <c r="V70" s="679"/>
      <c r="W70" s="679"/>
    </row>
    <row r="71" spans="1:29" hidden="1">
      <c r="F71" s="802"/>
      <c r="G71" s="633"/>
      <c r="N71" s="802"/>
      <c r="O71" s="633"/>
      <c r="V71" s="802"/>
      <c r="W71" s="633"/>
    </row>
    <row r="72" spans="1:29" hidden="1">
      <c r="F72" s="802"/>
      <c r="G72" s="633"/>
      <c r="N72" s="802"/>
      <c r="O72" s="633"/>
      <c r="V72" s="802"/>
      <c r="W72" s="633"/>
    </row>
    <row r="73" spans="1:29" hidden="1">
      <c r="E73" s="100"/>
      <c r="F73" s="806"/>
      <c r="G73" s="633"/>
      <c r="N73" s="806"/>
      <c r="O73" s="633"/>
      <c r="V73" s="806"/>
      <c r="W73" s="633"/>
    </row>
    <row r="74" spans="1:29" hidden="1"/>
    <row r="75" spans="1:29" hidden="1">
      <c r="D75" s="807"/>
      <c r="E75" s="679"/>
      <c r="F75" s="679"/>
      <c r="G75" s="679"/>
      <c r="H75" s="679"/>
      <c r="I75" s="679"/>
      <c r="J75" s="679"/>
      <c r="K75" s="679"/>
      <c r="L75" s="679"/>
      <c r="M75" s="679"/>
      <c r="N75" s="679"/>
      <c r="O75" s="679"/>
      <c r="P75" s="679"/>
      <c r="Q75" s="679"/>
      <c r="R75" s="679"/>
      <c r="S75" s="679"/>
      <c r="T75" s="679"/>
      <c r="U75" s="679"/>
      <c r="V75" s="679"/>
      <c r="W75" s="679"/>
    </row>
    <row r="76" spans="1:29" hidden="1">
      <c r="F76" s="802"/>
      <c r="G76" s="633"/>
      <c r="N76" s="802"/>
      <c r="O76" s="633"/>
      <c r="V76" s="802"/>
      <c r="W76" s="633"/>
    </row>
    <row r="77" spans="1:29" hidden="1">
      <c r="F77" s="802"/>
      <c r="G77" s="633"/>
      <c r="N77" s="802"/>
      <c r="O77" s="633"/>
      <c r="V77" s="802"/>
      <c r="W77" s="633"/>
    </row>
    <row r="78" spans="1:29" hidden="1">
      <c r="E78" s="100"/>
      <c r="F78" s="806"/>
      <c r="G78" s="633"/>
      <c r="N78" s="806"/>
      <c r="O78" s="633"/>
      <c r="V78" s="806"/>
      <c r="W78" s="633"/>
    </row>
    <row r="79" spans="1:29" hidden="1"/>
    <row r="80" spans="1:29" hidden="1">
      <c r="D80" s="808"/>
      <c r="E80" s="809"/>
      <c r="F80" s="809"/>
      <c r="G80" s="809"/>
      <c r="H80" s="809"/>
      <c r="I80" s="809"/>
      <c r="J80" s="809"/>
      <c r="K80" s="809"/>
      <c r="L80" s="809"/>
      <c r="M80" s="809"/>
      <c r="N80" s="809"/>
      <c r="O80" s="809"/>
      <c r="P80" s="809"/>
      <c r="Q80" s="809"/>
      <c r="R80" s="809"/>
      <c r="S80" s="809"/>
      <c r="T80" s="809"/>
      <c r="U80" s="809"/>
      <c r="V80" s="809"/>
      <c r="W80" s="809"/>
    </row>
    <row r="81" spans="1:23" hidden="1">
      <c r="F81" s="802"/>
      <c r="G81" s="633"/>
      <c r="N81" s="802"/>
      <c r="O81" s="633"/>
      <c r="V81" s="802"/>
      <c r="W81" s="633"/>
    </row>
    <row r="82" spans="1:23" hidden="1">
      <c r="F82" s="802"/>
      <c r="G82" s="633"/>
      <c r="N82" s="802"/>
      <c r="O82" s="633"/>
      <c r="V82" s="802"/>
      <c r="W82" s="633"/>
    </row>
    <row r="83" spans="1:23" hidden="1">
      <c r="E83" s="100"/>
      <c r="F83" s="806"/>
      <c r="G83" s="633"/>
      <c r="N83" s="806"/>
      <c r="O83" s="633"/>
      <c r="V83" s="806"/>
      <c r="W83" s="633"/>
    </row>
    <row r="84" spans="1:23" hidden="1"/>
    <row r="86" spans="1:23">
      <c r="A86" s="100" t="s">
        <v>155</v>
      </c>
    </row>
    <row r="87" spans="1:23">
      <c r="A87" t="s">
        <v>152</v>
      </c>
    </row>
    <row r="88" spans="1:23">
      <c r="A88" t="s">
        <v>151</v>
      </c>
    </row>
  </sheetData>
  <mergeCells count="6">
    <mergeCell ref="F2:L2"/>
    <mergeCell ref="N2:T2"/>
    <mergeCell ref="V2:AA2"/>
    <mergeCell ref="F68:G68"/>
    <mergeCell ref="N68:O68"/>
    <mergeCell ref="V68:W68"/>
  </mergeCells>
  <pageMargins left="0.7" right="0.7" top="0.75" bottom="0.75" header="0.3" footer="0.3"/>
  <pageSetup orientation="portrait" r:id="rId1"/>
  <ignoredErrors>
    <ignoredError sqref="I8:I9 I17 I21 H5:K5 H14:J14 K14 H20:K20 H23:K23 H26:J27 K26:K27 K8:K9 P5:T5 Q8:Q9 N10:R10 N8:P9 R8:R9 N14:R14 P20:R23 P26:R27 S26:S27 S20:S23 S14 S10 S8:S9 S19 S29:S30 X5 X22 X14 X23 K17 K21 N17:R17 S17 X17 X19:X21 X26:X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66"/>
  <sheetViews>
    <sheetView workbookViewId="0">
      <selection sqref="A1:XFD1048576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4"/>
      <c r="T2" s="812"/>
      <c r="U2" s="812"/>
    </row>
    <row r="3" spans="19:21">
      <c r="S3" s="811"/>
      <c r="T3" s="816"/>
      <c r="U3" s="816"/>
    </row>
    <row r="4" spans="19:21">
      <c r="S4" s="811"/>
      <c r="T4" s="816"/>
      <c r="U4" s="816"/>
    </row>
    <row r="5" spans="19:21">
      <c r="S5" s="811"/>
      <c r="T5" s="816"/>
      <c r="U5" s="816"/>
    </row>
    <row r="6" spans="19:21">
      <c r="S6" s="811"/>
      <c r="T6" s="816"/>
      <c r="U6" s="816"/>
    </row>
    <row r="7" spans="19:21">
      <c r="S7" s="811"/>
      <c r="T7" s="816"/>
      <c r="U7" s="816"/>
    </row>
    <row r="8" spans="19:21">
      <c r="S8" s="811"/>
      <c r="T8" s="816"/>
      <c r="U8" s="816"/>
    </row>
    <row r="9" spans="19:21">
      <c r="S9" s="811"/>
      <c r="T9" s="816"/>
      <c r="U9" s="816"/>
    </row>
    <row r="10" spans="19:21">
      <c r="S10" s="811"/>
      <c r="T10" s="816"/>
      <c r="U10" s="816"/>
    </row>
    <row r="11" spans="19:21">
      <c r="S11" s="811"/>
      <c r="T11" s="816"/>
      <c r="U11" s="816"/>
    </row>
    <row r="12" spans="19:21">
      <c r="S12" s="811"/>
      <c r="T12" s="816"/>
      <c r="U12" s="816"/>
    </row>
    <row r="13" spans="19:21">
      <c r="S13" s="811"/>
      <c r="T13" s="816"/>
      <c r="U13" s="816"/>
    </row>
    <row r="14" spans="19:21">
      <c r="S14" s="811"/>
      <c r="T14" s="816"/>
      <c r="U14" s="816"/>
    </row>
    <row r="15" spans="19:21">
      <c r="T15" s="806"/>
      <c r="U15" s="806"/>
    </row>
    <row r="17" spans="19:21">
      <c r="S17" s="815"/>
    </row>
    <row r="18" spans="19:21">
      <c r="S18" s="815"/>
    </row>
    <row r="25" spans="19:21" s="817" customFormat="1"/>
    <row r="26" spans="19:21" s="817" customFormat="1">
      <c r="S26" s="814"/>
      <c r="T26" s="812"/>
      <c r="U26" s="812"/>
    </row>
    <row r="27" spans="19:21" s="817" customFormat="1">
      <c r="S27" s="811"/>
      <c r="T27" s="818"/>
      <c r="U27" s="818"/>
    </row>
    <row r="28" spans="19:21" s="817" customFormat="1">
      <c r="S28" s="811"/>
      <c r="T28" s="818"/>
      <c r="U28" s="818"/>
    </row>
    <row r="29" spans="19:21" s="817" customFormat="1">
      <c r="S29" s="811"/>
      <c r="T29" s="818"/>
      <c r="U29" s="818"/>
    </row>
    <row r="30" spans="19:21" s="817" customFormat="1">
      <c r="S30" s="811"/>
      <c r="T30" s="818"/>
      <c r="U30" s="818"/>
    </row>
    <row r="31" spans="19:21" s="817" customFormat="1">
      <c r="S31" s="811"/>
      <c r="T31" s="818"/>
      <c r="U31" s="818"/>
    </row>
    <row r="32" spans="19:21" s="817" customFormat="1">
      <c r="S32" s="811"/>
      <c r="T32" s="818"/>
      <c r="U32" s="818"/>
    </row>
    <row r="33" spans="19:21" s="817" customFormat="1">
      <c r="S33" s="811"/>
      <c r="T33" s="818"/>
      <c r="U33" s="818"/>
    </row>
    <row r="34" spans="19:21" s="817" customFormat="1">
      <c r="S34" s="811"/>
      <c r="T34" s="818"/>
      <c r="U34" s="818"/>
    </row>
    <row r="35" spans="19:21" s="817" customFormat="1">
      <c r="S35" s="811"/>
      <c r="T35" s="818"/>
      <c r="U35" s="818"/>
    </row>
    <row r="36" spans="19:21" s="817" customFormat="1">
      <c r="S36" s="811"/>
      <c r="T36" s="818"/>
      <c r="U36" s="818"/>
    </row>
    <row r="37" spans="19:21" s="817" customFormat="1">
      <c r="S37" s="811"/>
      <c r="T37" s="818"/>
      <c r="U37" s="818"/>
    </row>
    <row r="38" spans="19:21" s="817" customFormat="1">
      <c r="S38" s="811"/>
      <c r="T38" s="818"/>
      <c r="U38" s="818"/>
    </row>
    <row r="39" spans="19:21" s="817" customFormat="1">
      <c r="T39" s="819"/>
      <c r="U39" s="819"/>
    </row>
    <row r="40" spans="19:21" s="817" customFormat="1"/>
    <row r="41" spans="19:21" s="817" customFormat="1">
      <c r="S41" s="815"/>
    </row>
    <row r="42" spans="19:21" s="817" customFormat="1">
      <c r="S42" s="815"/>
    </row>
    <row r="43" spans="19:21" s="817" customFormat="1"/>
    <row r="44" spans="19:21" s="817" customFormat="1"/>
    <row r="45" spans="19:21" s="817" customFormat="1"/>
    <row r="46" spans="19:21" s="817" customFormat="1"/>
    <row r="47" spans="19:21" s="817" customFormat="1"/>
    <row r="48" spans="19:21" s="817" customFormat="1"/>
    <row r="49" spans="19:27" s="817" customFormat="1"/>
    <row r="50" spans="19:27">
      <c r="S50" s="814"/>
      <c r="T50" s="812"/>
      <c r="U50" s="556"/>
      <c r="V50" s="556"/>
      <c r="W50" s="556"/>
      <c r="X50" s="812"/>
      <c r="Y50" s="556"/>
      <c r="Z50" s="556"/>
      <c r="AA50" s="556"/>
    </row>
    <row r="51" spans="19:27">
      <c r="S51" s="811"/>
      <c r="T51" s="813"/>
      <c r="U51" s="561"/>
      <c r="V51" s="561"/>
      <c r="W51" s="561"/>
      <c r="X51" s="813"/>
      <c r="Y51" s="561"/>
      <c r="Z51" s="561"/>
      <c r="AA51" s="561"/>
    </row>
    <row r="52" spans="19:27">
      <c r="S52" s="811"/>
      <c r="T52" s="813"/>
      <c r="U52" s="561"/>
      <c r="V52" s="561"/>
      <c r="W52" s="561"/>
      <c r="X52" s="813"/>
      <c r="Y52" s="561"/>
      <c r="Z52" s="561"/>
      <c r="AA52" s="561"/>
    </row>
    <row r="53" spans="19:27">
      <c r="S53" s="811"/>
      <c r="T53" s="813"/>
      <c r="U53" s="561"/>
      <c r="V53" s="561"/>
      <c r="W53" s="561"/>
      <c r="X53" s="813"/>
      <c r="Y53" s="561"/>
      <c r="Z53" s="561"/>
      <c r="AA53" s="561"/>
    </row>
    <row r="54" spans="19:27">
      <c r="S54" s="811"/>
      <c r="T54" s="813"/>
      <c r="U54" s="561"/>
      <c r="V54" s="561"/>
      <c r="W54" s="561"/>
      <c r="X54" s="813"/>
      <c r="Y54" s="561"/>
      <c r="Z54" s="561"/>
      <c r="AA54" s="561"/>
    </row>
    <row r="55" spans="19:27">
      <c r="S55" s="811"/>
      <c r="T55" s="813"/>
      <c r="U55" s="561"/>
      <c r="V55" s="561"/>
      <c r="W55" s="561"/>
      <c r="X55" s="813"/>
      <c r="Y55" s="561"/>
      <c r="Z55" s="561"/>
      <c r="AA55" s="561"/>
    </row>
    <row r="56" spans="19:27">
      <c r="S56" s="811"/>
      <c r="T56" s="813"/>
      <c r="U56" s="561"/>
      <c r="V56" s="561"/>
      <c r="W56" s="561"/>
      <c r="X56" s="813"/>
      <c r="Y56" s="561"/>
      <c r="Z56" s="561"/>
      <c r="AA56" s="561"/>
    </row>
    <row r="57" spans="19:27">
      <c r="S57" s="811"/>
      <c r="T57" s="813"/>
      <c r="U57" s="561"/>
      <c r="V57" s="561"/>
      <c r="W57" s="561"/>
      <c r="X57" s="813"/>
      <c r="Y57" s="561"/>
      <c r="Z57" s="561"/>
      <c r="AA57" s="561"/>
    </row>
    <row r="58" spans="19:27">
      <c r="S58" s="811"/>
      <c r="T58" s="813"/>
      <c r="U58" s="561"/>
      <c r="V58" s="561"/>
      <c r="W58" s="561"/>
      <c r="X58" s="813"/>
      <c r="Y58" s="561"/>
      <c r="Z58" s="561"/>
      <c r="AA58" s="561"/>
    </row>
    <row r="59" spans="19:27">
      <c r="S59" s="811"/>
      <c r="T59" s="813"/>
      <c r="U59" s="561"/>
      <c r="V59" s="561"/>
      <c r="W59" s="561"/>
      <c r="X59" s="813"/>
      <c r="Y59" s="561"/>
      <c r="Z59" s="561"/>
      <c r="AA59" s="561"/>
    </row>
    <row r="60" spans="19:27">
      <c r="S60" s="811"/>
      <c r="T60" s="813"/>
      <c r="U60" s="561"/>
      <c r="V60" s="561"/>
      <c r="W60" s="561"/>
      <c r="X60" s="813"/>
      <c r="Y60" s="561"/>
      <c r="Z60" s="561"/>
      <c r="AA60" s="561"/>
    </row>
    <row r="61" spans="19:27">
      <c r="S61" s="811"/>
      <c r="T61" s="813"/>
      <c r="U61" s="561"/>
      <c r="V61" s="561"/>
      <c r="W61" s="561"/>
      <c r="X61" s="813"/>
      <c r="Y61" s="561"/>
      <c r="Z61" s="561"/>
      <c r="AA61" s="561"/>
    </row>
    <row r="62" spans="19:27">
      <c r="S62" s="811"/>
      <c r="T62" s="813"/>
      <c r="U62" s="561"/>
      <c r="V62" s="561"/>
      <c r="W62" s="561"/>
      <c r="X62" s="813"/>
      <c r="Y62" s="561"/>
      <c r="Z62" s="561"/>
      <c r="AA62" s="561"/>
    </row>
    <row r="63" spans="19:27">
      <c r="T63" s="806"/>
      <c r="X63" s="806"/>
    </row>
    <row r="65" spans="19:19">
      <c r="S65" s="815"/>
    </row>
    <row r="66" spans="19:19">
      <c r="S66" s="81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75"/>
  <sheetViews>
    <sheetView showGridLines="0" zoomScale="115" zoomScaleNormal="115" zoomScalePageLayoutView="115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customWidth="1" outlineLevel="1"/>
    <col min="18" max="18" width="1.44140625" customWidth="1" outlineLevel="1"/>
    <col min="19" max="22" width="11.77734375" customWidth="1" outlineLevel="1"/>
    <col min="23" max="23" width="9.6640625" style="677" bestFit="1" customWidth="1"/>
    <col min="24" max="24" width="10.109375" style="677" customWidth="1"/>
    <col min="25" max="37" width="13.109375" customWidth="1" outlineLevel="1"/>
    <col min="38" max="38" width="1.44140625" customWidth="1" outlineLevel="1"/>
    <col min="39" max="42" width="12.109375" customWidth="1" outlineLevel="1"/>
    <col min="43" max="43" width="9.6640625" style="677" bestFit="1" customWidth="1"/>
    <col min="44" max="44" width="9.44140625" style="677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7" customWidth="1"/>
    <col min="64" max="64" width="10.44140625" style="677"/>
    <col min="65" max="77" width="12.44140625" customWidth="1" outlineLevel="1"/>
    <col min="78" max="78" width="1.44140625" customWidth="1" outlineLevel="1"/>
    <col min="79" max="82" width="10.77734375" customWidth="1" outlineLevel="1"/>
    <col min="83" max="83" width="9.77734375" style="677" bestFit="1" customWidth="1"/>
    <col min="84" max="84" width="10.44140625" style="677"/>
    <col min="85" max="85" width="13.77734375" customWidth="1" outlineLevel="1"/>
    <col min="86" max="102" width="11.44140625" customWidth="1" outlineLevel="1"/>
    <col min="103" max="103" width="13.77734375" style="677" bestFit="1" customWidth="1"/>
    <col min="105" max="105" width="13.77734375" customWidth="1" outlineLevel="1"/>
    <col min="106" max="122" width="11.44140625" customWidth="1" outlineLevel="1"/>
    <col min="123" max="123" width="13.77734375" style="677" bestFit="1" customWidth="1"/>
  </cols>
  <sheetData>
    <row r="1" spans="2:123">
      <c r="E1" s="742" t="s">
        <v>153</v>
      </c>
      <c r="G1" s="802"/>
      <c r="W1" s="742" t="s">
        <v>153</v>
      </c>
      <c r="X1" s="637"/>
      <c r="Y1" s="742" t="s">
        <v>129</v>
      </c>
      <c r="AQ1" s="742" t="s">
        <v>129</v>
      </c>
      <c r="AR1" s="637"/>
      <c r="AS1" s="742" t="s">
        <v>9</v>
      </c>
      <c r="BK1" s="742" t="s">
        <v>9</v>
      </c>
      <c r="BM1" s="742" t="s">
        <v>130</v>
      </c>
      <c r="CE1" s="742" t="s">
        <v>130</v>
      </c>
      <c r="CG1" s="742" t="s">
        <v>154</v>
      </c>
      <c r="CY1" s="742" t="s">
        <v>154</v>
      </c>
      <c r="DA1" s="742" t="s">
        <v>139</v>
      </c>
      <c r="DS1" s="742" t="s">
        <v>139</v>
      </c>
    </row>
    <row r="2" spans="2:123">
      <c r="E2" s="758">
        <v>43101</v>
      </c>
      <c r="F2" s="758">
        <v>43132</v>
      </c>
      <c r="G2" s="758">
        <v>43160</v>
      </c>
      <c r="H2" s="758">
        <v>43191</v>
      </c>
      <c r="I2" s="758">
        <v>43221</v>
      </c>
      <c r="J2" s="758">
        <v>43252</v>
      </c>
      <c r="K2" s="758">
        <v>43282</v>
      </c>
      <c r="L2" s="758">
        <v>43313</v>
      </c>
      <c r="M2" s="758">
        <v>43344</v>
      </c>
      <c r="N2" s="758">
        <v>43374</v>
      </c>
      <c r="O2" s="758">
        <v>43405</v>
      </c>
      <c r="P2" s="758">
        <v>43435</v>
      </c>
      <c r="Q2" s="758" t="s">
        <v>0</v>
      </c>
      <c r="S2" s="758" t="s">
        <v>131</v>
      </c>
      <c r="T2" s="758" t="s">
        <v>132</v>
      </c>
      <c r="U2" s="758" t="s">
        <v>133</v>
      </c>
      <c r="V2" s="758" t="s">
        <v>134</v>
      </c>
      <c r="Y2" s="758">
        <v>43101</v>
      </c>
      <c r="Z2" s="758">
        <v>43132</v>
      </c>
      <c r="AA2" s="758">
        <v>43160</v>
      </c>
      <c r="AB2" s="758">
        <v>43191</v>
      </c>
      <c r="AC2" s="758">
        <v>43221</v>
      </c>
      <c r="AD2" s="758">
        <v>43252</v>
      </c>
      <c r="AE2" s="758">
        <v>43282</v>
      </c>
      <c r="AF2" s="758">
        <v>43313</v>
      </c>
      <c r="AG2" s="758">
        <v>43344</v>
      </c>
      <c r="AH2" s="758">
        <v>43374</v>
      </c>
      <c r="AI2" s="758">
        <v>43405</v>
      </c>
      <c r="AJ2" s="758">
        <v>43435</v>
      </c>
      <c r="AK2" s="758" t="s">
        <v>0</v>
      </c>
      <c r="AM2" s="758" t="s">
        <v>131</v>
      </c>
      <c r="AN2" s="758" t="s">
        <v>132</v>
      </c>
      <c r="AO2" s="758" t="s">
        <v>133</v>
      </c>
      <c r="AP2" s="758" t="s">
        <v>134</v>
      </c>
      <c r="AS2" s="758">
        <v>43101</v>
      </c>
      <c r="AT2" s="758">
        <v>43132</v>
      </c>
      <c r="AU2" s="758">
        <v>43160</v>
      </c>
      <c r="AV2" s="758">
        <v>43191</v>
      </c>
      <c r="AW2" s="758">
        <v>43221</v>
      </c>
      <c r="AX2" s="758">
        <v>43252</v>
      </c>
      <c r="AY2" s="758">
        <v>43282</v>
      </c>
      <c r="AZ2" s="758">
        <v>43313</v>
      </c>
      <c r="BA2" s="758">
        <v>43344</v>
      </c>
      <c r="BB2" s="758">
        <v>43374</v>
      </c>
      <c r="BC2" s="758">
        <v>43405</v>
      </c>
      <c r="BD2" s="758">
        <v>43435</v>
      </c>
      <c r="BE2" s="758" t="s">
        <v>0</v>
      </c>
      <c r="BG2" s="758" t="s">
        <v>131</v>
      </c>
      <c r="BH2" s="758" t="s">
        <v>132</v>
      </c>
      <c r="BI2" s="758" t="s">
        <v>133</v>
      </c>
      <c r="BJ2" s="758" t="s">
        <v>134</v>
      </c>
      <c r="BM2" s="758">
        <v>43101</v>
      </c>
      <c r="BN2" s="758">
        <v>43132</v>
      </c>
      <c r="BO2" s="758">
        <v>43160</v>
      </c>
      <c r="BP2" s="758">
        <v>43191</v>
      </c>
      <c r="BQ2" s="758">
        <v>43221</v>
      </c>
      <c r="BR2" s="758">
        <v>43252</v>
      </c>
      <c r="BS2" s="758">
        <v>43282</v>
      </c>
      <c r="BT2" s="758">
        <v>43313</v>
      </c>
      <c r="BU2" s="758">
        <v>43344</v>
      </c>
      <c r="BV2" s="758">
        <v>43374</v>
      </c>
      <c r="BW2" s="758">
        <v>43405</v>
      </c>
      <c r="BX2" s="758">
        <v>43435</v>
      </c>
      <c r="BY2" s="758" t="s">
        <v>0</v>
      </c>
      <c r="CA2" s="758" t="s">
        <v>131</v>
      </c>
      <c r="CB2" s="758" t="s">
        <v>132</v>
      </c>
      <c r="CC2" s="758" t="s">
        <v>133</v>
      </c>
      <c r="CD2" s="758" t="s">
        <v>134</v>
      </c>
      <c r="CG2" s="758">
        <v>43101</v>
      </c>
      <c r="CH2" s="758">
        <v>43132</v>
      </c>
      <c r="CI2" s="758">
        <v>43160</v>
      </c>
      <c r="CJ2" s="758">
        <v>43191</v>
      </c>
      <c r="CK2" s="758">
        <v>43221</v>
      </c>
      <c r="CL2" s="758">
        <v>43252</v>
      </c>
      <c r="CM2" s="758">
        <v>43282</v>
      </c>
      <c r="CN2" s="758">
        <v>43313</v>
      </c>
      <c r="CO2" s="758">
        <v>43344</v>
      </c>
      <c r="CP2" s="758">
        <v>43374</v>
      </c>
      <c r="CQ2" s="758">
        <v>43405</v>
      </c>
      <c r="CR2" s="758">
        <v>43435</v>
      </c>
      <c r="CS2" s="758" t="s">
        <v>0</v>
      </c>
      <c r="CU2" s="758" t="s">
        <v>131</v>
      </c>
      <c r="CV2" s="758" t="s">
        <v>132</v>
      </c>
      <c r="CW2" s="758" t="s">
        <v>133</v>
      </c>
      <c r="CX2" s="758" t="s">
        <v>134</v>
      </c>
      <c r="DA2" s="758">
        <v>43101</v>
      </c>
      <c r="DB2" s="758">
        <v>43132</v>
      </c>
      <c r="DC2" s="758">
        <v>43160</v>
      </c>
      <c r="DD2" s="758">
        <v>43191</v>
      </c>
      <c r="DE2" s="758">
        <v>43221</v>
      </c>
      <c r="DF2" s="758">
        <v>43252</v>
      </c>
      <c r="DG2" s="758">
        <v>43282</v>
      </c>
      <c r="DH2" s="758">
        <v>43313</v>
      </c>
      <c r="DI2" s="758">
        <v>43344</v>
      </c>
      <c r="DJ2" s="758">
        <v>43374</v>
      </c>
      <c r="DK2" s="758">
        <v>43405</v>
      </c>
      <c r="DL2" s="758">
        <v>43435</v>
      </c>
      <c r="DM2" s="758" t="s">
        <v>0</v>
      </c>
      <c r="DO2" s="758" t="s">
        <v>131</v>
      </c>
      <c r="DP2" s="758" t="s">
        <v>132</v>
      </c>
      <c r="DQ2" s="758" t="s">
        <v>133</v>
      </c>
      <c r="DR2" s="758" t="s">
        <v>134</v>
      </c>
    </row>
    <row r="3" spans="2:123">
      <c r="B3" s="551" t="s">
        <v>128</v>
      </c>
      <c r="C3" s="751" t="s">
        <v>135</v>
      </c>
      <c r="D3" s="752"/>
      <c r="E3" s="768">
        <f>SUBTOTAL(9,E4:E7)</f>
        <v>132087.86517872504</v>
      </c>
      <c r="F3" s="768">
        <f t="shared" ref="F3:G3" si="0">SUBTOTAL(9,F4:F7)</f>
        <v>117889.55269470977</v>
      </c>
      <c r="G3" s="768">
        <f t="shared" si="0"/>
        <v>145499.9900912302</v>
      </c>
      <c r="H3" s="768">
        <f>SUBTOTAL(9,H4:H7)</f>
        <v>152775.16556931601</v>
      </c>
      <c r="I3" s="768">
        <f t="shared" ref="I3:J3" si="1">SUBTOTAL(9,I4:I7)</f>
        <v>165512.49977376132</v>
      </c>
      <c r="J3" s="768">
        <f t="shared" si="1"/>
        <v>162432.71618750572</v>
      </c>
      <c r="K3" s="768">
        <f>SUBTOTAL(9,K4:K7)</f>
        <v>175374.51575425616</v>
      </c>
      <c r="L3" s="768">
        <f t="shared" ref="L3:M3" si="2">SUBTOTAL(9,L4:L7)</f>
        <v>173737.42579748784</v>
      </c>
      <c r="M3" s="768">
        <f t="shared" si="2"/>
        <v>183302.8123550149</v>
      </c>
      <c r="N3" s="768">
        <f>SUBTOTAL(9,N4:N7)</f>
        <v>196681.67723133019</v>
      </c>
      <c r="O3" s="768">
        <f t="shared" ref="O3:Q3" si="3">SUBTOTAL(9,O4:O7)</f>
        <v>200726.85249121307</v>
      </c>
      <c r="P3" s="768">
        <f t="shared" si="3"/>
        <v>222801.24526898691</v>
      </c>
      <c r="Q3" s="768">
        <f t="shared" si="3"/>
        <v>2028822.3183935368</v>
      </c>
      <c r="S3" s="760">
        <f t="shared" ref="S3:V3" si="4">SUBTOTAL(9,S4:S7)</f>
        <v>395477.40796466504</v>
      </c>
      <c r="T3" s="760">
        <f t="shared" si="4"/>
        <v>480720.38153058308</v>
      </c>
      <c r="U3" s="760">
        <f t="shared" si="4"/>
        <v>532414.75390675897</v>
      </c>
      <c r="V3" s="760">
        <f t="shared" si="4"/>
        <v>620209.77499153011</v>
      </c>
      <c r="Y3" s="768">
        <f>SUBTOTAL(9,Y4:Y7)</f>
        <v>168676.17978830374</v>
      </c>
      <c r="Z3" s="768">
        <f t="shared" ref="Z3:AA3" si="5">SUBTOTAL(9,Z4:Z7)</f>
        <v>150544.93733083975</v>
      </c>
      <c r="AA3" s="768">
        <f t="shared" si="5"/>
        <v>185803.46086006478</v>
      </c>
      <c r="AB3" s="768">
        <f>SUBTOTAL(9,AB4:AB7)</f>
        <v>195093.85862122654</v>
      </c>
      <c r="AC3" s="768">
        <f t="shared" ref="AC3:AD3" si="6">SUBTOTAL(9,AC4:AC7)</f>
        <v>211359.43208163226</v>
      </c>
      <c r="AD3" s="768">
        <f t="shared" si="6"/>
        <v>207426.54900261966</v>
      </c>
      <c r="AE3" s="768">
        <f>SUBTOTAL(9,AE4:AE7)</f>
        <v>223953.22469346874</v>
      </c>
      <c r="AF3" s="768">
        <f t="shared" ref="AF3:AG3" si="7">SUBTOTAL(9,AF4:AF7)</f>
        <v>221862.66111668717</v>
      </c>
      <c r="AG3" s="768">
        <f t="shared" si="7"/>
        <v>234077.65800939139</v>
      </c>
      <c r="AH3" s="768">
        <f>SUBTOTAL(9,AH4:AH7)</f>
        <v>251162.46602099258</v>
      </c>
      <c r="AI3" s="768">
        <f t="shared" ref="AI3:AK3" si="8">SUBTOTAL(9,AI4:AI7)</f>
        <v>239720.74276886345</v>
      </c>
      <c r="AJ3" s="768">
        <f t="shared" si="8"/>
        <v>252780.02052217451</v>
      </c>
      <c r="AK3" s="768">
        <f t="shared" si="8"/>
        <v>2542461.1908162641</v>
      </c>
      <c r="AM3" s="760">
        <f t="shared" ref="AM3:AP3" si="9">SUBTOTAL(9,AM4:AM7)</f>
        <v>505024.57797920826</v>
      </c>
      <c r="AN3" s="760">
        <f t="shared" si="9"/>
        <v>613879.83970547852</v>
      </c>
      <c r="AO3" s="760">
        <f t="shared" si="9"/>
        <v>679893.54381954728</v>
      </c>
      <c r="AP3" s="760">
        <f t="shared" si="9"/>
        <v>743663.22931203048</v>
      </c>
      <c r="AS3" s="768">
        <f>SUBTOTAL(9,AS4:AS7)-17531.19</f>
        <v>144173.58447999999</v>
      </c>
      <c r="AT3" s="768">
        <f t="shared" ref="AT3:AU3" si="10">SUBTOTAL(9,AT4:AT7)</f>
        <v>132341.36360700001</v>
      </c>
      <c r="AU3" s="768">
        <f t="shared" si="10"/>
        <v>203483.48640799994</v>
      </c>
      <c r="AV3" s="768">
        <f>SUBTOTAL(9,AV4:AV7)</f>
        <v>288668.10000000003</v>
      </c>
      <c r="AW3" s="768">
        <f t="shared" ref="AW3:AX3" si="11">SUBTOTAL(9,AW4:AW7)</f>
        <v>382814.50000000012</v>
      </c>
      <c r="AX3" s="768">
        <f t="shared" si="11"/>
        <v>0</v>
      </c>
      <c r="AY3" s="768">
        <f>SUBTOTAL(9,AY4:AY7)</f>
        <v>0</v>
      </c>
      <c r="AZ3" s="768">
        <f t="shared" ref="AZ3:BA3" si="12">SUBTOTAL(9,AZ4:AZ7)</f>
        <v>0</v>
      </c>
      <c r="BA3" s="768">
        <f t="shared" si="12"/>
        <v>0</v>
      </c>
      <c r="BB3" s="768">
        <f>SUBTOTAL(9,BB4:BB7)</f>
        <v>0</v>
      </c>
      <c r="BC3" s="768">
        <f t="shared" ref="BC3:BE3" si="13">SUBTOTAL(9,BC4:BC7)</f>
        <v>0</v>
      </c>
      <c r="BD3" s="768">
        <f t="shared" si="13"/>
        <v>0</v>
      </c>
      <c r="BE3" s="768">
        <f t="shared" si="13"/>
        <v>1169012.2244950002</v>
      </c>
      <c r="BG3" s="760">
        <f t="shared" ref="BG3:BJ3" si="14">SUBTOTAL(9,BG4:BG7)</f>
        <v>497529.624495</v>
      </c>
      <c r="BH3" s="760">
        <f t="shared" si="14"/>
        <v>671482.60000000009</v>
      </c>
      <c r="BI3" s="760">
        <f t="shared" si="14"/>
        <v>0</v>
      </c>
      <c r="BJ3" s="760">
        <f t="shared" si="14"/>
        <v>0</v>
      </c>
      <c r="BM3" s="768">
        <f>SUBTOTAL(9,BM4:BM7)</f>
        <v>29616.909301274954</v>
      </c>
      <c r="BN3" s="768">
        <f t="shared" ref="BN3:BO3" si="15">SUBTOTAL(9,BN4:BN7)</f>
        <v>14451.810912290233</v>
      </c>
      <c r="BO3" s="768">
        <f t="shared" si="15"/>
        <v>57983.496316769742</v>
      </c>
      <c r="BP3" s="768">
        <f>SUBTOTAL(9,BP4:BP7)</f>
        <v>135892.93443068402</v>
      </c>
      <c r="BQ3" s="768">
        <f t="shared" ref="BQ3:BR3" si="16">SUBTOTAL(9,BQ4:BQ7)</f>
        <v>217302.00022623877</v>
      </c>
      <c r="BR3" s="768">
        <f t="shared" si="16"/>
        <v>0</v>
      </c>
      <c r="BS3" s="768">
        <f>SUBTOTAL(9,BS4:BS7)</f>
        <v>0</v>
      </c>
      <c r="BT3" s="768">
        <f t="shared" ref="BT3:BU3" si="17">SUBTOTAL(9,BT4:BT7)</f>
        <v>0</v>
      </c>
      <c r="BU3" s="768">
        <f t="shared" si="17"/>
        <v>0</v>
      </c>
      <c r="BV3" s="768">
        <f>SUBTOTAL(9,BV4:BV7)</f>
        <v>0</v>
      </c>
      <c r="BW3" s="768">
        <f t="shared" ref="BW3:BY3" si="18">SUBTOTAL(9,BW4:BW7)</f>
        <v>0</v>
      </c>
      <c r="BX3" s="768">
        <f t="shared" si="18"/>
        <v>0</v>
      </c>
      <c r="BY3" s="768">
        <f t="shared" si="18"/>
        <v>455247.15118725772</v>
      </c>
      <c r="CA3" s="760">
        <f t="shared" ref="CA3:CD3" si="19">SUBTOTAL(9,CA4:CA7)</f>
        <v>102052.21653033493</v>
      </c>
      <c r="CB3" s="760">
        <f t="shared" si="19"/>
        <v>353194.93465692276</v>
      </c>
      <c r="CC3" s="760">
        <f t="shared" si="19"/>
        <v>0</v>
      </c>
      <c r="CD3" s="760">
        <f t="shared" si="19"/>
        <v>0</v>
      </c>
      <c r="CG3" s="784">
        <f t="shared" ref="CG3:CS7" si="20">IFERROR(AS3/E3,0)</f>
        <v>1.0914975746252091</v>
      </c>
      <c r="CH3" s="784">
        <f t="shared" si="20"/>
        <v>1.1225877152126877</v>
      </c>
      <c r="CI3" s="784">
        <f t="shared" si="20"/>
        <v>1.3985120293163829</v>
      </c>
      <c r="CJ3" s="784">
        <f t="shared" si="20"/>
        <v>1.8894962340526982</v>
      </c>
      <c r="CK3" s="784">
        <f t="shared" si="20"/>
        <v>2.312903862386638</v>
      </c>
      <c r="CL3" s="784">
        <f t="shared" si="20"/>
        <v>0</v>
      </c>
      <c r="CM3" s="784">
        <f t="shared" si="20"/>
        <v>0</v>
      </c>
      <c r="CN3" s="784">
        <f t="shared" si="20"/>
        <v>0</v>
      </c>
      <c r="CO3" s="784">
        <f t="shared" si="20"/>
        <v>0</v>
      </c>
      <c r="CP3" s="784">
        <f t="shared" si="20"/>
        <v>0</v>
      </c>
      <c r="CQ3" s="784">
        <f t="shared" si="20"/>
        <v>0</v>
      </c>
      <c r="CR3" s="784">
        <f t="shared" si="20"/>
        <v>0</v>
      </c>
      <c r="CS3" s="784">
        <f t="shared" si="20"/>
        <v>0.57620236818995962</v>
      </c>
      <c r="CT3" s="633"/>
      <c r="CU3" s="781">
        <f t="shared" ref="CU3:CX7" si="21">IFERROR(BG3/S3,0)</f>
        <v>1.2580481576825069</v>
      </c>
      <c r="CV3" s="781">
        <f t="shared" si="21"/>
        <v>1.3968257344571957</v>
      </c>
      <c r="CW3" s="781">
        <f t="shared" si="21"/>
        <v>0</v>
      </c>
      <c r="CX3" s="781">
        <f t="shared" si="21"/>
        <v>0</v>
      </c>
      <c r="DA3" s="784">
        <f t="shared" ref="DA3" si="22">IFERROR(AS3/Y3,0)</f>
        <v>0.85473588897344244</v>
      </c>
      <c r="DB3" s="784">
        <f t="shared" ref="DB3:DB7" si="23">IFERROR(AT3/Z3,0)</f>
        <v>0.87908212626350024</v>
      </c>
      <c r="DC3" s="784">
        <f t="shared" ref="DC3:DC7" si="24">IFERROR(AU3/AA3,0)</f>
        <v>1.0951544468875669</v>
      </c>
      <c r="DD3" s="784">
        <f t="shared" ref="DD3:DD7" si="25">IFERROR(AV3/AB3,0)</f>
        <v>1.479637042601363</v>
      </c>
      <c r="DE3" s="784">
        <f t="shared" ref="DE3:DE7" si="26">IFERROR(AW3/AC3,0)</f>
        <v>1.8112014033617749</v>
      </c>
      <c r="DF3" s="784">
        <f t="shared" ref="DF3:DF7" si="27">IFERROR(AX3/AD3,0)</f>
        <v>0</v>
      </c>
      <c r="DG3" s="784">
        <f t="shared" ref="DG3:DG7" si="28">IFERROR(AY3/AE3,0)</f>
        <v>0</v>
      </c>
      <c r="DH3" s="784">
        <f t="shared" ref="DH3:DH7" si="29">IFERROR(AZ3/AF3,0)</f>
        <v>0</v>
      </c>
      <c r="DI3" s="784">
        <f t="shared" ref="DI3:DI7" si="30">IFERROR(BA3/AG3,0)</f>
        <v>0</v>
      </c>
      <c r="DJ3" s="784">
        <f t="shared" ref="DJ3:DJ7" si="31">IFERROR(BB3/AH3,0)</f>
        <v>0</v>
      </c>
      <c r="DK3" s="784">
        <f t="shared" ref="DK3:DK7" si="32">IFERROR(BC3/AI3,0)</f>
        <v>0</v>
      </c>
      <c r="DL3" s="784">
        <f t="shared" ref="DL3:DL7" si="33">IFERROR(BD3/AJ3,0)</f>
        <v>0</v>
      </c>
      <c r="DM3" s="784">
        <f t="shared" ref="DM3:DM7" si="34">IFERROR(BE3/AK3,0)</f>
        <v>0.45979550394619223</v>
      </c>
      <c r="DN3" s="633"/>
      <c r="DO3" s="781">
        <f t="shared" ref="DO3:DR7" si="35">IFERROR(CA3/AM3,0)</f>
        <v>0.20207376230813145</v>
      </c>
      <c r="DP3" s="781">
        <f t="shared" si="35"/>
        <v>0.57534864612327929</v>
      </c>
      <c r="DQ3" s="781">
        <f t="shared" si="35"/>
        <v>0</v>
      </c>
      <c r="DR3" s="781">
        <f t="shared" si="35"/>
        <v>0</v>
      </c>
    </row>
    <row r="4" spans="2:123" hidden="1">
      <c r="C4" s="753"/>
      <c r="D4" s="754"/>
      <c r="E4" s="796"/>
      <c r="F4" s="796"/>
      <c r="G4" s="796"/>
      <c r="H4" s="762"/>
      <c r="I4" s="762"/>
      <c r="J4" s="762"/>
      <c r="K4" s="762"/>
      <c r="L4" s="762"/>
      <c r="M4" s="762"/>
      <c r="N4" s="762"/>
      <c r="O4" s="762"/>
      <c r="P4" s="762"/>
      <c r="Q4" s="763"/>
      <c r="R4" s="677"/>
      <c r="S4" s="762"/>
      <c r="T4" s="762"/>
      <c r="U4" s="762"/>
      <c r="V4" s="762"/>
      <c r="X4" s="721"/>
      <c r="Y4" s="796"/>
      <c r="Z4" s="796"/>
      <c r="AA4" s="796"/>
      <c r="AB4" s="762"/>
      <c r="AC4" s="762"/>
      <c r="AD4" s="762"/>
      <c r="AE4" s="762"/>
      <c r="AF4" s="762"/>
      <c r="AG4" s="762"/>
      <c r="AH4" s="762"/>
      <c r="AI4" s="762"/>
      <c r="AJ4" s="762"/>
      <c r="AK4" s="763"/>
      <c r="AL4" s="677"/>
      <c r="AM4" s="762"/>
      <c r="AN4" s="762"/>
      <c r="AO4" s="762"/>
      <c r="AP4" s="762"/>
      <c r="AR4" s="721"/>
      <c r="AS4" s="785"/>
      <c r="AT4" s="785"/>
      <c r="AU4" s="785"/>
      <c r="AV4" s="785"/>
      <c r="AW4" s="762"/>
      <c r="AX4" s="762"/>
      <c r="AY4" s="762"/>
      <c r="AZ4" s="762"/>
      <c r="BA4" s="762"/>
      <c r="BB4" s="762"/>
      <c r="BC4" s="762"/>
      <c r="BD4" s="762"/>
      <c r="BE4" s="763"/>
      <c r="BF4" s="677"/>
      <c r="BG4" s="762"/>
      <c r="BH4" s="762"/>
      <c r="BI4" s="762"/>
      <c r="BJ4" s="762"/>
      <c r="BM4" s="796"/>
      <c r="BN4" s="796"/>
      <c r="BO4" s="796"/>
      <c r="BP4" s="762"/>
      <c r="BQ4" s="762"/>
      <c r="BR4" s="762"/>
      <c r="BS4" s="762"/>
      <c r="BT4" s="762"/>
      <c r="BU4" s="762"/>
      <c r="BV4" s="762"/>
      <c r="BW4" s="762"/>
      <c r="BX4" s="762"/>
      <c r="BY4" s="763"/>
      <c r="BZ4" s="677"/>
      <c r="CA4" s="762"/>
      <c r="CB4" s="762"/>
      <c r="CC4" s="762"/>
      <c r="CD4" s="762"/>
      <c r="CG4" s="799"/>
      <c r="CH4" s="799"/>
      <c r="CI4" s="799"/>
      <c r="CJ4" s="786"/>
      <c r="CK4" s="786"/>
      <c r="CL4" s="786"/>
      <c r="CM4" s="786"/>
      <c r="CN4" s="786"/>
      <c r="CO4" s="786"/>
      <c r="CP4" s="786"/>
      <c r="CQ4" s="786"/>
      <c r="CR4" s="786"/>
      <c r="CS4" s="787"/>
      <c r="CT4" s="788"/>
      <c r="CU4" s="786"/>
      <c r="CV4" s="786"/>
      <c r="CW4" s="786"/>
      <c r="CX4" s="786"/>
      <c r="DA4" s="799"/>
      <c r="DB4" s="799"/>
      <c r="DC4" s="799"/>
      <c r="DD4" s="786"/>
      <c r="DE4" s="786"/>
      <c r="DF4" s="786"/>
      <c r="DG4" s="786"/>
      <c r="DH4" s="786"/>
      <c r="DI4" s="786"/>
      <c r="DJ4" s="786"/>
      <c r="DK4" s="786"/>
      <c r="DL4" s="786"/>
      <c r="DM4" s="787"/>
      <c r="DN4" s="788"/>
      <c r="DO4" s="786"/>
      <c r="DP4" s="786"/>
      <c r="DQ4" s="786"/>
      <c r="DR4" s="786"/>
    </row>
    <row r="5" spans="2:123" hidden="1">
      <c r="C5" s="753"/>
      <c r="D5" s="754"/>
      <c r="E5" s="796"/>
      <c r="F5" s="796"/>
      <c r="G5" s="796"/>
      <c r="H5" s="762"/>
      <c r="I5" s="762"/>
      <c r="J5" s="762"/>
      <c r="K5" s="762"/>
      <c r="L5" s="762"/>
      <c r="M5" s="762"/>
      <c r="N5" s="762"/>
      <c r="O5" s="762"/>
      <c r="P5" s="762"/>
      <c r="Q5" s="763"/>
      <c r="R5" s="677"/>
      <c r="S5" s="762"/>
      <c r="T5" s="762"/>
      <c r="U5" s="762"/>
      <c r="V5" s="762"/>
      <c r="X5" s="721"/>
      <c r="Y5" s="796"/>
      <c r="Z5" s="796"/>
      <c r="AA5" s="796"/>
      <c r="AB5" s="762"/>
      <c r="AC5" s="762"/>
      <c r="AD5" s="762"/>
      <c r="AE5" s="762"/>
      <c r="AF5" s="762"/>
      <c r="AG5" s="762"/>
      <c r="AH5" s="762"/>
      <c r="AI5" s="762"/>
      <c r="AJ5" s="762"/>
      <c r="AK5" s="763"/>
      <c r="AL5" s="677"/>
      <c r="AM5" s="762"/>
      <c r="AN5" s="762"/>
      <c r="AO5" s="762"/>
      <c r="AP5" s="762"/>
      <c r="AR5" s="721"/>
      <c r="AS5" s="785"/>
      <c r="AT5" s="785"/>
      <c r="AU5" s="785"/>
      <c r="AV5" s="785"/>
      <c r="AW5" s="762"/>
      <c r="AX5" s="762"/>
      <c r="AY5" s="762"/>
      <c r="AZ5" s="762"/>
      <c r="BA5" s="762"/>
      <c r="BB5" s="762"/>
      <c r="BC5" s="762"/>
      <c r="BD5" s="762"/>
      <c r="BE5" s="763"/>
      <c r="BF5" s="677"/>
      <c r="BG5" s="762"/>
      <c r="BH5" s="762"/>
      <c r="BI5" s="762"/>
      <c r="BJ5" s="762"/>
      <c r="BM5" s="796"/>
      <c r="BN5" s="796"/>
      <c r="BO5" s="796"/>
      <c r="BP5" s="762"/>
      <c r="BQ5" s="762"/>
      <c r="BR5" s="762"/>
      <c r="BS5" s="762"/>
      <c r="BT5" s="762"/>
      <c r="BU5" s="762"/>
      <c r="BV5" s="762"/>
      <c r="BW5" s="762"/>
      <c r="BX5" s="762"/>
      <c r="BY5" s="763"/>
      <c r="BZ5" s="677"/>
      <c r="CA5" s="762"/>
      <c r="CB5" s="762"/>
      <c r="CC5" s="762"/>
      <c r="CD5" s="762"/>
      <c r="CG5" s="799"/>
      <c r="CH5" s="799"/>
      <c r="CI5" s="799"/>
      <c r="CJ5" s="786"/>
      <c r="CK5" s="786"/>
      <c r="CL5" s="786"/>
      <c r="CM5" s="786"/>
      <c r="CN5" s="786"/>
      <c r="CO5" s="786"/>
      <c r="CP5" s="786"/>
      <c r="CQ5" s="786"/>
      <c r="CR5" s="786"/>
      <c r="CS5" s="787"/>
      <c r="CT5" s="788"/>
      <c r="CU5" s="786"/>
      <c r="CV5" s="786"/>
      <c r="CW5" s="786"/>
      <c r="CX5" s="786"/>
      <c r="DA5" s="799"/>
      <c r="DB5" s="799"/>
      <c r="DC5" s="799"/>
      <c r="DD5" s="786"/>
      <c r="DE5" s="786"/>
      <c r="DF5" s="786"/>
      <c r="DG5" s="786"/>
      <c r="DH5" s="786"/>
      <c r="DI5" s="786"/>
      <c r="DJ5" s="786"/>
      <c r="DK5" s="786"/>
      <c r="DL5" s="786"/>
      <c r="DM5" s="787"/>
      <c r="DN5" s="788"/>
      <c r="DO5" s="786"/>
      <c r="DP5" s="786"/>
      <c r="DQ5" s="786"/>
      <c r="DR5" s="786"/>
    </row>
    <row r="6" spans="2:123">
      <c r="C6" s="753" t="s">
        <v>147</v>
      </c>
      <c r="D6" s="754" t="s">
        <v>70</v>
      </c>
      <c r="E6" s="796">
        <v>118464.40869439059</v>
      </c>
      <c r="F6" s="796">
        <v>105730.50092321732</v>
      </c>
      <c r="G6" s="796">
        <v>130493.21576872235</v>
      </c>
      <c r="H6" s="762">
        <v>137018.03438088796</v>
      </c>
      <c r="I6" s="762">
        <v>148441.64822180182</v>
      </c>
      <c r="J6" s="762">
        <v>145679.5115110692</v>
      </c>
      <c r="K6" s="762">
        <v>157286.50228983568</v>
      </c>
      <c r="L6" s="762">
        <v>155818.26072619413</v>
      </c>
      <c r="M6" s="762">
        <v>164397.07953697184</v>
      </c>
      <c r="N6" s="762">
        <v>176396.05699360892</v>
      </c>
      <c r="O6" s="762">
        <v>180024.01550878966</v>
      </c>
      <c r="P6" s="762">
        <v>199821.66977603344</v>
      </c>
      <c r="Q6" s="763">
        <f t="shared" ref="Q5:Q7" si="36">SUM(E6:P6)</f>
        <v>1819570.9043315225</v>
      </c>
      <c r="R6" s="677"/>
      <c r="S6" s="762">
        <f>SUM(E6:G6)</f>
        <v>354688.12538633024</v>
      </c>
      <c r="T6" s="762">
        <f>SUM(H6:J6)</f>
        <v>431139.19411375897</v>
      </c>
      <c r="U6" s="762">
        <f>SUM(K6:M6)</f>
        <v>477501.84255300171</v>
      </c>
      <c r="V6" s="762">
        <f>SUM(N6:P6)</f>
        <v>556241.74227843201</v>
      </c>
      <c r="X6" s="721" t="s">
        <v>70</v>
      </c>
      <c r="Y6" s="796">
        <v>154793.67520307176</v>
      </c>
      <c r="Z6" s="796">
        <v>138154.68290723464</v>
      </c>
      <c r="AA6" s="796">
        <v>170511.33484334385</v>
      </c>
      <c r="AB6" s="762">
        <v>179037.10780875894</v>
      </c>
      <c r="AC6" s="762">
        <v>193963.98069846816</v>
      </c>
      <c r="AD6" s="762">
        <v>190354.78450545273</v>
      </c>
      <c r="AE6" s="762">
        <v>205521.27020774028</v>
      </c>
      <c r="AF6" s="762">
        <v>203602.76565243295</v>
      </c>
      <c r="AG6" s="762">
        <v>214812.43535202442</v>
      </c>
      <c r="AH6" s="762">
        <v>230491.11757955499</v>
      </c>
      <c r="AI6" s="762">
        <v>219991.07901408401</v>
      </c>
      <c r="AJ6" s="762">
        <v>231975.54298208351</v>
      </c>
      <c r="AK6" s="763">
        <f t="shared" ref="AK5:AK7" si="37">SUM(Y6:AJ6)</f>
        <v>2333209.7767542498</v>
      </c>
      <c r="AL6" s="677"/>
      <c r="AM6" s="762">
        <f t="shared" ref="AM5:AM7" si="38">SUM(Y6:AA6)</f>
        <v>463459.69295365026</v>
      </c>
      <c r="AN6" s="762">
        <f t="shared" ref="AN5:AN7" si="39">SUM(AB6:AD6)</f>
        <v>563355.87301267986</v>
      </c>
      <c r="AO6" s="762">
        <f>SUM(AE6:AG6)</f>
        <v>623936.47121219768</v>
      </c>
      <c r="AP6" s="762">
        <f t="shared" ref="AP5:AP7" si="40">SUM(AH6:AJ6)</f>
        <v>682457.73957572249</v>
      </c>
      <c r="AR6" s="721" t="s">
        <v>70</v>
      </c>
      <c r="AS6" s="785">
        <v>146115.793493</v>
      </c>
      <c r="AT6" s="785">
        <v>116245.57551000001</v>
      </c>
      <c r="AU6" s="785">
        <v>166621.43036999996</v>
      </c>
      <c r="AV6" s="785">
        <v>167993.08000000002</v>
      </c>
      <c r="AW6" s="762">
        <f t="array" ref="AW6:BD6">TRANSPOSE('VN_YouTube Performance'!H10:H17)</f>
        <v>206786.54000000004</v>
      </c>
      <c r="AX6" s="762">
        <v>0</v>
      </c>
      <c r="AY6" s="762">
        <v>0</v>
      </c>
      <c r="AZ6" s="762">
        <v>0</v>
      </c>
      <c r="BA6" s="762">
        <v>0</v>
      </c>
      <c r="BB6" s="762">
        <v>0</v>
      </c>
      <c r="BC6" s="762">
        <v>0</v>
      </c>
      <c r="BD6" s="762">
        <v>0</v>
      </c>
      <c r="BE6" s="763">
        <f t="shared" ref="BE5:BE7" si="41">SUM(AS6:BD6)</f>
        <v>803762.41937300004</v>
      </c>
      <c r="BF6" s="677"/>
      <c r="BG6" s="762">
        <f t="shared" ref="BG5:BG7" si="42">SUM(AS6:AU6)</f>
        <v>428982.79937299999</v>
      </c>
      <c r="BH6" s="762">
        <f t="shared" ref="BH5:BH7" si="43">SUM(AV6:AX6)</f>
        <v>374779.62000000005</v>
      </c>
      <c r="BI6" s="762">
        <f t="shared" ref="BI6:BI7" si="44">SUM(AY6:BA6)</f>
        <v>0</v>
      </c>
      <c r="BJ6" s="762">
        <f t="shared" ref="BJ5:BJ7" si="45">SUM(BB6:BD6)</f>
        <v>0</v>
      </c>
      <c r="BM6" s="796">
        <f t="shared" ref="BM4:BQ7" si="46">AS6-E6</f>
        <v>27651.384798609419</v>
      </c>
      <c r="BN6" s="796">
        <f t="shared" si="46"/>
        <v>10515.074586782692</v>
      </c>
      <c r="BO6" s="796">
        <f t="shared" si="46"/>
        <v>36128.214601277607</v>
      </c>
      <c r="BP6" s="762">
        <f t="shared" si="46"/>
        <v>30975.045619112061</v>
      </c>
      <c r="BQ6" s="762">
        <f t="shared" si="46"/>
        <v>58344.891778198216</v>
      </c>
      <c r="BR6" s="762"/>
      <c r="BS6" s="762"/>
      <c r="BT6" s="762"/>
      <c r="BU6" s="762"/>
      <c r="BV6" s="762"/>
      <c r="BW6" s="762"/>
      <c r="BX6" s="762"/>
      <c r="BY6" s="763">
        <f t="shared" ref="BY5:BY7" si="47">SUM(BM6:BX6)</f>
        <v>163614.61138397999</v>
      </c>
      <c r="BZ6" s="677"/>
      <c r="CA6" s="762">
        <f t="shared" ref="CA5:CA7" si="48">SUM(BM6:BO6)</f>
        <v>74294.673986669717</v>
      </c>
      <c r="CB6" s="762">
        <f t="shared" ref="CB5:CB7" si="49">SUM(BP6:BR6)</f>
        <v>89319.937397310277</v>
      </c>
      <c r="CC6" s="762">
        <f t="shared" ref="CC6:CC7" si="50">SUM(BS6:BU6)</f>
        <v>0</v>
      </c>
      <c r="CD6" s="762">
        <f t="shared" ref="CD5:CD7" si="51">SUM(BV6:BX6)</f>
        <v>0</v>
      </c>
      <c r="CG6" s="799">
        <f t="shared" si="20"/>
        <v>1.233415125296774</v>
      </c>
      <c r="CH6" s="799">
        <f t="shared" si="20"/>
        <v>1.0994516671629018</v>
      </c>
      <c r="CI6" s="799">
        <f t="shared" si="20"/>
        <v>1.2768589492446021</v>
      </c>
      <c r="CJ6" s="786">
        <f t="shared" si="20"/>
        <v>1.2260654647329596</v>
      </c>
      <c r="CK6" s="786">
        <f t="shared" si="20"/>
        <v>1.3930493394348409</v>
      </c>
      <c r="CL6" s="786">
        <f t="shared" si="20"/>
        <v>0</v>
      </c>
      <c r="CM6" s="786">
        <f t="shared" si="20"/>
        <v>0</v>
      </c>
      <c r="CN6" s="786">
        <f t="shared" si="20"/>
        <v>0</v>
      </c>
      <c r="CO6" s="786">
        <f t="shared" si="20"/>
        <v>0</v>
      </c>
      <c r="CP6" s="786">
        <f t="shared" si="20"/>
        <v>0</v>
      </c>
      <c r="CQ6" s="786">
        <f t="shared" si="20"/>
        <v>0</v>
      </c>
      <c r="CR6" s="786">
        <f t="shared" si="20"/>
        <v>0</v>
      </c>
      <c r="CS6" s="787">
        <f t="shared" si="20"/>
        <v>0.44173184867906418</v>
      </c>
      <c r="CT6" s="788"/>
      <c r="CU6" s="786">
        <f t="shared" si="21"/>
        <v>1.2094647908095235</v>
      </c>
      <c r="CV6" s="786">
        <f t="shared" si="21"/>
        <v>0.86927754450715033</v>
      </c>
      <c r="CW6" s="786">
        <f t="shared" si="21"/>
        <v>0</v>
      </c>
      <c r="CX6" s="786">
        <f t="shared" si="21"/>
        <v>0</v>
      </c>
      <c r="DA6" s="799">
        <f t="shared" ref="DA5:DA7" si="52">IFERROR(AS6/Y6,0)</f>
        <v>0.94393904209143331</v>
      </c>
      <c r="DB6" s="799">
        <f t="shared" si="23"/>
        <v>0.84141610739358197</v>
      </c>
      <c r="DC6" s="799">
        <f t="shared" si="24"/>
        <v>0.97718682762692743</v>
      </c>
      <c r="DD6" s="786">
        <f t="shared" si="25"/>
        <v>0.93831430844740993</v>
      </c>
      <c r="DE6" s="786">
        <f t="shared" si="26"/>
        <v>1.0661079405328637</v>
      </c>
      <c r="DF6" s="786">
        <f t="shared" si="27"/>
        <v>0</v>
      </c>
      <c r="DG6" s="786">
        <f t="shared" si="28"/>
        <v>0</v>
      </c>
      <c r="DH6" s="786">
        <f t="shared" si="29"/>
        <v>0</v>
      </c>
      <c r="DI6" s="786">
        <f t="shared" si="30"/>
        <v>0</v>
      </c>
      <c r="DJ6" s="786">
        <f t="shared" si="31"/>
        <v>0</v>
      </c>
      <c r="DK6" s="786">
        <f t="shared" si="32"/>
        <v>0</v>
      </c>
      <c r="DL6" s="786">
        <f t="shared" si="33"/>
        <v>0</v>
      </c>
      <c r="DM6" s="787">
        <f t="shared" si="34"/>
        <v>0.34448784990568726</v>
      </c>
      <c r="DN6" s="788"/>
      <c r="DO6" s="786">
        <f t="shared" si="35"/>
        <v>0.1603044992180146</v>
      </c>
      <c r="DP6" s="786">
        <f t="shared" si="35"/>
        <v>0.15854975811231117</v>
      </c>
      <c r="DQ6" s="786">
        <f t="shared" si="35"/>
        <v>0</v>
      </c>
      <c r="DR6" s="786">
        <f t="shared" si="35"/>
        <v>0</v>
      </c>
    </row>
    <row r="7" spans="2:123">
      <c r="C7" s="755" t="s">
        <v>147</v>
      </c>
      <c r="D7" s="756" t="s">
        <v>71</v>
      </c>
      <c r="E7" s="765">
        <v>13623.456484334463</v>
      </c>
      <c r="F7" s="765">
        <v>12159.051771492457</v>
      </c>
      <c r="G7" s="765">
        <v>15006.774322507856</v>
      </c>
      <c r="H7" s="766">
        <v>15757.131188428062</v>
      </c>
      <c r="I7" s="766">
        <v>17070.851551959495</v>
      </c>
      <c r="J7" s="766">
        <v>16753.20467643653</v>
      </c>
      <c r="K7" s="766">
        <v>18088.013464420492</v>
      </c>
      <c r="L7" s="766">
        <v>17919.165071293719</v>
      </c>
      <c r="M7" s="766">
        <v>18905.732818043078</v>
      </c>
      <c r="N7" s="766">
        <v>20285.620237721268</v>
      </c>
      <c r="O7" s="766">
        <v>20702.836982423396</v>
      </c>
      <c r="P7" s="766">
        <v>22979.575492953481</v>
      </c>
      <c r="Q7" s="767">
        <f t="shared" si="36"/>
        <v>209251.41406201432</v>
      </c>
      <c r="R7" s="677"/>
      <c r="S7" s="766">
        <f>SUM(E7:G7)</f>
        <v>40789.28257833478</v>
      </c>
      <c r="T7" s="766">
        <f>SUM(H7:J7)</f>
        <v>49581.187416824083</v>
      </c>
      <c r="U7" s="766">
        <f>SUM(K7:M7)</f>
        <v>54912.911353757285</v>
      </c>
      <c r="V7" s="766">
        <f>SUM(N7:P7)</f>
        <v>63968.032713098146</v>
      </c>
      <c r="X7" s="721" t="s">
        <v>71</v>
      </c>
      <c r="Y7" s="765">
        <v>13882.504585231964</v>
      </c>
      <c r="Z7" s="765">
        <v>12390.254423605116</v>
      </c>
      <c r="AA7" s="765">
        <v>15292.126016720935</v>
      </c>
      <c r="AB7" s="766">
        <v>16056.750812467582</v>
      </c>
      <c r="AC7" s="766">
        <v>17395.451383164098</v>
      </c>
      <c r="AD7" s="766">
        <v>17071.764497166932</v>
      </c>
      <c r="AE7" s="766">
        <v>18431.954485728456</v>
      </c>
      <c r="AF7" s="766">
        <v>18259.895464254208</v>
      </c>
      <c r="AG7" s="766">
        <v>19265.222657366983</v>
      </c>
      <c r="AH7" s="766">
        <v>20671.348441437578</v>
      </c>
      <c r="AI7" s="766">
        <v>19729.663754779453</v>
      </c>
      <c r="AJ7" s="766">
        <v>20804.477540091008</v>
      </c>
      <c r="AK7" s="767">
        <f t="shared" si="37"/>
        <v>209251.41406201434</v>
      </c>
      <c r="AL7" s="677"/>
      <c r="AM7" s="766">
        <f t="shared" si="38"/>
        <v>41564.885025558011</v>
      </c>
      <c r="AN7" s="766">
        <f t="shared" si="39"/>
        <v>50523.966692798611</v>
      </c>
      <c r="AO7" s="766">
        <f>SUM(AE7:AG7)</f>
        <v>55957.072607349648</v>
      </c>
      <c r="AP7" s="766">
        <f t="shared" si="40"/>
        <v>61205.489736308038</v>
      </c>
      <c r="AR7" s="721" t="s">
        <v>71</v>
      </c>
      <c r="AS7" s="769">
        <v>15588.980986999999</v>
      </c>
      <c r="AT7" s="769">
        <v>16095.788096999999</v>
      </c>
      <c r="AU7" s="769">
        <v>36862.056037999988</v>
      </c>
      <c r="AV7" s="769">
        <v>120675.02</v>
      </c>
      <c r="AW7" s="766">
        <f t="array" ref="AW7:BD7">TRANSPOSE('VN_YouTube Performance'!L10:L17)</f>
        <v>176027.96000000005</v>
      </c>
      <c r="AX7" s="766">
        <v>0</v>
      </c>
      <c r="AY7" s="766">
        <v>0</v>
      </c>
      <c r="AZ7" s="766">
        <v>0</v>
      </c>
      <c r="BA7" s="766">
        <v>0</v>
      </c>
      <c r="BB7" s="766">
        <v>0</v>
      </c>
      <c r="BC7" s="766">
        <v>0</v>
      </c>
      <c r="BD7" s="766">
        <v>0</v>
      </c>
      <c r="BE7" s="767">
        <f t="shared" si="41"/>
        <v>365249.80512200005</v>
      </c>
      <c r="BF7" s="677"/>
      <c r="BG7" s="766">
        <f t="shared" si="42"/>
        <v>68546.82512199998</v>
      </c>
      <c r="BH7" s="766">
        <f t="shared" si="43"/>
        <v>296702.98000000004</v>
      </c>
      <c r="BI7" s="766">
        <f t="shared" si="44"/>
        <v>0</v>
      </c>
      <c r="BJ7" s="766">
        <f t="shared" si="45"/>
        <v>0</v>
      </c>
      <c r="BM7" s="765">
        <f t="shared" si="46"/>
        <v>1965.5245026655357</v>
      </c>
      <c r="BN7" s="765">
        <f t="shared" si="46"/>
        <v>3936.7363255075416</v>
      </c>
      <c r="BO7" s="765">
        <f t="shared" si="46"/>
        <v>21855.281715492132</v>
      </c>
      <c r="BP7" s="766">
        <f t="shared" si="46"/>
        <v>104917.88881157195</v>
      </c>
      <c r="BQ7" s="766">
        <f t="shared" si="46"/>
        <v>158957.10844804056</v>
      </c>
      <c r="BR7" s="766"/>
      <c r="BS7" s="766"/>
      <c r="BT7" s="766"/>
      <c r="BU7" s="766"/>
      <c r="BV7" s="766"/>
      <c r="BW7" s="766"/>
      <c r="BX7" s="766"/>
      <c r="BY7" s="767">
        <f t="shared" si="47"/>
        <v>291632.5398032777</v>
      </c>
      <c r="BZ7" s="677"/>
      <c r="CA7" s="766">
        <f t="shared" si="48"/>
        <v>27757.542543665208</v>
      </c>
      <c r="CB7" s="766">
        <f t="shared" si="49"/>
        <v>263874.99725961249</v>
      </c>
      <c r="CC7" s="766">
        <f t="shared" si="50"/>
        <v>0</v>
      </c>
      <c r="CD7" s="766">
        <f t="shared" si="51"/>
        <v>0</v>
      </c>
      <c r="CG7" s="800">
        <f t="shared" si="20"/>
        <v>1.1442750233705874</v>
      </c>
      <c r="CH7" s="800">
        <f t="shared" si="20"/>
        <v>1.32377001097548</v>
      </c>
      <c r="CI7" s="800">
        <f t="shared" si="20"/>
        <v>2.4563610570669119</v>
      </c>
      <c r="CJ7" s="790">
        <f t="shared" si="20"/>
        <v>7.6584384909242225</v>
      </c>
      <c r="CK7" s="790">
        <f t="shared" si="20"/>
        <v>10.31160979077195</v>
      </c>
      <c r="CL7" s="790">
        <f t="shared" si="20"/>
        <v>0</v>
      </c>
      <c r="CM7" s="790">
        <f t="shared" si="20"/>
        <v>0</v>
      </c>
      <c r="CN7" s="790">
        <f t="shared" si="20"/>
        <v>0</v>
      </c>
      <c r="CO7" s="790">
        <f t="shared" si="20"/>
        <v>0</v>
      </c>
      <c r="CP7" s="790">
        <f t="shared" si="20"/>
        <v>0</v>
      </c>
      <c r="CQ7" s="790">
        <f t="shared" si="20"/>
        <v>0</v>
      </c>
      <c r="CR7" s="790">
        <f t="shared" si="20"/>
        <v>0</v>
      </c>
      <c r="CS7" s="791">
        <f t="shared" si="20"/>
        <v>1.7455069862216255</v>
      </c>
      <c r="CT7" s="788"/>
      <c r="CU7" s="790">
        <f t="shared" si="21"/>
        <v>1.6805106829314183</v>
      </c>
      <c r="CV7" s="790">
        <f t="shared" si="21"/>
        <v>5.9841846365164226</v>
      </c>
      <c r="CW7" s="790">
        <f t="shared" si="21"/>
        <v>0</v>
      </c>
      <c r="CX7" s="790">
        <f t="shared" si="21"/>
        <v>0</v>
      </c>
      <c r="DA7" s="800">
        <f t="shared" si="52"/>
        <v>1.1229228048361939</v>
      </c>
      <c r="DB7" s="800">
        <f t="shared" si="23"/>
        <v>1.2990684086628066</v>
      </c>
      <c r="DC7" s="800">
        <f t="shared" si="24"/>
        <v>2.4105252597116813</v>
      </c>
      <c r="DD7" s="790">
        <f t="shared" si="25"/>
        <v>7.5155317168090754</v>
      </c>
      <c r="DE7" s="790">
        <f t="shared" si="26"/>
        <v>10.119194732156581</v>
      </c>
      <c r="DF7" s="790">
        <f t="shared" si="27"/>
        <v>0</v>
      </c>
      <c r="DG7" s="790">
        <f t="shared" si="28"/>
        <v>0</v>
      </c>
      <c r="DH7" s="790">
        <f t="shared" si="29"/>
        <v>0</v>
      </c>
      <c r="DI7" s="790">
        <f t="shared" si="30"/>
        <v>0</v>
      </c>
      <c r="DJ7" s="790">
        <f t="shared" si="31"/>
        <v>0</v>
      </c>
      <c r="DK7" s="790">
        <f t="shared" si="32"/>
        <v>0</v>
      </c>
      <c r="DL7" s="790">
        <f t="shared" si="33"/>
        <v>0</v>
      </c>
      <c r="DM7" s="791">
        <f t="shared" si="34"/>
        <v>1.745506986221625</v>
      </c>
      <c r="DN7" s="788"/>
      <c r="DO7" s="790">
        <f t="shared" si="35"/>
        <v>0.66781232587548967</v>
      </c>
      <c r="DP7" s="790">
        <f t="shared" si="35"/>
        <v>5.2227688072089498</v>
      </c>
      <c r="DQ7" s="790">
        <f t="shared" si="35"/>
        <v>0</v>
      </c>
      <c r="DR7" s="790">
        <f t="shared" si="35"/>
        <v>0</v>
      </c>
    </row>
    <row r="8" spans="2:123">
      <c r="E8" s="797">
        <f>IF(MONTH(E2)&lt;='Current month'!$B$2,1,0)</f>
        <v>1</v>
      </c>
      <c r="F8" s="797">
        <f>IF(MONTH(F2)&lt;='Current month'!$B$2,1,0)</f>
        <v>1</v>
      </c>
      <c r="G8" s="797">
        <f>IF(MONTH(G2)&lt;='Current month'!$B$2,1,0)</f>
        <v>1</v>
      </c>
      <c r="H8" s="797">
        <f>IF(MONTH(H2)&lt;='Current month'!$B$2,1,0)</f>
        <v>1</v>
      </c>
      <c r="I8" s="797">
        <f>IF(MONTH(I2)&lt;='Current month'!$B$2,1,0)</f>
        <v>1</v>
      </c>
      <c r="J8" s="797">
        <f>IF(MONTH(J2)&lt;='Current month'!$B$2,1,0)</f>
        <v>0</v>
      </c>
      <c r="K8" s="797">
        <f>IF(MONTH(K2)&lt;='Current month'!$B$2,1,0)</f>
        <v>0</v>
      </c>
      <c r="L8" s="797">
        <f>IF(MONTH(L2)&lt;='Current month'!$B$2,1,0)</f>
        <v>0</v>
      </c>
      <c r="M8" s="797">
        <f>IF(MONTH(M2)&lt;='Current month'!$B$2,1,0)</f>
        <v>0</v>
      </c>
      <c r="N8" s="797">
        <f>IF(MONTH(N2)&lt;='Current month'!$B$2,1,0)</f>
        <v>0</v>
      </c>
      <c r="O8" s="797">
        <f>IF(MONTH(O2)&lt;='Current month'!$B$2,1,0)</f>
        <v>0</v>
      </c>
      <c r="P8" s="797">
        <f>IF(MONTH(P2)&lt;='Current month'!$B$2,1,0)</f>
        <v>0</v>
      </c>
      <c r="X8" s="721"/>
      <c r="Y8" s="797">
        <f>IF(MONTH(Y2)&lt;='Current month'!$B$2,1,0)</f>
        <v>1</v>
      </c>
      <c r="Z8" s="797">
        <f>IF(MONTH(Z2)&lt;='Current month'!$B$2,1,0)</f>
        <v>1</v>
      </c>
      <c r="AA8" s="797">
        <f>IF(MONTH(AA2)&lt;='Current month'!$B$2,1,0)</f>
        <v>1</v>
      </c>
      <c r="AB8" s="797">
        <f>IF(MONTH(AB2)&lt;='Current month'!$B$2,1,0)</f>
        <v>1</v>
      </c>
      <c r="AC8" s="797">
        <f>IF(MONTH(AC2)&lt;='Current month'!$B$2,1,0)</f>
        <v>1</v>
      </c>
      <c r="AD8" s="797">
        <f>IF(MONTH(AD2)&lt;='Current month'!$B$2,1,0)</f>
        <v>0</v>
      </c>
      <c r="AE8" s="797">
        <f>IF(MONTH(AE2)&lt;='Current month'!$B$2,1,0)</f>
        <v>0</v>
      </c>
      <c r="AF8" s="797">
        <f>IF(MONTH(AF2)&lt;='Current month'!$B$2,1,0)</f>
        <v>0</v>
      </c>
      <c r="AG8" s="797">
        <f>IF(MONTH(AG2)&lt;='Current month'!$B$2,1,0)</f>
        <v>0</v>
      </c>
      <c r="AH8" s="797">
        <f>IF(MONTH(AH2)&lt;='Current month'!$B$2,1,0)</f>
        <v>0</v>
      </c>
      <c r="AI8" s="797">
        <f>IF(MONTH(AI2)&lt;='Current month'!$B$2,1,0)</f>
        <v>0</v>
      </c>
      <c r="AJ8" s="797">
        <f>IF(MONTH(AJ2)&lt;='Current month'!$B$2,1,0)</f>
        <v>0</v>
      </c>
      <c r="AK8" s="797"/>
      <c r="AL8" s="797"/>
      <c r="AM8" s="797"/>
      <c r="AN8" s="797"/>
      <c r="AO8" s="797"/>
      <c r="AP8" s="797"/>
      <c r="AQ8" s="798"/>
      <c r="AR8" s="798"/>
      <c r="AS8" s="810">
        <f>IF(MONTH(AS2)&lt;='Current month'!$B$2,1,0)</f>
        <v>1</v>
      </c>
      <c r="AT8" s="810">
        <f>IF(MONTH(AT2)&lt;='Current month'!$B$2,1,0)</f>
        <v>1</v>
      </c>
      <c r="AU8" s="810">
        <f>IF(MONTH(AU2)&lt;='Current month'!$B$2,1,0)</f>
        <v>1</v>
      </c>
      <c r="AV8" s="810">
        <f>IF(MONTH(AV2)&lt;='Current month'!$B$2,1,0)</f>
        <v>1</v>
      </c>
      <c r="AW8" s="810">
        <f>IF(MONTH(AW2)&lt;='Current month'!$B$2,1,0)</f>
        <v>1</v>
      </c>
      <c r="AX8" s="810">
        <f>IF(MONTH(AX2)&lt;='Current month'!$B$2,1,0)</f>
        <v>0</v>
      </c>
      <c r="AY8" s="810">
        <f>IF(MONTH(AY2)&lt;='Current month'!$B$2,1,0)</f>
        <v>0</v>
      </c>
      <c r="AZ8" s="810">
        <f>IF(MONTH(AZ2)&lt;='Current month'!$B$2,1,0)</f>
        <v>0</v>
      </c>
      <c r="BA8" s="810">
        <f>IF(MONTH(BA2)&lt;='Current month'!$B$2,1,0)</f>
        <v>0</v>
      </c>
      <c r="BB8" s="810">
        <f>IF(MONTH(BB2)&lt;='Current month'!$B$2,1,0)</f>
        <v>0</v>
      </c>
      <c r="BC8" s="810">
        <f>IF(MONTH(BC2)&lt;='Current month'!$B$2,1,0)</f>
        <v>0</v>
      </c>
      <c r="BD8" s="810">
        <f>IF(MONTH(BD2)&lt;='Current month'!$B$2,1,0)</f>
        <v>0</v>
      </c>
      <c r="CG8" s="633"/>
      <c r="CH8" s="633"/>
      <c r="CI8" s="633"/>
      <c r="CJ8" s="633"/>
      <c r="CK8" s="633"/>
      <c r="CL8" s="633"/>
      <c r="CM8" s="633"/>
      <c r="CN8" s="633"/>
      <c r="CO8" s="633"/>
      <c r="CP8" s="633"/>
      <c r="CQ8" s="633"/>
      <c r="CR8" s="633"/>
      <c r="CS8" s="633"/>
      <c r="CT8" s="633"/>
      <c r="CU8" s="633"/>
      <c r="CV8" s="633"/>
      <c r="CW8" s="633"/>
      <c r="CX8" s="633"/>
      <c r="DA8" s="633"/>
      <c r="DB8" s="633"/>
      <c r="DC8" s="633"/>
      <c r="DD8" s="633"/>
      <c r="DE8" s="633"/>
      <c r="DF8" s="633"/>
      <c r="DG8" s="633"/>
      <c r="DH8" s="633"/>
      <c r="DI8" s="633"/>
      <c r="DJ8" s="633"/>
      <c r="DK8" s="633"/>
      <c r="DL8" s="633"/>
      <c r="DM8" s="633"/>
      <c r="DN8" s="633"/>
      <c r="DO8" s="633"/>
      <c r="DP8" s="633"/>
      <c r="DQ8" s="633"/>
      <c r="DR8" s="633"/>
    </row>
    <row r="9" spans="2:123" hidden="1">
      <c r="C9" s="751"/>
      <c r="D9" s="752"/>
      <c r="E9" s="768"/>
      <c r="F9" s="768"/>
      <c r="G9" s="768"/>
      <c r="H9" s="768"/>
      <c r="I9" s="768"/>
      <c r="J9" s="768"/>
      <c r="K9" s="768"/>
      <c r="L9" s="768"/>
      <c r="M9" s="768"/>
      <c r="N9" s="768"/>
      <c r="O9" s="768"/>
      <c r="P9" s="768"/>
      <c r="Q9" s="768"/>
      <c r="S9" s="760"/>
      <c r="T9" s="760"/>
      <c r="U9" s="760"/>
      <c r="V9" s="760"/>
      <c r="X9" s="721"/>
      <c r="Y9" s="768"/>
      <c r="Z9" s="768"/>
      <c r="AA9" s="768"/>
      <c r="AB9" s="768"/>
      <c r="AC9" s="768"/>
      <c r="AD9" s="768"/>
      <c r="AE9" s="768"/>
      <c r="AF9" s="768"/>
      <c r="AG9" s="768"/>
      <c r="AH9" s="768"/>
      <c r="AI9" s="768"/>
      <c r="AJ9" s="768"/>
      <c r="AK9" s="768"/>
      <c r="AM9" s="760"/>
      <c r="AN9" s="760"/>
      <c r="AO9" s="760"/>
      <c r="AP9" s="760"/>
      <c r="AR9" s="721"/>
      <c r="AS9" s="768"/>
      <c r="AT9" s="768"/>
      <c r="AU9" s="768"/>
      <c r="AV9" s="768"/>
      <c r="AW9" s="768"/>
      <c r="AX9" s="768"/>
      <c r="AY9" s="768"/>
      <c r="AZ9" s="768"/>
      <c r="BA9" s="768"/>
      <c r="BB9" s="768"/>
      <c r="BC9" s="768"/>
      <c r="BD9" s="768"/>
      <c r="BE9" s="768"/>
      <c r="BG9" s="760"/>
      <c r="BH9" s="760"/>
      <c r="BI9" s="760"/>
      <c r="BJ9" s="760"/>
      <c r="BM9" s="768"/>
      <c r="BN9" s="768"/>
      <c r="BO9" s="768"/>
      <c r="BP9" s="768"/>
      <c r="BQ9" s="768"/>
      <c r="BR9" s="768"/>
      <c r="BS9" s="768"/>
      <c r="BT9" s="768"/>
      <c r="BU9" s="768"/>
      <c r="BV9" s="768"/>
      <c r="BW9" s="768"/>
      <c r="BX9" s="768"/>
      <c r="BY9" s="768"/>
      <c r="CA9" s="760"/>
      <c r="CB9" s="760"/>
      <c r="CC9" s="760"/>
      <c r="CD9" s="760"/>
      <c r="CG9" s="784"/>
      <c r="CH9" s="784"/>
      <c r="CI9" s="784"/>
      <c r="CJ9" s="784"/>
      <c r="CK9" s="784"/>
      <c r="CL9" s="784"/>
      <c r="CM9" s="784"/>
      <c r="CN9" s="784"/>
      <c r="CO9" s="784"/>
      <c r="CP9" s="784"/>
      <c r="CQ9" s="784"/>
      <c r="CR9" s="784"/>
      <c r="CS9" s="784"/>
      <c r="CT9" s="633"/>
      <c r="CU9" s="781"/>
      <c r="CV9" s="781"/>
      <c r="CW9" s="781"/>
      <c r="CX9" s="781"/>
      <c r="DA9" s="784"/>
      <c r="DB9" s="784"/>
      <c r="DC9" s="784"/>
      <c r="DD9" s="784"/>
      <c r="DE9" s="784"/>
      <c r="DF9" s="784"/>
      <c r="DG9" s="784"/>
      <c r="DH9" s="784"/>
      <c r="DI9" s="784"/>
      <c r="DJ9" s="784"/>
      <c r="DK9" s="784"/>
      <c r="DL9" s="784"/>
      <c r="DM9" s="784"/>
      <c r="DN9" s="633"/>
      <c r="DO9" s="781"/>
      <c r="DP9" s="781"/>
      <c r="DQ9" s="781"/>
      <c r="DR9" s="781"/>
    </row>
    <row r="10" spans="2:123" s="677" customFormat="1" hidden="1">
      <c r="C10" s="755"/>
      <c r="D10" s="756"/>
      <c r="E10" s="765"/>
      <c r="F10" s="765"/>
      <c r="G10" s="765"/>
      <c r="H10" s="766"/>
      <c r="I10" s="766"/>
      <c r="J10" s="766"/>
      <c r="K10" s="766"/>
      <c r="L10" s="766"/>
      <c r="M10" s="766"/>
      <c r="N10" s="766"/>
      <c r="O10" s="766"/>
      <c r="P10" s="766"/>
      <c r="Q10" s="767"/>
      <c r="S10" s="766"/>
      <c r="T10" s="766"/>
      <c r="U10" s="766"/>
      <c r="V10" s="766"/>
      <c r="X10" s="721"/>
      <c r="Y10" s="765"/>
      <c r="Z10" s="765"/>
      <c r="AA10" s="765"/>
      <c r="AB10" s="766"/>
      <c r="AC10" s="766"/>
      <c r="AD10" s="766"/>
      <c r="AE10" s="766"/>
      <c r="AF10" s="766"/>
      <c r="AG10" s="766"/>
      <c r="AH10" s="766"/>
      <c r="AI10" s="766"/>
      <c r="AJ10" s="766"/>
      <c r="AK10" s="767"/>
      <c r="AM10" s="766"/>
      <c r="AN10" s="766"/>
      <c r="AO10" s="766"/>
      <c r="AP10" s="766"/>
      <c r="AR10" s="721"/>
      <c r="AS10" s="769"/>
      <c r="AT10" s="769"/>
      <c r="AU10" s="769"/>
      <c r="AV10" s="769"/>
      <c r="AW10" s="769"/>
      <c r="AX10" s="766"/>
      <c r="AY10" s="766"/>
      <c r="AZ10" s="766"/>
      <c r="BA10" s="766"/>
      <c r="BB10" s="766"/>
      <c r="BC10" s="766"/>
      <c r="BD10" s="766"/>
      <c r="BE10" s="767"/>
      <c r="BG10" s="766"/>
      <c r="BH10" s="766"/>
      <c r="BI10" s="766"/>
      <c r="BJ10" s="766"/>
      <c r="BM10" s="765"/>
      <c r="BN10" s="765"/>
      <c r="BO10" s="765"/>
      <c r="BP10" s="766"/>
      <c r="BQ10" s="766"/>
      <c r="BR10" s="766"/>
      <c r="BS10" s="766"/>
      <c r="BT10" s="766"/>
      <c r="BU10" s="766"/>
      <c r="BV10" s="766"/>
      <c r="BW10" s="766"/>
      <c r="BX10" s="766"/>
      <c r="BY10" s="767"/>
      <c r="CA10" s="766"/>
      <c r="CB10" s="766"/>
      <c r="CC10" s="766"/>
      <c r="CD10" s="766"/>
      <c r="CG10" s="800"/>
      <c r="CH10" s="800"/>
      <c r="CI10" s="800"/>
      <c r="CJ10" s="790"/>
      <c r="CK10" s="790"/>
      <c r="CL10" s="790"/>
      <c r="CM10" s="790"/>
      <c r="CN10" s="790"/>
      <c r="CO10" s="790"/>
      <c r="CP10" s="790"/>
      <c r="CQ10" s="790"/>
      <c r="CR10" s="790"/>
      <c r="CS10" s="791"/>
      <c r="CT10" s="788"/>
      <c r="CU10" s="790"/>
      <c r="CV10" s="790"/>
      <c r="CW10" s="790"/>
      <c r="CX10" s="790"/>
      <c r="DA10" s="800"/>
      <c r="DB10" s="800"/>
      <c r="DC10" s="800"/>
      <c r="DD10" s="790"/>
      <c r="DE10" s="790"/>
      <c r="DF10" s="790"/>
      <c r="DG10" s="790"/>
      <c r="DH10" s="790"/>
      <c r="DI10" s="790"/>
      <c r="DJ10" s="790"/>
      <c r="DK10" s="790"/>
      <c r="DL10" s="790"/>
      <c r="DM10" s="791"/>
      <c r="DN10" s="788"/>
      <c r="DO10" s="790"/>
      <c r="DP10" s="790"/>
      <c r="DQ10" s="790"/>
      <c r="DR10" s="790"/>
    </row>
    <row r="11" spans="2:123" hidden="1">
      <c r="X11" s="721"/>
      <c r="AR11" s="721"/>
      <c r="AV11" s="802"/>
      <c r="CG11" s="633"/>
      <c r="CH11" s="633"/>
      <c r="CI11" s="633"/>
      <c r="CJ11" s="633"/>
      <c r="CK11" s="633"/>
      <c r="CL11" s="633"/>
      <c r="CM11" s="633"/>
      <c r="CN11" s="633"/>
      <c r="CO11" s="633"/>
      <c r="CP11" s="633"/>
      <c r="CQ11" s="633"/>
      <c r="CR11" s="633"/>
      <c r="CS11" s="633"/>
      <c r="CT11" s="633"/>
      <c r="CU11" s="633"/>
      <c r="CV11" s="633"/>
      <c r="CW11" s="633"/>
      <c r="CX11" s="633"/>
      <c r="DA11" s="633"/>
      <c r="DB11" s="633"/>
      <c r="DC11" s="633"/>
      <c r="DD11" s="633"/>
      <c r="DE11" s="633"/>
      <c r="DF11" s="633"/>
      <c r="DG11" s="633"/>
      <c r="DH11" s="633"/>
      <c r="DI11" s="633"/>
      <c r="DJ11" s="633"/>
      <c r="DK11" s="633"/>
      <c r="DL11" s="633"/>
      <c r="DM11" s="633"/>
      <c r="DN11" s="633"/>
      <c r="DO11" s="633"/>
      <c r="DP11" s="633"/>
      <c r="DQ11" s="633"/>
      <c r="DR11" s="633"/>
    </row>
    <row r="12" spans="2:123">
      <c r="C12" s="751" t="s">
        <v>137</v>
      </c>
      <c r="D12" s="752"/>
      <c r="E12" s="768">
        <f>SUBTOTAL(9,E13:E16)</f>
        <v>67916.666666666672</v>
      </c>
      <c r="F12" s="768">
        <f t="shared" ref="F12:G12" si="53">SUBTOTAL(9,F13:F16)</f>
        <v>67916.666666666672</v>
      </c>
      <c r="G12" s="768">
        <f t="shared" si="53"/>
        <v>67916.666666666672</v>
      </c>
      <c r="H12" s="768">
        <f>SUBTOTAL(9,H13:H16)</f>
        <v>67916.666666666672</v>
      </c>
      <c r="I12" s="768">
        <f t="shared" ref="I12:J12" si="54">SUBTOTAL(9,I13:I16)</f>
        <v>67916.666666666672</v>
      </c>
      <c r="J12" s="768">
        <f t="shared" si="54"/>
        <v>67916.666666666672</v>
      </c>
      <c r="K12" s="768">
        <f>SUBTOTAL(9,K13:K16)</f>
        <v>67916.666666666672</v>
      </c>
      <c r="L12" s="768">
        <f t="shared" ref="L12:M12" si="55">SUBTOTAL(9,L13:L16)</f>
        <v>67916.666666666672</v>
      </c>
      <c r="M12" s="768">
        <f t="shared" si="55"/>
        <v>67916.666666666672</v>
      </c>
      <c r="N12" s="768">
        <f>SUBTOTAL(9,N13:N16)</f>
        <v>67916.666666666672</v>
      </c>
      <c r="O12" s="768">
        <f t="shared" ref="O12:Q12" si="56">SUBTOTAL(9,O13:O16)</f>
        <v>67916.666666666672</v>
      </c>
      <c r="P12" s="768">
        <f t="shared" si="56"/>
        <v>67916.666666666672</v>
      </c>
      <c r="Q12" s="768">
        <f t="shared" si="56"/>
        <v>814999.99999999988</v>
      </c>
      <c r="S12" s="760">
        <f t="shared" ref="S12:V12" si="57">SUBTOTAL(9,S13:S16)</f>
        <v>203750</v>
      </c>
      <c r="T12" s="760">
        <f t="shared" si="57"/>
        <v>203750</v>
      </c>
      <c r="U12" s="760">
        <f t="shared" si="57"/>
        <v>203750</v>
      </c>
      <c r="V12" s="760">
        <f t="shared" si="57"/>
        <v>203750</v>
      </c>
      <c r="X12" s="721"/>
      <c r="Y12" s="768">
        <f>SUBTOTAL(9,Y13:Y16)</f>
        <v>67916.666666666672</v>
      </c>
      <c r="Z12" s="768">
        <f t="shared" ref="Z12:AA12" si="58">SUBTOTAL(9,Z13:Z16)</f>
        <v>67916.666666666672</v>
      </c>
      <c r="AA12" s="768">
        <f t="shared" si="58"/>
        <v>67916.666666666672</v>
      </c>
      <c r="AB12" s="768">
        <f>SUBTOTAL(9,AB13:AB16)</f>
        <v>67916.666666666672</v>
      </c>
      <c r="AC12" s="768">
        <f t="shared" ref="AC12:AD12" si="59">SUBTOTAL(9,AC13:AC16)</f>
        <v>67916.666666666672</v>
      </c>
      <c r="AD12" s="768">
        <f t="shared" si="59"/>
        <v>67916.666666666672</v>
      </c>
      <c r="AE12" s="768">
        <f>SUBTOTAL(9,AE13:AE16)</f>
        <v>67916.666666666672</v>
      </c>
      <c r="AF12" s="768">
        <f t="shared" ref="AF12:AG12" si="60">SUBTOTAL(9,AF13:AF16)</f>
        <v>67916.666666666672</v>
      </c>
      <c r="AG12" s="768">
        <f t="shared" si="60"/>
        <v>67916.666666666672</v>
      </c>
      <c r="AH12" s="768">
        <f>SUBTOTAL(9,AH13:AH16)</f>
        <v>67916.666666666672</v>
      </c>
      <c r="AI12" s="768">
        <f t="shared" ref="AI12:AK12" si="61">SUBTOTAL(9,AI13:AI16)</f>
        <v>67916.666666666672</v>
      </c>
      <c r="AJ12" s="768">
        <f t="shared" si="61"/>
        <v>67916.666666666672</v>
      </c>
      <c r="AK12" s="768">
        <f t="shared" si="61"/>
        <v>814999.99999999988</v>
      </c>
      <c r="AM12" s="760">
        <f t="shared" ref="AM12:AP12" si="62">SUBTOTAL(9,AM13:AM16)</f>
        <v>203750</v>
      </c>
      <c r="AN12" s="760">
        <f t="shared" si="62"/>
        <v>203750</v>
      </c>
      <c r="AO12" s="760">
        <f t="shared" si="62"/>
        <v>203750</v>
      </c>
      <c r="AP12" s="760">
        <f t="shared" si="62"/>
        <v>203750</v>
      </c>
      <c r="AR12" s="721"/>
      <c r="AS12" s="768">
        <f>SUBTOTAL(9,AS13:AS16)</f>
        <v>529.45000000000005</v>
      </c>
      <c r="AT12" s="768">
        <f t="shared" ref="AT12:AU12" si="63">SUBTOTAL(9,AT13:AT16)</f>
        <v>69.75</v>
      </c>
      <c r="AU12" s="768">
        <f t="shared" si="63"/>
        <v>9165.5</v>
      </c>
      <c r="AV12" s="768">
        <f>SUBTOTAL(9,AV13:AV16)</f>
        <v>545.70000000000073</v>
      </c>
      <c r="AW12" s="768">
        <f t="shared" ref="AW12:AX12" si="64">SUBTOTAL(9,AW13:AW16)</f>
        <v>0</v>
      </c>
      <c r="AX12" s="768">
        <f t="shared" si="64"/>
        <v>0</v>
      </c>
      <c r="AY12" s="768">
        <f>SUBTOTAL(9,AY13:AY16)</f>
        <v>0</v>
      </c>
      <c r="AZ12" s="768">
        <f t="shared" ref="AZ12:BA12" si="65">SUBTOTAL(9,AZ13:AZ16)</f>
        <v>0</v>
      </c>
      <c r="BA12" s="768">
        <f t="shared" si="65"/>
        <v>0</v>
      </c>
      <c r="BB12" s="768">
        <f>SUBTOTAL(9,BB13:BB16)</f>
        <v>0</v>
      </c>
      <c r="BC12" s="768">
        <f t="shared" ref="BC12:BE12" si="66">SUBTOTAL(9,BC13:BC16)</f>
        <v>0</v>
      </c>
      <c r="BD12" s="768">
        <f t="shared" si="66"/>
        <v>0</v>
      </c>
      <c r="BE12" s="768">
        <f t="shared" si="66"/>
        <v>10310.400000000001</v>
      </c>
      <c r="BG12" s="760">
        <f t="shared" ref="BG12:BJ12" si="67">SUBTOTAL(9,BG13:BG16)</f>
        <v>9764.7000000000007</v>
      </c>
      <c r="BH12" s="760">
        <f t="shared" si="67"/>
        <v>545.70000000000073</v>
      </c>
      <c r="BI12" s="760">
        <f t="shared" si="67"/>
        <v>0</v>
      </c>
      <c r="BJ12" s="760">
        <f t="shared" si="67"/>
        <v>0</v>
      </c>
      <c r="BM12" s="768">
        <f>SUBTOTAL(9,BM13:BM16)</f>
        <v>-67387.216666666674</v>
      </c>
      <c r="BN12" s="768">
        <f t="shared" ref="BN12:BO12" si="68">SUBTOTAL(9,BN13:BN16)</f>
        <v>-67846.916666666672</v>
      </c>
      <c r="BO12" s="768">
        <f t="shared" si="68"/>
        <v>-58751.166666666672</v>
      </c>
      <c r="BP12" s="768">
        <f>SUBTOTAL(9,BP13:BP16)</f>
        <v>-67370.966666666674</v>
      </c>
      <c r="BQ12" s="768">
        <f t="shared" ref="BQ12:BR12" si="69">SUBTOTAL(9,BQ13:BQ16)</f>
        <v>-67916.666666666672</v>
      </c>
      <c r="BR12" s="768">
        <f t="shared" si="69"/>
        <v>0</v>
      </c>
      <c r="BS12" s="768">
        <f>SUBTOTAL(9,BS13:BS16)</f>
        <v>0</v>
      </c>
      <c r="BT12" s="768">
        <f t="shared" ref="BT12:BU12" si="70">SUBTOTAL(9,BT13:BT16)</f>
        <v>0</v>
      </c>
      <c r="BU12" s="768">
        <f t="shared" si="70"/>
        <v>0</v>
      </c>
      <c r="BV12" s="768">
        <f>SUBTOTAL(9,BV13:BV16)</f>
        <v>0</v>
      </c>
      <c r="BW12" s="768">
        <f t="shared" ref="BW12:BY12" si="71">SUBTOTAL(9,BW13:BW16)</f>
        <v>0</v>
      </c>
      <c r="BX12" s="768">
        <f t="shared" si="71"/>
        <v>0</v>
      </c>
      <c r="BY12" s="768">
        <f t="shared" si="71"/>
        <v>-329272.93333333341</v>
      </c>
      <c r="CA12" s="760">
        <f t="shared" ref="CA12:CD12" si="72">SUBTOTAL(9,CA13:CA16)</f>
        <v>-193985.30000000005</v>
      </c>
      <c r="CB12" s="760">
        <f t="shared" si="72"/>
        <v>-135287.63333333336</v>
      </c>
      <c r="CC12" s="760">
        <f t="shared" si="72"/>
        <v>0</v>
      </c>
      <c r="CD12" s="760">
        <f t="shared" si="72"/>
        <v>0</v>
      </c>
      <c r="CG12" s="784">
        <f t="shared" ref="CG12:CS16" si="73">IFERROR(AS12/E12,0)</f>
        <v>7.7955828220858895E-3</v>
      </c>
      <c r="CH12" s="784">
        <f t="shared" si="73"/>
        <v>1.0269938650306748E-3</v>
      </c>
      <c r="CI12" s="784">
        <f t="shared" si="73"/>
        <v>0.1349521472392638</v>
      </c>
      <c r="CJ12" s="784">
        <f t="shared" si="73"/>
        <v>8.034846625766881E-3</v>
      </c>
      <c r="CK12" s="784">
        <f t="shared" si="73"/>
        <v>0</v>
      </c>
      <c r="CL12" s="784">
        <f t="shared" si="73"/>
        <v>0</v>
      </c>
      <c r="CM12" s="784">
        <f t="shared" si="73"/>
        <v>0</v>
      </c>
      <c r="CN12" s="784">
        <f t="shared" si="73"/>
        <v>0</v>
      </c>
      <c r="CO12" s="784">
        <f t="shared" si="73"/>
        <v>0</v>
      </c>
      <c r="CP12" s="784">
        <f t="shared" si="73"/>
        <v>0</v>
      </c>
      <c r="CQ12" s="784">
        <f t="shared" si="73"/>
        <v>0</v>
      </c>
      <c r="CR12" s="784">
        <f t="shared" si="73"/>
        <v>0</v>
      </c>
      <c r="CS12" s="784">
        <f t="shared" si="73"/>
        <v>1.2650797546012274E-2</v>
      </c>
      <c r="CT12" s="633"/>
      <c r="CU12" s="781">
        <f t="shared" ref="CU12:CX16" si="74">IFERROR(BG12/S12,0)</f>
        <v>4.7924907975460125E-2</v>
      </c>
      <c r="CV12" s="781">
        <f t="shared" si="74"/>
        <v>2.6782822085889605E-3</v>
      </c>
      <c r="CW12" s="781">
        <f t="shared" si="74"/>
        <v>0</v>
      </c>
      <c r="CX12" s="781">
        <f t="shared" si="74"/>
        <v>0</v>
      </c>
      <c r="DA12" s="784">
        <f t="shared" ref="DA12:DA16" si="75">IFERROR(AS12/Y12,0)</f>
        <v>7.7955828220858895E-3</v>
      </c>
      <c r="DB12" s="784">
        <f t="shared" ref="DB12:DB16" si="76">IFERROR(AT12/Z12,0)</f>
        <v>1.0269938650306748E-3</v>
      </c>
      <c r="DC12" s="784">
        <f t="shared" ref="DC12:DC16" si="77">IFERROR(AU12/AA12,0)</f>
        <v>0.1349521472392638</v>
      </c>
      <c r="DD12" s="784">
        <f t="shared" ref="DD12:DD16" si="78">IFERROR(AV12/AB12,0)</f>
        <v>8.034846625766881E-3</v>
      </c>
      <c r="DE12" s="784">
        <f t="shared" ref="DE12:DE16" si="79">IFERROR(AW12/AC12,0)</f>
        <v>0</v>
      </c>
      <c r="DF12" s="784">
        <f t="shared" ref="DF12:DF16" si="80">IFERROR(AX12/AD12,0)</f>
        <v>0</v>
      </c>
      <c r="DG12" s="784">
        <f t="shared" ref="DG12:DG16" si="81">IFERROR(AY12/AE12,0)</f>
        <v>0</v>
      </c>
      <c r="DH12" s="784">
        <f t="shared" ref="DH12:DH16" si="82">IFERROR(AZ12/AF12,0)</f>
        <v>0</v>
      </c>
      <c r="DI12" s="784">
        <f t="shared" ref="DI12:DI16" si="83">IFERROR(BA12/AG12,0)</f>
        <v>0</v>
      </c>
      <c r="DJ12" s="784">
        <f t="shared" ref="DJ12:DJ16" si="84">IFERROR(BB12/AH12,0)</f>
        <v>0</v>
      </c>
      <c r="DK12" s="784">
        <f t="shared" ref="DK12:DK16" si="85">IFERROR(BC12/AI12,0)</f>
        <v>0</v>
      </c>
      <c r="DL12" s="784">
        <f t="shared" ref="DL12:DL16" si="86">IFERROR(BD12/AJ12,0)</f>
        <v>0</v>
      </c>
      <c r="DM12" s="784">
        <f t="shared" ref="DM12:DM16" si="87">IFERROR(BE12/AK12,0)</f>
        <v>1.2650797546012274E-2</v>
      </c>
      <c r="DN12" s="633"/>
      <c r="DO12" s="781">
        <f t="shared" ref="DO12:DR16" si="88">IFERROR(CA12/AM12,0)</f>
        <v>-0.9520750920245401</v>
      </c>
      <c r="DP12" s="781">
        <f t="shared" si="88"/>
        <v>-0.66398838445807784</v>
      </c>
      <c r="DQ12" s="781">
        <f t="shared" si="88"/>
        <v>0</v>
      </c>
      <c r="DR12" s="781">
        <f t="shared" si="88"/>
        <v>0</v>
      </c>
    </row>
    <row r="13" spans="2:123" s="677" customFormat="1" hidden="1">
      <c r="C13" s="753"/>
      <c r="D13" s="754"/>
      <c r="E13" s="796"/>
      <c r="F13" s="796"/>
      <c r="G13" s="796"/>
      <c r="H13" s="762"/>
      <c r="I13" s="762"/>
      <c r="J13" s="762"/>
      <c r="K13" s="762"/>
      <c r="L13" s="762"/>
      <c r="M13" s="762"/>
      <c r="N13" s="762"/>
      <c r="O13" s="762"/>
      <c r="P13" s="762"/>
      <c r="Q13" s="763"/>
      <c r="S13" s="762"/>
      <c r="T13" s="762"/>
      <c r="U13" s="762"/>
      <c r="V13" s="762"/>
      <c r="X13" s="721"/>
      <c r="Y13" s="796"/>
      <c r="Z13" s="796"/>
      <c r="AA13" s="796"/>
      <c r="AB13" s="762"/>
      <c r="AC13" s="762"/>
      <c r="AD13" s="762"/>
      <c r="AE13" s="762"/>
      <c r="AF13" s="762"/>
      <c r="AG13" s="762"/>
      <c r="AH13" s="762"/>
      <c r="AI13" s="762"/>
      <c r="AJ13" s="762"/>
      <c r="AK13" s="763"/>
      <c r="AM13" s="762"/>
      <c r="AN13" s="762"/>
      <c r="AO13" s="762"/>
      <c r="AP13" s="762"/>
      <c r="AR13" s="721"/>
      <c r="AS13" s="785"/>
      <c r="AT13" s="785"/>
      <c r="AU13" s="785"/>
      <c r="AV13" s="785"/>
      <c r="AW13" s="785"/>
      <c r="AX13" s="762"/>
      <c r="AY13" s="762"/>
      <c r="AZ13" s="762"/>
      <c r="BA13" s="762"/>
      <c r="BB13" s="762"/>
      <c r="BC13" s="762"/>
      <c r="BD13" s="762"/>
      <c r="BE13" s="763"/>
      <c r="BG13" s="762"/>
      <c r="BH13" s="762"/>
      <c r="BI13" s="762"/>
      <c r="BJ13" s="762"/>
      <c r="BM13" s="796"/>
      <c r="BN13" s="796"/>
      <c r="BO13" s="796"/>
      <c r="BP13" s="762"/>
      <c r="BQ13" s="762"/>
      <c r="BR13" s="762"/>
      <c r="BS13" s="762"/>
      <c r="BT13" s="762"/>
      <c r="BU13" s="762"/>
      <c r="BV13" s="762"/>
      <c r="BW13" s="762"/>
      <c r="BX13" s="762"/>
      <c r="BY13" s="763"/>
      <c r="CA13" s="762"/>
      <c r="CB13" s="762"/>
      <c r="CC13" s="762"/>
      <c r="CD13" s="762"/>
      <c r="CG13" s="799"/>
      <c r="CH13" s="799"/>
      <c r="CI13" s="799"/>
      <c r="CJ13" s="786"/>
      <c r="CK13" s="786"/>
      <c r="CL13" s="786"/>
      <c r="CM13" s="786"/>
      <c r="CN13" s="786"/>
      <c r="CO13" s="786"/>
      <c r="CP13" s="786"/>
      <c r="CQ13" s="786"/>
      <c r="CR13" s="786"/>
      <c r="CS13" s="787"/>
      <c r="CT13" s="788"/>
      <c r="CU13" s="786"/>
      <c r="CV13" s="786"/>
      <c r="CW13" s="786"/>
      <c r="CX13" s="786"/>
      <c r="DA13" s="799"/>
      <c r="DB13" s="799"/>
      <c r="DC13" s="799"/>
      <c r="DD13" s="786"/>
      <c r="DE13" s="786"/>
      <c r="DF13" s="786"/>
      <c r="DG13" s="786"/>
      <c r="DH13" s="786"/>
      <c r="DI13" s="786"/>
      <c r="DJ13" s="786"/>
      <c r="DK13" s="786"/>
      <c r="DL13" s="786"/>
      <c r="DM13" s="787"/>
      <c r="DN13" s="788"/>
      <c r="DO13" s="786"/>
      <c r="DP13" s="786"/>
      <c r="DQ13" s="786"/>
      <c r="DR13" s="786"/>
    </row>
    <row r="14" spans="2:123" s="677" customFormat="1" hidden="1">
      <c r="C14" s="753"/>
      <c r="D14" s="754"/>
      <c r="E14" s="796"/>
      <c r="F14" s="796"/>
      <c r="G14" s="796"/>
      <c r="H14" s="762"/>
      <c r="I14" s="762"/>
      <c r="J14" s="762"/>
      <c r="K14" s="762"/>
      <c r="L14" s="762"/>
      <c r="M14" s="762"/>
      <c r="N14" s="762"/>
      <c r="O14" s="762"/>
      <c r="P14" s="762"/>
      <c r="Q14" s="763"/>
      <c r="S14" s="762"/>
      <c r="T14" s="762"/>
      <c r="U14" s="762"/>
      <c r="V14" s="762"/>
      <c r="X14" s="721"/>
      <c r="Y14" s="796"/>
      <c r="Z14" s="796"/>
      <c r="AA14" s="796"/>
      <c r="AB14" s="762"/>
      <c r="AC14" s="762"/>
      <c r="AD14" s="762"/>
      <c r="AE14" s="762"/>
      <c r="AF14" s="762"/>
      <c r="AG14" s="762"/>
      <c r="AH14" s="762"/>
      <c r="AI14" s="762"/>
      <c r="AJ14" s="762"/>
      <c r="AK14" s="763"/>
      <c r="AM14" s="762"/>
      <c r="AN14" s="762"/>
      <c r="AO14" s="762"/>
      <c r="AP14" s="762"/>
      <c r="AR14" s="721"/>
      <c r="AS14" s="785"/>
      <c r="AT14" s="785"/>
      <c r="AU14" s="785"/>
      <c r="AV14" s="785"/>
      <c r="AW14" s="785"/>
      <c r="AX14" s="762"/>
      <c r="AY14" s="762"/>
      <c r="AZ14" s="762"/>
      <c r="BA14" s="762"/>
      <c r="BB14" s="762"/>
      <c r="BC14" s="762"/>
      <c r="BD14" s="762"/>
      <c r="BE14" s="763"/>
      <c r="BG14" s="762"/>
      <c r="BH14" s="762"/>
      <c r="BI14" s="762"/>
      <c r="BJ14" s="762"/>
      <c r="BM14" s="796"/>
      <c r="BN14" s="796"/>
      <c r="BO14" s="796"/>
      <c r="BP14" s="762"/>
      <c r="BQ14" s="762"/>
      <c r="BR14" s="762"/>
      <c r="BS14" s="762"/>
      <c r="BT14" s="762"/>
      <c r="BU14" s="762"/>
      <c r="BV14" s="762"/>
      <c r="BW14" s="762"/>
      <c r="BX14" s="762"/>
      <c r="BY14" s="763"/>
      <c r="CA14" s="762"/>
      <c r="CB14" s="762"/>
      <c r="CC14" s="762"/>
      <c r="CD14" s="762"/>
      <c r="CG14" s="799"/>
      <c r="CH14" s="799"/>
      <c r="CI14" s="799"/>
      <c r="CJ14" s="786"/>
      <c r="CK14" s="786"/>
      <c r="CL14" s="786"/>
      <c r="CM14" s="786"/>
      <c r="CN14" s="786"/>
      <c r="CO14" s="786"/>
      <c r="CP14" s="786"/>
      <c r="CQ14" s="786"/>
      <c r="CR14" s="786"/>
      <c r="CS14" s="787"/>
      <c r="CT14" s="788"/>
      <c r="CU14" s="786"/>
      <c r="CV14" s="786"/>
      <c r="CW14" s="786"/>
      <c r="CX14" s="786"/>
      <c r="DA14" s="799"/>
      <c r="DB14" s="799"/>
      <c r="DC14" s="799"/>
      <c r="DD14" s="786"/>
      <c r="DE14" s="786"/>
      <c r="DF14" s="786"/>
      <c r="DG14" s="786"/>
      <c r="DH14" s="786"/>
      <c r="DI14" s="786"/>
      <c r="DJ14" s="786"/>
      <c r="DK14" s="786"/>
      <c r="DL14" s="786"/>
      <c r="DM14" s="787"/>
      <c r="DN14" s="788"/>
      <c r="DO14" s="786"/>
      <c r="DP14" s="786"/>
      <c r="DQ14" s="786"/>
      <c r="DR14" s="786"/>
    </row>
    <row r="15" spans="2:123" s="677" customFormat="1">
      <c r="C15" s="755" t="s">
        <v>148</v>
      </c>
      <c r="D15" s="756" t="s">
        <v>70</v>
      </c>
      <c r="E15" s="765">
        <v>67916.666666666672</v>
      </c>
      <c r="F15" s="765">
        <v>67916.666666666672</v>
      </c>
      <c r="G15" s="765">
        <v>67916.666666666672</v>
      </c>
      <c r="H15" s="766">
        <v>67916.666666666672</v>
      </c>
      <c r="I15" s="766">
        <v>67916.666666666672</v>
      </c>
      <c r="J15" s="766">
        <v>67916.666666666672</v>
      </c>
      <c r="K15" s="766">
        <v>67916.666666666672</v>
      </c>
      <c r="L15" s="766">
        <v>67916.666666666672</v>
      </c>
      <c r="M15" s="766">
        <v>67916.666666666672</v>
      </c>
      <c r="N15" s="766">
        <v>67916.666666666672</v>
      </c>
      <c r="O15" s="766">
        <v>67916.666666666672</v>
      </c>
      <c r="P15" s="766">
        <v>67916.666666666672</v>
      </c>
      <c r="Q15" s="767">
        <f t="shared" ref="Q14:Q16" si="89">SUM(E15:P15)</f>
        <v>814999.99999999988</v>
      </c>
      <c r="S15" s="766">
        <f>SUM(E15:G15)</f>
        <v>203750</v>
      </c>
      <c r="T15" s="766">
        <f>SUM(H15:J15)</f>
        <v>203750</v>
      </c>
      <c r="U15" s="766">
        <f>SUM(K15:M15)</f>
        <v>203750</v>
      </c>
      <c r="V15" s="766">
        <f>SUM(N15:P15)</f>
        <v>203750</v>
      </c>
      <c r="X15" s="721" t="s">
        <v>70</v>
      </c>
      <c r="Y15" s="765">
        <v>67916.666666666672</v>
      </c>
      <c r="Z15" s="765">
        <v>67916.666666666672</v>
      </c>
      <c r="AA15" s="765">
        <v>67916.666666666672</v>
      </c>
      <c r="AB15" s="766">
        <v>67916.666666666672</v>
      </c>
      <c r="AC15" s="766">
        <v>67916.666666666672</v>
      </c>
      <c r="AD15" s="766">
        <v>67916.666666666672</v>
      </c>
      <c r="AE15" s="766">
        <v>67916.666666666672</v>
      </c>
      <c r="AF15" s="766">
        <v>67916.666666666672</v>
      </c>
      <c r="AG15" s="766">
        <v>67916.666666666672</v>
      </c>
      <c r="AH15" s="766">
        <v>67916.666666666672</v>
      </c>
      <c r="AI15" s="766">
        <v>67916.666666666672</v>
      </c>
      <c r="AJ15" s="766">
        <v>67916.666666666672</v>
      </c>
      <c r="AK15" s="767">
        <f t="shared" ref="AK14:AK16" si="90">SUM(Y15:AJ15)</f>
        <v>814999.99999999988</v>
      </c>
      <c r="AM15" s="766">
        <f t="shared" ref="AM13:AM16" si="91">SUM(Y15:AA15)</f>
        <v>203750</v>
      </c>
      <c r="AN15" s="766">
        <f t="shared" ref="AN13:AN16" si="92">SUM(AB15:AD15)</f>
        <v>203750</v>
      </c>
      <c r="AO15" s="766">
        <f t="shared" ref="AO13:AO16" si="93">SUM(AE15:AG15)</f>
        <v>203750</v>
      </c>
      <c r="AP15" s="766">
        <f t="shared" ref="AP13:AP16" si="94">SUM(AH15:AJ15)</f>
        <v>203750</v>
      </c>
      <c r="AR15" s="721" t="s">
        <v>70</v>
      </c>
      <c r="AS15" s="769">
        <v>529.45000000000005</v>
      </c>
      <c r="AT15" s="769">
        <v>69.75</v>
      </c>
      <c r="AU15" s="769">
        <v>9165.5</v>
      </c>
      <c r="AV15" s="769">
        <v>545.70000000000073</v>
      </c>
      <c r="AW15" s="769">
        <v>0</v>
      </c>
      <c r="AX15" s="766"/>
      <c r="AY15" s="766"/>
      <c r="AZ15" s="766"/>
      <c r="BA15" s="766"/>
      <c r="BB15" s="766"/>
      <c r="BC15" s="766"/>
      <c r="BD15" s="766"/>
      <c r="BE15" s="767">
        <f t="shared" ref="BE14:BE16" si="95">SUM(AS15:BD15)</f>
        <v>10310.400000000001</v>
      </c>
      <c r="BG15" s="766">
        <f t="shared" ref="BG13:BG16" si="96">SUM(AS15:AU15)</f>
        <v>9764.7000000000007</v>
      </c>
      <c r="BH15" s="766">
        <f t="shared" ref="BH13:BH16" si="97">SUM(AV15:AX15)</f>
        <v>545.70000000000073</v>
      </c>
      <c r="BI15" s="766">
        <f t="shared" ref="BI13:BI16" si="98">SUM(AY15:BA15)</f>
        <v>0</v>
      </c>
      <c r="BJ15" s="766">
        <f t="shared" ref="BJ13:BJ16" si="99">SUM(BB15:BD15)</f>
        <v>0</v>
      </c>
      <c r="BM15" s="765">
        <f t="shared" ref="BM13:BQ16" si="100">AS15-E15</f>
        <v>-67387.216666666674</v>
      </c>
      <c r="BN15" s="765">
        <f t="shared" si="100"/>
        <v>-67846.916666666672</v>
      </c>
      <c r="BO15" s="765">
        <f t="shared" si="100"/>
        <v>-58751.166666666672</v>
      </c>
      <c r="BP15" s="766">
        <f t="shared" si="100"/>
        <v>-67370.966666666674</v>
      </c>
      <c r="BQ15" s="766">
        <f t="shared" si="100"/>
        <v>-67916.666666666672</v>
      </c>
      <c r="BR15" s="766"/>
      <c r="BS15" s="766"/>
      <c r="BT15" s="766"/>
      <c r="BU15" s="766"/>
      <c r="BV15" s="766"/>
      <c r="BW15" s="766"/>
      <c r="BX15" s="766"/>
      <c r="BY15" s="767">
        <f t="shared" ref="BY14:BY16" si="101">SUM(BM15:BX15)</f>
        <v>-329272.93333333341</v>
      </c>
      <c r="CA15" s="766">
        <f t="shared" ref="CA13:CA16" si="102">SUM(BM15:BO15)</f>
        <v>-193985.30000000005</v>
      </c>
      <c r="CB15" s="766">
        <f t="shared" ref="CB13:CB16" si="103">SUM(BP15:BR15)</f>
        <v>-135287.63333333336</v>
      </c>
      <c r="CC15" s="766">
        <f t="shared" ref="CC13:CC16" si="104">SUM(BS15:BU15)</f>
        <v>0</v>
      </c>
      <c r="CD15" s="766">
        <f t="shared" ref="CD13:CD16" si="105">SUM(BV15:BX15)</f>
        <v>0</v>
      </c>
      <c r="CG15" s="800">
        <f t="shared" si="73"/>
        <v>7.7955828220858895E-3</v>
      </c>
      <c r="CH15" s="800">
        <f t="shared" si="73"/>
        <v>1.0269938650306748E-3</v>
      </c>
      <c r="CI15" s="800">
        <f t="shared" si="73"/>
        <v>0.1349521472392638</v>
      </c>
      <c r="CJ15" s="790">
        <f t="shared" si="73"/>
        <v>8.034846625766881E-3</v>
      </c>
      <c r="CK15" s="790">
        <f t="shared" si="73"/>
        <v>0</v>
      </c>
      <c r="CL15" s="790">
        <f t="shared" si="73"/>
        <v>0</v>
      </c>
      <c r="CM15" s="790">
        <f t="shared" si="73"/>
        <v>0</v>
      </c>
      <c r="CN15" s="790">
        <f t="shared" si="73"/>
        <v>0</v>
      </c>
      <c r="CO15" s="790">
        <f t="shared" si="73"/>
        <v>0</v>
      </c>
      <c r="CP15" s="790">
        <f t="shared" si="73"/>
        <v>0</v>
      </c>
      <c r="CQ15" s="790">
        <f t="shared" si="73"/>
        <v>0</v>
      </c>
      <c r="CR15" s="790">
        <f t="shared" si="73"/>
        <v>0</v>
      </c>
      <c r="CS15" s="791">
        <f t="shared" si="73"/>
        <v>1.2650797546012274E-2</v>
      </c>
      <c r="CT15" s="788"/>
      <c r="CU15" s="790">
        <f t="shared" si="74"/>
        <v>4.7924907975460125E-2</v>
      </c>
      <c r="CV15" s="790">
        <f t="shared" si="74"/>
        <v>2.6782822085889605E-3</v>
      </c>
      <c r="CW15" s="790">
        <f t="shared" si="74"/>
        <v>0</v>
      </c>
      <c r="CX15" s="790">
        <f t="shared" si="74"/>
        <v>0</v>
      </c>
      <c r="DA15" s="800">
        <f t="shared" si="75"/>
        <v>7.7955828220858895E-3</v>
      </c>
      <c r="DB15" s="800">
        <f t="shared" si="76"/>
        <v>1.0269938650306748E-3</v>
      </c>
      <c r="DC15" s="800">
        <f t="shared" si="77"/>
        <v>0.1349521472392638</v>
      </c>
      <c r="DD15" s="790">
        <f t="shared" si="78"/>
        <v>8.034846625766881E-3</v>
      </c>
      <c r="DE15" s="790">
        <f t="shared" si="79"/>
        <v>0</v>
      </c>
      <c r="DF15" s="790">
        <f t="shared" si="80"/>
        <v>0</v>
      </c>
      <c r="DG15" s="790">
        <f t="shared" si="81"/>
        <v>0</v>
      </c>
      <c r="DH15" s="790">
        <f t="shared" si="82"/>
        <v>0</v>
      </c>
      <c r="DI15" s="790">
        <f t="shared" si="83"/>
        <v>0</v>
      </c>
      <c r="DJ15" s="790">
        <f t="shared" si="84"/>
        <v>0</v>
      </c>
      <c r="DK15" s="790">
        <f t="shared" si="85"/>
        <v>0</v>
      </c>
      <c r="DL15" s="790">
        <f t="shared" si="86"/>
        <v>0</v>
      </c>
      <c r="DM15" s="791">
        <f t="shared" si="87"/>
        <v>1.2650797546012274E-2</v>
      </c>
      <c r="DN15" s="788"/>
      <c r="DO15" s="790">
        <f t="shared" si="88"/>
        <v>-0.9520750920245401</v>
      </c>
      <c r="DP15" s="790">
        <f t="shared" si="88"/>
        <v>-0.66398838445807784</v>
      </c>
      <c r="DQ15" s="790">
        <f t="shared" si="88"/>
        <v>0</v>
      </c>
      <c r="DR15" s="790">
        <f t="shared" si="88"/>
        <v>0</v>
      </c>
    </row>
    <row r="16" spans="2:123" s="677" customFormat="1" hidden="1">
      <c r="C16" s="755"/>
      <c r="D16" s="756"/>
      <c r="E16" s="765"/>
      <c r="F16" s="765"/>
      <c r="G16" s="765"/>
      <c r="H16" s="766"/>
      <c r="I16" s="766"/>
      <c r="J16" s="766"/>
      <c r="K16" s="766"/>
      <c r="L16" s="766"/>
      <c r="M16" s="766"/>
      <c r="N16" s="766"/>
      <c r="O16" s="766"/>
      <c r="P16" s="766"/>
      <c r="Q16" s="767"/>
      <c r="S16" s="766"/>
      <c r="T16" s="766"/>
      <c r="U16" s="766"/>
      <c r="V16" s="766"/>
      <c r="X16" s="721"/>
      <c r="Y16" s="765"/>
      <c r="Z16" s="765"/>
      <c r="AA16" s="765"/>
      <c r="AB16" s="766"/>
      <c r="AC16" s="766"/>
      <c r="AD16" s="766"/>
      <c r="AE16" s="766"/>
      <c r="AF16" s="766"/>
      <c r="AG16" s="766"/>
      <c r="AH16" s="766"/>
      <c r="AI16" s="766"/>
      <c r="AJ16" s="766"/>
      <c r="AK16" s="767"/>
      <c r="AM16" s="766"/>
      <c r="AN16" s="766"/>
      <c r="AO16" s="766"/>
      <c r="AP16" s="766"/>
      <c r="AR16" s="721"/>
      <c r="AS16" s="769"/>
      <c r="AT16" s="769"/>
      <c r="AU16" s="769"/>
      <c r="AV16" s="769"/>
      <c r="AW16" s="769"/>
      <c r="AX16" s="766"/>
      <c r="AY16" s="766"/>
      <c r="AZ16" s="766"/>
      <c r="BA16" s="766"/>
      <c r="BB16" s="766"/>
      <c r="BC16" s="766"/>
      <c r="BD16" s="766"/>
      <c r="BE16" s="767"/>
      <c r="BG16" s="766"/>
      <c r="BH16" s="766"/>
      <c r="BI16" s="766"/>
      <c r="BJ16" s="766"/>
      <c r="BM16" s="765"/>
      <c r="BN16" s="765"/>
      <c r="BO16" s="765"/>
      <c r="BP16" s="766"/>
      <c r="BQ16" s="766"/>
      <c r="BR16" s="766"/>
      <c r="BS16" s="766"/>
      <c r="BT16" s="766"/>
      <c r="BU16" s="766"/>
      <c r="BV16" s="766"/>
      <c r="BW16" s="766"/>
      <c r="BX16" s="766"/>
      <c r="BY16" s="767"/>
      <c r="CA16" s="766"/>
      <c r="CB16" s="766"/>
      <c r="CC16" s="766"/>
      <c r="CD16" s="766"/>
      <c r="CG16" s="800"/>
      <c r="CH16" s="800"/>
      <c r="CI16" s="800"/>
      <c r="CJ16" s="790"/>
      <c r="CK16" s="790"/>
      <c r="CL16" s="790"/>
      <c r="CM16" s="790"/>
      <c r="CN16" s="790"/>
      <c r="CO16" s="790"/>
      <c r="CP16" s="790"/>
      <c r="CQ16" s="790"/>
      <c r="CR16" s="790"/>
      <c r="CS16" s="791"/>
      <c r="CT16" s="788"/>
      <c r="CU16" s="790"/>
      <c r="CV16" s="790"/>
      <c r="CW16" s="790"/>
      <c r="CX16" s="790"/>
      <c r="DA16" s="800"/>
      <c r="DB16" s="800"/>
      <c r="DC16" s="800"/>
      <c r="DD16" s="790"/>
      <c r="DE16" s="790"/>
      <c r="DF16" s="790"/>
      <c r="DG16" s="790"/>
      <c r="DH16" s="790"/>
      <c r="DI16" s="790"/>
      <c r="DJ16" s="790"/>
      <c r="DK16" s="790"/>
      <c r="DL16" s="790"/>
      <c r="DM16" s="791"/>
      <c r="DN16" s="788"/>
      <c r="DO16" s="790"/>
      <c r="DP16" s="790"/>
      <c r="DQ16" s="790"/>
      <c r="DR16" s="790"/>
    </row>
    <row r="17" spans="1:123">
      <c r="X17" s="721"/>
      <c r="AR17" s="721"/>
      <c r="CG17" s="633"/>
      <c r="CH17" s="633"/>
      <c r="CI17" s="633"/>
      <c r="CJ17" s="633"/>
      <c r="CK17" s="633"/>
      <c r="CL17" s="633"/>
      <c r="CM17" s="633"/>
      <c r="CN17" s="633"/>
      <c r="CO17" s="633"/>
      <c r="CP17" s="633"/>
      <c r="CQ17" s="633"/>
      <c r="CR17" s="633"/>
      <c r="CS17" s="633"/>
      <c r="CT17" s="633"/>
      <c r="CU17" s="633"/>
      <c r="CV17" s="633"/>
      <c r="CW17" s="633"/>
      <c r="CX17" s="633"/>
      <c r="DA17" s="633"/>
      <c r="DB17" s="633"/>
      <c r="DC17" s="633"/>
      <c r="DD17" s="633"/>
      <c r="DE17" s="633"/>
      <c r="DF17" s="633"/>
      <c r="DG17" s="633"/>
      <c r="DH17" s="633"/>
      <c r="DI17" s="633"/>
      <c r="DJ17" s="633"/>
      <c r="DK17" s="633"/>
      <c r="DL17" s="633"/>
      <c r="DM17" s="633"/>
      <c r="DN17" s="633"/>
      <c r="DO17" s="633"/>
      <c r="DP17" s="633"/>
      <c r="DQ17" s="633"/>
      <c r="DR17" s="633"/>
    </row>
    <row r="18" spans="1:123">
      <c r="C18" s="751" t="s">
        <v>138</v>
      </c>
      <c r="D18" s="752"/>
      <c r="E18" s="768">
        <f>SUBTOTAL(9,E19:E19)</f>
        <v>269.17799999999994</v>
      </c>
      <c r="F18" s="768">
        <f t="shared" ref="F18:G18" si="106">SUBTOTAL(9,F19:F19)</f>
        <v>265.02839999999998</v>
      </c>
      <c r="G18" s="768">
        <f t="shared" si="106"/>
        <v>384.35846399999991</v>
      </c>
      <c r="H18" s="768">
        <f>SUBTOTAL(9,H19:H19)</f>
        <v>10105.374742419997</v>
      </c>
      <c r="I18" s="768">
        <f t="shared" ref="I18:J18" si="107">SUBTOTAL(9,I19:I19)</f>
        <v>12035.781591710998</v>
      </c>
      <c r="J18" s="768">
        <f t="shared" si="107"/>
        <v>15662.307442090048</v>
      </c>
      <c r="K18" s="768">
        <f>SUBTOTAL(9,K19:K19)</f>
        <v>18770.075066563848</v>
      </c>
      <c r="L18" s="768">
        <f t="shared" ref="L18:M18" si="108">SUBTOTAL(9,L19:L19)</f>
        <v>22087.710762247058</v>
      </c>
      <c r="M18" s="768">
        <f t="shared" si="108"/>
        <v>24239.445635857184</v>
      </c>
      <c r="N18" s="768">
        <f>SUBTOTAL(9,N19:N19)</f>
        <v>33116.499515998366</v>
      </c>
      <c r="O18" s="768">
        <f t="shared" ref="O18:Q18" si="109">SUBTOTAL(9,O19:O19)</f>
        <v>34716.188078582723</v>
      </c>
      <c r="P18" s="768">
        <f t="shared" si="109"/>
        <v>36284.705817038754</v>
      </c>
      <c r="Q18" s="768">
        <f t="shared" si="109"/>
        <v>207936.65351650899</v>
      </c>
      <c r="S18" s="760">
        <f t="shared" ref="S18:V18" si="110">SUBTOTAL(9,S19:S19)</f>
        <v>918.56486399999983</v>
      </c>
      <c r="T18" s="760">
        <f t="shared" si="110"/>
        <v>37803.463776221048</v>
      </c>
      <c r="U18" s="760">
        <f t="shared" si="110"/>
        <v>65097.23146466809</v>
      </c>
      <c r="V18" s="760">
        <f t="shared" si="110"/>
        <v>104117.39341161985</v>
      </c>
      <c r="X18" s="721"/>
      <c r="Y18" s="768">
        <f>SUBTOTAL(9,Y19:Y19)</f>
        <v>269.17799999999994</v>
      </c>
      <c r="Z18" s="768">
        <f t="shared" ref="Z18:AA18" si="111">SUBTOTAL(9,Z19:Z19)</f>
        <v>265.02839999999998</v>
      </c>
      <c r="AA18" s="768">
        <f t="shared" si="111"/>
        <v>384.35846399999991</v>
      </c>
      <c r="AB18" s="768">
        <f>SUBTOTAL(9,AB19:AB19)</f>
        <v>10105.374742419997</v>
      </c>
      <c r="AC18" s="768">
        <f t="shared" ref="AC18:AD18" si="112">SUBTOTAL(9,AC19:AC19)</f>
        <v>12035.781591710998</v>
      </c>
      <c r="AD18" s="768">
        <f t="shared" si="112"/>
        <v>15662.307442090048</v>
      </c>
      <c r="AE18" s="768">
        <f>SUBTOTAL(9,AE19:AE19)</f>
        <v>18770.075066563848</v>
      </c>
      <c r="AF18" s="768">
        <f t="shared" ref="AF18:AG18" si="113">SUBTOTAL(9,AF19:AF19)</f>
        <v>22087.710762247058</v>
      </c>
      <c r="AG18" s="768">
        <f t="shared" si="113"/>
        <v>24239.445635857184</v>
      </c>
      <c r="AH18" s="768">
        <f>SUBTOTAL(9,AH19:AH19)</f>
        <v>33116.499515998366</v>
      </c>
      <c r="AI18" s="768">
        <f t="shared" ref="AI18:AK18" si="114">SUBTOTAL(9,AI19:AI19)</f>
        <v>34716.188078582723</v>
      </c>
      <c r="AJ18" s="768">
        <f t="shared" si="114"/>
        <v>36284.705817038754</v>
      </c>
      <c r="AK18" s="768">
        <f t="shared" si="114"/>
        <v>207936.65351650899</v>
      </c>
      <c r="AM18" s="760">
        <f t="shared" ref="AM18:AP18" si="115">SUBTOTAL(9,AM19:AM19)</f>
        <v>918.56486399999983</v>
      </c>
      <c r="AN18" s="760">
        <f t="shared" si="115"/>
        <v>37803.463776221048</v>
      </c>
      <c r="AO18" s="760">
        <f t="shared" si="115"/>
        <v>65097.23146466809</v>
      </c>
      <c r="AP18" s="760">
        <f t="shared" si="115"/>
        <v>104117.39341161985</v>
      </c>
      <c r="AR18" s="721"/>
      <c r="AS18" s="768">
        <f>SUBTOTAL(9,AS19:AS19)</f>
        <v>0</v>
      </c>
      <c r="AT18" s="768">
        <f t="shared" ref="AT18:AU18" si="116">SUBTOTAL(9,AT19:AT19)</f>
        <v>0</v>
      </c>
      <c r="AU18" s="768">
        <f t="shared" si="116"/>
        <v>0</v>
      </c>
      <c r="AV18" s="768">
        <f>SUBTOTAL(9,AV19:AV19)</f>
        <v>0</v>
      </c>
      <c r="AW18" s="768">
        <f t="shared" ref="AW18:AX18" si="117">SUBTOTAL(9,AW19:AW19)</f>
        <v>0</v>
      </c>
      <c r="AX18" s="768">
        <f t="shared" si="117"/>
        <v>0</v>
      </c>
      <c r="AY18" s="768">
        <f>SUBTOTAL(9,AY19:AY19)</f>
        <v>0</v>
      </c>
      <c r="AZ18" s="768">
        <f t="shared" ref="AZ18:BA18" si="118">SUBTOTAL(9,AZ19:AZ19)</f>
        <v>0</v>
      </c>
      <c r="BA18" s="768">
        <f t="shared" si="118"/>
        <v>0</v>
      </c>
      <c r="BB18" s="768">
        <f>SUBTOTAL(9,BB19:BB19)</f>
        <v>0</v>
      </c>
      <c r="BC18" s="768">
        <f t="shared" ref="BC18:BE18" si="119">SUBTOTAL(9,BC19:BC19)</f>
        <v>0</v>
      </c>
      <c r="BD18" s="768">
        <f t="shared" si="119"/>
        <v>0</v>
      </c>
      <c r="BE18" s="768">
        <f t="shared" si="119"/>
        <v>0</v>
      </c>
      <c r="BG18" s="760">
        <f t="shared" ref="BG18:BJ18" si="120">SUBTOTAL(9,BG19:BG19)</f>
        <v>0</v>
      </c>
      <c r="BH18" s="760">
        <f t="shared" si="120"/>
        <v>0</v>
      </c>
      <c r="BI18" s="760">
        <f t="shared" si="120"/>
        <v>0</v>
      </c>
      <c r="BJ18" s="760">
        <f t="shared" si="120"/>
        <v>0</v>
      </c>
      <c r="BM18" s="768">
        <f>SUBTOTAL(9,BM19:BM19)</f>
        <v>-269.17799999999994</v>
      </c>
      <c r="BN18" s="768">
        <f t="shared" ref="BN18:BO18" si="121">SUBTOTAL(9,BN19:BN19)</f>
        <v>-265.02839999999998</v>
      </c>
      <c r="BO18" s="768">
        <f t="shared" si="121"/>
        <v>-384.35846399999991</v>
      </c>
      <c r="BP18" s="768">
        <f>SUBTOTAL(9,BP19:BP19)</f>
        <v>-10105.374742419997</v>
      </c>
      <c r="BQ18" s="768">
        <f t="shared" ref="BQ18:BR18" si="122">SUBTOTAL(9,BQ19:BQ19)</f>
        <v>-12035.781591710998</v>
      </c>
      <c r="BR18" s="768">
        <f t="shared" si="122"/>
        <v>0</v>
      </c>
      <c r="BS18" s="768">
        <f>SUBTOTAL(9,BS19:BS19)</f>
        <v>0</v>
      </c>
      <c r="BT18" s="768">
        <f t="shared" ref="BT18:BU18" si="123">SUBTOTAL(9,BT19:BT19)</f>
        <v>0</v>
      </c>
      <c r="BU18" s="768">
        <f t="shared" si="123"/>
        <v>0</v>
      </c>
      <c r="BV18" s="768">
        <f>SUBTOTAL(9,BV19:BV19)</f>
        <v>0</v>
      </c>
      <c r="BW18" s="768">
        <f t="shared" ref="BW18:BY18" si="124">SUBTOTAL(9,BW19:BW19)</f>
        <v>0</v>
      </c>
      <c r="BX18" s="768">
        <f t="shared" si="124"/>
        <v>0</v>
      </c>
      <c r="BY18" s="768">
        <f t="shared" si="124"/>
        <v>-23059.721198130996</v>
      </c>
      <c r="CA18" s="760">
        <f t="shared" ref="CA18:CD18" si="125">SUBTOTAL(9,CA19:CA19)</f>
        <v>-918.56486399999983</v>
      </c>
      <c r="CB18" s="760">
        <f t="shared" si="125"/>
        <v>-22141.156334130996</v>
      </c>
      <c r="CC18" s="760">
        <f t="shared" si="125"/>
        <v>0</v>
      </c>
      <c r="CD18" s="760">
        <f t="shared" si="125"/>
        <v>0</v>
      </c>
      <c r="CG18" s="784">
        <f t="shared" ref="CG18:CS19" si="126">IFERROR(AS18/E18,0)</f>
        <v>0</v>
      </c>
      <c r="CH18" s="784">
        <f t="shared" si="126"/>
        <v>0</v>
      </c>
      <c r="CI18" s="784">
        <f t="shared" si="126"/>
        <v>0</v>
      </c>
      <c r="CJ18" s="784">
        <f t="shared" si="126"/>
        <v>0</v>
      </c>
      <c r="CK18" s="784">
        <f t="shared" si="126"/>
        <v>0</v>
      </c>
      <c r="CL18" s="784">
        <f t="shared" si="126"/>
        <v>0</v>
      </c>
      <c r="CM18" s="784">
        <f t="shared" si="126"/>
        <v>0</v>
      </c>
      <c r="CN18" s="784">
        <f t="shared" si="126"/>
        <v>0</v>
      </c>
      <c r="CO18" s="784">
        <f t="shared" si="126"/>
        <v>0</v>
      </c>
      <c r="CP18" s="784">
        <f t="shared" si="126"/>
        <v>0</v>
      </c>
      <c r="CQ18" s="784">
        <f t="shared" si="126"/>
        <v>0</v>
      </c>
      <c r="CR18" s="784">
        <f t="shared" si="126"/>
        <v>0</v>
      </c>
      <c r="CS18" s="784">
        <f t="shared" si="126"/>
        <v>0</v>
      </c>
      <c r="CT18" s="633"/>
      <c r="CU18" s="781">
        <f t="shared" ref="CU18:CX19" si="127">IFERROR(BG18/S18,0)</f>
        <v>0</v>
      </c>
      <c r="CV18" s="781">
        <f t="shared" si="127"/>
        <v>0</v>
      </c>
      <c r="CW18" s="781">
        <f t="shared" si="127"/>
        <v>0</v>
      </c>
      <c r="CX18" s="781">
        <f t="shared" si="127"/>
        <v>0</v>
      </c>
      <c r="DA18" s="784">
        <f t="shared" ref="DA18:DA19" si="128">IFERROR(AS18/Y18,0)</f>
        <v>0</v>
      </c>
      <c r="DB18" s="784">
        <f t="shared" ref="DB18:DB19" si="129">IFERROR(AT18/Z18,0)</f>
        <v>0</v>
      </c>
      <c r="DC18" s="784">
        <f t="shared" ref="DC18:DC19" si="130">IFERROR(AU18/AA18,0)</f>
        <v>0</v>
      </c>
      <c r="DD18" s="784">
        <f t="shared" ref="DD18:DD19" si="131">IFERROR(AV18/AB18,0)</f>
        <v>0</v>
      </c>
      <c r="DE18" s="784">
        <f t="shared" ref="DE18:DE19" si="132">IFERROR(AW18/AC18,0)</f>
        <v>0</v>
      </c>
      <c r="DF18" s="784">
        <f t="shared" ref="DF18:DF19" si="133">IFERROR(AX18/AD18,0)</f>
        <v>0</v>
      </c>
      <c r="DG18" s="784">
        <f t="shared" ref="DG18:DG19" si="134">IFERROR(AY18/AE18,0)</f>
        <v>0</v>
      </c>
      <c r="DH18" s="784">
        <f t="shared" ref="DH18:DH19" si="135">IFERROR(AZ18/AF18,0)</f>
        <v>0</v>
      </c>
      <c r="DI18" s="784">
        <f t="shared" ref="DI18:DI19" si="136">IFERROR(BA18/AG18,0)</f>
        <v>0</v>
      </c>
      <c r="DJ18" s="784">
        <f t="shared" ref="DJ18:DJ19" si="137">IFERROR(BB18/AH18,0)</f>
        <v>0</v>
      </c>
      <c r="DK18" s="784">
        <f t="shared" ref="DK18:DK19" si="138">IFERROR(BC18/AI18,0)</f>
        <v>0</v>
      </c>
      <c r="DL18" s="784">
        <f t="shared" ref="DL18:DL19" si="139">IFERROR(BD18/AJ18,0)</f>
        <v>0</v>
      </c>
      <c r="DM18" s="784">
        <f t="shared" ref="DM18:DM19" si="140">IFERROR(BE18/AK18,0)</f>
        <v>0</v>
      </c>
      <c r="DN18" s="633"/>
      <c r="DO18" s="781">
        <f t="shared" ref="DO18:DR19" si="141">IFERROR(CA18/AM18,0)</f>
        <v>-1</v>
      </c>
      <c r="DP18" s="781">
        <f t="shared" si="141"/>
        <v>-0.5856912071654693</v>
      </c>
      <c r="DQ18" s="781">
        <f t="shared" si="141"/>
        <v>0</v>
      </c>
      <c r="DR18" s="781">
        <f t="shared" si="141"/>
        <v>0</v>
      </c>
    </row>
    <row r="19" spans="1:123" s="677" customFormat="1">
      <c r="C19" s="755" t="s">
        <v>148</v>
      </c>
      <c r="D19" s="756" t="s">
        <v>70</v>
      </c>
      <c r="E19" s="765">
        <v>269.17799999999994</v>
      </c>
      <c r="F19" s="765">
        <v>265.02839999999998</v>
      </c>
      <c r="G19" s="765">
        <v>384.35846399999991</v>
      </c>
      <c r="H19" s="766">
        <v>10105.374742419997</v>
      </c>
      <c r="I19" s="766">
        <v>12035.781591710998</v>
      </c>
      <c r="J19" s="766">
        <v>15662.307442090048</v>
      </c>
      <c r="K19" s="766">
        <v>18770.075066563848</v>
      </c>
      <c r="L19" s="766">
        <v>22087.710762247058</v>
      </c>
      <c r="M19" s="766">
        <v>24239.445635857184</v>
      </c>
      <c r="N19" s="766">
        <v>33116.499515998366</v>
      </c>
      <c r="O19" s="766">
        <v>34716.188078582723</v>
      </c>
      <c r="P19" s="766">
        <v>36284.705817038754</v>
      </c>
      <c r="Q19" s="767">
        <f>SUM(E19:P19)</f>
        <v>207936.65351650899</v>
      </c>
      <c r="S19" s="766">
        <f>SUM(E19:G19)</f>
        <v>918.56486399999983</v>
      </c>
      <c r="T19" s="766">
        <f>SUM(H19:J19)</f>
        <v>37803.463776221048</v>
      </c>
      <c r="U19" s="766">
        <f>SUM(K19:M19)</f>
        <v>65097.23146466809</v>
      </c>
      <c r="V19" s="766">
        <f>SUM(N19:P19)</f>
        <v>104117.39341161985</v>
      </c>
      <c r="X19" s="721" t="s">
        <v>70</v>
      </c>
      <c r="Y19" s="765">
        <v>269.17799999999994</v>
      </c>
      <c r="Z19" s="765">
        <v>265.02839999999998</v>
      </c>
      <c r="AA19" s="765">
        <v>384.35846399999991</v>
      </c>
      <c r="AB19" s="766">
        <v>10105.374742419997</v>
      </c>
      <c r="AC19" s="766">
        <v>12035.781591710998</v>
      </c>
      <c r="AD19" s="766">
        <v>15662.307442090048</v>
      </c>
      <c r="AE19" s="766">
        <v>18770.075066563848</v>
      </c>
      <c r="AF19" s="766">
        <v>22087.710762247058</v>
      </c>
      <c r="AG19" s="766">
        <v>24239.445635857184</v>
      </c>
      <c r="AH19" s="766">
        <v>33116.499515998366</v>
      </c>
      <c r="AI19" s="766">
        <v>34716.188078582723</v>
      </c>
      <c r="AJ19" s="766">
        <v>36284.705817038754</v>
      </c>
      <c r="AK19" s="767">
        <f>SUM(Y19:AJ19)</f>
        <v>207936.65351650899</v>
      </c>
      <c r="AM19" s="766">
        <f t="shared" ref="AM19" si="142">SUM(Y19:AA19)</f>
        <v>918.56486399999983</v>
      </c>
      <c r="AN19" s="766">
        <f>SUM(AB19:AD19)</f>
        <v>37803.463776221048</v>
      </c>
      <c r="AO19" s="766">
        <f>SUM(AE19:AG19)</f>
        <v>65097.23146466809</v>
      </c>
      <c r="AP19" s="766">
        <f>SUM(AH19:AJ19)</f>
        <v>104117.39341161985</v>
      </c>
      <c r="AR19" s="721" t="s">
        <v>70</v>
      </c>
      <c r="AS19" s="769">
        <v>0</v>
      </c>
      <c r="AT19" s="769">
        <v>0</v>
      </c>
      <c r="AU19" s="769">
        <v>0</v>
      </c>
      <c r="AV19" s="769">
        <v>0</v>
      </c>
      <c r="AW19" s="766">
        <v>0</v>
      </c>
      <c r="AX19" s="766"/>
      <c r="AY19" s="766"/>
      <c r="AZ19" s="766"/>
      <c r="BA19" s="766"/>
      <c r="BB19" s="766"/>
      <c r="BC19" s="766"/>
      <c r="BD19" s="766"/>
      <c r="BE19" s="767">
        <f>SUM(AS19:BD19)</f>
        <v>0</v>
      </c>
      <c r="BG19" s="766">
        <f t="shared" ref="BG19" si="143">SUM(AS19:AU19)</f>
        <v>0</v>
      </c>
      <c r="BH19" s="766">
        <f>SUM(AV19:AX19)</f>
        <v>0</v>
      </c>
      <c r="BI19" s="766">
        <f>SUM(AY19:BA19)</f>
        <v>0</v>
      </c>
      <c r="BJ19" s="766">
        <f>SUM(BB19:BD19)</f>
        <v>0</v>
      </c>
      <c r="BM19" s="765">
        <f>AS19-E19</f>
        <v>-269.17799999999994</v>
      </c>
      <c r="BN19" s="765">
        <f>AT19-F19</f>
        <v>-265.02839999999998</v>
      </c>
      <c r="BO19" s="765">
        <f>AU19-G19</f>
        <v>-384.35846399999991</v>
      </c>
      <c r="BP19" s="766">
        <f>AV19-H19</f>
        <v>-10105.374742419997</v>
      </c>
      <c r="BQ19" s="766">
        <f>AW19-I19</f>
        <v>-12035.781591710998</v>
      </c>
      <c r="BR19" s="766"/>
      <c r="BS19" s="766"/>
      <c r="BT19" s="766"/>
      <c r="BU19" s="766"/>
      <c r="BV19" s="766"/>
      <c r="BW19" s="766"/>
      <c r="BX19" s="766"/>
      <c r="BY19" s="767">
        <f>SUM(BM19:BX19)</f>
        <v>-23059.721198130996</v>
      </c>
      <c r="CA19" s="766">
        <f t="shared" ref="CA19" si="144">SUM(BM19:BO19)</f>
        <v>-918.56486399999983</v>
      </c>
      <c r="CB19" s="766">
        <f>SUM(BP19:BR19)</f>
        <v>-22141.156334130996</v>
      </c>
      <c r="CC19" s="766">
        <f>SUM(BS19:BU19)</f>
        <v>0</v>
      </c>
      <c r="CD19" s="766">
        <f>SUM(BV19:BX19)</f>
        <v>0</v>
      </c>
      <c r="CG19" s="800">
        <f t="shared" si="126"/>
        <v>0</v>
      </c>
      <c r="CH19" s="800">
        <f t="shared" si="126"/>
        <v>0</v>
      </c>
      <c r="CI19" s="800">
        <f t="shared" si="126"/>
        <v>0</v>
      </c>
      <c r="CJ19" s="790">
        <f t="shared" si="126"/>
        <v>0</v>
      </c>
      <c r="CK19" s="790">
        <f t="shared" si="126"/>
        <v>0</v>
      </c>
      <c r="CL19" s="790">
        <f t="shared" si="126"/>
        <v>0</v>
      </c>
      <c r="CM19" s="790">
        <f t="shared" si="126"/>
        <v>0</v>
      </c>
      <c r="CN19" s="790">
        <f t="shared" si="126"/>
        <v>0</v>
      </c>
      <c r="CO19" s="790">
        <f t="shared" si="126"/>
        <v>0</v>
      </c>
      <c r="CP19" s="790">
        <f t="shared" si="126"/>
        <v>0</v>
      </c>
      <c r="CQ19" s="790">
        <f t="shared" si="126"/>
        <v>0</v>
      </c>
      <c r="CR19" s="790">
        <f t="shared" si="126"/>
        <v>0</v>
      </c>
      <c r="CS19" s="791">
        <f t="shared" si="126"/>
        <v>0</v>
      </c>
      <c r="CT19" s="788"/>
      <c r="CU19" s="790">
        <f t="shared" si="127"/>
        <v>0</v>
      </c>
      <c r="CV19" s="790">
        <f t="shared" si="127"/>
        <v>0</v>
      </c>
      <c r="CW19" s="790">
        <f t="shared" si="127"/>
        <v>0</v>
      </c>
      <c r="CX19" s="790">
        <f t="shared" si="127"/>
        <v>0</v>
      </c>
      <c r="DA19" s="800">
        <f t="shared" si="128"/>
        <v>0</v>
      </c>
      <c r="DB19" s="800">
        <f t="shared" si="129"/>
        <v>0</v>
      </c>
      <c r="DC19" s="800">
        <f t="shared" si="130"/>
        <v>0</v>
      </c>
      <c r="DD19" s="790">
        <f t="shared" si="131"/>
        <v>0</v>
      </c>
      <c r="DE19" s="790">
        <f t="shared" si="132"/>
        <v>0</v>
      </c>
      <c r="DF19" s="790">
        <f t="shared" si="133"/>
        <v>0</v>
      </c>
      <c r="DG19" s="790">
        <f t="shared" si="134"/>
        <v>0</v>
      </c>
      <c r="DH19" s="790">
        <f t="shared" si="135"/>
        <v>0</v>
      </c>
      <c r="DI19" s="790">
        <f t="shared" si="136"/>
        <v>0</v>
      </c>
      <c r="DJ19" s="790">
        <f t="shared" si="137"/>
        <v>0</v>
      </c>
      <c r="DK19" s="790">
        <f t="shared" si="138"/>
        <v>0</v>
      </c>
      <c r="DL19" s="790">
        <f t="shared" si="139"/>
        <v>0</v>
      </c>
      <c r="DM19" s="791">
        <f t="shared" si="140"/>
        <v>0</v>
      </c>
      <c r="DN19" s="788"/>
      <c r="DO19" s="790">
        <f t="shared" si="141"/>
        <v>-1</v>
      </c>
      <c r="DP19" s="790">
        <f t="shared" si="141"/>
        <v>-0.5856912071654693</v>
      </c>
      <c r="DQ19" s="790">
        <f t="shared" si="141"/>
        <v>0</v>
      </c>
      <c r="DR19" s="790">
        <f t="shared" si="141"/>
        <v>0</v>
      </c>
    </row>
    <row r="20" spans="1:123">
      <c r="X20" s="721"/>
      <c r="AR20" s="721"/>
      <c r="CG20" s="633"/>
      <c r="CH20" s="633"/>
      <c r="CI20" s="633"/>
      <c r="CJ20" s="633"/>
      <c r="CK20" s="633"/>
      <c r="CL20" s="633"/>
      <c r="CM20" s="633"/>
      <c r="CN20" s="633"/>
      <c r="CO20" s="633"/>
      <c r="CP20" s="633"/>
      <c r="CQ20" s="633"/>
      <c r="CR20" s="633"/>
      <c r="CS20" s="633"/>
      <c r="CT20" s="633"/>
      <c r="CU20" s="633"/>
      <c r="CV20" s="633"/>
      <c r="CW20" s="633"/>
      <c r="CX20" s="633"/>
      <c r="DA20" s="633"/>
      <c r="DB20" s="633"/>
      <c r="DC20" s="633"/>
      <c r="DD20" s="633"/>
      <c r="DE20" s="633"/>
      <c r="DF20" s="633"/>
      <c r="DG20" s="633"/>
      <c r="DH20" s="633"/>
      <c r="DI20" s="633"/>
      <c r="DJ20" s="633"/>
      <c r="DK20" s="633"/>
      <c r="DL20" s="633"/>
      <c r="DM20" s="633"/>
      <c r="DN20" s="633"/>
      <c r="DO20" s="633"/>
      <c r="DP20" s="633"/>
      <c r="DQ20" s="633"/>
      <c r="DR20" s="633"/>
    </row>
    <row r="21" spans="1:123">
      <c r="C21" s="678" t="s">
        <v>140</v>
      </c>
      <c r="D21" s="715"/>
      <c r="E21" s="684">
        <f>E18+E12+E9+E3</f>
        <v>200273.70984539171</v>
      </c>
      <c r="F21" s="684">
        <f t="shared" ref="F21" si="145">F18+F12+F9+F3</f>
        <v>186071.24776137643</v>
      </c>
      <c r="G21" s="684">
        <f>G18+G12+G9+G3</f>
        <v>213801.01522189687</v>
      </c>
      <c r="H21" s="684">
        <f>H18+H12+H9+H3</f>
        <v>230797.20697840268</v>
      </c>
      <c r="I21" s="684">
        <f t="shared" ref="I21:J21" si="146">I18+I12+I9+I3</f>
        <v>245464.94803213899</v>
      </c>
      <c r="J21" s="684">
        <f t="shared" si="146"/>
        <v>246011.69029626244</v>
      </c>
      <c r="K21" s="684">
        <f>K18+K12+K9+K3</f>
        <v>262061.2574874867</v>
      </c>
      <c r="L21" s="684">
        <f t="shared" ref="L21:M21" si="147">L18+L12+L9+L3</f>
        <v>263741.80322640156</v>
      </c>
      <c r="M21" s="684">
        <f t="shared" si="147"/>
        <v>275458.92465753877</v>
      </c>
      <c r="N21" s="684">
        <f>N18+N12+N9+N3</f>
        <v>297714.84341399523</v>
      </c>
      <c r="O21" s="684">
        <f t="shared" ref="O21:Q21" si="148">O18+O12+O9+O3</f>
        <v>303359.70723646245</v>
      </c>
      <c r="P21" s="684">
        <f t="shared" si="148"/>
        <v>327002.61775269231</v>
      </c>
      <c r="Q21" s="684">
        <f t="shared" si="148"/>
        <v>3051758.9719100455</v>
      </c>
      <c r="S21" s="684">
        <f t="shared" ref="S21:V21" si="149">S18+S12+S9+S3</f>
        <v>600145.97282866505</v>
      </c>
      <c r="T21" s="684">
        <f t="shared" si="149"/>
        <v>722273.84530680417</v>
      </c>
      <c r="U21" s="684">
        <f t="shared" si="149"/>
        <v>801261.98537142703</v>
      </c>
      <c r="V21" s="684">
        <f t="shared" si="149"/>
        <v>928077.16840314993</v>
      </c>
      <c r="X21" s="721"/>
      <c r="Y21" s="684">
        <f>Y18+Y12+Y9+Y3</f>
        <v>236862.02445497041</v>
      </c>
      <c r="Z21" s="684">
        <f t="shared" ref="Z21:AA21" si="150">Z18+Z12+Z9+Z3</f>
        <v>218726.63239750642</v>
      </c>
      <c r="AA21" s="684">
        <f t="shared" si="150"/>
        <v>254104.48599073145</v>
      </c>
      <c r="AB21" s="684">
        <f>AB18+AB12+AB9+AB3</f>
        <v>273115.90003031318</v>
      </c>
      <c r="AC21" s="684">
        <f t="shared" ref="AC21:AD21" si="151">AC18+AC12+AC9+AC3</f>
        <v>291311.88034000993</v>
      </c>
      <c r="AD21" s="684">
        <f t="shared" si="151"/>
        <v>291005.52311137639</v>
      </c>
      <c r="AE21" s="684">
        <f>AE18+AE12+AE9+AE3</f>
        <v>310639.96642669925</v>
      </c>
      <c r="AF21" s="684">
        <f t="shared" ref="AF21:AG21" si="152">AF18+AF12+AF9+AF3</f>
        <v>311867.0385456009</v>
      </c>
      <c r="AG21" s="684">
        <f t="shared" si="152"/>
        <v>326233.77031191526</v>
      </c>
      <c r="AH21" s="684">
        <f>AH18+AH12+AH9+AH3</f>
        <v>352195.63220365765</v>
      </c>
      <c r="AI21" s="684">
        <f t="shared" ref="AI21:AK21" si="153">AI18+AI12+AI9+AI3</f>
        <v>342353.59751411283</v>
      </c>
      <c r="AJ21" s="684">
        <f t="shared" si="153"/>
        <v>356981.39300587995</v>
      </c>
      <c r="AK21" s="684">
        <f t="shared" si="153"/>
        <v>3565397.8443327732</v>
      </c>
      <c r="AM21" s="684">
        <f t="shared" ref="AM21:AP21" si="154">AM18+AM12+AM9+AM3</f>
        <v>709693.14284320828</v>
      </c>
      <c r="AN21" s="684">
        <f t="shared" si="154"/>
        <v>855433.30348169955</v>
      </c>
      <c r="AO21" s="684">
        <f t="shared" si="154"/>
        <v>948740.77528421534</v>
      </c>
      <c r="AP21" s="684">
        <f t="shared" si="154"/>
        <v>1051530.6227236502</v>
      </c>
      <c r="AR21" s="721"/>
      <c r="AS21" s="684">
        <f>AS18+AS12+AS9+AS3</f>
        <v>144703.03448</v>
      </c>
      <c r="AT21" s="684">
        <f t="shared" ref="AT21:AU21" si="155">AT18+AT12+AT9+AT3</f>
        <v>132411.11360700001</v>
      </c>
      <c r="AU21" s="684">
        <f t="shared" si="155"/>
        <v>212648.98640799994</v>
      </c>
      <c r="AV21" s="684">
        <f>AV18+AV12+AV9+AV3</f>
        <v>289213.80000000005</v>
      </c>
      <c r="AW21" s="684">
        <f t="shared" ref="AW21:AX21" si="156">AW18+AW12+AW9+AW3</f>
        <v>382814.50000000012</v>
      </c>
      <c r="AX21" s="684">
        <f t="shared" si="156"/>
        <v>0</v>
      </c>
      <c r="AY21" s="684">
        <f>AY18+AY12+AY9+AY3</f>
        <v>0</v>
      </c>
      <c r="AZ21" s="684">
        <f t="shared" ref="AZ21:BA21" si="157">AZ18+AZ12+AZ9+AZ3</f>
        <v>0</v>
      </c>
      <c r="BA21" s="684">
        <f t="shared" si="157"/>
        <v>0</v>
      </c>
      <c r="BB21" s="684">
        <f>BB18+BB12+BB9+BB3</f>
        <v>0</v>
      </c>
      <c r="BC21" s="684">
        <f t="shared" ref="BC21:BE21" si="158">BC18+BC12+BC9+BC3</f>
        <v>0</v>
      </c>
      <c r="BD21" s="684">
        <f t="shared" si="158"/>
        <v>0</v>
      </c>
      <c r="BE21" s="684">
        <f t="shared" si="158"/>
        <v>1179322.6244950001</v>
      </c>
      <c r="BG21" s="684">
        <f t="shared" ref="BG21:BJ21" si="159">BG18+BG12+BG9+BG3</f>
        <v>507294.32449500001</v>
      </c>
      <c r="BH21" s="684">
        <f t="shared" si="159"/>
        <v>672028.3</v>
      </c>
      <c r="BI21" s="684">
        <f t="shared" si="159"/>
        <v>0</v>
      </c>
      <c r="BJ21" s="684">
        <f t="shared" si="159"/>
        <v>0</v>
      </c>
      <c r="BM21" s="684">
        <f>BM18+BM12+BM9+BM3</f>
        <v>-38039.485365391723</v>
      </c>
      <c r="BN21" s="684">
        <f t="shared" ref="BN21:BO21" si="160">BN18+BN12+BN9+BN3</f>
        <v>-53660.134154376436</v>
      </c>
      <c r="BO21" s="684">
        <f t="shared" si="160"/>
        <v>-1152.0288138969263</v>
      </c>
      <c r="BP21" s="684">
        <f>BP18+BP12+BP9+BP3</f>
        <v>58416.593021597349</v>
      </c>
      <c r="BQ21" s="684">
        <f t="shared" ref="BQ21:BR21" si="161">BQ18+BQ12+BQ9+BQ3</f>
        <v>137349.5519678611</v>
      </c>
      <c r="BR21" s="684">
        <f t="shared" si="161"/>
        <v>0</v>
      </c>
      <c r="BS21" s="684">
        <f>BS18+BS12+BS9+BS3</f>
        <v>0</v>
      </c>
      <c r="BT21" s="684">
        <f t="shared" ref="BT21:BU21" si="162">BT18+BT12+BT9+BT3</f>
        <v>0</v>
      </c>
      <c r="BU21" s="684">
        <f t="shared" si="162"/>
        <v>0</v>
      </c>
      <c r="BV21" s="684">
        <f>BV18+BV12+BV9+BV3</f>
        <v>0</v>
      </c>
      <c r="BW21" s="684">
        <f t="shared" ref="BW21:BY21" si="163">BW18+BW12+BW9+BW3</f>
        <v>0</v>
      </c>
      <c r="BX21" s="684">
        <f t="shared" si="163"/>
        <v>0</v>
      </c>
      <c r="BY21" s="684">
        <f t="shared" si="163"/>
        <v>102914.49665579334</v>
      </c>
      <c r="CA21" s="684">
        <f t="shared" ref="CA21:CD21" si="164">CA18+CA12+CA9+CA3</f>
        <v>-92851.6483336651</v>
      </c>
      <c r="CB21" s="684">
        <f t="shared" si="164"/>
        <v>195766.14498945841</v>
      </c>
      <c r="CC21" s="684">
        <f t="shared" si="164"/>
        <v>0</v>
      </c>
      <c r="CD21" s="684">
        <f t="shared" si="164"/>
        <v>0</v>
      </c>
      <c r="CG21" s="685">
        <f t="shared" ref="CG21:CS26" si="165">IFERROR(AS21/E21,0)</f>
        <v>0.72252635950923649</v>
      </c>
      <c r="CH21" s="685">
        <f t="shared" si="165"/>
        <v>0.71161512162700247</v>
      </c>
      <c r="CI21" s="685">
        <f t="shared" si="165"/>
        <v>0.99461167753248836</v>
      </c>
      <c r="CJ21" s="685">
        <f t="shared" si="165"/>
        <v>1.2531078854306232</v>
      </c>
      <c r="CK21" s="685">
        <f t="shared" si="165"/>
        <v>1.5595485346033104</v>
      </c>
      <c r="CL21" s="685">
        <f t="shared" si="165"/>
        <v>0</v>
      </c>
      <c r="CM21" s="685">
        <f t="shared" si="165"/>
        <v>0</v>
      </c>
      <c r="CN21" s="685">
        <f t="shared" si="165"/>
        <v>0</v>
      </c>
      <c r="CO21" s="685">
        <f t="shared" si="165"/>
        <v>0</v>
      </c>
      <c r="CP21" s="685">
        <f t="shared" si="165"/>
        <v>0</v>
      </c>
      <c r="CQ21" s="685">
        <f t="shared" si="165"/>
        <v>0</v>
      </c>
      <c r="CR21" s="685">
        <f t="shared" si="165"/>
        <v>0</v>
      </c>
      <c r="CS21" s="685">
        <f t="shared" si="165"/>
        <v>0.38644029077987163</v>
      </c>
      <c r="CT21" s="633"/>
      <c r="CU21" s="685">
        <f t="shared" ref="CU21:CX26" si="166">IFERROR(BG21/S21,0)</f>
        <v>0.8452848931135406</v>
      </c>
      <c r="CV21" s="685">
        <f t="shared" si="166"/>
        <v>0.9304342173909661</v>
      </c>
      <c r="CW21" s="685">
        <f t="shared" si="166"/>
        <v>0</v>
      </c>
      <c r="CX21" s="685">
        <f t="shared" si="166"/>
        <v>0</v>
      </c>
      <c r="DA21" s="685">
        <f t="shared" ref="DA21:DA26" si="167">IFERROR(AS21/Y21,0)</f>
        <v>0.61091698769766001</v>
      </c>
      <c r="DB21" s="685">
        <f t="shared" ref="DB21:DB26" si="168">IFERROR(AT21/Z21,0)</f>
        <v>0.6053726158338163</v>
      </c>
      <c r="DC21" s="685">
        <f t="shared" ref="DC21:DC26" si="169">IFERROR(AU21/AA21,0)</f>
        <v>0.83685648279250124</v>
      </c>
      <c r="DD21" s="685">
        <f t="shared" ref="DD21:DD26" si="170">IFERROR(AV21/AB21,0)</f>
        <v>1.0589416433385979</v>
      </c>
      <c r="DE21" s="685">
        <f t="shared" ref="DE21:DE26" si="171">IFERROR(AW21/AC21,0)</f>
        <v>1.3141053483750518</v>
      </c>
      <c r="DF21" s="685">
        <f t="shared" ref="DF21:DF26" si="172">IFERROR(AX21/AD21,0)</f>
        <v>0</v>
      </c>
      <c r="DG21" s="685">
        <f t="shared" ref="DG21:DG26" si="173">IFERROR(AY21/AE21,0)</f>
        <v>0</v>
      </c>
      <c r="DH21" s="685">
        <f t="shared" ref="DH21:DH26" si="174">IFERROR(AZ21/AF21,0)</f>
        <v>0</v>
      </c>
      <c r="DI21" s="685">
        <f t="shared" ref="DI21:DI26" si="175">IFERROR(BA21/AG21,0)</f>
        <v>0</v>
      </c>
      <c r="DJ21" s="685">
        <f t="shared" ref="DJ21:DJ26" si="176">IFERROR(BB21/AH21,0)</f>
        <v>0</v>
      </c>
      <c r="DK21" s="685">
        <f t="shared" ref="DK21:DK26" si="177">IFERROR(BC21/AI21,0)</f>
        <v>0</v>
      </c>
      <c r="DL21" s="685">
        <f t="shared" ref="DL21:DL26" si="178">IFERROR(BD21/AJ21,0)</f>
        <v>0</v>
      </c>
      <c r="DM21" s="685">
        <f t="shared" ref="DM21:DM26" si="179">IFERROR(BE21/AK21,0)</f>
        <v>0.33076887236288155</v>
      </c>
      <c r="DN21" s="633"/>
      <c r="DO21" s="685">
        <f t="shared" ref="DO21:DR26" si="180">IFERROR(CA21/AM21,0)</f>
        <v>-0.13083351483667741</v>
      </c>
      <c r="DP21" s="685">
        <f t="shared" si="180"/>
        <v>0.22885027294666985</v>
      </c>
      <c r="DQ21" s="685">
        <f t="shared" si="180"/>
        <v>0</v>
      </c>
      <c r="DR21" s="685">
        <f t="shared" si="180"/>
        <v>0</v>
      </c>
    </row>
    <row r="22" spans="1:123" hidden="1">
      <c r="C22" s="680"/>
      <c r="D22" s="719"/>
      <c r="E22" s="738"/>
      <c r="F22" s="738"/>
      <c r="G22" s="738"/>
      <c r="H22" s="738"/>
      <c r="I22" s="738"/>
      <c r="J22" s="738"/>
      <c r="K22" s="738"/>
      <c r="L22" s="738"/>
      <c r="M22" s="738"/>
      <c r="N22" s="738"/>
      <c r="O22" s="738"/>
      <c r="P22" s="738"/>
      <c r="Q22" s="739"/>
      <c r="S22" s="738"/>
      <c r="T22" s="738"/>
      <c r="U22" s="738"/>
      <c r="V22" s="738"/>
      <c r="X22" s="721"/>
      <c r="Y22" s="738"/>
      <c r="Z22" s="738"/>
      <c r="AA22" s="738"/>
      <c r="AB22" s="738"/>
      <c r="AC22" s="738"/>
      <c r="AD22" s="738"/>
      <c r="AE22" s="738"/>
      <c r="AF22" s="738"/>
      <c r="AG22" s="738"/>
      <c r="AH22" s="738"/>
      <c r="AI22" s="738"/>
      <c r="AJ22" s="738"/>
      <c r="AK22" s="739"/>
      <c r="AM22" s="738"/>
      <c r="AN22" s="738"/>
      <c r="AO22" s="738"/>
      <c r="AP22" s="738"/>
      <c r="AR22" s="721"/>
      <c r="AS22" s="738"/>
      <c r="AT22" s="738"/>
      <c r="AU22" s="738"/>
      <c r="AV22" s="738"/>
      <c r="AW22" s="738"/>
      <c r="AX22" s="738"/>
      <c r="AY22" s="738"/>
      <c r="AZ22" s="738"/>
      <c r="BA22" s="738"/>
      <c r="BB22" s="738"/>
      <c r="BC22" s="738"/>
      <c r="BD22" s="738"/>
      <c r="BE22" s="739"/>
      <c r="BG22" s="738"/>
      <c r="BH22" s="738"/>
      <c r="BI22" s="738"/>
      <c r="BJ22" s="738"/>
      <c r="BM22" s="738"/>
      <c r="BN22" s="738"/>
      <c r="BO22" s="738"/>
      <c r="BP22" s="738"/>
      <c r="BQ22" s="738"/>
      <c r="BR22" s="738"/>
      <c r="BS22" s="738"/>
      <c r="BT22" s="738"/>
      <c r="BU22" s="738"/>
      <c r="BV22" s="738"/>
      <c r="BW22" s="738"/>
      <c r="BX22" s="738"/>
      <c r="BY22" s="739"/>
      <c r="CA22" s="738"/>
      <c r="CB22" s="738"/>
      <c r="CC22" s="738"/>
      <c r="CD22" s="738"/>
      <c r="CG22" s="743"/>
      <c r="CH22" s="743"/>
      <c r="CI22" s="743"/>
      <c r="CJ22" s="743"/>
      <c r="CK22" s="743"/>
      <c r="CL22" s="743"/>
      <c r="CM22" s="743"/>
      <c r="CN22" s="743"/>
      <c r="CO22" s="743"/>
      <c r="CP22" s="743"/>
      <c r="CQ22" s="743"/>
      <c r="CR22" s="743"/>
      <c r="CS22" s="745"/>
      <c r="CT22" s="633"/>
      <c r="CU22" s="743"/>
      <c r="CV22" s="743"/>
      <c r="CW22" s="743"/>
      <c r="CX22" s="743"/>
      <c r="DA22" s="743"/>
      <c r="DB22" s="743"/>
      <c r="DC22" s="743"/>
      <c r="DD22" s="743"/>
      <c r="DE22" s="743"/>
      <c r="DF22" s="743"/>
      <c r="DG22" s="743"/>
      <c r="DH22" s="743"/>
      <c r="DI22" s="743"/>
      <c r="DJ22" s="743"/>
      <c r="DK22" s="743"/>
      <c r="DL22" s="743"/>
      <c r="DM22" s="745"/>
      <c r="DN22" s="633"/>
      <c r="DO22" s="743"/>
      <c r="DP22" s="743"/>
      <c r="DQ22" s="743"/>
      <c r="DR22" s="743"/>
    </row>
    <row r="23" spans="1:123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  <c r="X23" s="721"/>
      <c r="Y23" s="738"/>
      <c r="Z23" s="738"/>
      <c r="AA23" s="738"/>
      <c r="AB23" s="738"/>
      <c r="AC23" s="738"/>
      <c r="AD23" s="738"/>
      <c r="AE23" s="738"/>
      <c r="AF23" s="738"/>
      <c r="AG23" s="738"/>
      <c r="AH23" s="738"/>
      <c r="AI23" s="738"/>
      <c r="AJ23" s="738"/>
      <c r="AK23" s="739"/>
      <c r="AM23" s="738"/>
      <c r="AN23" s="738"/>
      <c r="AO23" s="738"/>
      <c r="AP23" s="738"/>
      <c r="AR23" s="721"/>
      <c r="AS23" s="738"/>
      <c r="AT23" s="738"/>
      <c r="AU23" s="738"/>
      <c r="AV23" s="738"/>
      <c r="AW23" s="738"/>
      <c r="AX23" s="738"/>
      <c r="AY23" s="738"/>
      <c r="AZ23" s="738"/>
      <c r="BA23" s="738"/>
      <c r="BB23" s="738"/>
      <c r="BC23" s="738"/>
      <c r="BD23" s="738"/>
      <c r="BE23" s="739"/>
      <c r="BG23" s="738"/>
      <c r="BH23" s="738"/>
      <c r="BI23" s="738"/>
      <c r="BJ23" s="738"/>
      <c r="BM23" s="738"/>
      <c r="BN23" s="738"/>
      <c r="BO23" s="738"/>
      <c r="BP23" s="738"/>
      <c r="BQ23" s="738"/>
      <c r="BR23" s="738"/>
      <c r="BS23" s="738"/>
      <c r="BT23" s="738"/>
      <c r="BU23" s="738"/>
      <c r="BV23" s="738"/>
      <c r="BW23" s="738"/>
      <c r="BX23" s="738"/>
      <c r="BY23" s="739"/>
      <c r="CA23" s="738"/>
      <c r="CB23" s="738"/>
      <c r="CC23" s="738"/>
      <c r="CD23" s="738"/>
      <c r="CG23" s="743"/>
      <c r="CH23" s="743"/>
      <c r="CI23" s="743"/>
      <c r="CJ23" s="743"/>
      <c r="CK23" s="743"/>
      <c r="CL23" s="743"/>
      <c r="CM23" s="743"/>
      <c r="CN23" s="743"/>
      <c r="CO23" s="743"/>
      <c r="CP23" s="743"/>
      <c r="CQ23" s="743"/>
      <c r="CR23" s="743"/>
      <c r="CS23" s="745"/>
      <c r="CT23" s="633"/>
      <c r="CU23" s="743"/>
      <c r="CV23" s="743"/>
      <c r="CW23" s="743"/>
      <c r="CX23" s="743"/>
      <c r="DA23" s="743"/>
      <c r="DB23" s="743"/>
      <c r="DC23" s="743"/>
      <c r="DD23" s="743"/>
      <c r="DE23" s="743"/>
      <c r="DF23" s="743"/>
      <c r="DG23" s="743"/>
      <c r="DH23" s="743"/>
      <c r="DI23" s="743"/>
      <c r="DJ23" s="743"/>
      <c r="DK23" s="743"/>
      <c r="DL23" s="743"/>
      <c r="DM23" s="745"/>
      <c r="DN23" s="633"/>
      <c r="DO23" s="743"/>
      <c r="DP23" s="743"/>
      <c r="DQ23" s="743"/>
      <c r="DR23" s="743"/>
    </row>
    <row r="24" spans="1:123">
      <c r="C24" s="680" t="s">
        <v>148</v>
      </c>
      <c r="D24" s="719" t="s">
        <v>70</v>
      </c>
      <c r="E24" s="738">
        <f t="shared" ref="E22:P26" si="181">SUMIF($D$4:$D$19,$D24,E$4:E$19)</f>
        <v>186650.25336105726</v>
      </c>
      <c r="F24" s="738">
        <f t="shared" si="181"/>
        <v>173912.195989884</v>
      </c>
      <c r="G24" s="738">
        <f t="shared" si="181"/>
        <v>198794.24089938903</v>
      </c>
      <c r="H24" s="738">
        <f t="shared" si="181"/>
        <v>215040.07578997459</v>
      </c>
      <c r="I24" s="738">
        <f t="shared" si="181"/>
        <v>228394.09648017946</v>
      </c>
      <c r="J24" s="738">
        <f t="shared" si="181"/>
        <v>229258.48561982592</v>
      </c>
      <c r="K24" s="738">
        <f t="shared" si="181"/>
        <v>243973.24402306619</v>
      </c>
      <c r="L24" s="738">
        <f t="shared" si="181"/>
        <v>245822.63815510788</v>
      </c>
      <c r="M24" s="738">
        <f t="shared" si="181"/>
        <v>256553.19183949567</v>
      </c>
      <c r="N24" s="738">
        <f t="shared" si="181"/>
        <v>277429.22317627392</v>
      </c>
      <c r="O24" s="738">
        <f t="shared" si="181"/>
        <v>282656.87025403907</v>
      </c>
      <c r="P24" s="738">
        <f t="shared" si="181"/>
        <v>304023.0422597389</v>
      </c>
      <c r="Q24" s="739">
        <f t="shared" ref="Q23:Q26" si="182">SUM(E24:P24)</f>
        <v>2842507.5578480316</v>
      </c>
      <c r="S24" s="738">
        <f t="shared" ref="S22:V26" si="183">SUMIF($D$4:$D$19,$D24,S$4:S$19)</f>
        <v>559356.69025033026</v>
      </c>
      <c r="T24" s="738">
        <f t="shared" si="183"/>
        <v>672692.65788998001</v>
      </c>
      <c r="U24" s="738">
        <f t="shared" si="183"/>
        <v>746349.07401766977</v>
      </c>
      <c r="V24" s="738">
        <f t="shared" si="183"/>
        <v>864109.13569005183</v>
      </c>
      <c r="X24" s="721" t="s">
        <v>70</v>
      </c>
      <c r="Y24" s="738">
        <f t="shared" ref="Y22:AJ26" si="184">SUMIF($D$4:$D$19,$D24,Y$4:Y$19)</f>
        <v>222979.51986973843</v>
      </c>
      <c r="Z24" s="738">
        <f t="shared" si="184"/>
        <v>206336.37797390134</v>
      </c>
      <c r="AA24" s="738">
        <f t="shared" si="184"/>
        <v>238812.3599740105</v>
      </c>
      <c r="AB24" s="738">
        <f t="shared" si="184"/>
        <v>257059.14921784558</v>
      </c>
      <c r="AC24" s="738">
        <f t="shared" si="184"/>
        <v>273916.42895684583</v>
      </c>
      <c r="AD24" s="738">
        <f t="shared" si="184"/>
        <v>273933.75861420948</v>
      </c>
      <c r="AE24" s="738">
        <f t="shared" si="184"/>
        <v>292208.01194097078</v>
      </c>
      <c r="AF24" s="738">
        <f t="shared" si="184"/>
        <v>293607.14308134664</v>
      </c>
      <c r="AG24" s="738">
        <f t="shared" si="184"/>
        <v>306968.54765454825</v>
      </c>
      <c r="AH24" s="738">
        <f t="shared" si="184"/>
        <v>331524.28376222</v>
      </c>
      <c r="AI24" s="738">
        <f t="shared" si="184"/>
        <v>322623.93375933345</v>
      </c>
      <c r="AJ24" s="738">
        <f t="shared" si="184"/>
        <v>336176.91546578897</v>
      </c>
      <c r="AK24" s="739">
        <f t="shared" ref="AK23:AK26" si="185">SUM(Y24:AJ24)</f>
        <v>3356146.4302707589</v>
      </c>
      <c r="AM24" s="738">
        <f t="shared" ref="AM22:AP26" si="186">SUMIF($D$4:$D$19,$D24,AM$4:AM$19)</f>
        <v>668128.25781765021</v>
      </c>
      <c r="AN24" s="738">
        <f t="shared" si="186"/>
        <v>804909.3367889009</v>
      </c>
      <c r="AO24" s="738">
        <f t="shared" si="186"/>
        <v>892783.70267686574</v>
      </c>
      <c r="AP24" s="738">
        <f t="shared" si="186"/>
        <v>990325.13298734231</v>
      </c>
      <c r="AR24" s="721" t="s">
        <v>70</v>
      </c>
      <c r="AS24" s="738">
        <f t="shared" ref="AS22:BD26" si="187">SUMIF($D$4:$D$19,$D24,AS$4:AS$19)</f>
        <v>146645.24349300002</v>
      </c>
      <c r="AT24" s="738">
        <f t="shared" si="187"/>
        <v>116315.32551000001</v>
      </c>
      <c r="AU24" s="738">
        <f t="shared" si="187"/>
        <v>175786.93036999996</v>
      </c>
      <c r="AV24" s="738">
        <f t="shared" si="187"/>
        <v>168538.78000000003</v>
      </c>
      <c r="AW24" s="738">
        <f t="shared" si="187"/>
        <v>206786.54000000004</v>
      </c>
      <c r="AX24" s="738">
        <f t="shared" si="187"/>
        <v>0</v>
      </c>
      <c r="AY24" s="738">
        <f t="shared" si="187"/>
        <v>0</v>
      </c>
      <c r="AZ24" s="738">
        <f t="shared" si="187"/>
        <v>0</v>
      </c>
      <c r="BA24" s="738">
        <f t="shared" si="187"/>
        <v>0</v>
      </c>
      <c r="BB24" s="738">
        <f t="shared" si="187"/>
        <v>0</v>
      </c>
      <c r="BC24" s="738">
        <f t="shared" si="187"/>
        <v>0</v>
      </c>
      <c r="BD24" s="738">
        <f t="shared" si="187"/>
        <v>0</v>
      </c>
      <c r="BE24" s="739">
        <f t="shared" ref="BE23:BE26" si="188">SUM(AS24:BD24)</f>
        <v>814072.81937300006</v>
      </c>
      <c r="BG24" s="738">
        <f t="shared" ref="BG22:BJ26" si="189">SUMIF($D$4:$D$19,$D24,BG$4:BG$19)</f>
        <v>438747.499373</v>
      </c>
      <c r="BH24" s="738">
        <f t="shared" si="189"/>
        <v>375325.32000000007</v>
      </c>
      <c r="BI24" s="738">
        <f t="shared" si="189"/>
        <v>0</v>
      </c>
      <c r="BJ24" s="738">
        <f t="shared" si="189"/>
        <v>0</v>
      </c>
      <c r="BM24" s="738">
        <f t="shared" ref="BM22:BX26" si="190">SUMIF($D$4:$D$19,$D24,BM$4:BM$19)</f>
        <v>-40005.009868057256</v>
      </c>
      <c r="BN24" s="738">
        <f t="shared" si="190"/>
        <v>-57596.870479883983</v>
      </c>
      <c r="BO24" s="738">
        <f t="shared" si="190"/>
        <v>-23007.310529389066</v>
      </c>
      <c r="BP24" s="738">
        <f t="shared" si="190"/>
        <v>-46501.295789974611</v>
      </c>
      <c r="BQ24" s="738">
        <f t="shared" si="190"/>
        <v>-21607.556480179454</v>
      </c>
      <c r="BR24" s="738">
        <f t="shared" si="190"/>
        <v>0</v>
      </c>
      <c r="BS24" s="738">
        <f t="shared" si="190"/>
        <v>0</v>
      </c>
      <c r="BT24" s="738">
        <f t="shared" si="190"/>
        <v>0</v>
      </c>
      <c r="BU24" s="738">
        <f t="shared" si="190"/>
        <v>0</v>
      </c>
      <c r="BV24" s="738">
        <f t="shared" si="190"/>
        <v>0</v>
      </c>
      <c r="BW24" s="738">
        <f t="shared" si="190"/>
        <v>0</v>
      </c>
      <c r="BX24" s="738">
        <f t="shared" si="190"/>
        <v>0</v>
      </c>
      <c r="BY24" s="739">
        <f t="shared" ref="BY23:BY26" si="191">SUM(BM24:BX24)</f>
        <v>-188718.04314748439</v>
      </c>
      <c r="CA24" s="738">
        <f t="shared" ref="CA22:CD26" si="192">SUMIF($D$4:$D$19,$D24,CA$4:CA$19)</f>
        <v>-120609.19087733033</v>
      </c>
      <c r="CB24" s="738">
        <f t="shared" si="192"/>
        <v>-68108.852270154079</v>
      </c>
      <c r="CC24" s="738">
        <f t="shared" si="192"/>
        <v>0</v>
      </c>
      <c r="CD24" s="738">
        <f t="shared" si="192"/>
        <v>0</v>
      </c>
      <c r="CG24" s="743">
        <f t="shared" si="165"/>
        <v>0.78566860131354155</v>
      </c>
      <c r="CH24" s="743">
        <f t="shared" si="165"/>
        <v>0.66881638086362705</v>
      </c>
      <c r="CI24" s="743">
        <f t="shared" si="165"/>
        <v>0.88426570897980283</v>
      </c>
      <c r="CJ24" s="743">
        <f t="shared" si="165"/>
        <v>0.78375521111984969</v>
      </c>
      <c r="CK24" s="743">
        <f t="shared" si="165"/>
        <v>0.90539354206970679</v>
      </c>
      <c r="CL24" s="743">
        <f t="shared" si="165"/>
        <v>0</v>
      </c>
      <c r="CM24" s="743">
        <f t="shared" si="165"/>
        <v>0</v>
      </c>
      <c r="CN24" s="743">
        <f t="shared" si="165"/>
        <v>0</v>
      </c>
      <c r="CO24" s="743">
        <f t="shared" si="165"/>
        <v>0</v>
      </c>
      <c r="CP24" s="743">
        <f t="shared" si="165"/>
        <v>0</v>
      </c>
      <c r="CQ24" s="743">
        <f t="shared" si="165"/>
        <v>0</v>
      </c>
      <c r="CR24" s="743">
        <f t="shared" si="165"/>
        <v>0</v>
      </c>
      <c r="CS24" s="745">
        <f t="shared" si="165"/>
        <v>0.28639249071665007</v>
      </c>
      <c r="CT24" s="633"/>
      <c r="CU24" s="743">
        <f t="shared" si="166"/>
        <v>0.78437874619260617</v>
      </c>
      <c r="CV24" s="743">
        <f t="shared" si="166"/>
        <v>0.55794472497629832</v>
      </c>
      <c r="CW24" s="743">
        <f t="shared" si="166"/>
        <v>0</v>
      </c>
      <c r="CX24" s="743">
        <f t="shared" si="166"/>
        <v>0</v>
      </c>
      <c r="DA24" s="743">
        <f t="shared" si="167"/>
        <v>0.65766238791198472</v>
      </c>
      <c r="DB24" s="743">
        <f t="shared" si="168"/>
        <v>0.56371700740386299</v>
      </c>
      <c r="DC24" s="743">
        <f t="shared" si="169"/>
        <v>0.73608807512781382</v>
      </c>
      <c r="DD24" s="743">
        <f t="shared" si="170"/>
        <v>0.65564202057313781</v>
      </c>
      <c r="DE24" s="743">
        <f t="shared" si="171"/>
        <v>0.75492565665923683</v>
      </c>
      <c r="DF24" s="743">
        <f t="shared" si="172"/>
        <v>0</v>
      </c>
      <c r="DG24" s="743">
        <f t="shared" si="173"/>
        <v>0</v>
      </c>
      <c r="DH24" s="743">
        <f t="shared" si="174"/>
        <v>0</v>
      </c>
      <c r="DI24" s="743">
        <f t="shared" si="175"/>
        <v>0</v>
      </c>
      <c r="DJ24" s="743">
        <f t="shared" si="176"/>
        <v>0</v>
      </c>
      <c r="DK24" s="743">
        <f t="shared" si="177"/>
        <v>0</v>
      </c>
      <c r="DL24" s="743">
        <f t="shared" si="178"/>
        <v>0</v>
      </c>
      <c r="DM24" s="745">
        <f t="shared" si="179"/>
        <v>0.24256177025843426</v>
      </c>
      <c r="DN24" s="633"/>
      <c r="DO24" s="743">
        <f t="shared" si="180"/>
        <v>-0.18051802100285924</v>
      </c>
      <c r="DP24" s="743">
        <f t="shared" si="180"/>
        <v>-8.4616799876948881E-2</v>
      </c>
      <c r="DQ24" s="743">
        <f t="shared" si="180"/>
        <v>0</v>
      </c>
      <c r="DR24" s="743">
        <f t="shared" si="180"/>
        <v>0</v>
      </c>
    </row>
    <row r="25" spans="1:123" s="817" customFormat="1">
      <c r="C25" s="682" t="s">
        <v>147</v>
      </c>
      <c r="D25" s="720" t="s">
        <v>71</v>
      </c>
      <c r="E25" s="740">
        <f t="shared" si="181"/>
        <v>13623.456484334463</v>
      </c>
      <c r="F25" s="740">
        <f t="shared" si="181"/>
        <v>12159.051771492457</v>
      </c>
      <c r="G25" s="740">
        <f t="shared" si="181"/>
        <v>15006.774322507856</v>
      </c>
      <c r="H25" s="740">
        <f t="shared" si="181"/>
        <v>15757.131188428062</v>
      </c>
      <c r="I25" s="740">
        <f t="shared" si="181"/>
        <v>17070.851551959495</v>
      </c>
      <c r="J25" s="740">
        <f t="shared" si="181"/>
        <v>16753.20467643653</v>
      </c>
      <c r="K25" s="740">
        <f t="shared" si="181"/>
        <v>18088.013464420492</v>
      </c>
      <c r="L25" s="740">
        <f t="shared" si="181"/>
        <v>17919.165071293719</v>
      </c>
      <c r="M25" s="740">
        <f t="shared" si="181"/>
        <v>18905.732818043078</v>
      </c>
      <c r="N25" s="740">
        <f t="shared" si="181"/>
        <v>20285.620237721268</v>
      </c>
      <c r="O25" s="740">
        <f t="shared" si="181"/>
        <v>20702.836982423396</v>
      </c>
      <c r="P25" s="740">
        <f t="shared" si="181"/>
        <v>22979.575492953481</v>
      </c>
      <c r="Q25" s="741">
        <f t="shared" si="182"/>
        <v>209251.41406201432</v>
      </c>
      <c r="S25" s="740">
        <f t="shared" si="183"/>
        <v>40789.28257833478</v>
      </c>
      <c r="T25" s="740">
        <f t="shared" si="183"/>
        <v>49581.187416824083</v>
      </c>
      <c r="U25" s="740">
        <f t="shared" si="183"/>
        <v>54912.911353757285</v>
      </c>
      <c r="V25" s="740">
        <f t="shared" si="183"/>
        <v>63968.032713098146</v>
      </c>
      <c r="W25" s="677"/>
      <c r="X25" s="721" t="s">
        <v>71</v>
      </c>
      <c r="Y25" s="740">
        <f t="shared" si="184"/>
        <v>13882.504585231964</v>
      </c>
      <c r="Z25" s="740">
        <f t="shared" si="184"/>
        <v>12390.254423605116</v>
      </c>
      <c r="AA25" s="740">
        <f t="shared" si="184"/>
        <v>15292.126016720935</v>
      </c>
      <c r="AB25" s="740">
        <f t="shared" si="184"/>
        <v>16056.750812467582</v>
      </c>
      <c r="AC25" s="740">
        <f t="shared" si="184"/>
        <v>17395.451383164098</v>
      </c>
      <c r="AD25" s="740">
        <f t="shared" si="184"/>
        <v>17071.764497166932</v>
      </c>
      <c r="AE25" s="740">
        <f t="shared" si="184"/>
        <v>18431.954485728456</v>
      </c>
      <c r="AF25" s="740">
        <f t="shared" si="184"/>
        <v>18259.895464254208</v>
      </c>
      <c r="AG25" s="740">
        <f t="shared" si="184"/>
        <v>19265.222657366983</v>
      </c>
      <c r="AH25" s="740">
        <f t="shared" si="184"/>
        <v>20671.348441437578</v>
      </c>
      <c r="AI25" s="740">
        <f t="shared" si="184"/>
        <v>19729.663754779453</v>
      </c>
      <c r="AJ25" s="740">
        <f t="shared" si="184"/>
        <v>20804.477540091008</v>
      </c>
      <c r="AK25" s="741">
        <f t="shared" si="185"/>
        <v>209251.41406201434</v>
      </c>
      <c r="AM25" s="740">
        <f t="shared" si="186"/>
        <v>41564.885025558011</v>
      </c>
      <c r="AN25" s="740">
        <f t="shared" si="186"/>
        <v>50523.966692798611</v>
      </c>
      <c r="AO25" s="740">
        <f t="shared" si="186"/>
        <v>55957.072607349648</v>
      </c>
      <c r="AP25" s="740">
        <f t="shared" si="186"/>
        <v>61205.489736308038</v>
      </c>
      <c r="AQ25" s="677"/>
      <c r="AR25" s="721" t="s">
        <v>71</v>
      </c>
      <c r="AS25" s="740">
        <f t="shared" si="187"/>
        <v>15588.980986999999</v>
      </c>
      <c r="AT25" s="740">
        <f t="shared" si="187"/>
        <v>16095.788096999999</v>
      </c>
      <c r="AU25" s="740">
        <f t="shared" si="187"/>
        <v>36862.056037999988</v>
      </c>
      <c r="AV25" s="740">
        <f t="shared" si="187"/>
        <v>120675.02</v>
      </c>
      <c r="AW25" s="740">
        <f t="shared" si="187"/>
        <v>176027.96000000005</v>
      </c>
      <c r="AX25" s="740">
        <f t="shared" si="187"/>
        <v>0</v>
      </c>
      <c r="AY25" s="740">
        <f t="shared" si="187"/>
        <v>0</v>
      </c>
      <c r="AZ25" s="740">
        <f t="shared" si="187"/>
        <v>0</v>
      </c>
      <c r="BA25" s="740">
        <f t="shared" si="187"/>
        <v>0</v>
      </c>
      <c r="BB25" s="740">
        <f t="shared" si="187"/>
        <v>0</v>
      </c>
      <c r="BC25" s="740">
        <f t="shared" si="187"/>
        <v>0</v>
      </c>
      <c r="BD25" s="740">
        <f t="shared" si="187"/>
        <v>0</v>
      </c>
      <c r="BE25" s="741">
        <f t="shared" si="188"/>
        <v>365249.80512200005</v>
      </c>
      <c r="BG25" s="740">
        <f t="shared" si="189"/>
        <v>68546.82512199998</v>
      </c>
      <c r="BH25" s="740">
        <f t="shared" si="189"/>
        <v>296702.98000000004</v>
      </c>
      <c r="BI25" s="740">
        <f t="shared" si="189"/>
        <v>0</v>
      </c>
      <c r="BJ25" s="740">
        <f t="shared" si="189"/>
        <v>0</v>
      </c>
      <c r="BK25" s="677"/>
      <c r="BL25" s="677"/>
      <c r="BM25" s="740">
        <f t="shared" si="190"/>
        <v>1965.5245026655357</v>
      </c>
      <c r="BN25" s="740">
        <f t="shared" si="190"/>
        <v>3936.7363255075416</v>
      </c>
      <c r="BO25" s="740">
        <f t="shared" si="190"/>
        <v>21855.281715492132</v>
      </c>
      <c r="BP25" s="740">
        <f t="shared" si="190"/>
        <v>104917.88881157195</v>
      </c>
      <c r="BQ25" s="740">
        <f t="shared" si="190"/>
        <v>158957.10844804056</v>
      </c>
      <c r="BR25" s="740">
        <f t="shared" si="190"/>
        <v>0</v>
      </c>
      <c r="BS25" s="740">
        <f t="shared" si="190"/>
        <v>0</v>
      </c>
      <c r="BT25" s="740">
        <f t="shared" si="190"/>
        <v>0</v>
      </c>
      <c r="BU25" s="740">
        <f t="shared" si="190"/>
        <v>0</v>
      </c>
      <c r="BV25" s="740">
        <f t="shared" si="190"/>
        <v>0</v>
      </c>
      <c r="BW25" s="740">
        <f t="shared" si="190"/>
        <v>0</v>
      </c>
      <c r="BX25" s="740">
        <f t="shared" si="190"/>
        <v>0</v>
      </c>
      <c r="BY25" s="741">
        <f t="shared" si="191"/>
        <v>291632.5398032777</v>
      </c>
      <c r="CA25" s="740">
        <f t="shared" si="192"/>
        <v>27757.542543665208</v>
      </c>
      <c r="CB25" s="740">
        <f t="shared" si="192"/>
        <v>263874.99725961249</v>
      </c>
      <c r="CC25" s="740">
        <f t="shared" si="192"/>
        <v>0</v>
      </c>
      <c r="CD25" s="740">
        <f t="shared" si="192"/>
        <v>0</v>
      </c>
      <c r="CE25" s="677"/>
      <c r="CF25" s="677"/>
      <c r="CG25" s="744">
        <f t="shared" si="165"/>
        <v>1.1442750233705874</v>
      </c>
      <c r="CH25" s="744">
        <f t="shared" si="165"/>
        <v>1.32377001097548</v>
      </c>
      <c r="CI25" s="744">
        <f t="shared" si="165"/>
        <v>2.4563610570669119</v>
      </c>
      <c r="CJ25" s="744">
        <f t="shared" si="165"/>
        <v>7.6584384909242225</v>
      </c>
      <c r="CK25" s="744">
        <f t="shared" si="165"/>
        <v>10.31160979077195</v>
      </c>
      <c r="CL25" s="744">
        <f t="shared" si="165"/>
        <v>0</v>
      </c>
      <c r="CM25" s="744">
        <f t="shared" si="165"/>
        <v>0</v>
      </c>
      <c r="CN25" s="744">
        <f t="shared" si="165"/>
        <v>0</v>
      </c>
      <c r="CO25" s="744">
        <f t="shared" si="165"/>
        <v>0</v>
      </c>
      <c r="CP25" s="744">
        <f t="shared" si="165"/>
        <v>0</v>
      </c>
      <c r="CQ25" s="744">
        <f t="shared" si="165"/>
        <v>0</v>
      </c>
      <c r="CR25" s="744">
        <f t="shared" si="165"/>
        <v>0</v>
      </c>
      <c r="CS25" s="746">
        <f t="shared" si="165"/>
        <v>1.7455069862216255</v>
      </c>
      <c r="CT25" s="633"/>
      <c r="CU25" s="744">
        <f t="shared" si="166"/>
        <v>1.6805106829314183</v>
      </c>
      <c r="CV25" s="744">
        <f t="shared" si="166"/>
        <v>5.9841846365164226</v>
      </c>
      <c r="CW25" s="744">
        <f t="shared" si="166"/>
        <v>0</v>
      </c>
      <c r="CX25" s="744">
        <f t="shared" si="166"/>
        <v>0</v>
      </c>
      <c r="CY25" s="677"/>
      <c r="DA25" s="744">
        <f t="shared" si="167"/>
        <v>1.1229228048361939</v>
      </c>
      <c r="DB25" s="744">
        <f t="shared" si="168"/>
        <v>1.2990684086628066</v>
      </c>
      <c r="DC25" s="744">
        <f t="shared" si="169"/>
        <v>2.4105252597116813</v>
      </c>
      <c r="DD25" s="744">
        <f t="shared" si="170"/>
        <v>7.5155317168090754</v>
      </c>
      <c r="DE25" s="744">
        <f t="shared" si="171"/>
        <v>10.119194732156581</v>
      </c>
      <c r="DF25" s="744">
        <f t="shared" si="172"/>
        <v>0</v>
      </c>
      <c r="DG25" s="744">
        <f t="shared" si="173"/>
        <v>0</v>
      </c>
      <c r="DH25" s="744">
        <f t="shared" si="174"/>
        <v>0</v>
      </c>
      <c r="DI25" s="744">
        <f t="shared" si="175"/>
        <v>0</v>
      </c>
      <c r="DJ25" s="744">
        <f t="shared" si="176"/>
        <v>0</v>
      </c>
      <c r="DK25" s="744">
        <f t="shared" si="177"/>
        <v>0</v>
      </c>
      <c r="DL25" s="744">
        <f t="shared" si="178"/>
        <v>0</v>
      </c>
      <c r="DM25" s="746">
        <f t="shared" si="179"/>
        <v>1.745506986221625</v>
      </c>
      <c r="DN25" s="633"/>
      <c r="DO25" s="744">
        <f t="shared" si="180"/>
        <v>0.66781232587548967</v>
      </c>
      <c r="DP25" s="744">
        <f t="shared" si="180"/>
        <v>5.2227688072089498</v>
      </c>
      <c r="DQ25" s="744">
        <f t="shared" si="180"/>
        <v>0</v>
      </c>
      <c r="DR25" s="744">
        <f t="shared" si="180"/>
        <v>0</v>
      </c>
      <c r="DS25" s="677"/>
    </row>
    <row r="26" spans="1:123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  <c r="X26" s="721"/>
      <c r="Y26" s="740"/>
      <c r="Z26" s="740"/>
      <c r="AA26" s="740"/>
      <c r="AB26" s="740"/>
      <c r="AC26" s="740"/>
      <c r="AD26" s="740"/>
      <c r="AE26" s="740"/>
      <c r="AF26" s="740"/>
      <c r="AG26" s="740"/>
      <c r="AH26" s="740"/>
      <c r="AI26" s="740"/>
      <c r="AJ26" s="740"/>
      <c r="AK26" s="741"/>
      <c r="AM26" s="740"/>
      <c r="AN26" s="740"/>
      <c r="AO26" s="740"/>
      <c r="AP26" s="740"/>
      <c r="AR26" s="721"/>
      <c r="AS26" s="740"/>
      <c r="AT26" s="740"/>
      <c r="AU26" s="740"/>
      <c r="AV26" s="740"/>
      <c r="AW26" s="740"/>
      <c r="AX26" s="740"/>
      <c r="AY26" s="740"/>
      <c r="AZ26" s="740"/>
      <c r="BA26" s="740"/>
      <c r="BB26" s="740"/>
      <c r="BC26" s="740"/>
      <c r="BD26" s="740"/>
      <c r="BE26" s="741"/>
      <c r="BG26" s="740"/>
      <c r="BH26" s="740"/>
      <c r="BI26" s="740"/>
      <c r="BJ26" s="740"/>
      <c r="BM26" s="740"/>
      <c r="BN26" s="740"/>
      <c r="BO26" s="740"/>
      <c r="BP26" s="740"/>
      <c r="BQ26" s="740"/>
      <c r="BR26" s="740"/>
      <c r="BS26" s="740"/>
      <c r="BT26" s="740"/>
      <c r="BU26" s="740"/>
      <c r="BV26" s="740"/>
      <c r="BW26" s="740"/>
      <c r="BX26" s="740"/>
      <c r="BY26" s="741"/>
      <c r="CA26" s="740"/>
      <c r="CB26" s="740"/>
      <c r="CC26" s="740"/>
      <c r="CD26" s="740"/>
      <c r="CG26" s="744"/>
      <c r="CH26" s="744"/>
      <c r="CI26" s="744"/>
      <c r="CJ26" s="744"/>
      <c r="CK26" s="744"/>
      <c r="CL26" s="744"/>
      <c r="CM26" s="744"/>
      <c r="CN26" s="744"/>
      <c r="CO26" s="744"/>
      <c r="CP26" s="744"/>
      <c r="CQ26" s="744"/>
      <c r="CR26" s="744"/>
      <c r="CS26" s="746"/>
      <c r="CT26" s="633"/>
      <c r="CU26" s="744"/>
      <c r="CV26" s="744"/>
      <c r="CW26" s="744"/>
      <c r="CX26" s="744"/>
      <c r="DA26" s="744"/>
      <c r="DB26" s="744"/>
      <c r="DC26" s="744"/>
      <c r="DD26" s="744"/>
      <c r="DE26" s="744"/>
      <c r="DF26" s="744"/>
      <c r="DG26" s="744"/>
      <c r="DH26" s="744"/>
      <c r="DI26" s="744"/>
      <c r="DJ26" s="744"/>
      <c r="DK26" s="744"/>
      <c r="DL26" s="744"/>
      <c r="DM26" s="746"/>
      <c r="DN26" s="633"/>
      <c r="DO26" s="744"/>
      <c r="DP26" s="744"/>
      <c r="DQ26" s="744"/>
      <c r="DR26" s="744"/>
    </row>
    <row r="27" spans="1:123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  <c r="X27" s="721"/>
      <c r="Y27" s="564"/>
      <c r="Z27" s="564"/>
      <c r="AA27" s="564"/>
      <c r="AB27" s="564"/>
      <c r="AC27" s="564"/>
      <c r="AD27" s="564"/>
      <c r="AE27" s="564"/>
      <c r="AF27" s="564"/>
      <c r="AG27" s="564"/>
      <c r="AH27" s="564"/>
      <c r="AI27" s="564"/>
      <c r="AJ27" s="564"/>
      <c r="AK27" s="709"/>
      <c r="AM27" s="564"/>
      <c r="AN27" s="564"/>
      <c r="AO27" s="564"/>
      <c r="AP27" s="564"/>
      <c r="AR27" s="721"/>
      <c r="AS27" s="564"/>
      <c r="AT27" s="564"/>
      <c r="AU27" s="564"/>
      <c r="AV27" s="564"/>
      <c r="AW27" s="564"/>
      <c r="AX27" s="564"/>
      <c r="AY27" s="564"/>
      <c r="AZ27" s="564"/>
      <c r="BA27" s="564"/>
      <c r="BB27" s="564"/>
      <c r="BC27" s="564"/>
      <c r="BD27" s="564"/>
      <c r="BE27" s="709"/>
      <c r="BG27" s="564"/>
      <c r="BH27" s="564"/>
      <c r="BI27" s="564"/>
      <c r="BJ27" s="564"/>
      <c r="BM27" s="564"/>
      <c r="BN27" s="564"/>
      <c r="BO27" s="564"/>
      <c r="BP27" s="564"/>
      <c r="BQ27" s="564"/>
      <c r="BR27" s="564"/>
      <c r="BS27" s="564"/>
      <c r="BT27" s="564"/>
      <c r="BU27" s="564"/>
      <c r="BV27" s="564"/>
      <c r="BW27" s="564"/>
      <c r="BX27" s="564"/>
      <c r="BY27" s="709"/>
      <c r="CA27" s="564"/>
      <c r="CB27" s="564"/>
      <c r="CC27" s="564"/>
      <c r="CD27" s="564"/>
      <c r="CG27" s="770"/>
      <c r="CH27" s="770"/>
      <c r="CI27" s="770"/>
      <c r="CJ27" s="770"/>
      <c r="CK27" s="770"/>
      <c r="CL27" s="770"/>
      <c r="CM27" s="770"/>
      <c r="CN27" s="770"/>
      <c r="CO27" s="770"/>
      <c r="CP27" s="770"/>
      <c r="CQ27" s="770"/>
      <c r="CR27" s="770"/>
      <c r="CS27" s="792"/>
      <c r="CT27" s="633"/>
      <c r="CU27" s="770"/>
      <c r="CV27" s="770"/>
      <c r="CW27" s="770"/>
      <c r="CX27" s="770"/>
      <c r="DA27" s="770"/>
      <c r="DB27" s="770"/>
      <c r="DC27" s="770"/>
      <c r="DD27" s="770"/>
      <c r="DE27" s="770"/>
      <c r="DF27" s="770"/>
      <c r="DG27" s="770"/>
      <c r="DH27" s="770"/>
      <c r="DI27" s="770"/>
      <c r="DJ27" s="770"/>
      <c r="DK27" s="770"/>
      <c r="DL27" s="770"/>
      <c r="DM27" s="792"/>
      <c r="DN27" s="633"/>
      <c r="DO27" s="770"/>
      <c r="DP27" s="770"/>
      <c r="DQ27" s="770"/>
      <c r="DR27" s="770"/>
    </row>
    <row r="28" spans="1:123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  <c r="W28" s="710"/>
      <c r="X28" s="722"/>
      <c r="Y28" s="713"/>
      <c r="Z28" s="713"/>
      <c r="AA28" s="713"/>
      <c r="AB28" s="713"/>
      <c r="AC28" s="713"/>
      <c r="AD28" s="713"/>
      <c r="AE28" s="713"/>
      <c r="AF28" s="713"/>
      <c r="AG28" s="713"/>
      <c r="AH28" s="713"/>
      <c r="AI28" s="713"/>
      <c r="AJ28" s="713"/>
      <c r="AK28" s="714"/>
      <c r="AL28" s="710"/>
      <c r="AM28" s="713"/>
      <c r="AN28" s="713"/>
      <c r="AO28" s="713"/>
      <c r="AP28" s="713"/>
      <c r="AQ28" s="710"/>
      <c r="AR28" s="722"/>
      <c r="AS28" s="713"/>
      <c r="AT28" s="713"/>
      <c r="AU28" s="713"/>
      <c r="AV28" s="713"/>
      <c r="AW28" s="713"/>
      <c r="AX28" s="713"/>
      <c r="AY28" s="713"/>
      <c r="AZ28" s="713"/>
      <c r="BA28" s="713"/>
      <c r="BB28" s="713"/>
      <c r="BC28" s="713"/>
      <c r="BD28" s="713"/>
      <c r="BE28" s="714"/>
      <c r="BF28" s="710"/>
      <c r="BG28" s="713"/>
      <c r="BH28" s="713"/>
      <c r="BI28" s="713"/>
      <c r="BJ28" s="713"/>
      <c r="BK28" s="710"/>
      <c r="BL28" s="710"/>
      <c r="BM28" s="713"/>
      <c r="BN28" s="713"/>
      <c r="BO28" s="713"/>
      <c r="BP28" s="713"/>
      <c r="BQ28" s="713"/>
      <c r="BR28" s="713"/>
      <c r="BS28" s="713"/>
      <c r="BT28" s="713"/>
      <c r="BU28" s="713"/>
      <c r="BV28" s="713"/>
      <c r="BW28" s="713"/>
      <c r="BX28" s="713"/>
      <c r="BY28" s="714"/>
      <c r="BZ28" s="710"/>
      <c r="CA28" s="713"/>
      <c r="CB28" s="713"/>
      <c r="CC28" s="713"/>
      <c r="CD28" s="713"/>
      <c r="CE28" s="710"/>
      <c r="CF28" s="710"/>
      <c r="CG28" s="793"/>
      <c r="CH28" s="793"/>
      <c r="CI28" s="793"/>
      <c r="CJ28" s="793"/>
      <c r="CK28" s="793"/>
      <c r="CL28" s="793"/>
      <c r="CM28" s="793"/>
      <c r="CN28" s="793"/>
      <c r="CO28" s="793"/>
      <c r="CP28" s="793"/>
      <c r="CQ28" s="793"/>
      <c r="CR28" s="793"/>
      <c r="CS28" s="794"/>
      <c r="CT28" s="795"/>
      <c r="CU28" s="793"/>
      <c r="CV28" s="793"/>
      <c r="CW28" s="793"/>
      <c r="CX28" s="793"/>
      <c r="CY28" s="710"/>
      <c r="CZ28" s="710"/>
      <c r="DA28" s="793"/>
      <c r="DB28" s="793"/>
      <c r="DC28" s="793"/>
      <c r="DD28" s="793"/>
      <c r="DE28" s="793"/>
      <c r="DF28" s="793"/>
      <c r="DG28" s="793"/>
      <c r="DH28" s="793"/>
      <c r="DI28" s="793"/>
      <c r="DJ28" s="793"/>
      <c r="DK28" s="793"/>
      <c r="DL28" s="793"/>
      <c r="DM28" s="794"/>
      <c r="DN28" s="795"/>
      <c r="DO28" s="793"/>
      <c r="DP28" s="793"/>
      <c r="DQ28" s="793"/>
      <c r="DR28" s="793"/>
      <c r="DS28" s="710"/>
    </row>
    <row r="29" spans="1:123" hidden="1">
      <c r="X29" s="721"/>
      <c r="AR29" s="721"/>
      <c r="CG29" s="633"/>
      <c r="CH29" s="633"/>
      <c r="CI29" s="633"/>
      <c r="CJ29" s="633"/>
      <c r="CK29" s="633"/>
      <c r="CL29" s="633"/>
      <c r="CM29" s="633"/>
      <c r="CN29" s="633"/>
      <c r="CO29" s="633"/>
      <c r="CP29" s="633"/>
      <c r="CQ29" s="633"/>
      <c r="CR29" s="633"/>
      <c r="CS29" s="633"/>
      <c r="CT29" s="633"/>
      <c r="CU29" s="633"/>
      <c r="CV29" s="633"/>
      <c r="CW29" s="633"/>
      <c r="CX29" s="633"/>
      <c r="DA29" s="633"/>
      <c r="DB29" s="633"/>
      <c r="DC29" s="633"/>
      <c r="DD29" s="633"/>
      <c r="DE29" s="633"/>
      <c r="DF29" s="633"/>
      <c r="DG29" s="633"/>
      <c r="DH29" s="633"/>
      <c r="DI29" s="633"/>
      <c r="DJ29" s="633"/>
      <c r="DK29" s="633"/>
      <c r="DL29" s="633"/>
      <c r="DM29" s="633"/>
      <c r="DN29" s="633"/>
      <c r="DO29" s="633"/>
      <c r="DP29" s="633"/>
      <c r="DQ29" s="633"/>
      <c r="DR29" s="633"/>
    </row>
    <row r="30" spans="1:123" hidden="1">
      <c r="B30" s="551"/>
      <c r="C30" s="751"/>
      <c r="D30" s="752"/>
      <c r="E30" s="768"/>
      <c r="F30" s="768"/>
      <c r="G30" s="768"/>
      <c r="H30" s="768"/>
      <c r="I30" s="768"/>
      <c r="J30" s="768"/>
      <c r="K30" s="768"/>
      <c r="L30" s="768"/>
      <c r="M30" s="768"/>
      <c r="N30" s="768"/>
      <c r="O30" s="768"/>
      <c r="P30" s="768"/>
      <c r="Q30" s="768"/>
      <c r="S30" s="760"/>
      <c r="T30" s="760"/>
      <c r="U30" s="760"/>
      <c r="V30" s="760"/>
      <c r="X30" s="721"/>
      <c r="Y30" s="768"/>
      <c r="Z30" s="768"/>
      <c r="AA30" s="768"/>
      <c r="AB30" s="768"/>
      <c r="AC30" s="768"/>
      <c r="AD30" s="768"/>
      <c r="AE30" s="768"/>
      <c r="AF30" s="768"/>
      <c r="AG30" s="768"/>
      <c r="AH30" s="768"/>
      <c r="AI30" s="768"/>
      <c r="AJ30" s="768"/>
      <c r="AK30" s="768"/>
      <c r="AM30" s="760"/>
      <c r="AN30" s="760"/>
      <c r="AO30" s="760"/>
      <c r="AP30" s="760"/>
      <c r="AR30" s="721"/>
      <c r="AS30" s="768"/>
      <c r="AT30" s="768"/>
      <c r="AU30" s="768"/>
      <c r="AV30" s="768"/>
      <c r="AW30" s="768"/>
      <c r="AX30" s="768"/>
      <c r="AY30" s="768"/>
      <c r="AZ30" s="768"/>
      <c r="BA30" s="768"/>
      <c r="BB30" s="768"/>
      <c r="BC30" s="768"/>
      <c r="BD30" s="768"/>
      <c r="BE30" s="768"/>
      <c r="BG30" s="760"/>
      <c r="BH30" s="760"/>
      <c r="BI30" s="760"/>
      <c r="BJ30" s="760"/>
      <c r="BM30" s="768"/>
      <c r="BN30" s="768"/>
      <c r="BO30" s="768"/>
      <c r="BP30" s="768"/>
      <c r="BQ30" s="768"/>
      <c r="BR30" s="768"/>
      <c r="BS30" s="768"/>
      <c r="BT30" s="768"/>
      <c r="BU30" s="768"/>
      <c r="BV30" s="768"/>
      <c r="BW30" s="768"/>
      <c r="BX30" s="768"/>
      <c r="BY30" s="768"/>
      <c r="CA30" s="760"/>
      <c r="CB30" s="760"/>
      <c r="CC30" s="760"/>
      <c r="CD30" s="760"/>
      <c r="CG30" s="784"/>
      <c r="CH30" s="784"/>
      <c r="CI30" s="784"/>
      <c r="CJ30" s="784"/>
      <c r="CK30" s="784"/>
      <c r="CL30" s="784"/>
      <c r="CM30" s="784"/>
      <c r="CN30" s="784"/>
      <c r="CO30" s="784"/>
      <c r="CP30" s="784"/>
      <c r="CQ30" s="784"/>
      <c r="CR30" s="784"/>
      <c r="CS30" s="784"/>
      <c r="CT30" s="633"/>
      <c r="CU30" s="781"/>
      <c r="CV30" s="781"/>
      <c r="CW30" s="781"/>
      <c r="CX30" s="781"/>
      <c r="DA30" s="784"/>
      <c r="DB30" s="784"/>
      <c r="DC30" s="784"/>
      <c r="DD30" s="784"/>
      <c r="DE30" s="784"/>
      <c r="DF30" s="784"/>
      <c r="DG30" s="784"/>
      <c r="DH30" s="784"/>
      <c r="DI30" s="784"/>
      <c r="DJ30" s="784"/>
      <c r="DK30" s="784"/>
      <c r="DL30" s="784"/>
      <c r="DM30" s="784"/>
      <c r="DN30" s="633"/>
      <c r="DO30" s="781"/>
      <c r="DP30" s="781"/>
      <c r="DQ30" s="781"/>
      <c r="DR30" s="781"/>
    </row>
    <row r="31" spans="1:123" hidden="1">
      <c r="C31" s="753"/>
      <c r="D31" s="754"/>
      <c r="E31" s="796"/>
      <c r="F31" s="796"/>
      <c r="G31" s="796"/>
      <c r="H31" s="762"/>
      <c r="I31" s="762"/>
      <c r="J31" s="762"/>
      <c r="K31" s="762"/>
      <c r="L31" s="762"/>
      <c r="M31" s="762"/>
      <c r="N31" s="762"/>
      <c r="O31" s="762"/>
      <c r="P31" s="762"/>
      <c r="Q31" s="763"/>
      <c r="R31" s="677"/>
      <c r="S31" s="762"/>
      <c r="T31" s="762"/>
      <c r="U31" s="762"/>
      <c r="V31" s="762"/>
      <c r="X31" s="721"/>
      <c r="Y31" s="796"/>
      <c r="Z31" s="796"/>
      <c r="AA31" s="796"/>
      <c r="AB31" s="762"/>
      <c r="AC31" s="762"/>
      <c r="AD31" s="762"/>
      <c r="AE31" s="762"/>
      <c r="AF31" s="762"/>
      <c r="AG31" s="762"/>
      <c r="AH31" s="762"/>
      <c r="AI31" s="762"/>
      <c r="AJ31" s="762"/>
      <c r="AK31" s="763"/>
      <c r="AL31" s="677"/>
      <c r="AM31" s="762"/>
      <c r="AN31" s="762"/>
      <c r="AO31" s="762"/>
      <c r="AP31" s="762"/>
      <c r="AR31" s="721"/>
      <c r="AS31" s="785"/>
      <c r="AT31" s="785"/>
      <c r="AU31" s="785"/>
      <c r="AV31" s="785"/>
      <c r="AW31" s="762"/>
      <c r="AX31" s="762"/>
      <c r="AY31" s="762"/>
      <c r="AZ31" s="762"/>
      <c r="BA31" s="762"/>
      <c r="BB31" s="762"/>
      <c r="BC31" s="762"/>
      <c r="BD31" s="762"/>
      <c r="BE31" s="763"/>
      <c r="BF31" s="677"/>
      <c r="BG31" s="762"/>
      <c r="BH31" s="762"/>
      <c r="BI31" s="762"/>
      <c r="BJ31" s="762"/>
      <c r="BM31" s="796"/>
      <c r="BN31" s="796"/>
      <c r="BO31" s="796"/>
      <c r="BP31" s="762"/>
      <c r="BQ31" s="762"/>
      <c r="BR31" s="762"/>
      <c r="BS31" s="762"/>
      <c r="BT31" s="762"/>
      <c r="BU31" s="762"/>
      <c r="BV31" s="762"/>
      <c r="BW31" s="762"/>
      <c r="BX31" s="762"/>
      <c r="BY31" s="763"/>
      <c r="BZ31" s="677"/>
      <c r="CA31" s="762"/>
      <c r="CB31" s="762"/>
      <c r="CC31" s="762"/>
      <c r="CD31" s="762"/>
      <c r="CG31" s="799"/>
      <c r="CH31" s="799"/>
      <c r="CI31" s="799"/>
      <c r="CJ31" s="786"/>
      <c r="CK31" s="786"/>
      <c r="CL31" s="786"/>
      <c r="CM31" s="786"/>
      <c r="CN31" s="786"/>
      <c r="CO31" s="786"/>
      <c r="CP31" s="786"/>
      <c r="CQ31" s="786"/>
      <c r="CR31" s="786"/>
      <c r="CS31" s="787"/>
      <c r="CT31" s="788"/>
      <c r="CU31" s="786"/>
      <c r="CV31" s="786"/>
      <c r="CW31" s="786"/>
      <c r="CX31" s="786"/>
      <c r="DA31" s="799"/>
      <c r="DB31" s="799"/>
      <c r="DC31" s="799"/>
      <c r="DD31" s="786"/>
      <c r="DE31" s="786"/>
      <c r="DF31" s="786"/>
      <c r="DG31" s="786"/>
      <c r="DH31" s="786"/>
      <c r="DI31" s="786"/>
      <c r="DJ31" s="786"/>
      <c r="DK31" s="786"/>
      <c r="DL31" s="786"/>
      <c r="DM31" s="787"/>
      <c r="DN31" s="788"/>
      <c r="DO31" s="786"/>
      <c r="DP31" s="786"/>
      <c r="DQ31" s="786"/>
      <c r="DR31" s="786"/>
    </row>
    <row r="32" spans="1:123" hidden="1">
      <c r="C32" s="753"/>
      <c r="D32" s="754"/>
      <c r="E32" s="796"/>
      <c r="F32" s="796"/>
      <c r="G32" s="796"/>
      <c r="H32" s="762"/>
      <c r="I32" s="762"/>
      <c r="J32" s="762"/>
      <c r="K32" s="762"/>
      <c r="L32" s="762"/>
      <c r="M32" s="762"/>
      <c r="N32" s="762"/>
      <c r="O32" s="762"/>
      <c r="P32" s="762"/>
      <c r="Q32" s="763"/>
      <c r="R32" s="677"/>
      <c r="S32" s="762"/>
      <c r="T32" s="762"/>
      <c r="U32" s="762"/>
      <c r="V32" s="762"/>
      <c r="X32" s="721"/>
      <c r="Y32" s="796"/>
      <c r="Z32" s="796"/>
      <c r="AA32" s="796"/>
      <c r="AB32" s="762"/>
      <c r="AC32" s="762"/>
      <c r="AD32" s="762"/>
      <c r="AE32" s="762"/>
      <c r="AF32" s="762"/>
      <c r="AG32" s="762"/>
      <c r="AH32" s="762"/>
      <c r="AI32" s="762"/>
      <c r="AJ32" s="762"/>
      <c r="AK32" s="763"/>
      <c r="AL32" s="677"/>
      <c r="AM32" s="762"/>
      <c r="AN32" s="762"/>
      <c r="AO32" s="762"/>
      <c r="AP32" s="762"/>
      <c r="AR32" s="721"/>
      <c r="AS32" s="785"/>
      <c r="AT32" s="785"/>
      <c r="AU32" s="785"/>
      <c r="AV32" s="785"/>
      <c r="AW32" s="762"/>
      <c r="AX32" s="762"/>
      <c r="AY32" s="762"/>
      <c r="AZ32" s="762"/>
      <c r="BA32" s="762"/>
      <c r="BB32" s="762"/>
      <c r="BC32" s="762"/>
      <c r="BD32" s="762"/>
      <c r="BE32" s="763"/>
      <c r="BF32" s="677"/>
      <c r="BG32" s="762"/>
      <c r="BH32" s="762"/>
      <c r="BI32" s="762"/>
      <c r="BJ32" s="762"/>
      <c r="BM32" s="796"/>
      <c r="BN32" s="796"/>
      <c r="BO32" s="796"/>
      <c r="BP32" s="762"/>
      <c r="BQ32" s="762"/>
      <c r="BR32" s="762"/>
      <c r="BS32" s="762"/>
      <c r="BT32" s="762"/>
      <c r="BU32" s="762"/>
      <c r="BV32" s="762"/>
      <c r="BW32" s="762"/>
      <c r="BX32" s="762"/>
      <c r="BY32" s="763"/>
      <c r="BZ32" s="677"/>
      <c r="CA32" s="762"/>
      <c r="CB32" s="762"/>
      <c r="CC32" s="762"/>
      <c r="CD32" s="762"/>
      <c r="CG32" s="799"/>
      <c r="CH32" s="799"/>
      <c r="CI32" s="799"/>
      <c r="CJ32" s="786"/>
      <c r="CK32" s="786"/>
      <c r="CL32" s="786"/>
      <c r="CM32" s="786"/>
      <c r="CN32" s="786"/>
      <c r="CO32" s="786"/>
      <c r="CP32" s="786"/>
      <c r="CQ32" s="786"/>
      <c r="CR32" s="786"/>
      <c r="CS32" s="787"/>
      <c r="CT32" s="788"/>
      <c r="CU32" s="786"/>
      <c r="CV32" s="786"/>
      <c r="CW32" s="786"/>
      <c r="CX32" s="786"/>
      <c r="DA32" s="799"/>
      <c r="DB32" s="799"/>
      <c r="DC32" s="799"/>
      <c r="DD32" s="786"/>
      <c r="DE32" s="786"/>
      <c r="DF32" s="786"/>
      <c r="DG32" s="786"/>
      <c r="DH32" s="786"/>
      <c r="DI32" s="786"/>
      <c r="DJ32" s="786"/>
      <c r="DK32" s="786"/>
      <c r="DL32" s="786"/>
      <c r="DM32" s="787"/>
      <c r="DN32" s="788"/>
      <c r="DO32" s="786"/>
      <c r="DP32" s="786"/>
      <c r="DQ32" s="786"/>
      <c r="DR32" s="786"/>
    </row>
    <row r="33" spans="3:122" hidden="1">
      <c r="C33" s="753"/>
      <c r="D33" s="754"/>
      <c r="E33" s="796"/>
      <c r="F33" s="796"/>
      <c r="G33" s="796"/>
      <c r="H33" s="762"/>
      <c r="I33" s="762"/>
      <c r="J33" s="762"/>
      <c r="K33" s="762"/>
      <c r="L33" s="762"/>
      <c r="M33" s="762"/>
      <c r="N33" s="762"/>
      <c r="O33" s="762"/>
      <c r="P33" s="762"/>
      <c r="Q33" s="763"/>
      <c r="R33" s="677"/>
      <c r="S33" s="762"/>
      <c r="T33" s="762"/>
      <c r="U33" s="762"/>
      <c r="V33" s="762"/>
      <c r="X33" s="721"/>
      <c r="Y33" s="796"/>
      <c r="Z33" s="796"/>
      <c r="AA33" s="796"/>
      <c r="AB33" s="762"/>
      <c r="AC33" s="762"/>
      <c r="AD33" s="762"/>
      <c r="AE33" s="762"/>
      <c r="AF33" s="762"/>
      <c r="AG33" s="762"/>
      <c r="AH33" s="762"/>
      <c r="AI33" s="762"/>
      <c r="AJ33" s="762"/>
      <c r="AK33" s="763"/>
      <c r="AL33" s="677"/>
      <c r="AM33" s="762"/>
      <c r="AN33" s="762"/>
      <c r="AO33" s="762"/>
      <c r="AP33" s="762"/>
      <c r="AR33" s="721"/>
      <c r="AS33" s="785"/>
      <c r="AT33" s="785"/>
      <c r="AU33" s="785"/>
      <c r="AV33" s="785"/>
      <c r="AW33" s="762"/>
      <c r="AX33" s="762"/>
      <c r="AY33" s="762"/>
      <c r="AZ33" s="762"/>
      <c r="BA33" s="762"/>
      <c r="BB33" s="762"/>
      <c r="BC33" s="762"/>
      <c r="BD33" s="762"/>
      <c r="BE33" s="763"/>
      <c r="BF33" s="677"/>
      <c r="BG33" s="762"/>
      <c r="BH33" s="762"/>
      <c r="BI33" s="762"/>
      <c r="BJ33" s="762"/>
      <c r="BM33" s="796"/>
      <c r="BN33" s="796"/>
      <c r="BO33" s="796"/>
      <c r="BP33" s="762"/>
      <c r="BQ33" s="762"/>
      <c r="BR33" s="762"/>
      <c r="BS33" s="762"/>
      <c r="BT33" s="762"/>
      <c r="BU33" s="762"/>
      <c r="BV33" s="762"/>
      <c r="BW33" s="762"/>
      <c r="BX33" s="762"/>
      <c r="BY33" s="763"/>
      <c r="BZ33" s="677"/>
      <c r="CA33" s="762"/>
      <c r="CB33" s="762"/>
      <c r="CC33" s="762"/>
      <c r="CD33" s="762"/>
      <c r="CG33" s="799"/>
      <c r="CH33" s="799"/>
      <c r="CI33" s="799"/>
      <c r="CJ33" s="786"/>
      <c r="CK33" s="786"/>
      <c r="CL33" s="786"/>
      <c r="CM33" s="786"/>
      <c r="CN33" s="786"/>
      <c r="CO33" s="786"/>
      <c r="CP33" s="786"/>
      <c r="CQ33" s="786"/>
      <c r="CR33" s="786"/>
      <c r="CS33" s="787"/>
      <c r="CT33" s="788"/>
      <c r="CU33" s="786"/>
      <c r="CV33" s="786"/>
      <c r="CW33" s="786"/>
      <c r="CX33" s="786"/>
      <c r="DA33" s="799"/>
      <c r="DB33" s="799"/>
      <c r="DC33" s="799"/>
      <c r="DD33" s="786"/>
      <c r="DE33" s="786"/>
      <c r="DF33" s="786"/>
      <c r="DG33" s="786"/>
      <c r="DH33" s="786"/>
      <c r="DI33" s="786"/>
      <c r="DJ33" s="786"/>
      <c r="DK33" s="786"/>
      <c r="DL33" s="786"/>
      <c r="DM33" s="787"/>
      <c r="DN33" s="788"/>
      <c r="DO33" s="786"/>
      <c r="DP33" s="786"/>
      <c r="DQ33" s="786"/>
      <c r="DR33" s="786"/>
    </row>
    <row r="34" spans="3:122" hidden="1">
      <c r="C34" s="755"/>
      <c r="D34" s="756"/>
      <c r="E34" s="765"/>
      <c r="F34" s="765"/>
      <c r="G34" s="765"/>
      <c r="H34" s="766"/>
      <c r="I34" s="766"/>
      <c r="J34" s="766"/>
      <c r="K34" s="766"/>
      <c r="L34" s="766"/>
      <c r="M34" s="766"/>
      <c r="N34" s="766"/>
      <c r="O34" s="766"/>
      <c r="P34" s="766"/>
      <c r="Q34" s="767"/>
      <c r="R34" s="677"/>
      <c r="S34" s="766"/>
      <c r="T34" s="766"/>
      <c r="U34" s="766"/>
      <c r="V34" s="766"/>
      <c r="X34" s="721"/>
      <c r="Y34" s="765"/>
      <c r="Z34" s="765"/>
      <c r="AA34" s="765"/>
      <c r="AB34" s="766"/>
      <c r="AC34" s="766"/>
      <c r="AD34" s="766"/>
      <c r="AE34" s="766"/>
      <c r="AF34" s="766"/>
      <c r="AG34" s="766"/>
      <c r="AH34" s="766"/>
      <c r="AI34" s="766"/>
      <c r="AJ34" s="766"/>
      <c r="AK34" s="767"/>
      <c r="AL34" s="677"/>
      <c r="AM34" s="766"/>
      <c r="AN34" s="766"/>
      <c r="AO34" s="766"/>
      <c r="AP34" s="766"/>
      <c r="AR34" s="721"/>
      <c r="AS34" s="769"/>
      <c r="AT34" s="769"/>
      <c r="AU34" s="769"/>
      <c r="AV34" s="769"/>
      <c r="AW34" s="766"/>
      <c r="AX34" s="766"/>
      <c r="AY34" s="766"/>
      <c r="AZ34" s="766"/>
      <c r="BA34" s="766"/>
      <c r="BB34" s="766"/>
      <c r="BC34" s="766"/>
      <c r="BD34" s="766"/>
      <c r="BE34" s="767"/>
      <c r="BF34" s="677"/>
      <c r="BG34" s="766"/>
      <c r="BH34" s="766"/>
      <c r="BI34" s="766"/>
      <c r="BJ34" s="766"/>
      <c r="BM34" s="765"/>
      <c r="BN34" s="765"/>
      <c r="BO34" s="765"/>
      <c r="BP34" s="766"/>
      <c r="BQ34" s="766"/>
      <c r="BR34" s="766"/>
      <c r="BS34" s="766"/>
      <c r="BT34" s="766"/>
      <c r="BU34" s="766"/>
      <c r="BV34" s="766"/>
      <c r="BW34" s="766"/>
      <c r="BX34" s="766"/>
      <c r="BY34" s="767"/>
      <c r="BZ34" s="677"/>
      <c r="CA34" s="766"/>
      <c r="CB34" s="766"/>
      <c r="CC34" s="766"/>
      <c r="CD34" s="766"/>
      <c r="CG34" s="800"/>
      <c r="CH34" s="800"/>
      <c r="CI34" s="800"/>
      <c r="CJ34" s="790"/>
      <c r="CK34" s="790"/>
      <c r="CL34" s="790"/>
      <c r="CM34" s="790"/>
      <c r="CN34" s="790"/>
      <c r="CO34" s="790"/>
      <c r="CP34" s="790"/>
      <c r="CQ34" s="790"/>
      <c r="CR34" s="790"/>
      <c r="CS34" s="791"/>
      <c r="CT34" s="788"/>
      <c r="CU34" s="790"/>
      <c r="CV34" s="790"/>
      <c r="CW34" s="790"/>
      <c r="CX34" s="790"/>
      <c r="DA34" s="800"/>
      <c r="DB34" s="800"/>
      <c r="DC34" s="800"/>
      <c r="DD34" s="790"/>
      <c r="DE34" s="790"/>
      <c r="DF34" s="790"/>
      <c r="DG34" s="790"/>
      <c r="DH34" s="790"/>
      <c r="DI34" s="790"/>
      <c r="DJ34" s="790"/>
      <c r="DK34" s="790"/>
      <c r="DL34" s="790"/>
      <c r="DM34" s="791"/>
      <c r="DN34" s="788"/>
      <c r="DO34" s="790"/>
      <c r="DP34" s="790"/>
      <c r="DQ34" s="790"/>
      <c r="DR34" s="790"/>
    </row>
    <row r="35" spans="3:122" hidden="1">
      <c r="X35" s="721"/>
      <c r="AR35" s="721"/>
      <c r="CG35" s="633"/>
      <c r="CH35" s="633"/>
      <c r="CI35" s="633"/>
      <c r="CJ35" s="633"/>
      <c r="CK35" s="633"/>
      <c r="CL35" s="633"/>
      <c r="CM35" s="633"/>
      <c r="CN35" s="633"/>
      <c r="CO35" s="633"/>
      <c r="CP35" s="633"/>
      <c r="CQ35" s="633"/>
      <c r="CR35" s="633"/>
      <c r="CS35" s="633"/>
      <c r="CT35" s="633"/>
      <c r="CU35" s="633"/>
      <c r="CV35" s="633"/>
      <c r="CW35" s="633"/>
      <c r="CX35" s="633"/>
      <c r="DA35" s="633"/>
      <c r="DB35" s="633"/>
      <c r="DC35" s="633"/>
      <c r="DD35" s="633"/>
      <c r="DE35" s="633"/>
      <c r="DF35" s="633"/>
      <c r="DG35" s="633"/>
      <c r="DH35" s="633"/>
      <c r="DI35" s="633"/>
      <c r="DJ35" s="633"/>
      <c r="DK35" s="633"/>
      <c r="DL35" s="633"/>
      <c r="DM35" s="633"/>
      <c r="DN35" s="633"/>
      <c r="DO35" s="633"/>
      <c r="DP35" s="633"/>
      <c r="DQ35" s="633"/>
      <c r="DR35" s="633"/>
    </row>
    <row r="36" spans="3:122" hidden="1">
      <c r="C36" s="751"/>
      <c r="D36" s="752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8"/>
      <c r="P36" s="768"/>
      <c r="Q36" s="768"/>
      <c r="S36" s="760"/>
      <c r="T36" s="760"/>
      <c r="U36" s="760"/>
      <c r="V36" s="760"/>
      <c r="X36" s="721"/>
      <c r="Y36" s="768"/>
      <c r="Z36" s="768"/>
      <c r="AA36" s="768"/>
      <c r="AB36" s="768"/>
      <c r="AC36" s="768"/>
      <c r="AD36" s="768"/>
      <c r="AE36" s="768"/>
      <c r="AF36" s="768"/>
      <c r="AG36" s="768"/>
      <c r="AH36" s="768"/>
      <c r="AI36" s="768"/>
      <c r="AJ36" s="768"/>
      <c r="AK36" s="768"/>
      <c r="AM36" s="760"/>
      <c r="AN36" s="760"/>
      <c r="AO36" s="760"/>
      <c r="AP36" s="760"/>
      <c r="AR36" s="721"/>
      <c r="AS36" s="768"/>
      <c r="AT36" s="768"/>
      <c r="AU36" s="768"/>
      <c r="AV36" s="768"/>
      <c r="AW36" s="768"/>
      <c r="AX36" s="768"/>
      <c r="AY36" s="768"/>
      <c r="AZ36" s="768"/>
      <c r="BA36" s="768"/>
      <c r="BB36" s="768"/>
      <c r="BC36" s="768"/>
      <c r="BD36" s="768"/>
      <c r="BE36" s="768"/>
      <c r="BG36" s="760"/>
      <c r="BH36" s="760"/>
      <c r="BI36" s="760"/>
      <c r="BJ36" s="760"/>
      <c r="BM36" s="768"/>
      <c r="BN36" s="768"/>
      <c r="BO36" s="768"/>
      <c r="BP36" s="768"/>
      <c r="BQ36" s="768"/>
      <c r="BR36" s="768"/>
      <c r="BS36" s="768"/>
      <c r="BT36" s="768"/>
      <c r="BU36" s="768"/>
      <c r="BV36" s="768"/>
      <c r="BW36" s="768"/>
      <c r="BX36" s="768"/>
      <c r="BY36" s="768"/>
      <c r="CA36" s="760"/>
      <c r="CB36" s="760"/>
      <c r="CC36" s="760"/>
      <c r="CD36" s="760"/>
      <c r="CG36" s="784"/>
      <c r="CH36" s="784"/>
      <c r="CI36" s="784"/>
      <c r="CJ36" s="784"/>
      <c r="CK36" s="784"/>
      <c r="CL36" s="784"/>
      <c r="CM36" s="784"/>
      <c r="CN36" s="784"/>
      <c r="CO36" s="784"/>
      <c r="CP36" s="784"/>
      <c r="CQ36" s="784"/>
      <c r="CR36" s="784"/>
      <c r="CS36" s="784"/>
      <c r="CT36" s="633"/>
      <c r="CU36" s="781"/>
      <c r="CV36" s="781"/>
      <c r="CW36" s="781"/>
      <c r="CX36" s="781"/>
      <c r="DA36" s="784"/>
      <c r="DB36" s="784"/>
      <c r="DC36" s="784"/>
      <c r="DD36" s="784"/>
      <c r="DE36" s="784"/>
      <c r="DF36" s="784"/>
      <c r="DG36" s="784"/>
      <c r="DH36" s="784"/>
      <c r="DI36" s="784"/>
      <c r="DJ36" s="784"/>
      <c r="DK36" s="784"/>
      <c r="DL36" s="784"/>
      <c r="DM36" s="784"/>
      <c r="DN36" s="633"/>
      <c r="DO36" s="781"/>
      <c r="DP36" s="781"/>
      <c r="DQ36" s="781"/>
      <c r="DR36" s="781"/>
    </row>
    <row r="37" spans="3:122" s="677" customFormat="1" hidden="1">
      <c r="C37" s="755"/>
      <c r="D37" s="756"/>
      <c r="E37" s="769"/>
      <c r="F37" s="769"/>
      <c r="G37" s="769"/>
      <c r="H37" s="766"/>
      <c r="I37" s="766"/>
      <c r="J37" s="766"/>
      <c r="K37" s="766"/>
      <c r="L37" s="766"/>
      <c r="M37" s="766"/>
      <c r="N37" s="766"/>
      <c r="O37" s="766"/>
      <c r="P37" s="766"/>
      <c r="Q37" s="767"/>
      <c r="S37" s="766"/>
      <c r="T37" s="766"/>
      <c r="U37" s="766"/>
      <c r="V37" s="766"/>
      <c r="X37" s="721"/>
      <c r="Y37" s="769"/>
      <c r="Z37" s="769"/>
      <c r="AA37" s="769"/>
      <c r="AB37" s="766"/>
      <c r="AC37" s="766"/>
      <c r="AD37" s="766"/>
      <c r="AE37" s="766"/>
      <c r="AF37" s="766"/>
      <c r="AG37" s="766"/>
      <c r="AH37" s="766"/>
      <c r="AI37" s="766"/>
      <c r="AJ37" s="766"/>
      <c r="AK37" s="767"/>
      <c r="AM37" s="766"/>
      <c r="AN37" s="766"/>
      <c r="AO37" s="766"/>
      <c r="AP37" s="766"/>
      <c r="AR37" s="721"/>
      <c r="AS37" s="769"/>
      <c r="AT37" s="769"/>
      <c r="AU37" s="769"/>
      <c r="AV37" s="766"/>
      <c r="AW37" s="766"/>
      <c r="AX37" s="766"/>
      <c r="AY37" s="766"/>
      <c r="AZ37" s="766"/>
      <c r="BA37" s="766"/>
      <c r="BB37" s="766"/>
      <c r="BC37" s="766"/>
      <c r="BD37" s="766"/>
      <c r="BE37" s="767"/>
      <c r="BG37" s="766"/>
      <c r="BH37" s="766"/>
      <c r="BI37" s="766"/>
      <c r="BJ37" s="766"/>
      <c r="BM37" s="769"/>
      <c r="BN37" s="769"/>
      <c r="BO37" s="769"/>
      <c r="BP37" s="766"/>
      <c r="BQ37" s="766"/>
      <c r="BR37" s="766"/>
      <c r="BS37" s="766"/>
      <c r="BT37" s="766"/>
      <c r="BU37" s="766"/>
      <c r="BV37" s="766"/>
      <c r="BW37" s="766"/>
      <c r="BX37" s="766"/>
      <c r="BY37" s="767"/>
      <c r="CA37" s="766"/>
      <c r="CB37" s="766"/>
      <c r="CC37" s="766"/>
      <c r="CD37" s="766"/>
      <c r="CG37" s="789"/>
      <c r="CH37" s="789"/>
      <c r="CI37" s="789"/>
      <c r="CJ37" s="790"/>
      <c r="CK37" s="790"/>
      <c r="CL37" s="790"/>
      <c r="CM37" s="790"/>
      <c r="CN37" s="790"/>
      <c r="CO37" s="790"/>
      <c r="CP37" s="790"/>
      <c r="CQ37" s="790"/>
      <c r="CR37" s="790"/>
      <c r="CS37" s="791"/>
      <c r="CT37" s="788"/>
      <c r="CU37" s="790"/>
      <c r="CV37" s="790"/>
      <c r="CW37" s="790"/>
      <c r="CX37" s="790"/>
      <c r="DA37" s="789"/>
      <c r="DB37" s="789"/>
      <c r="DC37" s="789"/>
      <c r="DD37" s="790"/>
      <c r="DE37" s="790"/>
      <c r="DF37" s="790"/>
      <c r="DG37" s="790"/>
      <c r="DH37" s="790"/>
      <c r="DI37" s="790"/>
      <c r="DJ37" s="790"/>
      <c r="DK37" s="790"/>
      <c r="DL37" s="790"/>
      <c r="DM37" s="791"/>
      <c r="DN37" s="788"/>
      <c r="DO37" s="790"/>
      <c r="DP37" s="790"/>
      <c r="DQ37" s="790"/>
      <c r="DR37" s="790"/>
    </row>
    <row r="38" spans="3:122" hidden="1">
      <c r="X38" s="721"/>
      <c r="AR38" s="721"/>
      <c r="CG38" s="633"/>
      <c r="CH38" s="633"/>
      <c r="CI38" s="633"/>
      <c r="CJ38" s="633"/>
      <c r="CK38" s="633"/>
      <c r="CL38" s="633"/>
      <c r="CM38" s="633"/>
      <c r="CN38" s="633"/>
      <c r="CO38" s="633"/>
      <c r="CP38" s="633"/>
      <c r="CQ38" s="633"/>
      <c r="CR38" s="633"/>
      <c r="CS38" s="633"/>
      <c r="CT38" s="633"/>
      <c r="CU38" s="633"/>
      <c r="CV38" s="633"/>
      <c r="CW38" s="633"/>
      <c r="CX38" s="633"/>
      <c r="DA38" s="633"/>
      <c r="DB38" s="633"/>
      <c r="DC38" s="633"/>
      <c r="DD38" s="633"/>
      <c r="DE38" s="633"/>
      <c r="DF38" s="633"/>
      <c r="DG38" s="633"/>
      <c r="DH38" s="633"/>
      <c r="DI38" s="633"/>
      <c r="DJ38" s="633"/>
      <c r="DK38" s="633"/>
      <c r="DL38" s="633"/>
      <c r="DM38" s="633"/>
      <c r="DN38" s="633"/>
      <c r="DO38" s="633"/>
      <c r="DP38" s="633"/>
      <c r="DQ38" s="633"/>
      <c r="DR38" s="633"/>
    </row>
    <row r="39" spans="3:122" hidden="1">
      <c r="C39" s="751"/>
      <c r="D39" s="752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8"/>
      <c r="S39" s="760"/>
      <c r="T39" s="760"/>
      <c r="U39" s="760"/>
      <c r="V39" s="760"/>
      <c r="X39" s="721"/>
      <c r="Y39" s="768"/>
      <c r="Z39" s="768"/>
      <c r="AA39" s="768"/>
      <c r="AB39" s="768"/>
      <c r="AC39" s="768"/>
      <c r="AD39" s="768"/>
      <c r="AE39" s="768"/>
      <c r="AF39" s="768"/>
      <c r="AG39" s="768"/>
      <c r="AH39" s="768"/>
      <c r="AI39" s="768"/>
      <c r="AJ39" s="768"/>
      <c r="AK39" s="768"/>
      <c r="AM39" s="760"/>
      <c r="AN39" s="760"/>
      <c r="AO39" s="760"/>
      <c r="AP39" s="760"/>
      <c r="AR39" s="721"/>
      <c r="AS39" s="768"/>
      <c r="AT39" s="768"/>
      <c r="AU39" s="768"/>
      <c r="AV39" s="768"/>
      <c r="AW39" s="768"/>
      <c r="AX39" s="768"/>
      <c r="AY39" s="768"/>
      <c r="AZ39" s="768"/>
      <c r="BA39" s="768"/>
      <c r="BB39" s="768"/>
      <c r="BC39" s="768"/>
      <c r="BD39" s="768"/>
      <c r="BE39" s="768"/>
      <c r="BG39" s="760"/>
      <c r="BH39" s="760"/>
      <c r="BI39" s="760"/>
      <c r="BJ39" s="760"/>
      <c r="BM39" s="768"/>
      <c r="BN39" s="768"/>
      <c r="BO39" s="768"/>
      <c r="BP39" s="768"/>
      <c r="BQ39" s="768"/>
      <c r="BR39" s="768"/>
      <c r="BS39" s="768"/>
      <c r="BT39" s="768"/>
      <c r="BU39" s="768"/>
      <c r="BV39" s="768"/>
      <c r="BW39" s="768"/>
      <c r="BX39" s="768"/>
      <c r="BY39" s="768"/>
      <c r="CA39" s="760"/>
      <c r="CB39" s="760"/>
      <c r="CC39" s="760"/>
      <c r="CD39" s="760"/>
      <c r="CG39" s="784"/>
      <c r="CH39" s="784"/>
      <c r="CI39" s="784"/>
      <c r="CJ39" s="784"/>
      <c r="CK39" s="784"/>
      <c r="CL39" s="784"/>
      <c r="CM39" s="784"/>
      <c r="CN39" s="784"/>
      <c r="CO39" s="784"/>
      <c r="CP39" s="784"/>
      <c r="CQ39" s="784"/>
      <c r="CR39" s="784"/>
      <c r="CS39" s="784"/>
      <c r="CT39" s="633"/>
      <c r="CU39" s="781"/>
      <c r="CV39" s="781"/>
      <c r="CW39" s="781"/>
      <c r="CX39" s="781"/>
      <c r="DA39" s="784"/>
      <c r="DB39" s="784"/>
      <c r="DC39" s="784"/>
      <c r="DD39" s="784"/>
      <c r="DE39" s="784"/>
      <c r="DF39" s="784"/>
      <c r="DG39" s="784"/>
      <c r="DH39" s="784"/>
      <c r="DI39" s="784"/>
      <c r="DJ39" s="784"/>
      <c r="DK39" s="784"/>
      <c r="DL39" s="784"/>
      <c r="DM39" s="784"/>
      <c r="DN39" s="633"/>
      <c r="DO39" s="781"/>
      <c r="DP39" s="781"/>
      <c r="DQ39" s="781"/>
      <c r="DR39" s="781"/>
    </row>
    <row r="40" spans="3:122" s="677" customFormat="1" hidden="1">
      <c r="C40" s="753"/>
      <c r="D40" s="754"/>
      <c r="E40" s="796"/>
      <c r="F40" s="796"/>
      <c r="G40" s="796"/>
      <c r="H40" s="762"/>
      <c r="I40" s="762"/>
      <c r="J40" s="762"/>
      <c r="K40" s="762"/>
      <c r="L40" s="762"/>
      <c r="M40" s="762"/>
      <c r="N40" s="762"/>
      <c r="O40" s="762"/>
      <c r="P40" s="762"/>
      <c r="Q40" s="763"/>
      <c r="S40" s="762"/>
      <c r="T40" s="762"/>
      <c r="U40" s="762"/>
      <c r="V40" s="762"/>
      <c r="X40" s="721"/>
      <c r="Y40" s="796"/>
      <c r="Z40" s="796"/>
      <c r="AA40" s="796"/>
      <c r="AB40" s="762"/>
      <c r="AC40" s="762"/>
      <c r="AD40" s="762"/>
      <c r="AE40" s="762"/>
      <c r="AF40" s="762"/>
      <c r="AG40" s="762"/>
      <c r="AH40" s="762"/>
      <c r="AI40" s="762"/>
      <c r="AJ40" s="762"/>
      <c r="AK40" s="763"/>
      <c r="AM40" s="762"/>
      <c r="AN40" s="762"/>
      <c r="AO40" s="762"/>
      <c r="AP40" s="762"/>
      <c r="AR40" s="721"/>
      <c r="AS40" s="785"/>
      <c r="AT40" s="785"/>
      <c r="AU40" s="785"/>
      <c r="AV40" s="785"/>
      <c r="AW40" s="785"/>
      <c r="AX40" s="785"/>
      <c r="AY40" s="785"/>
      <c r="AZ40" s="785"/>
      <c r="BA40" s="785"/>
      <c r="BB40" s="785"/>
      <c r="BC40" s="785"/>
      <c r="BD40" s="785"/>
      <c r="BE40" s="763"/>
      <c r="BG40" s="762"/>
      <c r="BH40" s="762"/>
      <c r="BI40" s="762"/>
      <c r="BJ40" s="762"/>
      <c r="BM40" s="796"/>
      <c r="BN40" s="796"/>
      <c r="BO40" s="796"/>
      <c r="BP40" s="762"/>
      <c r="BQ40" s="762"/>
      <c r="BR40" s="762"/>
      <c r="BS40" s="762"/>
      <c r="BT40" s="762"/>
      <c r="BU40" s="762"/>
      <c r="BV40" s="762"/>
      <c r="BW40" s="762"/>
      <c r="BX40" s="762"/>
      <c r="BY40" s="763"/>
      <c r="CA40" s="762"/>
      <c r="CB40" s="762"/>
      <c r="CC40" s="762"/>
      <c r="CD40" s="762"/>
      <c r="CG40" s="799"/>
      <c r="CH40" s="799"/>
      <c r="CI40" s="799"/>
      <c r="CJ40" s="786"/>
      <c r="CK40" s="786"/>
      <c r="CL40" s="786"/>
      <c r="CM40" s="786"/>
      <c r="CN40" s="786"/>
      <c r="CO40" s="786"/>
      <c r="CP40" s="786"/>
      <c r="CQ40" s="786"/>
      <c r="CR40" s="786"/>
      <c r="CS40" s="787"/>
      <c r="CT40" s="788"/>
      <c r="CU40" s="786"/>
      <c r="CV40" s="786"/>
      <c r="CW40" s="786"/>
      <c r="CX40" s="786"/>
      <c r="DA40" s="799"/>
      <c r="DB40" s="799"/>
      <c r="DC40" s="799"/>
      <c r="DD40" s="786"/>
      <c r="DE40" s="786"/>
      <c r="DF40" s="786"/>
      <c r="DG40" s="786"/>
      <c r="DH40" s="786"/>
      <c r="DI40" s="786"/>
      <c r="DJ40" s="786"/>
      <c r="DK40" s="786"/>
      <c r="DL40" s="786"/>
      <c r="DM40" s="787"/>
      <c r="DN40" s="788"/>
      <c r="DO40" s="786"/>
      <c r="DP40" s="786"/>
      <c r="DQ40" s="786"/>
      <c r="DR40" s="786"/>
    </row>
    <row r="41" spans="3:122" s="677" customFormat="1" hidden="1">
      <c r="C41" s="753"/>
      <c r="D41" s="754"/>
      <c r="E41" s="796"/>
      <c r="F41" s="796"/>
      <c r="G41" s="796"/>
      <c r="H41" s="762"/>
      <c r="I41" s="762"/>
      <c r="J41" s="762"/>
      <c r="K41" s="762"/>
      <c r="L41" s="762"/>
      <c r="M41" s="762"/>
      <c r="N41" s="762"/>
      <c r="O41" s="762"/>
      <c r="P41" s="762"/>
      <c r="Q41" s="763"/>
      <c r="S41" s="762"/>
      <c r="T41" s="762"/>
      <c r="U41" s="762"/>
      <c r="V41" s="762"/>
      <c r="X41" s="721"/>
      <c r="Y41" s="796"/>
      <c r="Z41" s="796"/>
      <c r="AA41" s="796"/>
      <c r="AB41" s="762"/>
      <c r="AC41" s="762"/>
      <c r="AD41" s="762"/>
      <c r="AE41" s="762"/>
      <c r="AF41" s="762"/>
      <c r="AG41" s="762"/>
      <c r="AH41" s="762"/>
      <c r="AI41" s="762"/>
      <c r="AJ41" s="762"/>
      <c r="AK41" s="763"/>
      <c r="AM41" s="762"/>
      <c r="AN41" s="762"/>
      <c r="AO41" s="762"/>
      <c r="AP41" s="762"/>
      <c r="AR41" s="721"/>
      <c r="AS41" s="785"/>
      <c r="AT41" s="785"/>
      <c r="AU41" s="785"/>
      <c r="AV41" s="785"/>
      <c r="AW41" s="785"/>
      <c r="AX41" s="785"/>
      <c r="AY41" s="785"/>
      <c r="AZ41" s="785"/>
      <c r="BA41" s="785"/>
      <c r="BB41" s="785"/>
      <c r="BC41" s="785"/>
      <c r="BD41" s="785"/>
      <c r="BE41" s="763"/>
      <c r="BG41" s="762"/>
      <c r="BH41" s="762"/>
      <c r="BI41" s="762"/>
      <c r="BJ41" s="762"/>
      <c r="BM41" s="796"/>
      <c r="BN41" s="796"/>
      <c r="BO41" s="796"/>
      <c r="BP41" s="762"/>
      <c r="BQ41" s="762"/>
      <c r="BR41" s="762"/>
      <c r="BS41" s="762"/>
      <c r="BT41" s="762"/>
      <c r="BU41" s="762"/>
      <c r="BV41" s="762"/>
      <c r="BW41" s="762"/>
      <c r="BX41" s="762"/>
      <c r="BY41" s="763"/>
      <c r="CA41" s="762"/>
      <c r="CB41" s="762"/>
      <c r="CC41" s="762"/>
      <c r="CD41" s="762"/>
      <c r="CG41" s="799"/>
      <c r="CH41" s="799"/>
      <c r="CI41" s="799"/>
      <c r="CJ41" s="786"/>
      <c r="CK41" s="786"/>
      <c r="CL41" s="786"/>
      <c r="CM41" s="786"/>
      <c r="CN41" s="786"/>
      <c r="CO41" s="786"/>
      <c r="CP41" s="786"/>
      <c r="CQ41" s="786"/>
      <c r="CR41" s="786"/>
      <c r="CS41" s="787"/>
      <c r="CT41" s="788"/>
      <c r="CU41" s="786"/>
      <c r="CV41" s="786"/>
      <c r="CW41" s="786"/>
      <c r="CX41" s="786"/>
      <c r="DA41" s="799"/>
      <c r="DB41" s="799"/>
      <c r="DC41" s="799"/>
      <c r="DD41" s="786"/>
      <c r="DE41" s="786"/>
      <c r="DF41" s="786"/>
      <c r="DG41" s="786"/>
      <c r="DH41" s="786"/>
      <c r="DI41" s="786"/>
      <c r="DJ41" s="786"/>
      <c r="DK41" s="786"/>
      <c r="DL41" s="786"/>
      <c r="DM41" s="787"/>
      <c r="DN41" s="788"/>
      <c r="DO41" s="786"/>
      <c r="DP41" s="786"/>
      <c r="DQ41" s="786"/>
      <c r="DR41" s="786"/>
    </row>
    <row r="42" spans="3:122" s="677" customFormat="1" hidden="1">
      <c r="C42" s="753"/>
      <c r="D42" s="754"/>
      <c r="E42" s="796"/>
      <c r="F42" s="796"/>
      <c r="G42" s="796"/>
      <c r="H42" s="762"/>
      <c r="I42" s="762"/>
      <c r="J42" s="762"/>
      <c r="K42" s="762"/>
      <c r="L42" s="762"/>
      <c r="M42" s="762"/>
      <c r="N42" s="762"/>
      <c r="O42" s="762"/>
      <c r="P42" s="762"/>
      <c r="Q42" s="763"/>
      <c r="S42" s="762"/>
      <c r="T42" s="762"/>
      <c r="U42" s="762"/>
      <c r="V42" s="762"/>
      <c r="X42" s="721"/>
      <c r="Y42" s="796"/>
      <c r="Z42" s="796"/>
      <c r="AA42" s="796"/>
      <c r="AB42" s="762"/>
      <c r="AC42" s="762"/>
      <c r="AD42" s="762"/>
      <c r="AE42" s="762"/>
      <c r="AF42" s="762"/>
      <c r="AG42" s="762"/>
      <c r="AH42" s="762"/>
      <c r="AI42" s="762"/>
      <c r="AJ42" s="762"/>
      <c r="AK42" s="763"/>
      <c r="AM42" s="762"/>
      <c r="AN42" s="762"/>
      <c r="AO42" s="762"/>
      <c r="AP42" s="762"/>
      <c r="AR42" s="721"/>
      <c r="AS42" s="785"/>
      <c r="AT42" s="785"/>
      <c r="AU42" s="785"/>
      <c r="AV42" s="785"/>
      <c r="AW42" s="785"/>
      <c r="AX42" s="785"/>
      <c r="AY42" s="785"/>
      <c r="AZ42" s="785"/>
      <c r="BA42" s="785"/>
      <c r="BB42" s="785"/>
      <c r="BC42" s="785"/>
      <c r="BD42" s="785"/>
      <c r="BE42" s="763"/>
      <c r="BG42" s="762"/>
      <c r="BH42" s="762"/>
      <c r="BI42" s="762"/>
      <c r="BJ42" s="762"/>
      <c r="BM42" s="796"/>
      <c r="BN42" s="796"/>
      <c r="BO42" s="796"/>
      <c r="BP42" s="762"/>
      <c r="BQ42" s="762"/>
      <c r="BR42" s="762"/>
      <c r="BS42" s="762"/>
      <c r="BT42" s="762"/>
      <c r="BU42" s="762"/>
      <c r="BV42" s="762"/>
      <c r="BW42" s="762"/>
      <c r="BX42" s="762"/>
      <c r="BY42" s="763"/>
      <c r="CA42" s="762"/>
      <c r="CB42" s="762"/>
      <c r="CC42" s="762"/>
      <c r="CD42" s="762"/>
      <c r="CG42" s="799"/>
      <c r="CH42" s="799"/>
      <c r="CI42" s="799"/>
      <c r="CJ42" s="786"/>
      <c r="CK42" s="786"/>
      <c r="CL42" s="786"/>
      <c r="CM42" s="786"/>
      <c r="CN42" s="786"/>
      <c r="CO42" s="786"/>
      <c r="CP42" s="786"/>
      <c r="CQ42" s="786"/>
      <c r="CR42" s="786"/>
      <c r="CS42" s="787"/>
      <c r="CT42" s="788"/>
      <c r="CU42" s="786"/>
      <c r="CV42" s="786"/>
      <c r="CW42" s="786"/>
      <c r="CX42" s="786"/>
      <c r="DA42" s="799"/>
      <c r="DB42" s="799"/>
      <c r="DC42" s="799"/>
      <c r="DD42" s="786"/>
      <c r="DE42" s="786"/>
      <c r="DF42" s="786"/>
      <c r="DG42" s="786"/>
      <c r="DH42" s="786"/>
      <c r="DI42" s="786"/>
      <c r="DJ42" s="786"/>
      <c r="DK42" s="786"/>
      <c r="DL42" s="786"/>
      <c r="DM42" s="787"/>
      <c r="DN42" s="788"/>
      <c r="DO42" s="786"/>
      <c r="DP42" s="786"/>
      <c r="DQ42" s="786"/>
      <c r="DR42" s="786"/>
    </row>
    <row r="43" spans="3:122" s="677" customFormat="1" hidden="1">
      <c r="C43" s="755"/>
      <c r="D43" s="756"/>
      <c r="E43" s="765"/>
      <c r="F43" s="765"/>
      <c r="G43" s="765"/>
      <c r="H43" s="766"/>
      <c r="I43" s="766"/>
      <c r="J43" s="766"/>
      <c r="K43" s="766"/>
      <c r="L43" s="766"/>
      <c r="M43" s="766"/>
      <c r="N43" s="766"/>
      <c r="O43" s="766"/>
      <c r="P43" s="766"/>
      <c r="Q43" s="767"/>
      <c r="S43" s="766"/>
      <c r="T43" s="766"/>
      <c r="U43" s="766"/>
      <c r="V43" s="766"/>
      <c r="X43" s="721"/>
      <c r="Y43" s="765"/>
      <c r="Z43" s="765"/>
      <c r="AA43" s="765"/>
      <c r="AB43" s="766"/>
      <c r="AC43" s="766"/>
      <c r="AD43" s="766"/>
      <c r="AE43" s="766"/>
      <c r="AF43" s="766"/>
      <c r="AG43" s="766"/>
      <c r="AH43" s="766"/>
      <c r="AI43" s="766"/>
      <c r="AJ43" s="766"/>
      <c r="AK43" s="767"/>
      <c r="AM43" s="766"/>
      <c r="AN43" s="766"/>
      <c r="AO43" s="766"/>
      <c r="AP43" s="766"/>
      <c r="AR43" s="721"/>
      <c r="AS43" s="769"/>
      <c r="AT43" s="769"/>
      <c r="AU43" s="769"/>
      <c r="AV43" s="769"/>
      <c r="AW43" s="769"/>
      <c r="AX43" s="769"/>
      <c r="AY43" s="769"/>
      <c r="AZ43" s="769"/>
      <c r="BA43" s="769"/>
      <c r="BB43" s="769"/>
      <c r="BC43" s="769"/>
      <c r="BD43" s="769"/>
      <c r="BE43" s="767"/>
      <c r="BG43" s="766"/>
      <c r="BH43" s="766"/>
      <c r="BI43" s="766"/>
      <c r="BJ43" s="766"/>
      <c r="BM43" s="765"/>
      <c r="BN43" s="765"/>
      <c r="BO43" s="765"/>
      <c r="BP43" s="766"/>
      <c r="BQ43" s="766"/>
      <c r="BR43" s="766"/>
      <c r="BS43" s="766"/>
      <c r="BT43" s="766"/>
      <c r="BU43" s="766"/>
      <c r="BV43" s="766"/>
      <c r="BW43" s="766"/>
      <c r="BX43" s="766"/>
      <c r="BY43" s="767"/>
      <c r="CA43" s="766"/>
      <c r="CB43" s="766"/>
      <c r="CC43" s="766"/>
      <c r="CD43" s="766"/>
      <c r="CG43" s="800"/>
      <c r="CH43" s="800"/>
      <c r="CI43" s="800"/>
      <c r="CJ43" s="790"/>
      <c r="CK43" s="790"/>
      <c r="CL43" s="790"/>
      <c r="CM43" s="790"/>
      <c r="CN43" s="790"/>
      <c r="CO43" s="790"/>
      <c r="CP43" s="790"/>
      <c r="CQ43" s="790"/>
      <c r="CR43" s="790"/>
      <c r="CS43" s="791"/>
      <c r="CT43" s="788"/>
      <c r="CU43" s="790"/>
      <c r="CV43" s="790"/>
      <c r="CW43" s="790"/>
      <c r="CX43" s="790"/>
      <c r="DA43" s="800"/>
      <c r="DB43" s="800"/>
      <c r="DC43" s="800"/>
      <c r="DD43" s="790"/>
      <c r="DE43" s="790"/>
      <c r="DF43" s="790"/>
      <c r="DG43" s="790"/>
      <c r="DH43" s="790"/>
      <c r="DI43" s="790"/>
      <c r="DJ43" s="790"/>
      <c r="DK43" s="790"/>
      <c r="DL43" s="790"/>
      <c r="DM43" s="791"/>
      <c r="DN43" s="788"/>
      <c r="DO43" s="790"/>
      <c r="DP43" s="790"/>
      <c r="DQ43" s="790"/>
      <c r="DR43" s="790"/>
    </row>
    <row r="44" spans="3:122" hidden="1">
      <c r="X44" s="721"/>
      <c r="AR44" s="721"/>
      <c r="CG44" s="633"/>
      <c r="CH44" s="633"/>
      <c r="CI44" s="633"/>
      <c r="CJ44" s="633"/>
      <c r="CK44" s="633"/>
      <c r="CL44" s="633"/>
      <c r="CM44" s="633"/>
      <c r="CN44" s="633"/>
      <c r="CO44" s="633"/>
      <c r="CP44" s="633"/>
      <c r="CQ44" s="633"/>
      <c r="CR44" s="633"/>
      <c r="CS44" s="633"/>
      <c r="CT44" s="633"/>
      <c r="CU44" s="633"/>
      <c r="CV44" s="633"/>
      <c r="CW44" s="633"/>
      <c r="CX44" s="633"/>
      <c r="DA44" s="633"/>
      <c r="DB44" s="633"/>
      <c r="DC44" s="633"/>
      <c r="DD44" s="633"/>
      <c r="DE44" s="633"/>
      <c r="DF44" s="633"/>
      <c r="DG44" s="633"/>
      <c r="DH44" s="633"/>
      <c r="DI44" s="633"/>
      <c r="DJ44" s="633"/>
      <c r="DK44" s="633"/>
      <c r="DL44" s="633"/>
      <c r="DM44" s="633"/>
      <c r="DN44" s="633"/>
      <c r="DO44" s="633"/>
      <c r="DP44" s="633"/>
      <c r="DQ44" s="633"/>
      <c r="DR44" s="633"/>
    </row>
    <row r="45" spans="3:122" hidden="1">
      <c r="C45" s="751"/>
      <c r="D45" s="752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S45" s="760"/>
      <c r="T45" s="760"/>
      <c r="U45" s="760"/>
      <c r="V45" s="760"/>
      <c r="X45" s="721"/>
      <c r="Y45" s="768"/>
      <c r="Z45" s="768"/>
      <c r="AA45" s="768"/>
      <c r="AB45" s="768"/>
      <c r="AC45" s="768"/>
      <c r="AD45" s="768"/>
      <c r="AE45" s="768"/>
      <c r="AF45" s="768"/>
      <c r="AG45" s="768"/>
      <c r="AH45" s="768"/>
      <c r="AI45" s="768"/>
      <c r="AJ45" s="768"/>
      <c r="AK45" s="768"/>
      <c r="AM45" s="760"/>
      <c r="AN45" s="760"/>
      <c r="AO45" s="760"/>
      <c r="AP45" s="760"/>
      <c r="AR45" s="721"/>
      <c r="AS45" s="768"/>
      <c r="AT45" s="768"/>
      <c r="AU45" s="768"/>
      <c r="AV45" s="768"/>
      <c r="AW45" s="768"/>
      <c r="AX45" s="768"/>
      <c r="AY45" s="768"/>
      <c r="AZ45" s="768"/>
      <c r="BA45" s="768"/>
      <c r="BB45" s="768"/>
      <c r="BC45" s="768"/>
      <c r="BD45" s="768"/>
      <c r="BE45" s="768"/>
      <c r="BG45" s="760"/>
      <c r="BH45" s="760"/>
      <c r="BI45" s="760"/>
      <c r="BJ45" s="760"/>
      <c r="BM45" s="768"/>
      <c r="BN45" s="768"/>
      <c r="BO45" s="768"/>
      <c r="BP45" s="768"/>
      <c r="BQ45" s="768"/>
      <c r="BR45" s="768"/>
      <c r="BS45" s="768"/>
      <c r="BT45" s="768"/>
      <c r="BU45" s="768"/>
      <c r="BV45" s="768"/>
      <c r="BW45" s="768"/>
      <c r="BX45" s="768"/>
      <c r="BY45" s="768"/>
      <c r="CA45" s="760"/>
      <c r="CB45" s="760"/>
      <c r="CC45" s="760"/>
      <c r="CD45" s="760"/>
      <c r="CG45" s="784"/>
      <c r="CH45" s="784"/>
      <c r="CI45" s="784"/>
      <c r="CJ45" s="784"/>
      <c r="CK45" s="784"/>
      <c r="CL45" s="784"/>
      <c r="CM45" s="784"/>
      <c r="CN45" s="784"/>
      <c r="CO45" s="784"/>
      <c r="CP45" s="784"/>
      <c r="CQ45" s="784"/>
      <c r="CR45" s="784"/>
      <c r="CS45" s="784"/>
      <c r="CT45" s="633"/>
      <c r="CU45" s="781"/>
      <c r="CV45" s="781"/>
      <c r="CW45" s="781"/>
      <c r="CX45" s="781"/>
      <c r="DA45" s="784"/>
      <c r="DB45" s="784"/>
      <c r="DC45" s="784"/>
      <c r="DD45" s="784"/>
      <c r="DE45" s="784"/>
      <c r="DF45" s="784"/>
      <c r="DG45" s="784"/>
      <c r="DH45" s="784"/>
      <c r="DI45" s="784"/>
      <c r="DJ45" s="784"/>
      <c r="DK45" s="784"/>
      <c r="DL45" s="784"/>
      <c r="DM45" s="784"/>
      <c r="DN45" s="633"/>
      <c r="DO45" s="781"/>
      <c r="DP45" s="781"/>
      <c r="DQ45" s="781"/>
      <c r="DR45" s="781"/>
    </row>
    <row r="46" spans="3:122" s="677" customFormat="1" hidden="1">
      <c r="C46" s="755"/>
      <c r="D46" s="756"/>
      <c r="E46" s="769"/>
      <c r="F46" s="769"/>
      <c r="G46" s="769"/>
      <c r="H46" s="766"/>
      <c r="I46" s="766"/>
      <c r="J46" s="766"/>
      <c r="K46" s="766"/>
      <c r="L46" s="766"/>
      <c r="M46" s="766"/>
      <c r="N46" s="766"/>
      <c r="O46" s="766"/>
      <c r="P46" s="766"/>
      <c r="Q46" s="767"/>
      <c r="S46" s="766"/>
      <c r="T46" s="766"/>
      <c r="U46" s="766"/>
      <c r="V46" s="766"/>
      <c r="X46" s="721"/>
      <c r="Y46" s="769"/>
      <c r="Z46" s="769"/>
      <c r="AA46" s="769"/>
      <c r="AB46" s="766"/>
      <c r="AC46" s="766"/>
      <c r="AD46" s="766"/>
      <c r="AE46" s="766"/>
      <c r="AF46" s="766"/>
      <c r="AG46" s="766"/>
      <c r="AH46" s="766"/>
      <c r="AI46" s="766"/>
      <c r="AJ46" s="766"/>
      <c r="AK46" s="767"/>
      <c r="AM46" s="766"/>
      <c r="AN46" s="766"/>
      <c r="AO46" s="766"/>
      <c r="AP46" s="766"/>
      <c r="AR46" s="721"/>
      <c r="AS46" s="769"/>
      <c r="AT46" s="769"/>
      <c r="AU46" s="769"/>
      <c r="AV46" s="766"/>
      <c r="AW46" s="766"/>
      <c r="AX46" s="766"/>
      <c r="AY46" s="766"/>
      <c r="AZ46" s="766"/>
      <c r="BA46" s="766"/>
      <c r="BB46" s="766"/>
      <c r="BC46" s="766"/>
      <c r="BD46" s="766"/>
      <c r="BE46" s="767"/>
      <c r="BG46" s="766"/>
      <c r="BH46" s="766"/>
      <c r="BI46" s="766"/>
      <c r="BJ46" s="766"/>
      <c r="BM46" s="769"/>
      <c r="BN46" s="769"/>
      <c r="BO46" s="769"/>
      <c r="BP46" s="766"/>
      <c r="BQ46" s="766"/>
      <c r="BR46" s="766"/>
      <c r="BS46" s="766"/>
      <c r="BT46" s="766"/>
      <c r="BU46" s="766"/>
      <c r="BV46" s="766"/>
      <c r="BW46" s="766"/>
      <c r="BX46" s="766"/>
      <c r="BY46" s="767"/>
      <c r="CA46" s="766"/>
      <c r="CB46" s="766"/>
      <c r="CC46" s="766"/>
      <c r="CD46" s="766"/>
      <c r="CG46" s="789"/>
      <c r="CH46" s="789"/>
      <c r="CI46" s="789"/>
      <c r="CJ46" s="790"/>
      <c r="CK46" s="790"/>
      <c r="CL46" s="790"/>
      <c r="CM46" s="790"/>
      <c r="CN46" s="790"/>
      <c r="CO46" s="790"/>
      <c r="CP46" s="790"/>
      <c r="CQ46" s="790"/>
      <c r="CR46" s="790"/>
      <c r="CS46" s="791"/>
      <c r="CT46" s="788"/>
      <c r="CU46" s="790"/>
      <c r="CV46" s="790"/>
      <c r="CW46" s="790"/>
      <c r="CX46" s="790"/>
      <c r="DA46" s="789"/>
      <c r="DB46" s="789"/>
      <c r="DC46" s="789"/>
      <c r="DD46" s="790"/>
      <c r="DE46" s="790"/>
      <c r="DF46" s="790"/>
      <c r="DG46" s="790"/>
      <c r="DH46" s="790"/>
      <c r="DI46" s="790"/>
      <c r="DJ46" s="790"/>
      <c r="DK46" s="790"/>
      <c r="DL46" s="790"/>
      <c r="DM46" s="791"/>
      <c r="DN46" s="788"/>
      <c r="DO46" s="790"/>
      <c r="DP46" s="790"/>
      <c r="DQ46" s="790"/>
      <c r="DR46" s="790"/>
    </row>
    <row r="47" spans="3:122" hidden="1">
      <c r="X47" s="721"/>
      <c r="AR47" s="721"/>
      <c r="CG47" s="633"/>
      <c r="CH47" s="633"/>
      <c r="CI47" s="633"/>
      <c r="CJ47" s="633"/>
      <c r="CK47" s="633"/>
      <c r="CL47" s="633"/>
      <c r="CM47" s="633"/>
      <c r="CN47" s="633"/>
      <c r="CO47" s="633"/>
      <c r="CP47" s="633"/>
      <c r="CQ47" s="633"/>
      <c r="CR47" s="633"/>
      <c r="CS47" s="633"/>
      <c r="CT47" s="633"/>
      <c r="CU47" s="633"/>
      <c r="CV47" s="633"/>
      <c r="CW47" s="633"/>
      <c r="CX47" s="633"/>
      <c r="DA47" s="633"/>
      <c r="DB47" s="633"/>
      <c r="DC47" s="633"/>
      <c r="DD47" s="633"/>
      <c r="DE47" s="633"/>
      <c r="DF47" s="633"/>
      <c r="DG47" s="633"/>
      <c r="DH47" s="633"/>
      <c r="DI47" s="633"/>
      <c r="DJ47" s="633"/>
      <c r="DK47" s="633"/>
      <c r="DL47" s="633"/>
      <c r="DM47" s="633"/>
      <c r="DN47" s="633"/>
      <c r="DO47" s="633"/>
      <c r="DP47" s="633"/>
      <c r="DQ47" s="633"/>
      <c r="DR47" s="633"/>
    </row>
    <row r="48" spans="3:1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  <c r="X48" s="721"/>
      <c r="Y48" s="684"/>
      <c r="Z48" s="684"/>
      <c r="AA48" s="684"/>
      <c r="AB48" s="684"/>
      <c r="AC48" s="684"/>
      <c r="AD48" s="684"/>
      <c r="AE48" s="684"/>
      <c r="AF48" s="684"/>
      <c r="AG48" s="684"/>
      <c r="AH48" s="684"/>
      <c r="AI48" s="684"/>
      <c r="AJ48" s="684"/>
      <c r="AK48" s="684"/>
      <c r="AM48" s="684"/>
      <c r="AN48" s="684"/>
      <c r="AO48" s="684"/>
      <c r="AP48" s="684"/>
      <c r="AR48" s="721"/>
      <c r="AS48" s="684"/>
      <c r="AT48" s="684"/>
      <c r="AU48" s="684"/>
      <c r="AV48" s="684"/>
      <c r="AW48" s="684"/>
      <c r="AX48" s="684"/>
      <c r="AY48" s="684"/>
      <c r="AZ48" s="684"/>
      <c r="BA48" s="684"/>
      <c r="BB48" s="684"/>
      <c r="BC48" s="684"/>
      <c r="BD48" s="684"/>
      <c r="BE48" s="684"/>
      <c r="BG48" s="684"/>
      <c r="BH48" s="684"/>
      <c r="BI48" s="684"/>
      <c r="BJ48" s="684"/>
      <c r="BM48" s="684"/>
      <c r="BN48" s="684"/>
      <c r="BO48" s="684"/>
      <c r="BP48" s="684"/>
      <c r="BQ48" s="684"/>
      <c r="BR48" s="684"/>
      <c r="BS48" s="684"/>
      <c r="BT48" s="684"/>
      <c r="BU48" s="684"/>
      <c r="BV48" s="684"/>
      <c r="BW48" s="684"/>
      <c r="BX48" s="684"/>
      <c r="BY48" s="684"/>
      <c r="CA48" s="684"/>
      <c r="CB48" s="684"/>
      <c r="CC48" s="684"/>
      <c r="CD48" s="684"/>
      <c r="CG48" s="685"/>
      <c r="CH48" s="685"/>
      <c r="CI48" s="685"/>
      <c r="CJ48" s="685"/>
      <c r="CK48" s="685"/>
      <c r="CL48" s="685"/>
      <c r="CM48" s="685"/>
      <c r="CN48" s="685"/>
      <c r="CO48" s="685"/>
      <c r="CP48" s="685"/>
      <c r="CQ48" s="685"/>
      <c r="CR48" s="685"/>
      <c r="CS48" s="685"/>
      <c r="CT48" s="633"/>
      <c r="CU48" s="685"/>
      <c r="CV48" s="685"/>
      <c r="CW48" s="685"/>
      <c r="CX48" s="685"/>
      <c r="DA48" s="685"/>
      <c r="DB48" s="685"/>
      <c r="DC48" s="685"/>
      <c r="DD48" s="685"/>
      <c r="DE48" s="685"/>
      <c r="DF48" s="685"/>
      <c r="DG48" s="685"/>
      <c r="DH48" s="685"/>
      <c r="DI48" s="685"/>
      <c r="DJ48" s="685"/>
      <c r="DK48" s="685"/>
      <c r="DL48" s="685"/>
      <c r="DM48" s="685"/>
      <c r="DN48" s="633"/>
      <c r="DO48" s="685"/>
      <c r="DP48" s="685"/>
      <c r="DQ48" s="685"/>
      <c r="DR48" s="685"/>
    </row>
    <row r="49" spans="1:123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  <c r="X49" s="721"/>
      <c r="Y49" s="738"/>
      <c r="Z49" s="738"/>
      <c r="AA49" s="738"/>
      <c r="AB49" s="738"/>
      <c r="AC49" s="738"/>
      <c r="AD49" s="738"/>
      <c r="AE49" s="738"/>
      <c r="AF49" s="738"/>
      <c r="AG49" s="738"/>
      <c r="AH49" s="738"/>
      <c r="AI49" s="738"/>
      <c r="AJ49" s="738"/>
      <c r="AK49" s="739"/>
      <c r="AM49" s="738"/>
      <c r="AN49" s="738"/>
      <c r="AO49" s="738"/>
      <c r="AP49" s="738"/>
      <c r="AR49" s="721"/>
      <c r="AS49" s="738"/>
      <c r="AT49" s="738"/>
      <c r="AU49" s="738"/>
      <c r="AV49" s="738"/>
      <c r="AW49" s="738"/>
      <c r="AX49" s="738"/>
      <c r="AY49" s="738"/>
      <c r="AZ49" s="738"/>
      <c r="BA49" s="738"/>
      <c r="BB49" s="738"/>
      <c r="BC49" s="738"/>
      <c r="BD49" s="738"/>
      <c r="BE49" s="739"/>
      <c r="BG49" s="738"/>
      <c r="BH49" s="738"/>
      <c r="BI49" s="738"/>
      <c r="BJ49" s="738"/>
      <c r="BM49" s="738"/>
      <c r="BN49" s="738"/>
      <c r="BO49" s="738"/>
      <c r="BP49" s="738"/>
      <c r="BQ49" s="738"/>
      <c r="BR49" s="738"/>
      <c r="BS49" s="738"/>
      <c r="BT49" s="738"/>
      <c r="BU49" s="738"/>
      <c r="BV49" s="738"/>
      <c r="BW49" s="738"/>
      <c r="BX49" s="738"/>
      <c r="BY49" s="739"/>
      <c r="CA49" s="738"/>
      <c r="CB49" s="738"/>
      <c r="CC49" s="738"/>
      <c r="CD49" s="738"/>
      <c r="CG49" s="743"/>
      <c r="CH49" s="743"/>
      <c r="CI49" s="743"/>
      <c r="CJ49" s="743"/>
      <c r="CK49" s="743"/>
      <c r="CL49" s="743"/>
      <c r="CM49" s="743"/>
      <c r="CN49" s="743"/>
      <c r="CO49" s="743"/>
      <c r="CP49" s="743"/>
      <c r="CQ49" s="743"/>
      <c r="CR49" s="743"/>
      <c r="CS49" s="745"/>
      <c r="CT49" s="633"/>
      <c r="CU49" s="743"/>
      <c r="CV49" s="743"/>
      <c r="CW49" s="743"/>
      <c r="CX49" s="743"/>
      <c r="DA49" s="743"/>
      <c r="DB49" s="743"/>
      <c r="DC49" s="743"/>
      <c r="DD49" s="743"/>
      <c r="DE49" s="743"/>
      <c r="DF49" s="743"/>
      <c r="DG49" s="743"/>
      <c r="DH49" s="743"/>
      <c r="DI49" s="743"/>
      <c r="DJ49" s="743"/>
      <c r="DK49" s="743"/>
      <c r="DL49" s="743"/>
      <c r="DM49" s="745"/>
      <c r="DN49" s="633"/>
      <c r="DO49" s="743"/>
      <c r="DP49" s="743"/>
      <c r="DQ49" s="743"/>
      <c r="DR49" s="743"/>
    </row>
    <row r="50" spans="1:123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  <c r="X50" s="721"/>
      <c r="Y50" s="738"/>
      <c r="Z50" s="738"/>
      <c r="AA50" s="738"/>
      <c r="AB50" s="738"/>
      <c r="AC50" s="738"/>
      <c r="AD50" s="738"/>
      <c r="AE50" s="738"/>
      <c r="AF50" s="738"/>
      <c r="AG50" s="738"/>
      <c r="AH50" s="738"/>
      <c r="AI50" s="738"/>
      <c r="AJ50" s="738"/>
      <c r="AK50" s="739"/>
      <c r="AM50" s="738"/>
      <c r="AN50" s="738"/>
      <c r="AO50" s="738"/>
      <c r="AP50" s="738"/>
      <c r="AR50" s="721"/>
      <c r="AS50" s="738"/>
      <c r="AT50" s="738"/>
      <c r="AU50" s="738"/>
      <c r="AV50" s="738"/>
      <c r="AW50" s="738"/>
      <c r="AX50" s="738"/>
      <c r="AY50" s="738"/>
      <c r="AZ50" s="738"/>
      <c r="BA50" s="738"/>
      <c r="BB50" s="738"/>
      <c r="BC50" s="738"/>
      <c r="BD50" s="738"/>
      <c r="BE50" s="739"/>
      <c r="BG50" s="738"/>
      <c r="BH50" s="738"/>
      <c r="BI50" s="738"/>
      <c r="BJ50" s="738"/>
      <c r="BM50" s="738"/>
      <c r="BN50" s="738"/>
      <c r="BO50" s="738"/>
      <c r="BP50" s="738"/>
      <c r="BQ50" s="738"/>
      <c r="BR50" s="738"/>
      <c r="BS50" s="738"/>
      <c r="BT50" s="738"/>
      <c r="BU50" s="738"/>
      <c r="BV50" s="738"/>
      <c r="BW50" s="738"/>
      <c r="BX50" s="738"/>
      <c r="BY50" s="739"/>
      <c r="CA50" s="738"/>
      <c r="CB50" s="738"/>
      <c r="CC50" s="738"/>
      <c r="CD50" s="738"/>
      <c r="CG50" s="743"/>
      <c r="CH50" s="743"/>
      <c r="CI50" s="743"/>
      <c r="CJ50" s="743"/>
      <c r="CK50" s="743"/>
      <c r="CL50" s="743"/>
      <c r="CM50" s="743"/>
      <c r="CN50" s="743"/>
      <c r="CO50" s="743"/>
      <c r="CP50" s="743"/>
      <c r="CQ50" s="743"/>
      <c r="CR50" s="743"/>
      <c r="CS50" s="745"/>
      <c r="CT50" s="633"/>
      <c r="CU50" s="743"/>
      <c r="CV50" s="743"/>
      <c r="CW50" s="743"/>
      <c r="CX50" s="743"/>
      <c r="DA50" s="743"/>
      <c r="DB50" s="743"/>
      <c r="DC50" s="743"/>
      <c r="DD50" s="743"/>
      <c r="DE50" s="743"/>
      <c r="DF50" s="743"/>
      <c r="DG50" s="743"/>
      <c r="DH50" s="743"/>
      <c r="DI50" s="743"/>
      <c r="DJ50" s="743"/>
      <c r="DK50" s="743"/>
      <c r="DL50" s="743"/>
      <c r="DM50" s="745"/>
      <c r="DN50" s="633"/>
      <c r="DO50" s="743"/>
      <c r="DP50" s="743"/>
      <c r="DQ50" s="743"/>
      <c r="DR50" s="743"/>
    </row>
    <row r="51" spans="1:123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  <c r="X51" s="721"/>
      <c r="Y51" s="738"/>
      <c r="Z51" s="738"/>
      <c r="AA51" s="738"/>
      <c r="AB51" s="738"/>
      <c r="AC51" s="738"/>
      <c r="AD51" s="738"/>
      <c r="AE51" s="738"/>
      <c r="AF51" s="738"/>
      <c r="AG51" s="738"/>
      <c r="AH51" s="738"/>
      <c r="AI51" s="738"/>
      <c r="AJ51" s="738"/>
      <c r="AK51" s="739"/>
      <c r="AM51" s="738"/>
      <c r="AN51" s="738"/>
      <c r="AO51" s="738"/>
      <c r="AP51" s="738"/>
      <c r="AR51" s="721"/>
      <c r="AS51" s="738"/>
      <c r="AT51" s="738"/>
      <c r="AU51" s="738"/>
      <c r="AV51" s="738"/>
      <c r="AW51" s="738"/>
      <c r="AX51" s="738"/>
      <c r="AY51" s="738"/>
      <c r="AZ51" s="738"/>
      <c r="BA51" s="738"/>
      <c r="BB51" s="738"/>
      <c r="BC51" s="738"/>
      <c r="BD51" s="738"/>
      <c r="BE51" s="739"/>
      <c r="BG51" s="738"/>
      <c r="BH51" s="738"/>
      <c r="BI51" s="738"/>
      <c r="BJ51" s="738"/>
      <c r="BM51" s="738"/>
      <c r="BN51" s="738"/>
      <c r="BO51" s="738"/>
      <c r="BP51" s="738"/>
      <c r="BQ51" s="738"/>
      <c r="BR51" s="738"/>
      <c r="BS51" s="738"/>
      <c r="BT51" s="738"/>
      <c r="BU51" s="738"/>
      <c r="BV51" s="738"/>
      <c r="BW51" s="738"/>
      <c r="BX51" s="738"/>
      <c r="BY51" s="739"/>
      <c r="CA51" s="738"/>
      <c r="CB51" s="738"/>
      <c r="CC51" s="738"/>
      <c r="CD51" s="738"/>
      <c r="CG51" s="743"/>
      <c r="CH51" s="743"/>
      <c r="CI51" s="743"/>
      <c r="CJ51" s="743"/>
      <c r="CK51" s="743"/>
      <c r="CL51" s="743"/>
      <c r="CM51" s="743"/>
      <c r="CN51" s="743"/>
      <c r="CO51" s="743"/>
      <c r="CP51" s="743"/>
      <c r="CQ51" s="743"/>
      <c r="CR51" s="743"/>
      <c r="CS51" s="745"/>
      <c r="CT51" s="633"/>
      <c r="CU51" s="743"/>
      <c r="CV51" s="743"/>
      <c r="CW51" s="743"/>
      <c r="CX51" s="743"/>
      <c r="DA51" s="743"/>
      <c r="DB51" s="743"/>
      <c r="DC51" s="743"/>
      <c r="DD51" s="743"/>
      <c r="DE51" s="743"/>
      <c r="DF51" s="743"/>
      <c r="DG51" s="743"/>
      <c r="DH51" s="743"/>
      <c r="DI51" s="743"/>
      <c r="DJ51" s="743"/>
      <c r="DK51" s="743"/>
      <c r="DL51" s="743"/>
      <c r="DM51" s="745"/>
      <c r="DN51" s="633"/>
      <c r="DO51" s="743"/>
      <c r="DP51" s="743"/>
      <c r="DQ51" s="743"/>
      <c r="DR51" s="743"/>
    </row>
    <row r="52" spans="1:123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  <c r="X52" s="721"/>
      <c r="Y52" s="738"/>
      <c r="Z52" s="738"/>
      <c r="AA52" s="738"/>
      <c r="AB52" s="738"/>
      <c r="AC52" s="738"/>
      <c r="AD52" s="738"/>
      <c r="AE52" s="738"/>
      <c r="AF52" s="738"/>
      <c r="AG52" s="738"/>
      <c r="AH52" s="738"/>
      <c r="AI52" s="738"/>
      <c r="AJ52" s="738"/>
      <c r="AK52" s="739"/>
      <c r="AM52" s="738"/>
      <c r="AN52" s="738"/>
      <c r="AO52" s="738"/>
      <c r="AP52" s="738"/>
      <c r="AR52" s="721"/>
      <c r="AS52" s="738"/>
      <c r="AT52" s="738"/>
      <c r="AU52" s="738"/>
      <c r="AV52" s="738"/>
      <c r="AW52" s="738"/>
      <c r="AX52" s="738"/>
      <c r="AY52" s="738"/>
      <c r="AZ52" s="738"/>
      <c r="BA52" s="738"/>
      <c r="BB52" s="738"/>
      <c r="BC52" s="738"/>
      <c r="BD52" s="738"/>
      <c r="BE52" s="739"/>
      <c r="BG52" s="738"/>
      <c r="BH52" s="738"/>
      <c r="BI52" s="738"/>
      <c r="BJ52" s="738"/>
      <c r="BM52" s="738"/>
      <c r="BN52" s="738"/>
      <c r="BO52" s="738"/>
      <c r="BP52" s="738"/>
      <c r="BQ52" s="738"/>
      <c r="BR52" s="738"/>
      <c r="BS52" s="738"/>
      <c r="BT52" s="738"/>
      <c r="BU52" s="738"/>
      <c r="BV52" s="738"/>
      <c r="BW52" s="738"/>
      <c r="BX52" s="738"/>
      <c r="BY52" s="739"/>
      <c r="CA52" s="738"/>
      <c r="CB52" s="738"/>
      <c r="CC52" s="738"/>
      <c r="CD52" s="738"/>
      <c r="CG52" s="743"/>
      <c r="CH52" s="743"/>
      <c r="CI52" s="743"/>
      <c r="CJ52" s="743"/>
      <c r="CK52" s="743"/>
      <c r="CL52" s="743"/>
      <c r="CM52" s="743"/>
      <c r="CN52" s="743"/>
      <c r="CO52" s="743"/>
      <c r="CP52" s="743"/>
      <c r="CQ52" s="743"/>
      <c r="CR52" s="743"/>
      <c r="CS52" s="745"/>
      <c r="CT52" s="633"/>
      <c r="CU52" s="743"/>
      <c r="CV52" s="743"/>
      <c r="CW52" s="743"/>
      <c r="CX52" s="743"/>
      <c r="DA52" s="743"/>
      <c r="DB52" s="743"/>
      <c r="DC52" s="743"/>
      <c r="DD52" s="743"/>
      <c r="DE52" s="743"/>
      <c r="DF52" s="743"/>
      <c r="DG52" s="743"/>
      <c r="DH52" s="743"/>
      <c r="DI52" s="743"/>
      <c r="DJ52" s="743"/>
      <c r="DK52" s="743"/>
      <c r="DL52" s="743"/>
      <c r="DM52" s="745"/>
      <c r="DN52" s="633"/>
      <c r="DO52" s="743"/>
      <c r="DP52" s="743"/>
      <c r="DQ52" s="743"/>
      <c r="DR52" s="743"/>
    </row>
    <row r="53" spans="1:123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  <c r="X53" s="721"/>
      <c r="Y53" s="740"/>
      <c r="Z53" s="740"/>
      <c r="AA53" s="740"/>
      <c r="AB53" s="740"/>
      <c r="AC53" s="740"/>
      <c r="AD53" s="740"/>
      <c r="AE53" s="740"/>
      <c r="AF53" s="740"/>
      <c r="AG53" s="740"/>
      <c r="AH53" s="740"/>
      <c r="AI53" s="740"/>
      <c r="AJ53" s="740"/>
      <c r="AK53" s="741"/>
      <c r="AM53" s="740"/>
      <c r="AN53" s="740"/>
      <c r="AO53" s="740"/>
      <c r="AP53" s="740"/>
      <c r="AR53" s="721"/>
      <c r="AS53" s="740"/>
      <c r="AT53" s="740"/>
      <c r="AU53" s="740"/>
      <c r="AV53" s="740"/>
      <c r="AW53" s="740"/>
      <c r="AX53" s="740"/>
      <c r="AY53" s="740"/>
      <c r="AZ53" s="740"/>
      <c r="BA53" s="740"/>
      <c r="BB53" s="740"/>
      <c r="BC53" s="740"/>
      <c r="BD53" s="740"/>
      <c r="BE53" s="741"/>
      <c r="BG53" s="740"/>
      <c r="BH53" s="740"/>
      <c r="BI53" s="740"/>
      <c r="BJ53" s="740"/>
      <c r="BM53" s="740"/>
      <c r="BN53" s="740"/>
      <c r="BO53" s="740"/>
      <c r="BP53" s="740"/>
      <c r="BQ53" s="740"/>
      <c r="BR53" s="740"/>
      <c r="BS53" s="740"/>
      <c r="BT53" s="740"/>
      <c r="BU53" s="740"/>
      <c r="BV53" s="740"/>
      <c r="BW53" s="740"/>
      <c r="BX53" s="740"/>
      <c r="BY53" s="741"/>
      <c r="CA53" s="740"/>
      <c r="CB53" s="740"/>
      <c r="CC53" s="740"/>
      <c r="CD53" s="740"/>
      <c r="CG53" s="744"/>
      <c r="CH53" s="744"/>
      <c r="CI53" s="744"/>
      <c r="CJ53" s="744"/>
      <c r="CK53" s="744"/>
      <c r="CL53" s="744"/>
      <c r="CM53" s="744"/>
      <c r="CN53" s="744"/>
      <c r="CO53" s="744"/>
      <c r="CP53" s="744"/>
      <c r="CQ53" s="744"/>
      <c r="CR53" s="744"/>
      <c r="CS53" s="746"/>
      <c r="CT53" s="633"/>
      <c r="CU53" s="744"/>
      <c r="CV53" s="744"/>
      <c r="CW53" s="744"/>
      <c r="CX53" s="744"/>
      <c r="DA53" s="744"/>
      <c r="DB53" s="744"/>
      <c r="DC53" s="744"/>
      <c r="DD53" s="744"/>
      <c r="DE53" s="744"/>
      <c r="DF53" s="744"/>
      <c r="DG53" s="744"/>
      <c r="DH53" s="744"/>
      <c r="DI53" s="744"/>
      <c r="DJ53" s="744"/>
      <c r="DK53" s="744"/>
      <c r="DL53" s="744"/>
      <c r="DM53" s="746"/>
      <c r="DN53" s="633"/>
      <c r="DO53" s="744"/>
      <c r="DP53" s="744"/>
      <c r="DQ53" s="744"/>
      <c r="DR53" s="744"/>
    </row>
    <row r="54" spans="1:123" hidden="1">
      <c r="X54" s="721"/>
      <c r="AR54" s="721"/>
      <c r="CG54" s="633"/>
      <c r="CH54" s="633"/>
      <c r="CI54" s="633"/>
      <c r="CJ54" s="633"/>
      <c r="CK54" s="633"/>
      <c r="CL54" s="633"/>
      <c r="CM54" s="633"/>
      <c r="CN54" s="633"/>
      <c r="CO54" s="633"/>
      <c r="CP54" s="633"/>
      <c r="CQ54" s="633"/>
      <c r="CR54" s="633"/>
      <c r="CS54" s="633"/>
      <c r="CT54" s="633"/>
      <c r="CU54" s="633"/>
      <c r="CV54" s="633"/>
      <c r="CW54" s="633"/>
      <c r="CX54" s="633"/>
      <c r="DA54" s="633"/>
      <c r="DB54" s="633"/>
      <c r="DC54" s="633"/>
      <c r="DD54" s="633"/>
      <c r="DE54" s="633"/>
      <c r="DF54" s="633"/>
      <c r="DG54" s="633"/>
      <c r="DH54" s="633"/>
      <c r="DI54" s="633"/>
      <c r="DJ54" s="633"/>
      <c r="DK54" s="633"/>
      <c r="DL54" s="633"/>
      <c r="DM54" s="633"/>
      <c r="DN54" s="633"/>
      <c r="DO54" s="633"/>
      <c r="DP54" s="633"/>
      <c r="DQ54" s="633"/>
      <c r="DR54" s="633"/>
    </row>
    <row r="55" spans="1:123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  <c r="W55" s="710"/>
      <c r="X55" s="722"/>
      <c r="Y55" s="713"/>
      <c r="Z55" s="713"/>
      <c r="AA55" s="713"/>
      <c r="AB55" s="713"/>
      <c r="AC55" s="713"/>
      <c r="AD55" s="713"/>
      <c r="AE55" s="713"/>
      <c r="AF55" s="713"/>
      <c r="AG55" s="713"/>
      <c r="AH55" s="713"/>
      <c r="AI55" s="713"/>
      <c r="AJ55" s="713"/>
      <c r="AK55" s="714"/>
      <c r="AL55" s="710"/>
      <c r="AM55" s="713"/>
      <c r="AN55" s="713"/>
      <c r="AO55" s="713"/>
      <c r="AP55" s="713"/>
      <c r="AQ55" s="710"/>
      <c r="AR55" s="722"/>
      <c r="AS55" s="713"/>
      <c r="AT55" s="713"/>
      <c r="AU55" s="713"/>
      <c r="AV55" s="713"/>
      <c r="AW55" s="713"/>
      <c r="AX55" s="713"/>
      <c r="AY55" s="713"/>
      <c r="AZ55" s="713"/>
      <c r="BA55" s="713"/>
      <c r="BB55" s="713"/>
      <c r="BC55" s="713"/>
      <c r="BD55" s="713"/>
      <c r="BE55" s="714"/>
      <c r="BF55" s="710"/>
      <c r="BG55" s="713"/>
      <c r="BH55" s="713"/>
      <c r="BI55" s="713"/>
      <c r="BJ55" s="713"/>
      <c r="BK55" s="710"/>
      <c r="BL55" s="710"/>
      <c r="BM55" s="713"/>
      <c r="BN55" s="713"/>
      <c r="BO55" s="713"/>
      <c r="BP55" s="713"/>
      <c r="BQ55" s="713"/>
      <c r="BR55" s="713"/>
      <c r="BS55" s="713"/>
      <c r="BT55" s="713"/>
      <c r="BU55" s="713"/>
      <c r="BV55" s="713"/>
      <c r="BW55" s="713"/>
      <c r="BX55" s="713"/>
      <c r="BY55" s="714"/>
      <c r="BZ55" s="710"/>
      <c r="CA55" s="713"/>
      <c r="CB55" s="713"/>
      <c r="CC55" s="713"/>
      <c r="CD55" s="713"/>
      <c r="CE55" s="710"/>
      <c r="CF55" s="710"/>
      <c r="CG55" s="793"/>
      <c r="CH55" s="793"/>
      <c r="CI55" s="793"/>
      <c r="CJ55" s="793"/>
      <c r="CK55" s="793"/>
      <c r="CL55" s="793"/>
      <c r="CM55" s="793"/>
      <c r="CN55" s="793"/>
      <c r="CO55" s="793"/>
      <c r="CP55" s="793"/>
      <c r="CQ55" s="793"/>
      <c r="CR55" s="793"/>
      <c r="CS55" s="794"/>
      <c r="CT55" s="795"/>
      <c r="CU55" s="793"/>
      <c r="CV55" s="793"/>
      <c r="CW55" s="793"/>
      <c r="CX55" s="793"/>
      <c r="CY55" s="710"/>
      <c r="CZ55" s="710"/>
      <c r="DA55" s="793"/>
      <c r="DB55" s="793"/>
      <c r="DC55" s="793"/>
      <c r="DD55" s="793"/>
      <c r="DE55" s="793"/>
      <c r="DF55" s="793"/>
      <c r="DG55" s="793"/>
      <c r="DH55" s="793"/>
      <c r="DI55" s="793"/>
      <c r="DJ55" s="793"/>
      <c r="DK55" s="793"/>
      <c r="DL55" s="793"/>
      <c r="DM55" s="794"/>
      <c r="DN55" s="795"/>
      <c r="DO55" s="793"/>
      <c r="DP55" s="793"/>
      <c r="DQ55" s="793"/>
      <c r="DR55" s="793"/>
      <c r="DS55" s="710"/>
    </row>
    <row r="56" spans="1:123" hidden="1">
      <c r="B56" s="551"/>
      <c r="X56" s="721"/>
      <c r="AR56" s="721"/>
      <c r="CG56" s="633"/>
      <c r="CH56" s="633"/>
      <c r="CI56" s="633"/>
      <c r="CJ56" s="633"/>
      <c r="CK56" s="633"/>
      <c r="CL56" s="633"/>
      <c r="CM56" s="633"/>
      <c r="CN56" s="633"/>
      <c r="CO56" s="633"/>
      <c r="CP56" s="633"/>
      <c r="CQ56" s="633"/>
      <c r="CR56" s="633"/>
      <c r="CS56" s="633"/>
      <c r="CT56" s="633"/>
      <c r="CU56" s="633"/>
      <c r="CV56" s="633"/>
      <c r="CW56" s="633"/>
      <c r="CX56" s="633"/>
      <c r="DA56" s="633"/>
      <c r="DB56" s="633"/>
      <c r="DC56" s="633"/>
      <c r="DD56" s="633"/>
      <c r="DE56" s="633"/>
      <c r="DF56" s="633"/>
      <c r="DG56" s="633"/>
      <c r="DH56" s="633"/>
      <c r="DI56" s="633"/>
      <c r="DJ56" s="633"/>
      <c r="DK56" s="633"/>
      <c r="DL56" s="633"/>
      <c r="DM56" s="633"/>
      <c r="DN56" s="633"/>
      <c r="DO56" s="633"/>
      <c r="DP56" s="633"/>
      <c r="DQ56" s="633"/>
      <c r="DR56" s="633"/>
    </row>
    <row r="57" spans="1:123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  <c r="X57" s="721"/>
      <c r="Y57" s="688"/>
      <c r="Z57" s="688"/>
      <c r="AA57" s="688"/>
      <c r="AB57" s="688"/>
      <c r="AC57" s="688"/>
      <c r="AD57" s="688"/>
      <c r="AE57" s="688"/>
      <c r="AF57" s="688"/>
      <c r="AG57" s="688"/>
      <c r="AH57" s="688"/>
      <c r="AI57" s="688"/>
      <c r="AJ57" s="688"/>
      <c r="AK57" s="688"/>
      <c r="AM57" s="688"/>
      <c r="AN57" s="688"/>
      <c r="AO57" s="688"/>
      <c r="AP57" s="688"/>
      <c r="AR57" s="721"/>
      <c r="AS57" s="688"/>
      <c r="AT57" s="688"/>
      <c r="AU57" s="688"/>
      <c r="AV57" s="688"/>
      <c r="AW57" s="688"/>
      <c r="AX57" s="688"/>
      <c r="AY57" s="688"/>
      <c r="AZ57" s="688"/>
      <c r="BA57" s="688"/>
      <c r="BB57" s="688"/>
      <c r="BC57" s="688"/>
      <c r="BD57" s="688"/>
      <c r="BE57" s="688"/>
      <c r="BG57" s="688"/>
      <c r="BH57" s="688"/>
      <c r="BI57" s="688"/>
      <c r="BJ57" s="688"/>
      <c r="BM57" s="688"/>
      <c r="BN57" s="688"/>
      <c r="BO57" s="688"/>
      <c r="BP57" s="688"/>
      <c r="BQ57" s="688"/>
      <c r="BR57" s="688"/>
      <c r="BS57" s="688"/>
      <c r="BT57" s="688"/>
      <c r="BU57" s="688"/>
      <c r="BV57" s="688"/>
      <c r="BW57" s="688"/>
      <c r="BX57" s="688"/>
      <c r="BY57" s="688"/>
      <c r="CA57" s="688"/>
      <c r="CB57" s="688"/>
      <c r="CC57" s="688"/>
      <c r="CD57" s="688"/>
      <c r="CG57" s="689"/>
      <c r="CH57" s="689"/>
      <c r="CI57" s="689"/>
      <c r="CJ57" s="689"/>
      <c r="CK57" s="689"/>
      <c r="CL57" s="689"/>
      <c r="CM57" s="689"/>
      <c r="CN57" s="689"/>
      <c r="CO57" s="689"/>
      <c r="CP57" s="689"/>
      <c r="CQ57" s="689"/>
      <c r="CR57" s="689"/>
      <c r="CS57" s="689"/>
      <c r="CT57" s="633"/>
      <c r="CU57" s="689"/>
      <c r="CV57" s="689"/>
      <c r="CW57" s="689"/>
      <c r="CX57" s="689"/>
      <c r="DA57" s="689"/>
      <c r="DB57" s="689"/>
      <c r="DC57" s="689"/>
      <c r="DD57" s="689"/>
      <c r="DE57" s="689"/>
      <c r="DF57" s="689"/>
      <c r="DG57" s="689"/>
      <c r="DH57" s="689"/>
      <c r="DI57" s="689"/>
      <c r="DJ57" s="689"/>
      <c r="DK57" s="689"/>
      <c r="DL57" s="689"/>
      <c r="DM57" s="689"/>
      <c r="DN57" s="633"/>
      <c r="DO57" s="689"/>
      <c r="DP57" s="689"/>
      <c r="DQ57" s="689"/>
      <c r="DR57" s="689"/>
    </row>
    <row r="58" spans="1:123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  <c r="X58" s="721"/>
      <c r="Y58" s="692"/>
      <c r="Z58" s="692"/>
      <c r="AA58" s="692"/>
      <c r="AB58" s="692"/>
      <c r="AC58" s="692"/>
      <c r="AD58" s="692"/>
      <c r="AE58" s="692"/>
      <c r="AF58" s="692"/>
      <c r="AG58" s="692"/>
      <c r="AH58" s="692"/>
      <c r="AI58" s="692"/>
      <c r="AJ58" s="692"/>
      <c r="AK58" s="703"/>
      <c r="AM58" s="692"/>
      <c r="AN58" s="692"/>
      <c r="AO58" s="692"/>
      <c r="AP58" s="692"/>
      <c r="AR58" s="721"/>
      <c r="AS58" s="692"/>
      <c r="AT58" s="692"/>
      <c r="AU58" s="692"/>
      <c r="AV58" s="692"/>
      <c r="AW58" s="692"/>
      <c r="AX58" s="692"/>
      <c r="AY58" s="692"/>
      <c r="AZ58" s="692"/>
      <c r="BA58" s="692"/>
      <c r="BB58" s="692"/>
      <c r="BC58" s="692"/>
      <c r="BD58" s="692"/>
      <c r="BE58" s="703"/>
      <c r="BG58" s="692"/>
      <c r="BH58" s="692"/>
      <c r="BI58" s="692"/>
      <c r="BJ58" s="692"/>
      <c r="BM58" s="692"/>
      <c r="BN58" s="692"/>
      <c r="BO58" s="692"/>
      <c r="BP58" s="692"/>
      <c r="BQ58" s="692"/>
      <c r="BR58" s="692"/>
      <c r="BS58" s="692"/>
      <c r="BT58" s="692"/>
      <c r="BU58" s="692"/>
      <c r="BV58" s="692"/>
      <c r="BW58" s="692"/>
      <c r="BX58" s="692"/>
      <c r="BY58" s="703"/>
      <c r="CA58" s="692"/>
      <c r="CB58" s="692"/>
      <c r="CC58" s="692"/>
      <c r="CD58" s="692"/>
      <c r="CG58" s="693"/>
      <c r="CH58" s="693"/>
      <c r="CI58" s="693"/>
      <c r="CJ58" s="693"/>
      <c r="CK58" s="693"/>
      <c r="CL58" s="693"/>
      <c r="CM58" s="693"/>
      <c r="CN58" s="693"/>
      <c r="CO58" s="693"/>
      <c r="CP58" s="693"/>
      <c r="CQ58" s="693"/>
      <c r="CR58" s="693"/>
      <c r="CS58" s="705"/>
      <c r="CT58" s="633"/>
      <c r="CU58" s="693"/>
      <c r="CV58" s="693"/>
      <c r="CW58" s="693"/>
      <c r="CX58" s="693"/>
      <c r="DA58" s="693"/>
      <c r="DB58" s="693"/>
      <c r="DC58" s="693"/>
      <c r="DD58" s="693"/>
      <c r="DE58" s="693"/>
      <c r="DF58" s="693"/>
      <c r="DG58" s="693"/>
      <c r="DH58" s="693"/>
      <c r="DI58" s="693"/>
      <c r="DJ58" s="693"/>
      <c r="DK58" s="693"/>
      <c r="DL58" s="693"/>
      <c r="DM58" s="705"/>
      <c r="DN58" s="633"/>
      <c r="DO58" s="693"/>
      <c r="DP58" s="693"/>
      <c r="DQ58" s="693"/>
      <c r="DR58" s="693"/>
    </row>
    <row r="59" spans="1:123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  <c r="X59" s="721"/>
      <c r="Y59" s="692"/>
      <c r="Z59" s="692"/>
      <c r="AA59" s="692"/>
      <c r="AB59" s="692"/>
      <c r="AC59" s="692"/>
      <c r="AD59" s="692"/>
      <c r="AE59" s="692"/>
      <c r="AF59" s="692"/>
      <c r="AG59" s="692"/>
      <c r="AH59" s="692"/>
      <c r="AI59" s="692"/>
      <c r="AJ59" s="692"/>
      <c r="AK59" s="703"/>
      <c r="AM59" s="692"/>
      <c r="AN59" s="692"/>
      <c r="AO59" s="692"/>
      <c r="AP59" s="692"/>
      <c r="AR59" s="721"/>
      <c r="AS59" s="692"/>
      <c r="AT59" s="692"/>
      <c r="AU59" s="692"/>
      <c r="AV59" s="692"/>
      <c r="AW59" s="692"/>
      <c r="AX59" s="692"/>
      <c r="AY59" s="692"/>
      <c r="AZ59" s="692"/>
      <c r="BA59" s="692"/>
      <c r="BB59" s="692"/>
      <c r="BC59" s="692"/>
      <c r="BD59" s="692"/>
      <c r="BE59" s="703"/>
      <c r="BG59" s="692"/>
      <c r="BH59" s="692"/>
      <c r="BI59" s="692"/>
      <c r="BJ59" s="692"/>
      <c r="BM59" s="692"/>
      <c r="BN59" s="692"/>
      <c r="BO59" s="692"/>
      <c r="BP59" s="692"/>
      <c r="BQ59" s="692"/>
      <c r="BR59" s="692"/>
      <c r="BS59" s="692"/>
      <c r="BT59" s="692"/>
      <c r="BU59" s="692"/>
      <c r="BV59" s="692"/>
      <c r="BW59" s="692"/>
      <c r="BX59" s="692"/>
      <c r="BY59" s="703"/>
      <c r="CA59" s="692"/>
      <c r="CB59" s="692"/>
      <c r="CC59" s="692"/>
      <c r="CD59" s="692"/>
      <c r="CG59" s="693"/>
      <c r="CH59" s="693"/>
      <c r="CI59" s="693"/>
      <c r="CJ59" s="693"/>
      <c r="CK59" s="693"/>
      <c r="CL59" s="693"/>
      <c r="CM59" s="693"/>
      <c r="CN59" s="693"/>
      <c r="CO59" s="693"/>
      <c r="CP59" s="693"/>
      <c r="CQ59" s="693"/>
      <c r="CR59" s="693"/>
      <c r="CS59" s="705"/>
      <c r="CT59" s="633"/>
      <c r="CU59" s="693"/>
      <c r="CV59" s="693"/>
      <c r="CW59" s="693"/>
      <c r="CX59" s="693"/>
      <c r="DA59" s="693"/>
      <c r="DB59" s="693"/>
      <c r="DC59" s="693"/>
      <c r="DD59" s="693"/>
      <c r="DE59" s="693"/>
      <c r="DF59" s="693"/>
      <c r="DG59" s="693"/>
      <c r="DH59" s="693"/>
      <c r="DI59" s="693"/>
      <c r="DJ59" s="693"/>
      <c r="DK59" s="693"/>
      <c r="DL59" s="693"/>
      <c r="DM59" s="705"/>
      <c r="DN59" s="633"/>
      <c r="DO59" s="693"/>
      <c r="DP59" s="693"/>
      <c r="DQ59" s="693"/>
      <c r="DR59" s="693"/>
    </row>
    <row r="60" spans="1:123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  <c r="X60" s="721"/>
      <c r="Y60" s="692"/>
      <c r="Z60" s="692"/>
      <c r="AA60" s="692"/>
      <c r="AB60" s="692"/>
      <c r="AC60" s="692"/>
      <c r="AD60" s="692"/>
      <c r="AE60" s="692"/>
      <c r="AF60" s="692"/>
      <c r="AG60" s="692"/>
      <c r="AH60" s="692"/>
      <c r="AI60" s="692"/>
      <c r="AJ60" s="692"/>
      <c r="AK60" s="703"/>
      <c r="AM60" s="692"/>
      <c r="AN60" s="692"/>
      <c r="AO60" s="692"/>
      <c r="AP60" s="692"/>
      <c r="AR60" s="721"/>
      <c r="AS60" s="692"/>
      <c r="AT60" s="692"/>
      <c r="AU60" s="692"/>
      <c r="AV60" s="692"/>
      <c r="AW60" s="692"/>
      <c r="AX60" s="692"/>
      <c r="AY60" s="692"/>
      <c r="AZ60" s="692"/>
      <c r="BA60" s="692"/>
      <c r="BB60" s="692"/>
      <c r="BC60" s="692"/>
      <c r="BD60" s="692"/>
      <c r="BE60" s="703"/>
      <c r="BG60" s="692"/>
      <c r="BH60" s="692"/>
      <c r="BI60" s="692"/>
      <c r="BJ60" s="692"/>
      <c r="BM60" s="692"/>
      <c r="BN60" s="692"/>
      <c r="BO60" s="692"/>
      <c r="BP60" s="692"/>
      <c r="BQ60" s="692"/>
      <c r="BR60" s="692"/>
      <c r="BS60" s="692"/>
      <c r="BT60" s="692"/>
      <c r="BU60" s="692"/>
      <c r="BV60" s="692"/>
      <c r="BW60" s="692"/>
      <c r="BX60" s="692"/>
      <c r="BY60" s="703"/>
      <c r="CA60" s="692"/>
      <c r="CB60" s="692"/>
      <c r="CC60" s="692"/>
      <c r="CD60" s="692"/>
      <c r="CG60" s="693"/>
      <c r="CH60" s="693"/>
      <c r="CI60" s="693"/>
      <c r="CJ60" s="693"/>
      <c r="CK60" s="693"/>
      <c r="CL60" s="693"/>
      <c r="CM60" s="693"/>
      <c r="CN60" s="693"/>
      <c r="CO60" s="693"/>
      <c r="CP60" s="693"/>
      <c r="CQ60" s="693"/>
      <c r="CR60" s="693"/>
      <c r="CS60" s="705"/>
      <c r="CT60" s="633"/>
      <c r="CU60" s="693"/>
      <c r="CV60" s="693"/>
      <c r="CW60" s="693"/>
      <c r="CX60" s="693"/>
      <c r="DA60" s="693"/>
      <c r="DB60" s="693"/>
      <c r="DC60" s="693"/>
      <c r="DD60" s="693"/>
      <c r="DE60" s="693"/>
      <c r="DF60" s="693"/>
      <c r="DG60" s="693"/>
      <c r="DH60" s="693"/>
      <c r="DI60" s="693"/>
      <c r="DJ60" s="693"/>
      <c r="DK60" s="693"/>
      <c r="DL60" s="693"/>
      <c r="DM60" s="705"/>
      <c r="DN60" s="633"/>
      <c r="DO60" s="693"/>
      <c r="DP60" s="693"/>
      <c r="DQ60" s="693"/>
      <c r="DR60" s="693"/>
    </row>
    <row r="61" spans="1:123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  <c r="X61" s="721"/>
      <c r="Y61" s="692"/>
      <c r="Z61" s="692"/>
      <c r="AA61" s="692"/>
      <c r="AB61" s="692"/>
      <c r="AC61" s="692"/>
      <c r="AD61" s="692"/>
      <c r="AE61" s="692"/>
      <c r="AF61" s="692"/>
      <c r="AG61" s="692"/>
      <c r="AH61" s="692"/>
      <c r="AI61" s="692"/>
      <c r="AJ61" s="692"/>
      <c r="AK61" s="703"/>
      <c r="AM61" s="692"/>
      <c r="AN61" s="692"/>
      <c r="AO61" s="692"/>
      <c r="AP61" s="692"/>
      <c r="AR61" s="721"/>
      <c r="AS61" s="692"/>
      <c r="AT61" s="692"/>
      <c r="AU61" s="692"/>
      <c r="AV61" s="692"/>
      <c r="AW61" s="692"/>
      <c r="AX61" s="692"/>
      <c r="AY61" s="692"/>
      <c r="AZ61" s="692"/>
      <c r="BA61" s="692"/>
      <c r="BB61" s="692"/>
      <c r="BC61" s="692"/>
      <c r="BD61" s="692"/>
      <c r="BE61" s="703"/>
      <c r="BG61" s="692"/>
      <c r="BH61" s="692"/>
      <c r="BI61" s="692"/>
      <c r="BJ61" s="692"/>
      <c r="BM61" s="692"/>
      <c r="BN61" s="692"/>
      <c r="BO61" s="692"/>
      <c r="BP61" s="692"/>
      <c r="BQ61" s="692"/>
      <c r="BR61" s="692"/>
      <c r="BS61" s="692"/>
      <c r="BT61" s="692"/>
      <c r="BU61" s="692"/>
      <c r="BV61" s="692"/>
      <c r="BW61" s="692"/>
      <c r="BX61" s="692"/>
      <c r="BY61" s="703"/>
      <c r="CA61" s="692"/>
      <c r="CB61" s="692"/>
      <c r="CC61" s="692"/>
      <c r="CD61" s="692"/>
      <c r="CG61" s="693"/>
      <c r="CH61" s="693"/>
      <c r="CI61" s="693"/>
      <c r="CJ61" s="693"/>
      <c r="CK61" s="693"/>
      <c r="CL61" s="693"/>
      <c r="CM61" s="693"/>
      <c r="CN61" s="693"/>
      <c r="CO61" s="693"/>
      <c r="CP61" s="693"/>
      <c r="CQ61" s="693"/>
      <c r="CR61" s="693"/>
      <c r="CS61" s="705"/>
      <c r="CT61" s="633"/>
      <c r="CU61" s="693"/>
      <c r="CV61" s="693"/>
      <c r="CW61" s="693"/>
      <c r="CX61" s="693"/>
      <c r="DA61" s="693"/>
      <c r="DB61" s="693"/>
      <c r="DC61" s="693"/>
      <c r="DD61" s="693"/>
      <c r="DE61" s="693"/>
      <c r="DF61" s="693"/>
      <c r="DG61" s="693"/>
      <c r="DH61" s="693"/>
      <c r="DI61" s="693"/>
      <c r="DJ61" s="693"/>
      <c r="DK61" s="693"/>
      <c r="DL61" s="693"/>
      <c r="DM61" s="705"/>
      <c r="DN61" s="633"/>
      <c r="DO61" s="693"/>
      <c r="DP61" s="693"/>
      <c r="DQ61" s="693"/>
      <c r="DR61" s="693"/>
    </row>
    <row r="62" spans="1:123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  <c r="X62" s="721"/>
      <c r="Y62" s="696"/>
      <c r="Z62" s="696"/>
      <c r="AA62" s="696"/>
      <c r="AB62" s="696"/>
      <c r="AC62" s="696"/>
      <c r="AD62" s="696"/>
      <c r="AE62" s="696"/>
      <c r="AF62" s="696"/>
      <c r="AG62" s="696"/>
      <c r="AH62" s="696"/>
      <c r="AI62" s="696"/>
      <c r="AJ62" s="696"/>
      <c r="AK62" s="704"/>
      <c r="AM62" s="696"/>
      <c r="AN62" s="696"/>
      <c r="AO62" s="696"/>
      <c r="AP62" s="696"/>
      <c r="AR62" s="721"/>
      <c r="AS62" s="696"/>
      <c r="AT62" s="696"/>
      <c r="AU62" s="696"/>
      <c r="AV62" s="696"/>
      <c r="AW62" s="696"/>
      <c r="AX62" s="696"/>
      <c r="AY62" s="696"/>
      <c r="AZ62" s="696"/>
      <c r="BA62" s="696"/>
      <c r="BB62" s="696"/>
      <c r="BC62" s="696"/>
      <c r="BD62" s="696"/>
      <c r="BE62" s="704"/>
      <c r="BG62" s="696"/>
      <c r="BH62" s="696"/>
      <c r="BI62" s="696"/>
      <c r="BJ62" s="696"/>
      <c r="BM62" s="696"/>
      <c r="BN62" s="696"/>
      <c r="BO62" s="696"/>
      <c r="BP62" s="696"/>
      <c r="BQ62" s="696"/>
      <c r="BR62" s="696"/>
      <c r="BS62" s="696"/>
      <c r="BT62" s="696"/>
      <c r="BU62" s="696"/>
      <c r="BV62" s="696"/>
      <c r="BW62" s="696"/>
      <c r="BX62" s="696"/>
      <c r="BY62" s="704"/>
      <c r="CA62" s="696"/>
      <c r="CB62" s="696"/>
      <c r="CC62" s="696"/>
      <c r="CD62" s="696"/>
      <c r="CG62" s="697"/>
      <c r="CH62" s="697"/>
      <c r="CI62" s="697"/>
      <c r="CJ62" s="697"/>
      <c r="CK62" s="697"/>
      <c r="CL62" s="697"/>
      <c r="CM62" s="697"/>
      <c r="CN62" s="697"/>
      <c r="CO62" s="697"/>
      <c r="CP62" s="697"/>
      <c r="CQ62" s="697"/>
      <c r="CR62" s="697"/>
      <c r="CS62" s="706"/>
      <c r="CT62" s="633"/>
      <c r="CU62" s="697"/>
      <c r="CV62" s="697"/>
      <c r="CW62" s="697"/>
      <c r="CX62" s="697"/>
      <c r="DA62" s="697"/>
      <c r="DB62" s="697"/>
      <c r="DC62" s="697"/>
      <c r="DD62" s="697"/>
      <c r="DE62" s="697"/>
      <c r="DF62" s="697"/>
      <c r="DG62" s="697"/>
      <c r="DH62" s="697"/>
      <c r="DI62" s="697"/>
      <c r="DJ62" s="697"/>
      <c r="DK62" s="697"/>
      <c r="DL62" s="697"/>
      <c r="DM62" s="706"/>
      <c r="DN62" s="633"/>
      <c r="DO62" s="697"/>
      <c r="DP62" s="697"/>
      <c r="DQ62" s="697"/>
      <c r="DR62" s="697"/>
    </row>
    <row r="63" spans="1:123" hidden="1"/>
    <row r="64" spans="1:123">
      <c r="AW64" s="825"/>
    </row>
    <row r="67" spans="23:123">
      <c r="AW67" s="822"/>
    </row>
    <row r="68" spans="23:123">
      <c r="AW68" s="822"/>
    </row>
    <row r="69" spans="23:123" s="817" customFormat="1">
      <c r="W69" s="677"/>
      <c r="X69" s="677"/>
      <c r="AQ69" s="677"/>
      <c r="AR69" s="677"/>
      <c r="AW69" s="822"/>
      <c r="BK69" s="677"/>
      <c r="BL69" s="677"/>
      <c r="CE69" s="677"/>
      <c r="CF69" s="677"/>
      <c r="CY69" s="677"/>
      <c r="DS69" s="677"/>
    </row>
    <row r="70" spans="23:123" s="817" customFormat="1">
      <c r="W70" s="677"/>
      <c r="X70" s="677"/>
      <c r="AQ70" s="677"/>
      <c r="AR70" s="677"/>
      <c r="AW70" s="822"/>
      <c r="BK70" s="677"/>
      <c r="BL70" s="677"/>
      <c r="CE70" s="677"/>
      <c r="CF70" s="677"/>
      <c r="CY70" s="677"/>
      <c r="DS70" s="677"/>
    </row>
    <row r="71" spans="23:123" s="817" customFormat="1">
      <c r="W71" s="677"/>
      <c r="X71" s="677"/>
      <c r="AQ71" s="677"/>
      <c r="AR71" s="677"/>
      <c r="AW71" s="822"/>
      <c r="BK71" s="677"/>
      <c r="BL71" s="677"/>
      <c r="CE71" s="677"/>
      <c r="CF71" s="677"/>
      <c r="CY71" s="677"/>
      <c r="DS71" s="677"/>
    </row>
    <row r="73" spans="23:123">
      <c r="AV73" s="802"/>
      <c r="AW73" s="806"/>
      <c r="AX73" s="802"/>
    </row>
    <row r="75" spans="23:123">
      <c r="AW75" s="822"/>
    </row>
  </sheetData>
  <pageMargins left="0.7" right="0.7" top="0.75" bottom="0.75" header="0.3" footer="0.3"/>
  <pageSetup orientation="portrait" r:id="rId1"/>
  <ignoredErrors>
    <ignoredError sqref="S6:V8 BG6:BJ8 AM12:AP12 AM6:AP7 S12:V12 BG12:BJ12 AM15:AP15 S15:V15 BG15:BJ15 AM17:AP19 S17:V19 BG17:BJ21 BG24:BJ25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J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0" width="9.44140625" customWidth="1"/>
    <col min="21" max="21" width="2.109375" customWidth="1"/>
    <col min="22" max="22" width="1" customWidth="1"/>
    <col min="23" max="23" width="2.109375" customWidth="1"/>
    <col min="26" max="27" width="13.77734375" customWidth="1"/>
    <col min="29" max="29" width="13.44140625" bestFit="1" customWidth="1"/>
    <col min="30" max="30" width="14.44140625" customWidth="1"/>
    <col min="31" max="31" width="13.44140625" customWidth="1"/>
    <col min="32" max="32" width="2.109375" customWidth="1"/>
    <col min="35" max="36" width="13.77734375" customWidth="1"/>
    <col min="38" max="38" width="13.44140625" bestFit="1" customWidth="1"/>
    <col min="39" max="39" width="14.44140625" customWidth="1"/>
    <col min="40" max="40" width="13.44140625" customWidth="1"/>
    <col min="41" max="41" width="2.109375" customWidth="1"/>
    <col min="42" max="42" width="1" customWidth="1"/>
    <col min="43" max="43" width="2.109375" customWidth="1"/>
    <col min="46" max="47" width="13.77734375" customWidth="1"/>
    <col min="49" max="49" width="13.44140625" bestFit="1" customWidth="1"/>
    <col min="50" max="50" width="14.44140625" customWidth="1"/>
    <col min="51" max="51" width="13.44140625" customWidth="1"/>
    <col min="52" max="52" width="2.109375" customWidth="1"/>
    <col min="55" max="56" width="13.77734375" customWidth="1"/>
    <col min="58" max="58" width="13.44140625" bestFit="1" customWidth="1"/>
    <col min="59" max="59" width="14.44140625" customWidth="1"/>
    <col min="60" max="60" width="13.44140625" customWidth="1"/>
    <col min="61" max="61" width="2.109375" customWidth="1"/>
    <col min="62" max="62" width="1" customWidth="1"/>
  </cols>
  <sheetData>
    <row r="1" spans="1:62" ht="14.55" customHeight="1">
      <c r="A1" s="673" t="s">
        <v>128</v>
      </c>
      <c r="V1" s="101"/>
      <c r="AP1" s="101"/>
      <c r="BJ1" s="101"/>
    </row>
    <row r="2" spans="1:62" ht="14.55" customHeight="1">
      <c r="A2" s="832">
        <f ca="1">TODAY()-3</f>
        <v>43260</v>
      </c>
      <c r="B2" s="100" t="s">
        <v>0</v>
      </c>
      <c r="V2" s="101"/>
      <c r="X2" s="553" t="s">
        <v>1</v>
      </c>
      <c r="Z2" s="560" t="s">
        <v>86</v>
      </c>
      <c r="AA2" s="555">
        <f ca="1">VLOOKUP(MONTH($A$2),'VN_YouTube Performance'!$A$6:$L$17,7,0)</f>
        <v>0</v>
      </c>
      <c r="AC2" s="100" t="s">
        <v>86</v>
      </c>
      <c r="AD2" s="116" t="s">
        <v>88</v>
      </c>
      <c r="AE2" s="558">
        <f ca="1">VLOOKUP(MONTH($A$2),'VN_YouTube Performance'!$A$26:$L$37,7,0)</f>
        <v>0</v>
      </c>
      <c r="AG2" s="553"/>
      <c r="AI2" s="560" t="s">
        <v>86</v>
      </c>
      <c r="AJ2" s="561">
        <f ca="1">VLOOKUP(MONTH($A$2),'VN_YouTube Performance'!$A$6:$L$17,8,0)</f>
        <v>0</v>
      </c>
      <c r="AL2" s="100" t="s">
        <v>86</v>
      </c>
      <c r="AM2" s="116" t="s">
        <v>88</v>
      </c>
      <c r="AN2" s="558">
        <f ca="1">VLOOKUP(MONTH($A$2),'VN_YouTube Performance'!$A$26:$L$37,8,0)</f>
        <v>0</v>
      </c>
      <c r="AP2" s="101"/>
      <c r="AR2" s="553" t="s">
        <v>2</v>
      </c>
      <c r="AT2" s="560" t="s">
        <v>86</v>
      </c>
      <c r="AU2" s="555">
        <f ca="1">VLOOKUP(MONTH($A$2),'VN_YouTube Performance'!$A$6:$L$17,11,0)</f>
        <v>0</v>
      </c>
      <c r="AW2" s="100" t="s">
        <v>86</v>
      </c>
      <c r="AX2" s="116" t="s">
        <v>88</v>
      </c>
      <c r="AY2" s="558">
        <f ca="1">VLOOKUP(MONTH($A$2),'VN_YouTube Performance'!$A$26:$L$37,11,0)</f>
        <v>0</v>
      </c>
      <c r="BA2" s="553"/>
      <c r="BC2" s="560" t="s">
        <v>86</v>
      </c>
      <c r="BD2" s="561">
        <f ca="1">VLOOKUP(MONTH($A$2),'VN_YouTube Performance'!$A$6:$L$17,12,0)</f>
        <v>0</v>
      </c>
      <c r="BF2" s="100" t="s">
        <v>86</v>
      </c>
      <c r="BG2" s="116" t="s">
        <v>88</v>
      </c>
      <c r="BH2" s="558">
        <f ca="1">VLOOKUP(MONTH($A$2),'VN_YouTube Performance'!$A$26:$L$37,12,0)</f>
        <v>0</v>
      </c>
      <c r="BJ2" s="101"/>
    </row>
    <row r="3" spans="1:62" ht="14.55" customHeight="1">
      <c r="A3" s="832"/>
      <c r="B3" s="100"/>
      <c r="V3" s="101"/>
      <c r="X3" s="553"/>
      <c r="Z3" s="560" t="s">
        <v>85</v>
      </c>
      <c r="AA3" s="555">
        <f>'VN_YouTube Performance'!G5</f>
        <v>3506217885</v>
      </c>
      <c r="AD3" s="116" t="s">
        <v>87</v>
      </c>
      <c r="AE3" s="555">
        <f ca="1">IF(AE6&gt;0,AE6,0)</f>
        <v>700547432.74220216</v>
      </c>
      <c r="AG3" s="553"/>
      <c r="AI3" s="560" t="s">
        <v>85</v>
      </c>
      <c r="AJ3" s="561">
        <f>'VN_YouTube Performance'!H5</f>
        <v>811806.85000000009</v>
      </c>
      <c r="AM3" s="116" t="s">
        <v>87</v>
      </c>
      <c r="AN3" s="561">
        <f ca="1">IF(AN6&gt;0,AN6,0)</f>
        <v>145679.5115110692</v>
      </c>
      <c r="AP3" s="101"/>
      <c r="AR3" s="553"/>
      <c r="AT3" s="560" t="s">
        <v>85</v>
      </c>
      <c r="AU3" s="555">
        <f>'VN_YouTube Performance'!K5</f>
        <v>1156411352</v>
      </c>
      <c r="AX3" s="116" t="s">
        <v>87</v>
      </c>
      <c r="AY3" s="555">
        <f ca="1">IF(AY6&gt;0,AY6,0)</f>
        <v>100078204.67745745</v>
      </c>
      <c r="BA3" s="553"/>
      <c r="BC3" s="560" t="s">
        <v>85</v>
      </c>
      <c r="BD3" s="561">
        <f>'VN_YouTube Performance'!L5</f>
        <v>369306.91600000008</v>
      </c>
      <c r="BG3" s="116" t="s">
        <v>87</v>
      </c>
      <c r="BH3" s="561">
        <f ca="1">IF(BH6&gt;0,BH6,0)</f>
        <v>16753.20467643653</v>
      </c>
      <c r="BJ3" s="101"/>
    </row>
    <row r="4" spans="1:62" ht="14.55" customHeight="1">
      <c r="A4" s="832"/>
      <c r="B4" s="100"/>
      <c r="V4" s="101"/>
      <c r="X4" s="553"/>
      <c r="Z4" s="562"/>
      <c r="AA4" s="563"/>
      <c r="AD4" s="116" t="s">
        <v>91</v>
      </c>
      <c r="AE4" s="555">
        <f ca="1">VLOOKUP(MONTH($A$2),VN_Data!$AG$6:$AH$17,2,0)-DAY($A$2)</f>
        <v>21</v>
      </c>
      <c r="AG4" s="553"/>
      <c r="AI4" s="562"/>
      <c r="AJ4" s="564"/>
      <c r="AM4" s="116" t="s">
        <v>91</v>
      </c>
      <c r="AN4" s="555">
        <f ca="1">VLOOKUP(MONTH($A$2),VN_Data!$AG$6:$AH$17,2,0)-DAY($A$2)</f>
        <v>21</v>
      </c>
      <c r="AP4" s="101"/>
      <c r="AR4" s="553"/>
      <c r="AT4" s="562"/>
      <c r="AU4" s="563"/>
      <c r="AX4" s="116" t="s">
        <v>91</v>
      </c>
      <c r="AY4" s="555">
        <f ca="1">VLOOKUP(MONTH($A$2),VN_Data!$AG$6:$AH$17,2,0)-DAY($A$2)</f>
        <v>21</v>
      </c>
      <c r="BA4" s="553"/>
      <c r="BC4" s="562"/>
      <c r="BD4" s="564"/>
      <c r="BG4" s="116" t="s">
        <v>91</v>
      </c>
      <c r="BH4" s="555">
        <f ca="1">VLOOKUP(MONTH($A$2),VN_Data!$AG$6:$AH$17,2,0)-DAY($A$2)</f>
        <v>21</v>
      </c>
      <c r="BJ4" s="101"/>
    </row>
    <row r="5" spans="1:62" ht="14.55" customHeight="1">
      <c r="A5" s="832"/>
      <c r="V5" s="101"/>
      <c r="AD5" s="116" t="s">
        <v>89</v>
      </c>
      <c r="AE5" s="555">
        <f ca="1">IFERROR(AE3/AE4,0)</f>
        <v>33359401.559152484</v>
      </c>
      <c r="AM5" s="116" t="s">
        <v>89</v>
      </c>
      <c r="AN5" s="565">
        <f ca="1">IFERROR(AN3/AN4,0)</f>
        <v>6937.1195957651998</v>
      </c>
      <c r="AP5" s="101"/>
      <c r="AX5" s="116" t="s">
        <v>89</v>
      </c>
      <c r="AY5" s="555">
        <f ca="1">IFERROR(AY3/AY4,0)</f>
        <v>4765628.7941646408</v>
      </c>
      <c r="BG5" s="116" t="s">
        <v>89</v>
      </c>
      <c r="BH5" s="565">
        <f ca="1">IFERROR(BH3/BH4,0)</f>
        <v>797.77165125888234</v>
      </c>
      <c r="BJ5" s="101"/>
    </row>
    <row r="6" spans="1:62">
      <c r="A6" s="551" t="s">
        <v>84</v>
      </c>
      <c r="R6" s="116"/>
      <c r="S6" s="2" t="s">
        <v>1</v>
      </c>
      <c r="T6" s="4" t="s">
        <v>24</v>
      </c>
      <c r="V6" s="101"/>
      <c r="AE6" s="555">
        <f ca="1">VLOOKUP(MONTH($A$2),'VN_YouTube Performance'!$A$46:$L$57,7,0)*-1</f>
        <v>700547432.74220216</v>
      </c>
      <c r="AN6" s="561">
        <f ca="1">VLOOKUP(MONTH($A$2),'VN_YouTube Performance'!$A$46:$L$57,8,0)*-1</f>
        <v>145679.5115110692</v>
      </c>
      <c r="AP6" s="101"/>
      <c r="AY6" s="555">
        <f ca="1">VLOOKUP(MONTH($A$2),'VN_YouTube Performance'!$A$46:$L$57,11,0)*-1</f>
        <v>100078204.67745745</v>
      </c>
      <c r="BH6" s="561">
        <f ca="1">VLOOKUP(MONTH($A$2),'VN_YouTube Performance'!$A$46:$L$57,12,0)*-1</f>
        <v>16753.20467643653</v>
      </c>
      <c r="BJ6" s="101"/>
    </row>
    <row r="7" spans="1:62">
      <c r="R7" s="127" t="s">
        <v>6</v>
      </c>
      <c r="S7" s="667">
        <f>'VN_YouTube Performance'!G25</f>
        <v>0.40071061542857145</v>
      </c>
      <c r="T7" s="667">
        <f>'VN_YouTube Performance'!K25</f>
        <v>0.92512908159999985</v>
      </c>
      <c r="V7" s="101"/>
      <c r="AP7" s="101"/>
      <c r="BJ7" s="101"/>
    </row>
    <row r="8" spans="1:62">
      <c r="R8" s="127" t="s">
        <v>7</v>
      </c>
      <c r="S8" s="667">
        <f>'VN_YouTube Performance'!H25</f>
        <v>0.44615290784628325</v>
      </c>
      <c r="T8" s="667">
        <f>'VN_YouTube Performance'!L25</f>
        <v>1.7648956765976802</v>
      </c>
      <c r="V8" s="101"/>
      <c r="AP8" s="101"/>
      <c r="BJ8" s="101"/>
    </row>
    <row r="9" spans="1:62">
      <c r="V9" s="101"/>
      <c r="AP9" s="101"/>
      <c r="BJ9" s="101"/>
    </row>
    <row r="10" spans="1:62">
      <c r="V10" s="101"/>
      <c r="AP10" s="101"/>
      <c r="BJ10" s="101"/>
    </row>
    <row r="11" spans="1:62">
      <c r="V11" s="101"/>
      <c r="AP11" s="101"/>
      <c r="BJ11" s="101"/>
    </row>
    <row r="12" spans="1:62">
      <c r="V12" s="101"/>
      <c r="AP12" s="101"/>
      <c r="BJ12" s="101"/>
    </row>
    <row r="13" spans="1:62">
      <c r="V13" s="101"/>
      <c r="AP13" s="101"/>
      <c r="BJ13" s="101"/>
    </row>
    <row r="14" spans="1:62">
      <c r="V14" s="101"/>
      <c r="AP14" s="101"/>
      <c r="BJ14" s="101"/>
    </row>
    <row r="15" spans="1:62">
      <c r="V15" s="101"/>
      <c r="AP15" s="101"/>
      <c r="BJ15" s="101"/>
    </row>
    <row r="16" spans="1:62">
      <c r="V16" s="101"/>
      <c r="AP16" s="101"/>
      <c r="BJ16" s="101"/>
    </row>
    <row r="17" spans="1:62">
      <c r="V17" s="101"/>
      <c r="AP17" s="101"/>
      <c r="BJ17" s="101"/>
    </row>
    <row r="18" spans="1:62">
      <c r="V18" s="101"/>
      <c r="AP18" s="101"/>
      <c r="BJ18" s="101"/>
    </row>
    <row r="19" spans="1:62">
      <c r="V19" s="101"/>
      <c r="AP19" s="101"/>
      <c r="BJ19" s="101"/>
    </row>
    <row r="20" spans="1:62">
      <c r="V20" s="101"/>
      <c r="AP20" s="101"/>
      <c r="BJ20" s="101"/>
    </row>
    <row r="21" spans="1:62">
      <c r="V21" s="101"/>
      <c r="AP21" s="101"/>
      <c r="BJ21" s="101"/>
    </row>
    <row r="22" spans="1:62">
      <c r="V22" s="101"/>
      <c r="AP22" s="101"/>
      <c r="BJ22" s="101"/>
    </row>
    <row r="23" spans="1:62">
      <c r="V23" s="101"/>
      <c r="AP23" s="101"/>
      <c r="BJ23" s="101"/>
    </row>
    <row r="24" spans="1:62">
      <c r="V24" s="101"/>
      <c r="AP24" s="101"/>
      <c r="BJ24" s="101"/>
    </row>
    <row r="25" spans="1:62">
      <c r="V25" s="101"/>
      <c r="AP25" s="101"/>
      <c r="BJ25" s="101"/>
    </row>
    <row r="26" spans="1:62">
      <c r="V26" s="101"/>
      <c r="AP26" s="101"/>
      <c r="BJ26" s="101"/>
    </row>
    <row r="27" spans="1:62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</row>
    <row r="28" spans="1:62">
      <c r="V28" s="101"/>
      <c r="AP28" s="101"/>
      <c r="BJ28" s="101"/>
    </row>
    <row r="29" spans="1:62">
      <c r="V29" s="101"/>
      <c r="Z29" s="560" t="s">
        <v>86</v>
      </c>
      <c r="AA29" s="555">
        <f ca="1">VLOOKUP(MONTH($A$2),'VN_YouTube Performance'!$M$6:$W$17,6,0)</f>
        <v>0</v>
      </c>
      <c r="AI29" s="560" t="s">
        <v>86</v>
      </c>
      <c r="AJ29" s="561">
        <f ca="1">VLOOKUP(MONTH($A$2),'VN_YouTube Performance'!$M$6:$W$17,7,0)</f>
        <v>0</v>
      </c>
      <c r="AP29" s="101"/>
      <c r="AT29" s="560" t="s">
        <v>86</v>
      </c>
      <c r="AU29" s="555">
        <f ca="1">VLOOKUP(MONTH($A$2),'VN_YouTube Performance'!$M$6:$W$17,10,0)</f>
        <v>0</v>
      </c>
      <c r="BC29" s="560" t="s">
        <v>86</v>
      </c>
      <c r="BD29" s="561">
        <f ca="1">VLOOKUP(MONTH($A$2),'VN_YouTube Performance'!$M$6:$W$17,11,0)</f>
        <v>0</v>
      </c>
      <c r="BJ29" s="101"/>
    </row>
    <row r="30" spans="1:62">
      <c r="V30" s="101"/>
      <c r="Z30" s="560" t="s">
        <v>85</v>
      </c>
      <c r="AA30" s="555">
        <f>'VN_YouTube Performance'!R5</f>
        <v>2839709354</v>
      </c>
      <c r="AI30" s="560" t="s">
        <v>85</v>
      </c>
      <c r="AJ30" s="561">
        <f>'VN_YouTube Performance'!S5</f>
        <v>574655.20299999998</v>
      </c>
      <c r="AP30" s="101"/>
      <c r="AT30" s="560" t="s">
        <v>85</v>
      </c>
      <c r="AU30" s="555">
        <f>'VN_YouTube Performance'!V5</f>
        <v>683517154</v>
      </c>
      <c r="BC30" s="560" t="s">
        <v>85</v>
      </c>
      <c r="BD30" s="561">
        <f>'VN_YouTube Performance'!W5</f>
        <v>81119.650999999998</v>
      </c>
      <c r="BJ30" s="101"/>
    </row>
    <row r="31" spans="1:62">
      <c r="A31" s="551" t="s">
        <v>3</v>
      </c>
      <c r="R31" s="116"/>
      <c r="S31" s="2" t="s">
        <v>1</v>
      </c>
      <c r="T31" s="4" t="s">
        <v>24</v>
      </c>
      <c r="V31" s="101"/>
      <c r="AP31" s="101"/>
      <c r="BJ31" s="101"/>
    </row>
    <row r="32" spans="1:62">
      <c r="R32" s="127" t="s">
        <v>6</v>
      </c>
      <c r="S32" s="667">
        <f>'VN_YouTube Performance'!R25</f>
        <v>0.34415504971973948</v>
      </c>
      <c r="T32" s="667">
        <f>'VN_YouTube Performance'!V25</f>
        <v>0.61786861378531077</v>
      </c>
      <c r="V32" s="101"/>
      <c r="AP32" s="101"/>
      <c r="BJ32" s="101"/>
    </row>
    <row r="33" spans="18:62">
      <c r="R33" s="127" t="s">
        <v>7</v>
      </c>
      <c r="S33" s="667">
        <f>'VN_YouTube Performance'!S25</f>
        <v>0.36591190314187938</v>
      </c>
      <c r="T33" s="667">
        <f>'VN_YouTube Performance'!W25</f>
        <v>0.92854239691342499</v>
      </c>
      <c r="V33" s="101"/>
      <c r="AP33" s="101"/>
      <c r="BJ33" s="101"/>
    </row>
    <row r="34" spans="18:62">
      <c r="V34" s="101"/>
      <c r="AP34" s="101"/>
      <c r="BJ34" s="101"/>
    </row>
    <row r="35" spans="18:62">
      <c r="V35" s="101"/>
      <c r="AP35" s="101"/>
      <c r="BJ35" s="101"/>
    </row>
    <row r="36" spans="18:62">
      <c r="V36" s="101"/>
      <c r="AP36" s="101"/>
      <c r="BJ36" s="101"/>
    </row>
    <row r="37" spans="18:62">
      <c r="V37" s="101"/>
      <c r="AP37" s="101"/>
      <c r="BJ37" s="101"/>
    </row>
    <row r="38" spans="18:62">
      <c r="V38" s="101"/>
      <c r="AP38" s="101"/>
      <c r="BJ38" s="101"/>
    </row>
    <row r="39" spans="18:62">
      <c r="V39" s="101"/>
      <c r="AP39" s="101"/>
      <c r="BJ39" s="101"/>
    </row>
    <row r="40" spans="18:62">
      <c r="V40" s="101"/>
      <c r="AP40" s="101"/>
      <c r="BJ40" s="101"/>
    </row>
    <row r="41" spans="18:62">
      <c r="V41" s="101"/>
      <c r="AP41" s="101"/>
      <c r="BJ41" s="101"/>
    </row>
    <row r="42" spans="18:62">
      <c r="V42" s="101"/>
      <c r="AP42" s="101"/>
      <c r="BJ42" s="101"/>
    </row>
    <row r="43" spans="18:62">
      <c r="V43" s="101"/>
      <c r="AP43" s="101"/>
      <c r="BJ43" s="101"/>
    </row>
    <row r="44" spans="18:62">
      <c r="V44" s="101"/>
      <c r="AP44" s="101"/>
      <c r="BJ44" s="101"/>
    </row>
    <row r="45" spans="18:62">
      <c r="V45" s="101"/>
      <c r="AP45" s="101"/>
      <c r="BJ45" s="101"/>
    </row>
    <row r="46" spans="18:62">
      <c r="V46" s="101"/>
      <c r="AP46" s="101"/>
      <c r="BJ46" s="101"/>
    </row>
    <row r="47" spans="18:62">
      <c r="V47" s="101"/>
      <c r="AP47" s="101"/>
      <c r="BJ47" s="101"/>
    </row>
    <row r="48" spans="18:62">
      <c r="V48" s="101"/>
      <c r="AP48" s="101"/>
      <c r="BJ48" s="101"/>
    </row>
    <row r="49" spans="1:62">
      <c r="V49" s="101"/>
      <c r="AP49" s="101"/>
      <c r="BJ49" s="101"/>
    </row>
    <row r="50" spans="1:62">
      <c r="V50" s="101"/>
      <c r="AP50" s="101"/>
      <c r="BJ50" s="101"/>
    </row>
    <row r="51" spans="1:62">
      <c r="V51" s="101"/>
      <c r="AP51" s="101"/>
      <c r="BJ51" s="101"/>
    </row>
    <row r="52" spans="1:62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</row>
    <row r="53" spans="1:62">
      <c r="V53" s="101"/>
      <c r="AP53" s="101"/>
      <c r="BJ53" s="101"/>
    </row>
    <row r="54" spans="1:62">
      <c r="V54" s="101"/>
      <c r="Z54" s="560" t="s">
        <v>86</v>
      </c>
      <c r="AA54" s="555">
        <f ca="1">VLOOKUP(MONTH($A$2),'VN_YouTube Performance'!$X$6:$AH$17,6,0)</f>
        <v>0</v>
      </c>
      <c r="AI54" s="560" t="s">
        <v>86</v>
      </c>
      <c r="AJ54" s="561">
        <f ca="1">VLOOKUP(MONTH($A$2),'VN_YouTube Performance'!$X$6:$AH$17,7,0)</f>
        <v>0</v>
      </c>
      <c r="AP54" s="101"/>
      <c r="AT54" s="560" t="s">
        <v>86</v>
      </c>
      <c r="AU54" s="555">
        <f ca="1">VLOOKUP(MONTH($A$2),'VN_YouTube Performance'!$X$6:$AH$17,10,0)</f>
        <v>0</v>
      </c>
      <c r="BC54" s="560" t="s">
        <v>86</v>
      </c>
      <c r="BD54" s="561">
        <f ca="1">VLOOKUP(MONTH($A$2),'VN_YouTube Performance'!$X$6:$AH$17,11,0)</f>
        <v>0</v>
      </c>
      <c r="BJ54" s="101"/>
    </row>
    <row r="55" spans="1:62">
      <c r="V55" s="101"/>
      <c r="Z55" s="560" t="s">
        <v>85</v>
      </c>
      <c r="AA55" s="555">
        <f>'VN_YouTube Performance'!AC5</f>
        <v>666508531</v>
      </c>
      <c r="AI55" s="560" t="s">
        <v>85</v>
      </c>
      <c r="AJ55" s="561">
        <f>'VN_YouTube Performance'!AD5</f>
        <v>237151.64700000006</v>
      </c>
      <c r="AP55" s="101"/>
      <c r="AT55" s="560" t="s">
        <v>85</v>
      </c>
      <c r="AU55" s="555">
        <f>'VN_YouTube Performance'!AG5</f>
        <v>472894198</v>
      </c>
      <c r="BC55" s="560" t="s">
        <v>85</v>
      </c>
      <c r="BD55" s="561">
        <f>'VN_YouTube Performance'!AH5</f>
        <v>288187.26500000001</v>
      </c>
      <c r="BJ55" s="101"/>
    </row>
    <row r="56" spans="1:62">
      <c r="A56" s="551" t="s">
        <v>4</v>
      </c>
      <c r="R56" s="116"/>
      <c r="S56" s="2" t="s">
        <v>1</v>
      </c>
      <c r="T56" s="4" t="s">
        <v>24</v>
      </c>
      <c r="V56" s="101"/>
      <c r="AP56" s="101"/>
      <c r="BJ56" s="101"/>
    </row>
    <row r="57" spans="1:62">
      <c r="R57" s="127" t="s">
        <v>6</v>
      </c>
      <c r="S57" s="667">
        <f>'VN_YouTube Performance'!AC25</f>
        <v>1.3363579568922297</v>
      </c>
      <c r="T57" s="667">
        <f>'VN_YouTube Performance'!AG25</f>
        <v>3.2896987686956529</v>
      </c>
      <c r="V57" s="101"/>
      <c r="AP57" s="101"/>
      <c r="BJ57" s="101"/>
    </row>
    <row r="58" spans="1:62">
      <c r="R58" s="127" t="s">
        <v>7</v>
      </c>
      <c r="S58" s="667">
        <f>'VN_YouTube Performance'!AD25</f>
        <v>0.95204650220880427</v>
      </c>
      <c r="T58" s="667">
        <f>'VN_YouTube Performance'!AH25</f>
        <v>2.3643407247629002</v>
      </c>
      <c r="V58" s="101"/>
      <c r="AP58" s="101"/>
      <c r="BJ58" s="101"/>
    </row>
    <row r="59" spans="1:62">
      <c r="V59" s="101"/>
      <c r="AP59" s="101"/>
      <c r="BJ59" s="101"/>
    </row>
    <row r="60" spans="1:62">
      <c r="V60" s="101"/>
      <c r="AP60" s="101"/>
      <c r="BJ60" s="101"/>
    </row>
    <row r="61" spans="1:62">
      <c r="V61" s="101"/>
      <c r="AP61" s="101"/>
      <c r="BJ61" s="101"/>
    </row>
    <row r="62" spans="1:62">
      <c r="V62" s="101"/>
      <c r="AP62" s="101"/>
      <c r="BJ62" s="101"/>
    </row>
    <row r="63" spans="1:62">
      <c r="V63" s="101"/>
      <c r="AP63" s="101"/>
      <c r="BJ63" s="101"/>
    </row>
    <row r="64" spans="1:62">
      <c r="V64" s="101"/>
      <c r="AP64" s="101"/>
      <c r="BJ64" s="101"/>
    </row>
    <row r="65" spans="1:62">
      <c r="V65" s="101"/>
      <c r="AP65" s="101"/>
      <c r="BJ65" s="101"/>
    </row>
    <row r="66" spans="1:62">
      <c r="V66" s="101"/>
      <c r="AP66" s="101"/>
      <c r="BJ66" s="101"/>
    </row>
    <row r="67" spans="1:62">
      <c r="V67" s="101"/>
      <c r="AP67" s="101"/>
      <c r="BJ67" s="101"/>
    </row>
    <row r="68" spans="1:62">
      <c r="V68" s="101"/>
      <c r="AP68" s="101"/>
      <c r="BJ68" s="101"/>
    </row>
    <row r="69" spans="1:62">
      <c r="V69" s="101"/>
      <c r="AP69" s="101"/>
      <c r="BJ69" s="101"/>
    </row>
    <row r="70" spans="1:62">
      <c r="V70" s="101"/>
      <c r="AP70" s="101"/>
      <c r="BJ70" s="101"/>
    </row>
    <row r="71" spans="1:62">
      <c r="V71" s="101"/>
      <c r="AP71" s="101"/>
      <c r="BJ71" s="101"/>
    </row>
    <row r="72" spans="1:62">
      <c r="V72" s="101"/>
      <c r="AP72" s="101"/>
      <c r="BJ72" s="101"/>
    </row>
    <row r="73" spans="1:62">
      <c r="V73" s="101"/>
      <c r="AP73" s="101"/>
      <c r="BJ73" s="101"/>
    </row>
    <row r="74" spans="1:62">
      <c r="V74" s="101"/>
      <c r="AP74" s="101"/>
      <c r="BJ74" s="101"/>
    </row>
    <row r="75" spans="1:62">
      <c r="V75" s="101"/>
      <c r="AP75" s="101"/>
      <c r="BJ75" s="101"/>
    </row>
    <row r="76" spans="1:62">
      <c r="V76" s="101"/>
      <c r="AP76" s="101"/>
      <c r="BJ76" s="101"/>
    </row>
    <row r="77" spans="1:62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3"/>
      <c r="X1" s="101"/>
      <c r="AR1" s="101"/>
      <c r="BL1" s="101"/>
      <c r="CF1" s="101"/>
    </row>
    <row r="2" spans="1:84" ht="14.55" customHeight="1">
      <c r="A2" s="832"/>
      <c r="B2" s="100"/>
      <c r="X2" s="101"/>
      <c r="Z2" s="553"/>
      <c r="AB2" s="560"/>
      <c r="AC2" s="555"/>
      <c r="AE2" s="100"/>
      <c r="AF2" s="116"/>
      <c r="AG2" s="558"/>
      <c r="AI2" s="553"/>
      <c r="AK2" s="560"/>
      <c r="AL2" s="561"/>
      <c r="AN2" s="100"/>
      <c r="AO2" s="116"/>
      <c r="AP2" s="558"/>
      <c r="AR2" s="101"/>
      <c r="AT2" s="553"/>
      <c r="AV2" s="560"/>
      <c r="AW2" s="555"/>
      <c r="AY2" s="100"/>
      <c r="AZ2" s="116"/>
      <c r="BA2" s="558"/>
      <c r="BC2" s="553"/>
      <c r="BE2" s="560"/>
      <c r="BF2" s="561"/>
      <c r="BH2" s="100"/>
      <c r="BI2" s="116"/>
      <c r="BJ2" s="558"/>
      <c r="BL2" s="101"/>
      <c r="BN2" s="553"/>
      <c r="BP2" s="560"/>
      <c r="BQ2" s="555"/>
      <c r="BS2" s="100"/>
      <c r="BT2" s="116"/>
      <c r="BU2" s="558"/>
      <c r="BW2" s="553"/>
      <c r="BY2" s="560"/>
      <c r="BZ2" s="561"/>
      <c r="CB2" s="100"/>
      <c r="CC2" s="116"/>
      <c r="CD2" s="558"/>
      <c r="CF2" s="101"/>
    </row>
    <row r="3" spans="1:84" ht="14.55" customHeight="1">
      <c r="A3" s="832"/>
      <c r="B3" s="100"/>
      <c r="X3" s="101"/>
      <c r="Z3" s="553"/>
      <c r="AB3" s="560"/>
      <c r="AC3" s="555"/>
      <c r="AF3" s="116"/>
      <c r="AG3" s="555"/>
      <c r="AI3" s="553"/>
      <c r="AK3" s="560"/>
      <c r="AL3" s="561"/>
      <c r="AO3" s="116"/>
      <c r="AP3" s="561"/>
      <c r="AR3" s="101"/>
      <c r="AT3" s="553"/>
      <c r="AV3" s="560"/>
      <c r="AW3" s="555"/>
      <c r="AZ3" s="116"/>
      <c r="BA3" s="555"/>
      <c r="BC3" s="553"/>
      <c r="BE3" s="560"/>
      <c r="BF3" s="561"/>
      <c r="BI3" s="116"/>
      <c r="BJ3" s="561"/>
      <c r="BL3" s="101"/>
      <c r="BN3" s="553"/>
      <c r="BP3" s="560"/>
      <c r="BQ3" s="555"/>
      <c r="BT3" s="116"/>
      <c r="BU3" s="555"/>
      <c r="BW3" s="553"/>
      <c r="BY3" s="560"/>
      <c r="BZ3" s="561"/>
      <c r="CC3" s="116"/>
      <c r="CD3" s="561"/>
      <c r="CF3" s="101"/>
    </row>
    <row r="4" spans="1:84" ht="14.55" customHeight="1">
      <c r="A4" s="832"/>
      <c r="B4" s="100"/>
      <c r="X4" s="101"/>
      <c r="Z4" s="553"/>
      <c r="AB4" s="562"/>
      <c r="AC4" s="563"/>
      <c r="AF4" s="116"/>
      <c r="AG4" s="555"/>
      <c r="AI4" s="553"/>
      <c r="AK4" s="562"/>
      <c r="AL4" s="564"/>
      <c r="AO4" s="116"/>
      <c r="AP4" s="555"/>
      <c r="AR4" s="101"/>
      <c r="AT4" s="553"/>
      <c r="AV4" s="562"/>
      <c r="AW4" s="563"/>
      <c r="AZ4" s="116"/>
      <c r="BA4" s="555"/>
      <c r="BC4" s="553"/>
      <c r="BE4" s="562"/>
      <c r="BF4" s="564"/>
      <c r="BI4" s="116"/>
      <c r="BJ4" s="555"/>
      <c r="BL4" s="101"/>
      <c r="BN4" s="553"/>
      <c r="BP4" s="562"/>
      <c r="BQ4" s="563"/>
      <c r="BT4" s="116"/>
      <c r="BU4" s="555"/>
      <c r="BW4" s="553"/>
      <c r="BY4" s="562"/>
      <c r="BZ4" s="564"/>
      <c r="CC4" s="116"/>
      <c r="CD4" s="555"/>
      <c r="CF4" s="101"/>
    </row>
    <row r="5" spans="1:84" ht="14.55" customHeight="1">
      <c r="A5" s="832"/>
      <c r="X5" s="101"/>
      <c r="AF5" s="116"/>
      <c r="AG5" s="555"/>
      <c r="AO5" s="116"/>
      <c r="AP5" s="565"/>
      <c r="AR5" s="101"/>
      <c r="AZ5" s="116"/>
      <c r="BA5" s="555"/>
      <c r="BI5" s="116"/>
      <c r="BJ5" s="565"/>
      <c r="BL5" s="101"/>
      <c r="BT5" s="116"/>
      <c r="BU5" s="555"/>
      <c r="CC5" s="116"/>
      <c r="CD5" s="565"/>
      <c r="CF5" s="101"/>
    </row>
    <row r="6" spans="1:84">
      <c r="A6" s="551"/>
      <c r="R6" s="116"/>
      <c r="S6" s="128"/>
      <c r="T6" s="670"/>
      <c r="U6" s="672"/>
      <c r="V6" s="671"/>
      <c r="X6" s="101"/>
      <c r="AG6" s="555"/>
      <c r="AP6" s="561"/>
      <c r="AR6" s="101"/>
      <c r="BA6" s="555"/>
      <c r="BJ6" s="561"/>
      <c r="BL6" s="101"/>
      <c r="BU6" s="555"/>
      <c r="CD6" s="561"/>
      <c r="CF6" s="101"/>
    </row>
    <row r="7" spans="1:84">
      <c r="R7" s="127"/>
      <c r="S7" s="667"/>
      <c r="T7" s="667"/>
      <c r="U7" s="667"/>
      <c r="V7" s="667"/>
      <c r="X7" s="101"/>
      <c r="AR7" s="101"/>
      <c r="BL7" s="101"/>
      <c r="CF7" s="101"/>
    </row>
    <row r="8" spans="1:84">
      <c r="R8" s="127"/>
      <c r="S8" s="667"/>
      <c r="T8" s="667"/>
      <c r="U8" s="667"/>
      <c r="V8" s="667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G4" activePane="bottomRight" state="frozen"/>
      <selection activeCell="U3" sqref="U3:Y3"/>
      <selection pane="topRight" activeCell="U3" sqref="U3:Y3"/>
      <selection pane="bottomLeft" activeCell="U3" sqref="U3:Y3"/>
      <selection pane="bottomRight" activeCell="G4" sqref="G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hidden="1" customWidth="1"/>
    <col min="7" max="8" width="14.44140625" customWidth="1"/>
    <col min="9" max="10" width="14.44140625" hidden="1" customWidth="1"/>
    <col min="11" max="12" width="14.44140625" customWidth="1"/>
    <col min="13" max="13" width="0.77734375" customWidth="1"/>
    <col min="14" max="17" width="14.44140625" hidden="1" customWidth="1"/>
    <col min="18" max="19" width="14.44140625" customWidth="1"/>
    <col min="20" max="21" width="14.44140625" hidden="1" customWidth="1"/>
    <col min="22" max="23" width="14.44140625" customWidth="1"/>
    <col min="24" max="24" width="0.77734375" customWidth="1"/>
    <col min="25" max="28" width="14.44140625" hidden="1" customWidth="1"/>
    <col min="29" max="30" width="14.44140625" customWidth="1"/>
    <col min="31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673" t="s">
        <v>128</v>
      </c>
      <c r="C1" s="100"/>
      <c r="G1" s="100" t="s">
        <v>11</v>
      </c>
      <c r="M1" s="101"/>
      <c r="N1" s="100"/>
      <c r="R1" s="100" t="s">
        <v>3</v>
      </c>
      <c r="X1" s="101"/>
      <c r="Y1" s="100"/>
      <c r="AC1" s="100" t="s">
        <v>4</v>
      </c>
      <c r="AI1" s="101"/>
    </row>
    <row r="2" spans="1:35">
      <c r="B2" s="126">
        <f ca="1">VN_Graphs!A2</f>
        <v>43260</v>
      </c>
      <c r="C2" s="833"/>
      <c r="D2" s="834"/>
      <c r="E2" s="835"/>
      <c r="F2" s="836"/>
      <c r="G2" s="837" t="s">
        <v>1</v>
      </c>
      <c r="H2" s="838"/>
      <c r="I2" s="839"/>
      <c r="J2" s="840"/>
      <c r="K2" s="841" t="s">
        <v>2</v>
      </c>
      <c r="L2" s="842"/>
      <c r="M2" s="101"/>
      <c r="N2" s="833"/>
      <c r="O2" s="834"/>
      <c r="P2" s="835"/>
      <c r="Q2" s="836"/>
      <c r="R2" s="837" t="s">
        <v>1</v>
      </c>
      <c r="S2" s="838"/>
      <c r="T2" s="839"/>
      <c r="U2" s="840"/>
      <c r="V2" s="841" t="s">
        <v>2</v>
      </c>
      <c r="W2" s="842"/>
      <c r="X2" s="101"/>
      <c r="Y2" s="833"/>
      <c r="Z2" s="834"/>
      <c r="AA2" s="835"/>
      <c r="AB2" s="836"/>
      <c r="AC2" s="837" t="s">
        <v>1</v>
      </c>
      <c r="AD2" s="838"/>
      <c r="AE2" s="839"/>
      <c r="AF2" s="840"/>
      <c r="AG2" s="841" t="s">
        <v>2</v>
      </c>
      <c r="AH2" s="842"/>
      <c r="AI2" s="101"/>
    </row>
    <row r="3" spans="1:35" ht="15" thickBot="1">
      <c r="C3" s="112"/>
      <c r="D3" s="112"/>
      <c r="E3" s="5"/>
      <c r="F3" s="5"/>
      <c r="G3" s="6" t="s">
        <v>6</v>
      </c>
      <c r="H3" s="6" t="s">
        <v>7</v>
      </c>
      <c r="I3" s="7"/>
      <c r="J3" s="7"/>
      <c r="K3" s="8" t="s">
        <v>6</v>
      </c>
      <c r="L3" s="9" t="s">
        <v>7</v>
      </c>
      <c r="M3" s="101"/>
      <c r="N3" s="112"/>
      <c r="O3" s="112"/>
      <c r="P3" s="5"/>
      <c r="Q3" s="5"/>
      <c r="R3" s="6" t="s">
        <v>6</v>
      </c>
      <c r="S3" s="6" t="s">
        <v>7</v>
      </c>
      <c r="T3" s="7"/>
      <c r="U3" s="7"/>
      <c r="V3" s="8" t="s">
        <v>6</v>
      </c>
      <c r="W3" s="9" t="s">
        <v>7</v>
      </c>
      <c r="X3" s="101"/>
      <c r="Y3" s="112"/>
      <c r="Z3" s="112"/>
      <c r="AA3" s="5"/>
      <c r="AB3" s="5"/>
      <c r="AC3" s="6" t="s">
        <v>6</v>
      </c>
      <c r="AD3" s="6" t="s">
        <v>7</v>
      </c>
      <c r="AE3" s="7"/>
      <c r="AF3" s="7"/>
      <c r="AG3" s="8" t="s">
        <v>6</v>
      </c>
      <c r="AH3" s="9" t="s">
        <v>7</v>
      </c>
      <c r="AI3" s="101"/>
    </row>
    <row r="4" spans="1:35" ht="15" thickBot="1">
      <c r="B4" s="20" t="s">
        <v>9</v>
      </c>
      <c r="M4" s="101"/>
      <c r="X4" s="101"/>
      <c r="AI4" s="101"/>
    </row>
    <row r="5" spans="1:35" ht="15" thickBot="1">
      <c r="B5" s="21" t="s">
        <v>5</v>
      </c>
      <c r="C5" s="25"/>
      <c r="D5" s="26"/>
      <c r="E5" s="33"/>
      <c r="F5" s="34"/>
      <c r="G5" s="41">
        <f t="shared" ref="G5" si="0">SUM(G6:G17)</f>
        <v>3506217885</v>
      </c>
      <c r="H5" s="42">
        <f t="shared" ref="H5" si="1">SUM(H6:H17)</f>
        <v>811806.85000000009</v>
      </c>
      <c r="I5" s="49"/>
      <c r="J5" s="50"/>
      <c r="K5" s="57">
        <f t="shared" ref="K5" si="2">SUM(K6:K17)</f>
        <v>1156411352</v>
      </c>
      <c r="L5" s="18">
        <f t="shared" ref="L5" si="3">SUM(L6:L17)</f>
        <v>369306.91600000008</v>
      </c>
      <c r="M5" s="101"/>
      <c r="N5" s="25"/>
      <c r="O5" s="26"/>
      <c r="P5" s="33"/>
      <c r="Q5" s="34"/>
      <c r="R5" s="41">
        <f t="shared" ref="R5" si="4">SUM(R6:R17)</f>
        <v>2839709354</v>
      </c>
      <c r="S5" s="42">
        <f t="shared" ref="S5" si="5">SUM(S6:S17)</f>
        <v>574655.20299999998</v>
      </c>
      <c r="T5" s="49"/>
      <c r="U5" s="50"/>
      <c r="V5" s="57">
        <f t="shared" ref="V5" si="6">SUM(V6:V17)</f>
        <v>683517154</v>
      </c>
      <c r="W5" s="18">
        <f t="shared" ref="W5" si="7">SUM(W6:W17)</f>
        <v>81119.650999999998</v>
      </c>
      <c r="X5" s="101"/>
      <c r="Y5" s="25"/>
      <c r="Z5" s="26"/>
      <c r="AA5" s="33"/>
      <c r="AB5" s="34"/>
      <c r="AC5" s="41">
        <f t="shared" ref="AC5" si="8">SUM(AC6:AC17)</f>
        <v>666508531</v>
      </c>
      <c r="AD5" s="42">
        <f t="shared" ref="AD5" si="9">SUM(AD6:AD17)</f>
        <v>237151.64700000006</v>
      </c>
      <c r="AE5" s="49"/>
      <c r="AF5" s="50"/>
      <c r="AG5" s="57">
        <f t="shared" ref="AG5" si="10">SUM(AG6:AG17)</f>
        <v>472894198</v>
      </c>
      <c r="AH5" s="18">
        <f t="shared" ref="AH5" si="11">SUM(AH6:AH17)</f>
        <v>288187.26500000001</v>
      </c>
      <c r="AI5" s="101"/>
    </row>
    <row r="6" spans="1:35">
      <c r="A6" s="557">
        <v>1</v>
      </c>
      <c r="B6" s="22">
        <v>43101</v>
      </c>
      <c r="C6" s="27"/>
      <c r="D6" s="28"/>
      <c r="E6" s="35"/>
      <c r="F6" s="36"/>
      <c r="G6" s="43">
        <f>SUMIF(VN_Data!$B$6:$B$381,MONTH($B6),VN_Data!E$6:E$381)</f>
        <v>712243496</v>
      </c>
      <c r="H6" s="44">
        <f>SUMIF(VN_Data!$B$6:$B$381,MONTH($B6),VN_Data!F$6:F$381)</f>
        <v>148369.26999999999</v>
      </c>
      <c r="I6" s="51"/>
      <c r="J6" s="52"/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/>
      <c r="O6" s="28"/>
      <c r="P6" s="35"/>
      <c r="Q6" s="36"/>
      <c r="R6" s="43">
        <f>SUMIF(VN_Data!$B$6:$B$381,MONTH($B6),VN_Data!N$6:N$381)</f>
        <v>600131253</v>
      </c>
      <c r="S6" s="44">
        <f>SUMIF(VN_Data!$B$6:$B$381,MONTH($B6),VN_Data!O$6:O$381)</f>
        <v>115656.79299999999</v>
      </c>
      <c r="T6" s="51"/>
      <c r="U6" s="52"/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/>
      <c r="Z6" s="28"/>
      <c r="AA6" s="35"/>
      <c r="AB6" s="36"/>
      <c r="AC6" s="43">
        <f>SUMIF(VN_Data!$B$6:$B$381,MONTH($B6),VN_Data!W$6:W$381)</f>
        <v>112112243</v>
      </c>
      <c r="AD6" s="44">
        <f>SUMIF(VN_Data!$B$6:$B$381,MONTH($B6),VN_Data!X$6:X$381)</f>
        <v>32712.477000000003</v>
      </c>
      <c r="AE6" s="51"/>
      <c r="AF6" s="52"/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7">
        <v>2</v>
      </c>
      <c r="B7" s="23">
        <v>43132</v>
      </c>
      <c r="C7" s="29"/>
      <c r="D7" s="30"/>
      <c r="E7" s="35"/>
      <c r="F7" s="38"/>
      <c r="G7" s="45">
        <f>SUMIF(VN_Data!$B$6:$B$381,MONTH($B7),VN_Data!E$6:E$381)</f>
        <v>640353919</v>
      </c>
      <c r="H7" s="46">
        <f>SUMIF(VN_Data!$B$6:$B$381,MONTH($B7),VN_Data!F$6:F$381)</f>
        <v>118213.66</v>
      </c>
      <c r="I7" s="53"/>
      <c r="J7" s="54"/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/>
      <c r="O7" s="30"/>
      <c r="P7" s="35"/>
      <c r="Q7" s="38"/>
      <c r="R7" s="45">
        <f>SUMIF(VN_Data!$B$6:$B$381,MONTH($B7),VN_Data!N$6:N$381)</f>
        <v>559835027</v>
      </c>
      <c r="S7" s="46">
        <f>SUMIF(VN_Data!$B$6:$B$381,MONTH($B7),VN_Data!O$6:O$381)</f>
        <v>94450.7</v>
      </c>
      <c r="T7" s="53"/>
      <c r="U7" s="54"/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/>
      <c r="Z7" s="30"/>
      <c r="AA7" s="35"/>
      <c r="AB7" s="38"/>
      <c r="AC7" s="45">
        <f>SUMIF(VN_Data!$B$6:$B$381,MONTH($B7),VN_Data!W$6:W$381)</f>
        <v>80518892</v>
      </c>
      <c r="AD7" s="46">
        <f>SUMIF(VN_Data!$B$6:$B$381,MONTH($B7),VN_Data!X$6:X$381)</f>
        <v>23762.960000000003</v>
      </c>
      <c r="AE7" s="53"/>
      <c r="AF7" s="54"/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7">
        <v>3</v>
      </c>
      <c r="B8" s="23">
        <v>43160</v>
      </c>
      <c r="C8" s="29"/>
      <c r="D8" s="30"/>
      <c r="E8" s="37"/>
      <c r="F8" s="38"/>
      <c r="G8" s="45">
        <f>SUMIF(VN_Data!$B$6:$B$381,MONTH($B8),VN_Data!E$6:E$381)</f>
        <v>663392460</v>
      </c>
      <c r="H8" s="46">
        <f>SUMIF(VN_Data!$B$6:$B$381,MONTH($B8),VN_Data!F$6:F$381)</f>
        <v>168146.83</v>
      </c>
      <c r="I8" s="53"/>
      <c r="J8" s="54"/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/>
      <c r="O8" s="30"/>
      <c r="P8" s="37"/>
      <c r="Q8" s="38"/>
      <c r="R8" s="45">
        <f>SUMIF(VN_Data!$B$6:$B$381,MONTH($B8),VN_Data!N$6:N$381)</f>
        <v>551862891</v>
      </c>
      <c r="S8" s="46">
        <f>SUMIF(VN_Data!$B$6:$B$381,MONTH($B8),VN_Data!O$6:O$381)</f>
        <v>125455.74999999999</v>
      </c>
      <c r="T8" s="53"/>
      <c r="U8" s="54"/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/>
      <c r="Z8" s="30"/>
      <c r="AA8" s="37"/>
      <c r="AB8" s="38"/>
      <c r="AC8" s="45">
        <f>SUMIF(VN_Data!$B$6:$B$381,MONTH($B8),VN_Data!W$6:W$381)</f>
        <v>111529569</v>
      </c>
      <c r="AD8" s="46">
        <f>SUMIF(VN_Data!$B$6:$B$381,MONTH($B8),VN_Data!X$6:X$381)</f>
        <v>42691.080000000009</v>
      </c>
      <c r="AE8" s="53"/>
      <c r="AF8" s="54"/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7">
        <v>4</v>
      </c>
      <c r="B9" s="23">
        <v>43191</v>
      </c>
      <c r="C9" s="29"/>
      <c r="D9" s="30"/>
      <c r="E9" s="37"/>
      <c r="F9" s="38"/>
      <c r="G9" s="45">
        <f>SUMIF(VN_Data!$B$6:$B$381,MONTH($B9),VN_Data!E$6:E$381)</f>
        <v>693831478</v>
      </c>
      <c r="H9" s="46">
        <f>SUMIF(VN_Data!$B$6:$B$381,MONTH($B9),VN_Data!F$6:F$381)</f>
        <v>170290.55</v>
      </c>
      <c r="I9" s="53"/>
      <c r="J9" s="54"/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/>
      <c r="O9" s="30"/>
      <c r="P9" s="37"/>
      <c r="Q9" s="38"/>
      <c r="R9" s="45">
        <f>SUMIF(VN_Data!$B$6:$B$381,MONTH($B9),VN_Data!N$6:N$381)</f>
        <v>547962867</v>
      </c>
      <c r="S9" s="46">
        <f>SUMIF(VN_Data!$B$6:$B$381,MONTH($B9),VN_Data!O$6:O$381)</f>
        <v>116613.42000000001</v>
      </c>
      <c r="T9" s="53"/>
      <c r="U9" s="54"/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/>
      <c r="Z9" s="30"/>
      <c r="AA9" s="37"/>
      <c r="AB9" s="38"/>
      <c r="AC9" s="45">
        <f>SUMIF(VN_Data!$B$6:$B$381,MONTH($B9),VN_Data!W$6:W$381)</f>
        <v>145868611</v>
      </c>
      <c r="AD9" s="46">
        <f>SUMIF(VN_Data!$B$6:$B$381,MONTH($B9),VN_Data!X$6:X$381)</f>
        <v>53677.130000000005</v>
      </c>
      <c r="AE9" s="53"/>
      <c r="AF9" s="54"/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7">
        <v>5</v>
      </c>
      <c r="B10" s="23">
        <v>43221</v>
      </c>
      <c r="C10" s="29"/>
      <c r="D10" s="30"/>
      <c r="E10" s="37"/>
      <c r="F10" s="38"/>
      <c r="G10" s="45">
        <f>SUMIF(VN_Data!$B$6:$B$381,MONTH($B10),VN_Data!E$6:E$381)</f>
        <v>796396532</v>
      </c>
      <c r="H10" s="46">
        <f>SUMIF(VN_Data!$B$6:$B$381,MONTH($B10),VN_Data!F$6:F$381)</f>
        <v>206786.54000000004</v>
      </c>
      <c r="I10" s="53"/>
      <c r="J10" s="54"/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/>
      <c r="O10" s="30"/>
      <c r="P10" s="37"/>
      <c r="Q10" s="38"/>
      <c r="R10" s="45">
        <f>SUMIF(VN_Data!$B$6:$B$381,MONTH($B10),VN_Data!N$6:N$381)</f>
        <v>579917316</v>
      </c>
      <c r="S10" s="46">
        <f>SUMIF(VN_Data!$B$6:$B$381,MONTH($B10),VN_Data!O$6:O$381)</f>
        <v>122478.54000000001</v>
      </c>
      <c r="T10" s="53"/>
      <c r="U10" s="54"/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/>
      <c r="Z10" s="30"/>
      <c r="AA10" s="37"/>
      <c r="AB10" s="38"/>
      <c r="AC10" s="45">
        <f>SUMIF(VN_Data!$B$6:$B$381,MONTH($B10),VN_Data!W$6:W$381)</f>
        <v>216479216</v>
      </c>
      <c r="AD10" s="46">
        <f>SUMIF(VN_Data!$B$6:$B$381,MONTH($B10),VN_Data!X$6:X$381)</f>
        <v>84308.000000000015</v>
      </c>
      <c r="AE10" s="53"/>
      <c r="AF10" s="54"/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7">
        <v>6</v>
      </c>
      <c r="B11" s="23">
        <v>43252</v>
      </c>
      <c r="C11" s="29"/>
      <c r="D11" s="30"/>
      <c r="E11" s="37"/>
      <c r="F11" s="38"/>
      <c r="G11" s="45">
        <f>SUMIF(VN_Data!$B$6:$B$381,MONTH($B11),VN_Data!E$6:E$381)</f>
        <v>0</v>
      </c>
      <c r="H11" s="46">
        <f>SUMIF(VN_Data!$B$6:$B$381,MONTH($B11),VN_Data!F$6:F$381)</f>
        <v>0</v>
      </c>
      <c r="I11" s="53"/>
      <c r="J11" s="54"/>
      <c r="K11" s="59">
        <f>SUMIF(VN_Data!$B$6:$B$381,MONTH($B11),VN_Data!I$6:I$381)</f>
        <v>0</v>
      </c>
      <c r="L11" s="15">
        <f>SUMIF(VN_Data!$B$6:$B$381,MONTH($B11),VN_Data!J$6:J$381)</f>
        <v>0</v>
      </c>
      <c r="M11" s="101">
        <v>6</v>
      </c>
      <c r="N11" s="29"/>
      <c r="O11" s="30"/>
      <c r="P11" s="37"/>
      <c r="Q11" s="38"/>
      <c r="R11" s="45">
        <f>SUMIF(VN_Data!$B$6:$B$381,MONTH($B11),VN_Data!N$6:N$381)</f>
        <v>0</v>
      </c>
      <c r="S11" s="46">
        <f>SUMIF(VN_Data!$B$6:$B$381,MONTH($B11),VN_Data!O$6:O$381)</f>
        <v>0</v>
      </c>
      <c r="T11" s="53"/>
      <c r="U11" s="54"/>
      <c r="V11" s="59">
        <f>SUMIF(VN_Data!$B$6:$B$381,MONTH($B11),VN_Data!R$6:R$381)</f>
        <v>0</v>
      </c>
      <c r="W11" s="15">
        <f>SUMIF(VN_Data!$B$6:$B$381,MONTH($B11),VN_Data!S$6:S$381)</f>
        <v>0</v>
      </c>
      <c r="X11" s="101">
        <v>6</v>
      </c>
      <c r="Y11" s="29"/>
      <c r="Z11" s="30"/>
      <c r="AA11" s="37"/>
      <c r="AB11" s="38"/>
      <c r="AC11" s="45">
        <f>SUMIF(VN_Data!$B$6:$B$381,MONTH($B11),VN_Data!W$6:W$381)</f>
        <v>0</v>
      </c>
      <c r="AD11" s="46">
        <f>SUMIF(VN_Data!$B$6:$B$381,MONTH($B11),VN_Data!X$6:X$381)</f>
        <v>0</v>
      </c>
      <c r="AE11" s="53"/>
      <c r="AF11" s="54"/>
      <c r="AG11" s="59">
        <f>SUMIF(VN_Data!$B$6:$B$381,MONTH($B11),VN_Data!AA$6:AA$381)</f>
        <v>0</v>
      </c>
      <c r="AH11" s="15">
        <f>SUMIF(VN_Data!$B$6:$B$381,MONTH($B11),VN_Data!AB$6:AB$381)</f>
        <v>0</v>
      </c>
      <c r="AI11" s="101"/>
    </row>
    <row r="12" spans="1:35">
      <c r="A12" s="557">
        <v>7</v>
      </c>
      <c r="B12" s="23">
        <v>43282</v>
      </c>
      <c r="C12" s="29"/>
      <c r="D12" s="30"/>
      <c r="E12" s="37"/>
      <c r="F12" s="38"/>
      <c r="G12" s="45">
        <f>SUMIF(VN_Data!$B$6:$B$381,MONTH($B12),VN_Data!E$6:E$381)</f>
        <v>0</v>
      </c>
      <c r="H12" s="46">
        <f>SUMIF(VN_Data!$B$6:$B$381,MONTH($B12),VN_Data!F$6:F$381)</f>
        <v>0</v>
      </c>
      <c r="I12" s="53"/>
      <c r="J12" s="54"/>
      <c r="K12" s="59">
        <f>SUMIF(VN_Data!$B$6:$B$381,MONTH($B12),VN_Data!I$6:I$381)</f>
        <v>0</v>
      </c>
      <c r="L12" s="15">
        <f>SUMIF(VN_Data!$B$6:$B$381,MONTH($B12),VN_Data!J$6:J$381)</f>
        <v>0</v>
      </c>
      <c r="M12" s="101">
        <v>7</v>
      </c>
      <c r="N12" s="29"/>
      <c r="O12" s="30"/>
      <c r="P12" s="37"/>
      <c r="Q12" s="38"/>
      <c r="R12" s="45">
        <f>SUMIF(VN_Data!$B$6:$B$381,MONTH($B12),VN_Data!N$6:N$381)</f>
        <v>0</v>
      </c>
      <c r="S12" s="46">
        <f>SUMIF(VN_Data!$B$6:$B$381,MONTH($B12),VN_Data!O$6:O$381)</f>
        <v>0</v>
      </c>
      <c r="T12" s="53"/>
      <c r="U12" s="54"/>
      <c r="V12" s="59">
        <f>SUMIF(VN_Data!$B$6:$B$381,MONTH($B12),VN_Data!R$6:R$381)</f>
        <v>0</v>
      </c>
      <c r="W12" s="15">
        <f>SUMIF(VN_Data!$B$6:$B$381,MONTH($B12),VN_Data!S$6:S$381)</f>
        <v>0</v>
      </c>
      <c r="X12" s="101">
        <v>7</v>
      </c>
      <c r="Y12" s="29"/>
      <c r="Z12" s="30"/>
      <c r="AA12" s="37"/>
      <c r="AB12" s="38"/>
      <c r="AC12" s="45">
        <f>SUMIF(VN_Data!$B$6:$B$381,MONTH($B12),VN_Data!W$6:W$381)</f>
        <v>0</v>
      </c>
      <c r="AD12" s="46">
        <f>SUMIF(VN_Data!$B$6:$B$381,MONTH($B12),VN_Data!X$6:X$381)</f>
        <v>0</v>
      </c>
      <c r="AE12" s="53"/>
      <c r="AF12" s="54"/>
      <c r="AG12" s="59">
        <f>SUMIF(VN_Data!$B$6:$B$381,MONTH($B12),VN_Data!AA$6:AA$381)</f>
        <v>0</v>
      </c>
      <c r="AH12" s="15">
        <f>SUMIF(VN_Data!$B$6:$B$381,MONTH($B12),VN_Data!AB$6:AB$381)</f>
        <v>0</v>
      </c>
      <c r="AI12" s="101"/>
    </row>
    <row r="13" spans="1:35">
      <c r="A13" s="557">
        <v>8</v>
      </c>
      <c r="B13" s="23">
        <v>43313</v>
      </c>
      <c r="C13" s="29"/>
      <c r="D13" s="30"/>
      <c r="E13" s="37"/>
      <c r="F13" s="38"/>
      <c r="G13" s="45">
        <f>SUMIF(VN_Data!$B$6:$B$381,MONTH($B13),VN_Data!E$6:E$381)</f>
        <v>0</v>
      </c>
      <c r="H13" s="46">
        <f>SUMIF(VN_Data!$B$6:$B$381,MONTH($B13),VN_Data!F$6:F$381)</f>
        <v>0</v>
      </c>
      <c r="I13" s="53"/>
      <c r="J13" s="54"/>
      <c r="K13" s="59">
        <f>SUMIF(VN_Data!$B$6:$B$381,MONTH($B13),VN_Data!I$6:I$381)</f>
        <v>0</v>
      </c>
      <c r="L13" s="15">
        <f>SUMIF(VN_Data!$B$6:$B$381,MONTH($B13),VN_Data!J$6:J$381)</f>
        <v>0</v>
      </c>
      <c r="M13" s="101">
        <v>8</v>
      </c>
      <c r="N13" s="29"/>
      <c r="O13" s="30"/>
      <c r="P13" s="37"/>
      <c r="Q13" s="38"/>
      <c r="R13" s="45">
        <f>SUMIF(VN_Data!$B$6:$B$381,MONTH($B13),VN_Data!N$6:N$381)</f>
        <v>0</v>
      </c>
      <c r="S13" s="46">
        <f>SUMIF(VN_Data!$B$6:$B$381,MONTH($B13),VN_Data!O$6:O$381)</f>
        <v>0</v>
      </c>
      <c r="T13" s="53"/>
      <c r="U13" s="54"/>
      <c r="V13" s="59">
        <f>SUMIF(VN_Data!$B$6:$B$381,MONTH($B13),VN_Data!R$6:R$381)</f>
        <v>0</v>
      </c>
      <c r="W13" s="15">
        <f>SUMIF(VN_Data!$B$6:$B$381,MONTH($B13),VN_Data!S$6:S$381)</f>
        <v>0</v>
      </c>
      <c r="X13" s="101">
        <v>8</v>
      </c>
      <c r="Y13" s="29"/>
      <c r="Z13" s="30"/>
      <c r="AA13" s="37"/>
      <c r="AB13" s="38"/>
      <c r="AC13" s="45">
        <f>SUMIF(VN_Data!$B$6:$B$381,MONTH($B13),VN_Data!W$6:W$381)</f>
        <v>0</v>
      </c>
      <c r="AD13" s="46">
        <f>SUMIF(VN_Data!$B$6:$B$381,MONTH($B13),VN_Data!X$6:X$381)</f>
        <v>0</v>
      </c>
      <c r="AE13" s="53"/>
      <c r="AF13" s="54"/>
      <c r="AG13" s="59">
        <f>SUMIF(VN_Data!$B$6:$B$381,MONTH($B13),VN_Data!AA$6:AA$381)</f>
        <v>0</v>
      </c>
      <c r="AH13" s="15">
        <f>SUMIF(VN_Data!$B$6:$B$381,MONTH($B13),VN_Data!AB$6:AB$381)</f>
        <v>0</v>
      </c>
      <c r="AI13" s="101"/>
    </row>
    <row r="14" spans="1:35">
      <c r="A14" s="557">
        <v>9</v>
      </c>
      <c r="B14" s="23">
        <v>43344</v>
      </c>
      <c r="C14" s="29"/>
      <c r="D14" s="30"/>
      <c r="E14" s="37"/>
      <c r="F14" s="38"/>
      <c r="G14" s="45">
        <f>SUMIF(VN_Data!$B$6:$B$381,MONTH($B14),VN_Data!E$6:E$381)</f>
        <v>0</v>
      </c>
      <c r="H14" s="46">
        <f>SUMIF(VN_Data!$B$6:$B$381,MONTH($B14),VN_Data!F$6:F$381)</f>
        <v>0</v>
      </c>
      <c r="I14" s="53"/>
      <c r="J14" s="54"/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/>
      <c r="O14" s="30"/>
      <c r="P14" s="37"/>
      <c r="Q14" s="38"/>
      <c r="R14" s="45">
        <f>SUMIF(VN_Data!$B$6:$B$381,MONTH($B14),VN_Data!N$6:N$381)</f>
        <v>0</v>
      </c>
      <c r="S14" s="46">
        <f>SUMIF(VN_Data!$B$6:$B$381,MONTH($B14),VN_Data!O$6:O$381)</f>
        <v>0</v>
      </c>
      <c r="T14" s="53"/>
      <c r="U14" s="54"/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/>
      <c r="Z14" s="30"/>
      <c r="AA14" s="37"/>
      <c r="AB14" s="38"/>
      <c r="AC14" s="45">
        <f>SUMIF(VN_Data!$B$6:$B$381,MONTH($B14),VN_Data!W$6:W$381)</f>
        <v>0</v>
      </c>
      <c r="AD14" s="46">
        <f>SUMIF(VN_Data!$B$6:$B$381,MONTH($B14),VN_Data!X$6:X$381)</f>
        <v>0</v>
      </c>
      <c r="AE14" s="53"/>
      <c r="AF14" s="54"/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7">
        <v>10</v>
      </c>
      <c r="B15" s="23">
        <v>43374</v>
      </c>
      <c r="C15" s="29"/>
      <c r="D15" s="30"/>
      <c r="E15" s="37"/>
      <c r="F15" s="38"/>
      <c r="G15" s="45">
        <f>SUMIF(VN_Data!$B$6:$B$381,MONTH($B15),VN_Data!E$6:E$381)</f>
        <v>0</v>
      </c>
      <c r="H15" s="46">
        <f>SUMIF(VN_Data!$B$6:$B$381,MONTH($B15),VN_Data!F$6:F$381)</f>
        <v>0</v>
      </c>
      <c r="I15" s="53"/>
      <c r="J15" s="54"/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/>
      <c r="O15" s="30"/>
      <c r="P15" s="37"/>
      <c r="Q15" s="38"/>
      <c r="R15" s="45">
        <f>SUMIF(VN_Data!$B$6:$B$381,MONTH($B15),VN_Data!N$6:N$381)</f>
        <v>0</v>
      </c>
      <c r="S15" s="46">
        <f>SUMIF(VN_Data!$B$6:$B$381,MONTH($B15),VN_Data!O$6:O$381)</f>
        <v>0</v>
      </c>
      <c r="T15" s="53"/>
      <c r="U15" s="54"/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/>
      <c r="Z15" s="30"/>
      <c r="AA15" s="37"/>
      <c r="AB15" s="38"/>
      <c r="AC15" s="45">
        <f>SUMIF(VN_Data!$B$6:$B$381,MONTH($B15),VN_Data!W$6:W$381)</f>
        <v>0</v>
      </c>
      <c r="AD15" s="46">
        <f>SUMIF(VN_Data!$B$6:$B$381,MONTH($B15),VN_Data!X$6:X$381)</f>
        <v>0</v>
      </c>
      <c r="AE15" s="53"/>
      <c r="AF15" s="54"/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7">
        <v>11</v>
      </c>
      <c r="B16" s="23">
        <v>43405</v>
      </c>
      <c r="C16" s="29"/>
      <c r="D16" s="30"/>
      <c r="E16" s="37"/>
      <c r="F16" s="38"/>
      <c r="G16" s="45">
        <f>SUMIF(VN_Data!$B$6:$B$381,MONTH($B16),VN_Data!E$6:E$381)</f>
        <v>0</v>
      </c>
      <c r="H16" s="46">
        <f>SUMIF(VN_Data!$B$6:$B$381,MONTH($B16),VN_Data!F$6:F$381)</f>
        <v>0</v>
      </c>
      <c r="I16" s="53"/>
      <c r="J16" s="54"/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/>
      <c r="O16" s="30"/>
      <c r="P16" s="37"/>
      <c r="Q16" s="38"/>
      <c r="R16" s="45">
        <f>SUMIF(VN_Data!$B$6:$B$381,MONTH($B16),VN_Data!N$6:N$381)</f>
        <v>0</v>
      </c>
      <c r="S16" s="46">
        <f>SUMIF(VN_Data!$B$6:$B$381,MONTH($B16),VN_Data!O$6:O$381)</f>
        <v>0</v>
      </c>
      <c r="T16" s="53"/>
      <c r="U16" s="54"/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/>
      <c r="Z16" s="30"/>
      <c r="AA16" s="37"/>
      <c r="AB16" s="38"/>
      <c r="AC16" s="45">
        <f>SUMIF(VN_Data!$B$6:$B$381,MONTH($B16),VN_Data!W$6:W$381)</f>
        <v>0</v>
      </c>
      <c r="AD16" s="46">
        <f>SUMIF(VN_Data!$B$6:$B$381,MONTH($B16),VN_Data!X$6:X$381)</f>
        <v>0</v>
      </c>
      <c r="AE16" s="53"/>
      <c r="AF16" s="54"/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7">
        <v>12</v>
      </c>
      <c r="B17" s="24">
        <v>43435</v>
      </c>
      <c r="C17" s="31"/>
      <c r="D17" s="32"/>
      <c r="E17" s="39"/>
      <c r="F17" s="40"/>
      <c r="G17" s="47">
        <f>SUMIF(VN_Data!$B$6:$B$381,MONTH($B17),VN_Data!E$6:E$381)</f>
        <v>0</v>
      </c>
      <c r="H17" s="48">
        <f>SUMIF(VN_Data!$B$6:$B$381,MONTH($B17),VN_Data!F$6:F$381)</f>
        <v>0</v>
      </c>
      <c r="I17" s="55"/>
      <c r="J17" s="56"/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/>
      <c r="O17" s="32"/>
      <c r="P17" s="39"/>
      <c r="Q17" s="40"/>
      <c r="R17" s="47">
        <f>SUMIF(VN_Data!$B$6:$B$381,MONTH($B17),VN_Data!N$6:N$381)</f>
        <v>0</v>
      </c>
      <c r="S17" s="48">
        <f>SUMIF(VN_Data!$B$6:$B$381,MONTH($B17),VN_Data!O$6:O$381)</f>
        <v>0</v>
      </c>
      <c r="T17" s="55"/>
      <c r="U17" s="56"/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/>
      <c r="Z17" s="32"/>
      <c r="AA17" s="39"/>
      <c r="AB17" s="40"/>
      <c r="AC17" s="47">
        <f>SUMIF(VN_Data!$B$6:$B$381,MONTH($B17),VN_Data!W$6:W$381)</f>
        <v>0</v>
      </c>
      <c r="AD17" s="48">
        <f>SUMIF(VN_Data!$B$6:$B$381,MONTH($B17),VN_Data!X$6:X$381)</f>
        <v>0</v>
      </c>
      <c r="AE17" s="55"/>
      <c r="AF17" s="56"/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7"/>
      <c r="B19" s="641" t="s">
        <v>124</v>
      </c>
      <c r="C19" s="657"/>
      <c r="D19" s="658"/>
      <c r="E19" s="659"/>
      <c r="F19" s="660"/>
      <c r="G19" s="661">
        <f t="shared" ref="C19:L19" si="12">SUM(G6:G8)</f>
        <v>2015989875</v>
      </c>
      <c r="H19" s="662">
        <f t="shared" si="12"/>
        <v>434729.76</v>
      </c>
      <c r="I19" s="663"/>
      <c r="J19" s="664"/>
      <c r="K19" s="665">
        <f t="shared" si="12"/>
        <v>396508916</v>
      </c>
      <c r="L19" s="666">
        <f t="shared" si="12"/>
        <v>71663.186000000002</v>
      </c>
      <c r="M19" s="652"/>
      <c r="N19" s="657"/>
      <c r="O19" s="658"/>
      <c r="P19" s="659"/>
      <c r="Q19" s="660"/>
      <c r="R19" s="661">
        <f t="shared" ref="N19:W19" si="13">SUM(R6:R8)</f>
        <v>1711829171</v>
      </c>
      <c r="S19" s="662">
        <f t="shared" si="13"/>
        <v>335563.24299999996</v>
      </c>
      <c r="T19" s="663"/>
      <c r="U19" s="664"/>
      <c r="V19" s="665">
        <f t="shared" si="13"/>
        <v>342043036</v>
      </c>
      <c r="W19" s="666">
        <f t="shared" si="13"/>
        <v>34753.890999999996</v>
      </c>
      <c r="X19" s="652"/>
      <c r="Y19" s="657"/>
      <c r="Z19" s="658"/>
      <c r="AA19" s="659"/>
      <c r="AB19" s="660"/>
      <c r="AC19" s="661">
        <f t="shared" ref="Y19:AH19" si="14">SUM(AC6:AC8)</f>
        <v>304160704</v>
      </c>
      <c r="AD19" s="662">
        <f t="shared" si="14"/>
        <v>99166.517000000022</v>
      </c>
      <c r="AE19" s="663"/>
      <c r="AF19" s="664"/>
      <c r="AG19" s="665">
        <f t="shared" si="14"/>
        <v>54465880</v>
      </c>
      <c r="AH19" s="666">
        <f t="shared" si="14"/>
        <v>36909.294999999998</v>
      </c>
      <c r="AI19" s="101"/>
    </row>
    <row r="20" spans="1:35">
      <c r="A20" s="557"/>
      <c r="B20" s="653" t="s">
        <v>125</v>
      </c>
      <c r="C20" s="29"/>
      <c r="D20" s="30"/>
      <c r="E20" s="37"/>
      <c r="F20" s="38"/>
      <c r="G20" s="45">
        <f t="shared" ref="C20:L20" si="15">SUM(G9:G11)</f>
        <v>1490228010</v>
      </c>
      <c r="H20" s="46">
        <f t="shared" si="15"/>
        <v>377077.09</v>
      </c>
      <c r="I20" s="53"/>
      <c r="J20" s="54"/>
      <c r="K20" s="59">
        <f t="shared" si="15"/>
        <v>759902436</v>
      </c>
      <c r="L20" s="15">
        <f t="shared" si="15"/>
        <v>297643.73000000004</v>
      </c>
      <c r="M20" s="654"/>
      <c r="N20" s="29"/>
      <c r="O20" s="30"/>
      <c r="P20" s="37"/>
      <c r="Q20" s="38"/>
      <c r="R20" s="45">
        <f t="shared" ref="N20:W20" si="16">SUM(R9:R11)</f>
        <v>1127880183</v>
      </c>
      <c r="S20" s="46">
        <f t="shared" si="16"/>
        <v>239091.96000000002</v>
      </c>
      <c r="T20" s="53"/>
      <c r="U20" s="54"/>
      <c r="V20" s="59">
        <f t="shared" si="16"/>
        <v>341474118</v>
      </c>
      <c r="W20" s="15">
        <f t="shared" si="16"/>
        <v>46365.760000000009</v>
      </c>
      <c r="X20" s="654"/>
      <c r="Y20" s="29"/>
      <c r="Z20" s="30"/>
      <c r="AA20" s="37"/>
      <c r="AB20" s="38"/>
      <c r="AC20" s="45">
        <f t="shared" ref="Y20:AH20" si="17">SUM(AC9:AC11)</f>
        <v>362347827</v>
      </c>
      <c r="AD20" s="46">
        <f t="shared" si="17"/>
        <v>137985.13</v>
      </c>
      <c r="AE20" s="53"/>
      <c r="AF20" s="54"/>
      <c r="AG20" s="59">
        <f t="shared" si="17"/>
        <v>418428318</v>
      </c>
      <c r="AH20" s="15">
        <f t="shared" si="17"/>
        <v>251277.97000000003</v>
      </c>
      <c r="AI20" s="101"/>
    </row>
    <row r="21" spans="1:35">
      <c r="A21" s="557"/>
      <c r="B21" s="653" t="s">
        <v>126</v>
      </c>
      <c r="C21" s="29"/>
      <c r="D21" s="30"/>
      <c r="E21" s="37"/>
      <c r="F21" s="38"/>
      <c r="G21" s="45">
        <f t="shared" ref="C21:L21" si="18">SUM(G12:G14)</f>
        <v>0</v>
      </c>
      <c r="H21" s="46">
        <f t="shared" si="18"/>
        <v>0</v>
      </c>
      <c r="I21" s="53"/>
      <c r="J21" s="54"/>
      <c r="K21" s="59">
        <f t="shared" si="18"/>
        <v>0</v>
      </c>
      <c r="L21" s="15">
        <f t="shared" si="18"/>
        <v>0</v>
      </c>
      <c r="M21" s="654"/>
      <c r="N21" s="29"/>
      <c r="O21" s="30"/>
      <c r="P21" s="37"/>
      <c r="Q21" s="38"/>
      <c r="R21" s="45">
        <f t="shared" ref="N21:W21" si="19">SUM(R12:R14)</f>
        <v>0</v>
      </c>
      <c r="S21" s="46">
        <f t="shared" si="19"/>
        <v>0</v>
      </c>
      <c r="T21" s="53"/>
      <c r="U21" s="54"/>
      <c r="V21" s="59">
        <f t="shared" si="19"/>
        <v>0</v>
      </c>
      <c r="W21" s="15">
        <f t="shared" si="19"/>
        <v>0</v>
      </c>
      <c r="X21" s="654"/>
      <c r="Y21" s="29"/>
      <c r="Z21" s="30"/>
      <c r="AA21" s="37"/>
      <c r="AB21" s="38"/>
      <c r="AC21" s="45">
        <f t="shared" ref="Y21:AH21" si="20">SUM(AC12:AC14)</f>
        <v>0</v>
      </c>
      <c r="AD21" s="46">
        <f t="shared" si="20"/>
        <v>0</v>
      </c>
      <c r="AE21" s="53"/>
      <c r="AF21" s="54"/>
      <c r="AG21" s="59">
        <f t="shared" si="20"/>
        <v>0</v>
      </c>
      <c r="AH21" s="15">
        <f t="shared" si="20"/>
        <v>0</v>
      </c>
      <c r="AI21" s="101"/>
    </row>
    <row r="22" spans="1:35" ht="15" thickBot="1">
      <c r="A22" s="557"/>
      <c r="B22" s="655" t="s">
        <v>127</v>
      </c>
      <c r="C22" s="31"/>
      <c r="D22" s="32"/>
      <c r="E22" s="39"/>
      <c r="F22" s="40"/>
      <c r="G22" s="47">
        <f t="shared" ref="C22:L22" si="21">SUM(G15:G17)</f>
        <v>0</v>
      </c>
      <c r="H22" s="48">
        <f t="shared" si="21"/>
        <v>0</v>
      </c>
      <c r="I22" s="55"/>
      <c r="J22" s="56"/>
      <c r="K22" s="60">
        <f t="shared" si="21"/>
        <v>0</v>
      </c>
      <c r="L22" s="16">
        <f t="shared" si="21"/>
        <v>0</v>
      </c>
      <c r="M22" s="656"/>
      <c r="N22" s="31"/>
      <c r="O22" s="32"/>
      <c r="P22" s="39"/>
      <c r="Q22" s="40"/>
      <c r="R22" s="47">
        <f t="shared" ref="N22:W22" si="22">SUM(R15:R17)</f>
        <v>0</v>
      </c>
      <c r="S22" s="48">
        <f t="shared" si="22"/>
        <v>0</v>
      </c>
      <c r="T22" s="55"/>
      <c r="U22" s="56"/>
      <c r="V22" s="60">
        <f t="shared" si="22"/>
        <v>0</v>
      </c>
      <c r="W22" s="16">
        <f t="shared" si="22"/>
        <v>0</v>
      </c>
      <c r="X22" s="656"/>
      <c r="Y22" s="31"/>
      <c r="Z22" s="32"/>
      <c r="AA22" s="39"/>
      <c r="AB22" s="40"/>
      <c r="AC22" s="47">
        <f t="shared" ref="Y22:AH22" si="23">SUM(AC15:AC17)</f>
        <v>0</v>
      </c>
      <c r="AD22" s="48">
        <f t="shared" si="23"/>
        <v>0</v>
      </c>
      <c r="AE22" s="55"/>
      <c r="AF22" s="56"/>
      <c r="AG22" s="60">
        <f t="shared" si="23"/>
        <v>0</v>
      </c>
      <c r="AH22" s="16">
        <f t="shared" si="23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8</v>
      </c>
      <c r="C24" s="113"/>
      <c r="D24" s="113"/>
      <c r="E24" s="113"/>
      <c r="F24" s="113"/>
      <c r="G24" s="113">
        <v>1</v>
      </c>
      <c r="H24" s="113">
        <v>1</v>
      </c>
      <c r="I24" s="113"/>
      <c r="J24" s="113"/>
      <c r="K24" s="113">
        <v>1</v>
      </c>
      <c r="L24" s="113">
        <v>1</v>
      </c>
      <c r="M24" s="103"/>
      <c r="N24" s="113"/>
      <c r="O24" s="113"/>
      <c r="P24" s="113"/>
      <c r="Q24" s="113"/>
      <c r="R24" s="113">
        <v>1</v>
      </c>
      <c r="S24" s="113">
        <v>1</v>
      </c>
      <c r="T24" s="113"/>
      <c r="U24" s="113"/>
      <c r="V24" s="113">
        <v>1</v>
      </c>
      <c r="W24" s="113">
        <v>1</v>
      </c>
      <c r="X24" s="103"/>
      <c r="Y24" s="113"/>
      <c r="Z24" s="113"/>
      <c r="AA24" s="113"/>
      <c r="AB24" s="113"/>
      <c r="AC24" s="113">
        <v>1</v>
      </c>
      <c r="AD24" s="113">
        <v>1</v>
      </c>
      <c r="AE24" s="113"/>
      <c r="AF24" s="113"/>
      <c r="AG24" s="113">
        <v>1</v>
      </c>
      <c r="AH24" s="113">
        <v>1</v>
      </c>
      <c r="AI24" s="103"/>
    </row>
    <row r="25" spans="1:35" ht="15" thickBot="1">
      <c r="B25" s="21" t="s">
        <v>5</v>
      </c>
      <c r="C25" s="61"/>
      <c r="D25" s="62"/>
      <c r="E25" s="69"/>
      <c r="F25" s="70"/>
      <c r="G25" s="77">
        <f t="shared" ref="C25:L25" si="24">G5/G65</f>
        <v>0.40071061542857145</v>
      </c>
      <c r="H25" s="78">
        <f t="shared" si="24"/>
        <v>0.44615290784628325</v>
      </c>
      <c r="I25" s="85"/>
      <c r="J25" s="86"/>
      <c r="K25" s="93">
        <f t="shared" si="24"/>
        <v>0.92512908159999985</v>
      </c>
      <c r="L25" s="13">
        <f t="shared" si="24"/>
        <v>1.7648956765976802</v>
      </c>
      <c r="M25" s="103"/>
      <c r="N25" s="61"/>
      <c r="O25" s="62"/>
      <c r="P25" s="69"/>
      <c r="Q25" s="70"/>
      <c r="R25" s="77">
        <f t="shared" ref="N25:W25" si="25">R5/R65</f>
        <v>0.34415504971973948</v>
      </c>
      <c r="S25" s="78">
        <f t="shared" si="25"/>
        <v>0.36591190314187938</v>
      </c>
      <c r="T25" s="85"/>
      <c r="U25" s="86"/>
      <c r="V25" s="93">
        <f t="shared" si="25"/>
        <v>0.61786861378531077</v>
      </c>
      <c r="W25" s="13">
        <f t="shared" si="25"/>
        <v>0.92854239691342499</v>
      </c>
      <c r="X25" s="103"/>
      <c r="Y25" s="61"/>
      <c r="Z25" s="62"/>
      <c r="AA25" s="69"/>
      <c r="AB25" s="70"/>
      <c r="AC25" s="77">
        <f t="shared" ref="Y25:AH25" si="26">AC5/AC65</f>
        <v>1.3363579568922297</v>
      </c>
      <c r="AD25" s="78">
        <f t="shared" si="26"/>
        <v>0.95204650220880427</v>
      </c>
      <c r="AE25" s="85"/>
      <c r="AF25" s="86"/>
      <c r="AG25" s="93">
        <f t="shared" si="26"/>
        <v>3.2896987686956529</v>
      </c>
      <c r="AH25" s="13">
        <f t="shared" si="26"/>
        <v>2.3643407247629002</v>
      </c>
      <c r="AI25" s="103"/>
    </row>
    <row r="26" spans="1:35">
      <c r="A26" s="557">
        <v>1</v>
      </c>
      <c r="B26" s="22">
        <v>43101</v>
      </c>
      <c r="C26" s="63"/>
      <c r="D26" s="64"/>
      <c r="E26" s="71"/>
      <c r="F26" s="72"/>
      <c r="G26" s="79">
        <f t="shared" ref="C26:L26" si="27">G6/G66</f>
        <v>1.2502634397275489</v>
      </c>
      <c r="H26" s="80">
        <f t="shared" si="27"/>
        <v>1.2524375180292056</v>
      </c>
      <c r="I26" s="87"/>
      <c r="J26" s="88"/>
      <c r="K26" s="94">
        <f t="shared" si="27"/>
        <v>1.5481179627190345</v>
      </c>
      <c r="L26" s="12">
        <f t="shared" si="27"/>
        <v>1.2654502196137931</v>
      </c>
      <c r="M26" s="101"/>
      <c r="N26" s="63"/>
      <c r="O26" s="64"/>
      <c r="P26" s="71"/>
      <c r="Q26" s="72"/>
      <c r="R26" s="79">
        <f t="shared" ref="N26:W26" si="28">R6/R66</f>
        <v>1.1171399708064291</v>
      </c>
      <c r="S26" s="80">
        <f t="shared" si="28"/>
        <v>1.1311532106458324</v>
      </c>
      <c r="T26" s="87"/>
      <c r="U26" s="88"/>
      <c r="V26" s="94">
        <f t="shared" si="28"/>
        <v>1.3980400413778582</v>
      </c>
      <c r="W26" s="12">
        <f t="shared" si="28"/>
        <v>1.5561645793075574</v>
      </c>
      <c r="X26" s="101"/>
      <c r="Y26" s="63"/>
      <c r="Z26" s="64"/>
      <c r="AA26" s="71"/>
      <c r="AB26" s="72"/>
      <c r="AC26" s="79">
        <f t="shared" ref="Y26:AH26" si="29">AC6/AC66</f>
        <v>3.4526394255629138</v>
      </c>
      <c r="AD26" s="80">
        <f t="shared" si="29"/>
        <v>2.0170958673105193</v>
      </c>
      <c r="AE26" s="87"/>
      <c r="AF26" s="88"/>
      <c r="AG26" s="94">
        <f t="shared" si="29"/>
        <v>2.7030654443446105</v>
      </c>
      <c r="AH26" s="12">
        <f t="shared" si="29"/>
        <v>1.0570845832468976</v>
      </c>
      <c r="AI26" s="101"/>
    </row>
    <row r="27" spans="1:35">
      <c r="A27" s="557">
        <v>2</v>
      </c>
      <c r="B27" s="23">
        <v>43132</v>
      </c>
      <c r="C27" s="65"/>
      <c r="D27" s="66"/>
      <c r="E27" s="73"/>
      <c r="F27" s="74"/>
      <c r="G27" s="81">
        <f t="shared" ref="C27:L27" si="30">G7/G67</f>
        <v>1.2594493674962468</v>
      </c>
      <c r="H27" s="82">
        <f t="shared" si="30"/>
        <v>1.11806582743657</v>
      </c>
      <c r="I27" s="89"/>
      <c r="J27" s="90"/>
      <c r="K27" s="95">
        <f t="shared" si="30"/>
        <v>1.3864452906587592</v>
      </c>
      <c r="L27" s="10">
        <f t="shared" si="30"/>
        <v>1.3342857901170555</v>
      </c>
      <c r="M27" s="101"/>
      <c r="N27" s="65"/>
      <c r="O27" s="66"/>
      <c r="P27" s="73"/>
      <c r="Q27" s="74"/>
      <c r="R27" s="81">
        <f t="shared" ref="N27:W27" si="31">R7/R67</f>
        <v>1.1676401376577707</v>
      </c>
      <c r="S27" s="82">
        <f t="shared" si="31"/>
        <v>1.035006480289193</v>
      </c>
      <c r="T27" s="89"/>
      <c r="U27" s="90"/>
      <c r="V27" s="95">
        <f t="shared" si="31"/>
        <v>1.364706724894827</v>
      </c>
      <c r="W27" s="10">
        <f t="shared" si="31"/>
        <v>1.5533495239382138</v>
      </c>
      <c r="X27" s="101"/>
      <c r="Y27" s="65"/>
      <c r="Z27" s="66"/>
      <c r="AA27" s="73"/>
      <c r="AB27" s="74"/>
      <c r="AC27" s="81">
        <f t="shared" ref="Y27:AH27" si="32">AC7/AC67</f>
        <v>2.7783283804380554</v>
      </c>
      <c r="AD27" s="82">
        <f t="shared" si="32"/>
        <v>1.6417281597887585</v>
      </c>
      <c r="AE27" s="89"/>
      <c r="AF27" s="90"/>
      <c r="AG27" s="95">
        <f t="shared" si="32"/>
        <v>1.5537377315377146</v>
      </c>
      <c r="AH27" s="10">
        <f t="shared" si="32"/>
        <v>1.1772747833314396</v>
      </c>
      <c r="AI27" s="101"/>
    </row>
    <row r="28" spans="1:35">
      <c r="A28" s="557">
        <v>3</v>
      </c>
      <c r="B28" s="23">
        <v>43160</v>
      </c>
      <c r="C28" s="65"/>
      <c r="D28" s="66"/>
      <c r="E28" s="73"/>
      <c r="F28" s="74"/>
      <c r="G28" s="81">
        <f t="shared" ref="C28:L28" si="33">G8/G68</f>
        <v>1.0571668299343671</v>
      </c>
      <c r="H28" s="82">
        <f t="shared" si="33"/>
        <v>1.2885484429934844</v>
      </c>
      <c r="I28" s="89"/>
      <c r="J28" s="90"/>
      <c r="K28" s="95">
        <f t="shared" si="33"/>
        <v>1.8943087110425376</v>
      </c>
      <c r="L28" s="10">
        <f t="shared" si="33"/>
        <v>2.5454990645595488</v>
      </c>
      <c r="M28" s="101"/>
      <c r="N28" s="65"/>
      <c r="O28" s="66"/>
      <c r="P28" s="73"/>
      <c r="Q28" s="74"/>
      <c r="R28" s="81">
        <f t="shared" ref="N28:W28" si="34">R8/R68</f>
        <v>0.93259374005300555</v>
      </c>
      <c r="S28" s="82">
        <f t="shared" si="34"/>
        <v>1.1138861788278553</v>
      </c>
      <c r="T28" s="89"/>
      <c r="U28" s="90"/>
      <c r="V28" s="95">
        <f t="shared" si="34"/>
        <v>1.9363967941240912</v>
      </c>
      <c r="W28" s="10">
        <f t="shared" si="34"/>
        <v>2.8757252373547781</v>
      </c>
      <c r="X28" s="101"/>
      <c r="Y28" s="65"/>
      <c r="Z28" s="66"/>
      <c r="AA28" s="73"/>
      <c r="AB28" s="74"/>
      <c r="AC28" s="81">
        <f t="shared" ref="Y28:AH28" si="35">AC8/AC68</f>
        <v>3.1180865449891746</v>
      </c>
      <c r="AD28" s="82">
        <f t="shared" si="35"/>
        <v>2.3897375537698728</v>
      </c>
      <c r="AE28" s="89"/>
      <c r="AF28" s="90"/>
      <c r="AG28" s="95">
        <f t="shared" si="35"/>
        <v>1.5704134629801481</v>
      </c>
      <c r="AH28" s="10">
        <f t="shared" si="35"/>
        <v>2.3088138636222308</v>
      </c>
      <c r="AI28" s="101"/>
    </row>
    <row r="29" spans="1:35">
      <c r="A29" s="557">
        <v>4</v>
      </c>
      <c r="B29" s="23">
        <v>43191</v>
      </c>
      <c r="C29" s="65"/>
      <c r="D29" s="66"/>
      <c r="E29" s="73"/>
      <c r="F29" s="74"/>
      <c r="G29" s="81">
        <f t="shared" ref="C29:L29" si="36">G9/G69</f>
        <v>1.0530213991444657</v>
      </c>
      <c r="H29" s="82">
        <f t="shared" si="36"/>
        <v>1.2428331114911475</v>
      </c>
      <c r="I29" s="89"/>
      <c r="J29" s="90"/>
      <c r="K29" s="95">
        <f t="shared" si="36"/>
        <v>3.8108069200553794</v>
      </c>
      <c r="L29" s="10">
        <f t="shared" si="36"/>
        <v>7.7181416176387403</v>
      </c>
      <c r="M29" s="101"/>
      <c r="N29" s="65"/>
      <c r="O29" s="66"/>
      <c r="P29" s="73"/>
      <c r="Q29" s="74"/>
      <c r="R29" s="81">
        <f t="shared" ref="N29:W29" si="37">R9/R69</f>
        <v>0.88190668414789974</v>
      </c>
      <c r="S29" s="82">
        <f t="shared" si="37"/>
        <v>0.98607279524243752</v>
      </c>
      <c r="T29" s="89"/>
      <c r="U29" s="90"/>
      <c r="V29" s="95">
        <f t="shared" si="37"/>
        <v>2.2173746728128312</v>
      </c>
      <c r="W29" s="10">
        <f t="shared" si="37"/>
        <v>3.6179022449981137</v>
      </c>
      <c r="X29" s="101"/>
      <c r="Y29" s="65"/>
      <c r="Z29" s="66"/>
      <c r="AA29" s="73"/>
      <c r="AB29" s="74"/>
      <c r="AC29" s="81">
        <f t="shared" ref="Y29:AH29" si="38">AC9/AC69</f>
        <v>3.8839192279472989</v>
      </c>
      <c r="AD29" s="82">
        <f t="shared" si="38"/>
        <v>2.8616239000066459</v>
      </c>
      <c r="AE29" s="89"/>
      <c r="AF29" s="90"/>
      <c r="AG29" s="95">
        <f t="shared" si="38"/>
        <v>16.073307257530644</v>
      </c>
      <c r="AH29" s="10">
        <f t="shared" si="38"/>
        <v>10.656933451096247</v>
      </c>
      <c r="AI29" s="101"/>
    </row>
    <row r="30" spans="1:35">
      <c r="A30" s="557">
        <v>5</v>
      </c>
      <c r="B30" s="23">
        <v>43221</v>
      </c>
      <c r="C30" s="65"/>
      <c r="D30" s="66"/>
      <c r="E30" s="73"/>
      <c r="F30" s="74"/>
      <c r="G30" s="81">
        <f t="shared" ref="C30:L30" si="39">G10/G70</f>
        <v>1.1156668343971425</v>
      </c>
      <c r="H30" s="82">
        <f t="shared" si="39"/>
        <v>1.3930493394348409</v>
      </c>
      <c r="I30" s="89"/>
      <c r="J30" s="90"/>
      <c r="K30" s="95">
        <f t="shared" si="39"/>
        <v>3.9342585018814829</v>
      </c>
      <c r="L30" s="10">
        <f t="shared" si="39"/>
        <v>10.31160979077195</v>
      </c>
      <c r="M30" s="101"/>
      <c r="N30" s="65"/>
      <c r="O30" s="66"/>
      <c r="P30" s="73"/>
      <c r="Q30" s="74"/>
      <c r="R30" s="81">
        <f t="shared" ref="N30:W30" si="40">R10/R70</f>
        <v>0.86150846034834572</v>
      </c>
      <c r="S30" s="82">
        <f t="shared" si="40"/>
        <v>0.95596592134077607</v>
      </c>
      <c r="T30" s="89"/>
      <c r="U30" s="90"/>
      <c r="V30" s="95">
        <f t="shared" si="40"/>
        <v>1.7369766446175472</v>
      </c>
      <c r="W30" s="10">
        <f t="shared" si="40"/>
        <v>3.166104030888143</v>
      </c>
      <c r="X30" s="101"/>
      <c r="Y30" s="65"/>
      <c r="Z30" s="66"/>
      <c r="AA30" s="73"/>
      <c r="AB30" s="74"/>
      <c r="AC30" s="81">
        <f t="shared" ref="Y30:AH30" si="41">AC10/AC70</f>
        <v>5.3204273033096943</v>
      </c>
      <c r="AD30" s="82">
        <f t="shared" si="41"/>
        <v>4.1487189902627266</v>
      </c>
      <c r="AE30" s="89"/>
      <c r="AF30" s="90"/>
      <c r="AG30" s="95">
        <f t="shared" si="41"/>
        <v>20.843775403434368</v>
      </c>
      <c r="AH30" s="10">
        <f t="shared" si="41"/>
        <v>15.433055653954881</v>
      </c>
      <c r="AI30" s="101"/>
    </row>
    <row r="31" spans="1:35">
      <c r="A31" s="557">
        <v>6</v>
      </c>
      <c r="B31" s="23">
        <v>43252</v>
      </c>
      <c r="C31" s="65"/>
      <c r="D31" s="66"/>
      <c r="E31" s="73"/>
      <c r="F31" s="74"/>
      <c r="G31" s="81">
        <f t="shared" ref="C31:L31" si="42">G11/G71</f>
        <v>0</v>
      </c>
      <c r="H31" s="82">
        <f t="shared" si="42"/>
        <v>0</v>
      </c>
      <c r="I31" s="89"/>
      <c r="J31" s="90"/>
      <c r="K31" s="95">
        <f t="shared" si="42"/>
        <v>0</v>
      </c>
      <c r="L31" s="10">
        <f t="shared" si="42"/>
        <v>0</v>
      </c>
      <c r="M31" s="101"/>
      <c r="N31" s="65"/>
      <c r="O31" s="66"/>
      <c r="P31" s="73"/>
      <c r="Q31" s="74"/>
      <c r="R31" s="81">
        <f t="shared" ref="N31:W31" si="43">R11/R71</f>
        <v>0</v>
      </c>
      <c r="S31" s="82">
        <f t="shared" si="43"/>
        <v>0</v>
      </c>
      <c r="T31" s="89"/>
      <c r="U31" s="90"/>
      <c r="V31" s="95">
        <f t="shared" si="43"/>
        <v>0</v>
      </c>
      <c r="W31" s="10">
        <f t="shared" si="43"/>
        <v>0</v>
      </c>
      <c r="X31" s="101"/>
      <c r="Y31" s="65"/>
      <c r="Z31" s="66"/>
      <c r="AA31" s="73"/>
      <c r="AB31" s="74"/>
      <c r="AC31" s="81">
        <f t="shared" ref="Y31:AH31" si="44">AC11/AC71</f>
        <v>0</v>
      </c>
      <c r="AD31" s="82">
        <f t="shared" si="44"/>
        <v>0</v>
      </c>
      <c r="AE31" s="89"/>
      <c r="AF31" s="90"/>
      <c r="AG31" s="95">
        <f t="shared" si="44"/>
        <v>0</v>
      </c>
      <c r="AH31" s="10">
        <f t="shared" si="44"/>
        <v>0</v>
      </c>
      <c r="AI31" s="101"/>
    </row>
    <row r="32" spans="1:35">
      <c r="A32" s="557">
        <v>7</v>
      </c>
      <c r="B32" s="23">
        <v>43282</v>
      </c>
      <c r="C32" s="65"/>
      <c r="D32" s="66"/>
      <c r="E32" s="73"/>
      <c r="F32" s="74"/>
      <c r="G32" s="81">
        <f t="shared" ref="C32:L32" si="45">G12/G72</f>
        <v>0</v>
      </c>
      <c r="H32" s="82">
        <f t="shared" si="45"/>
        <v>0</v>
      </c>
      <c r="I32" s="89"/>
      <c r="J32" s="90"/>
      <c r="K32" s="95">
        <f t="shared" si="45"/>
        <v>0</v>
      </c>
      <c r="L32" s="10">
        <f t="shared" si="45"/>
        <v>0</v>
      </c>
      <c r="M32" s="101"/>
      <c r="N32" s="65"/>
      <c r="O32" s="66"/>
      <c r="P32" s="73"/>
      <c r="Q32" s="74"/>
      <c r="R32" s="81">
        <f t="shared" ref="N32:W32" si="46">R12/R72</f>
        <v>0</v>
      </c>
      <c r="S32" s="82">
        <f t="shared" si="46"/>
        <v>0</v>
      </c>
      <c r="T32" s="89"/>
      <c r="U32" s="90"/>
      <c r="V32" s="95">
        <f t="shared" si="46"/>
        <v>0</v>
      </c>
      <c r="W32" s="10">
        <f t="shared" si="46"/>
        <v>0</v>
      </c>
      <c r="X32" s="101"/>
      <c r="Y32" s="65"/>
      <c r="Z32" s="66"/>
      <c r="AA32" s="73"/>
      <c r="AB32" s="74"/>
      <c r="AC32" s="81">
        <f t="shared" ref="Y32:AH32" si="47">AC12/AC72</f>
        <v>0</v>
      </c>
      <c r="AD32" s="82">
        <f t="shared" si="47"/>
        <v>0</v>
      </c>
      <c r="AE32" s="89"/>
      <c r="AF32" s="90"/>
      <c r="AG32" s="95">
        <f t="shared" si="47"/>
        <v>0</v>
      </c>
      <c r="AH32" s="10">
        <f t="shared" si="47"/>
        <v>0</v>
      </c>
      <c r="AI32" s="101"/>
    </row>
    <row r="33" spans="1:35">
      <c r="A33" s="557">
        <v>8</v>
      </c>
      <c r="B33" s="23">
        <v>43313</v>
      </c>
      <c r="C33" s="65"/>
      <c r="D33" s="66"/>
      <c r="E33" s="73"/>
      <c r="F33" s="74"/>
      <c r="G33" s="81">
        <f t="shared" ref="C33:L33" si="48">G13/G73</f>
        <v>0</v>
      </c>
      <c r="H33" s="82">
        <f t="shared" si="48"/>
        <v>0</v>
      </c>
      <c r="I33" s="89"/>
      <c r="J33" s="90"/>
      <c r="K33" s="95">
        <f t="shared" si="48"/>
        <v>0</v>
      </c>
      <c r="L33" s="10">
        <f t="shared" si="48"/>
        <v>0</v>
      </c>
      <c r="M33" s="101"/>
      <c r="N33" s="65"/>
      <c r="O33" s="66"/>
      <c r="P33" s="73"/>
      <c r="Q33" s="74"/>
      <c r="R33" s="81">
        <f t="shared" ref="N33:W33" si="49">R13/R73</f>
        <v>0</v>
      </c>
      <c r="S33" s="82">
        <f t="shared" si="49"/>
        <v>0</v>
      </c>
      <c r="T33" s="89"/>
      <c r="U33" s="90"/>
      <c r="V33" s="95">
        <f t="shared" si="49"/>
        <v>0</v>
      </c>
      <c r="W33" s="10">
        <f t="shared" si="49"/>
        <v>0</v>
      </c>
      <c r="X33" s="101"/>
      <c r="Y33" s="65"/>
      <c r="Z33" s="66"/>
      <c r="AA33" s="73"/>
      <c r="AB33" s="74"/>
      <c r="AC33" s="81">
        <f t="shared" ref="Y33:AH33" si="50">AC13/AC73</f>
        <v>0</v>
      </c>
      <c r="AD33" s="82">
        <f t="shared" si="50"/>
        <v>0</v>
      </c>
      <c r="AE33" s="89"/>
      <c r="AF33" s="90"/>
      <c r="AG33" s="95">
        <f t="shared" si="50"/>
        <v>0</v>
      </c>
      <c r="AH33" s="10">
        <f t="shared" si="50"/>
        <v>0</v>
      </c>
      <c r="AI33" s="101"/>
    </row>
    <row r="34" spans="1:35">
      <c r="A34" s="557">
        <v>9</v>
      </c>
      <c r="B34" s="23">
        <v>43344</v>
      </c>
      <c r="C34" s="65"/>
      <c r="D34" s="66"/>
      <c r="E34" s="73"/>
      <c r="F34" s="74"/>
      <c r="G34" s="81">
        <f t="shared" ref="C34:L34" si="51">G14/G74</f>
        <v>0</v>
      </c>
      <c r="H34" s="82">
        <f t="shared" si="51"/>
        <v>0</v>
      </c>
      <c r="I34" s="89"/>
      <c r="J34" s="90"/>
      <c r="K34" s="95">
        <f t="shared" si="51"/>
        <v>0</v>
      </c>
      <c r="L34" s="10">
        <f t="shared" si="51"/>
        <v>0</v>
      </c>
      <c r="M34" s="101"/>
      <c r="N34" s="65"/>
      <c r="O34" s="66"/>
      <c r="P34" s="73"/>
      <c r="Q34" s="74"/>
      <c r="R34" s="81">
        <f t="shared" ref="N34:W34" si="52">R14/R74</f>
        <v>0</v>
      </c>
      <c r="S34" s="82">
        <f t="shared" si="52"/>
        <v>0</v>
      </c>
      <c r="T34" s="89"/>
      <c r="U34" s="90"/>
      <c r="V34" s="95">
        <f t="shared" si="52"/>
        <v>0</v>
      </c>
      <c r="W34" s="10">
        <f t="shared" si="52"/>
        <v>0</v>
      </c>
      <c r="X34" s="101"/>
      <c r="Y34" s="65"/>
      <c r="Z34" s="66"/>
      <c r="AA34" s="73"/>
      <c r="AB34" s="74"/>
      <c r="AC34" s="81">
        <f t="shared" ref="Y34:AH34" si="53">AC14/AC74</f>
        <v>0</v>
      </c>
      <c r="AD34" s="82">
        <f t="shared" si="53"/>
        <v>0</v>
      </c>
      <c r="AE34" s="89"/>
      <c r="AF34" s="90"/>
      <c r="AG34" s="95">
        <f t="shared" si="53"/>
        <v>0</v>
      </c>
      <c r="AH34" s="10">
        <f t="shared" si="53"/>
        <v>0</v>
      </c>
      <c r="AI34" s="101"/>
    </row>
    <row r="35" spans="1:35">
      <c r="A35" s="557">
        <v>10</v>
      </c>
      <c r="B35" s="23">
        <v>43374</v>
      </c>
      <c r="C35" s="65"/>
      <c r="D35" s="66"/>
      <c r="E35" s="73"/>
      <c r="F35" s="74"/>
      <c r="G35" s="81">
        <f t="shared" ref="C35:L35" si="54">G15/G75</f>
        <v>0</v>
      </c>
      <c r="H35" s="82">
        <f t="shared" si="54"/>
        <v>0</v>
      </c>
      <c r="I35" s="89"/>
      <c r="J35" s="90"/>
      <c r="K35" s="95">
        <f t="shared" si="54"/>
        <v>0</v>
      </c>
      <c r="L35" s="10">
        <f t="shared" si="54"/>
        <v>0</v>
      </c>
      <c r="M35" s="101"/>
      <c r="N35" s="65"/>
      <c r="O35" s="66"/>
      <c r="P35" s="73"/>
      <c r="Q35" s="74"/>
      <c r="R35" s="81">
        <f t="shared" ref="N35:W35" si="55">R15/R75</f>
        <v>0</v>
      </c>
      <c r="S35" s="82">
        <f t="shared" si="55"/>
        <v>0</v>
      </c>
      <c r="T35" s="89"/>
      <c r="U35" s="90"/>
      <c r="V35" s="95">
        <f t="shared" si="55"/>
        <v>0</v>
      </c>
      <c r="W35" s="10">
        <f t="shared" si="55"/>
        <v>0</v>
      </c>
      <c r="X35" s="101"/>
      <c r="Y35" s="65"/>
      <c r="Z35" s="66"/>
      <c r="AA35" s="73"/>
      <c r="AB35" s="74"/>
      <c r="AC35" s="81">
        <f t="shared" ref="Y35:AH35" si="56">AC15/AC75</f>
        <v>0</v>
      </c>
      <c r="AD35" s="82">
        <f t="shared" si="56"/>
        <v>0</v>
      </c>
      <c r="AE35" s="89"/>
      <c r="AF35" s="90"/>
      <c r="AG35" s="95">
        <f t="shared" si="56"/>
        <v>0</v>
      </c>
      <c r="AH35" s="10">
        <f t="shared" si="56"/>
        <v>0</v>
      </c>
      <c r="AI35" s="101"/>
    </row>
    <row r="36" spans="1:35">
      <c r="A36" s="557">
        <v>11</v>
      </c>
      <c r="B36" s="23">
        <v>43405</v>
      </c>
      <c r="C36" s="65"/>
      <c r="D36" s="66"/>
      <c r="E36" s="73"/>
      <c r="F36" s="74"/>
      <c r="G36" s="81">
        <f t="shared" ref="C36:L36" si="57">G16/G76</f>
        <v>0</v>
      </c>
      <c r="H36" s="82">
        <f t="shared" si="57"/>
        <v>0</v>
      </c>
      <c r="I36" s="89"/>
      <c r="J36" s="90"/>
      <c r="K36" s="95">
        <f t="shared" si="57"/>
        <v>0</v>
      </c>
      <c r="L36" s="10">
        <f t="shared" si="57"/>
        <v>0</v>
      </c>
      <c r="M36" s="101"/>
      <c r="N36" s="65"/>
      <c r="O36" s="66"/>
      <c r="P36" s="73"/>
      <c r="Q36" s="74"/>
      <c r="R36" s="81">
        <f t="shared" ref="N36:W36" si="58">R16/R76</f>
        <v>0</v>
      </c>
      <c r="S36" s="82">
        <f t="shared" si="58"/>
        <v>0</v>
      </c>
      <c r="T36" s="89"/>
      <c r="U36" s="90"/>
      <c r="V36" s="95">
        <f t="shared" si="58"/>
        <v>0</v>
      </c>
      <c r="W36" s="10">
        <f t="shared" si="58"/>
        <v>0</v>
      </c>
      <c r="X36" s="101"/>
      <c r="Y36" s="65"/>
      <c r="Z36" s="66"/>
      <c r="AA36" s="73"/>
      <c r="AB36" s="74"/>
      <c r="AC36" s="81">
        <f t="shared" ref="Y36:AH36" si="59">AC16/AC76</f>
        <v>0</v>
      </c>
      <c r="AD36" s="82">
        <f t="shared" si="59"/>
        <v>0</v>
      </c>
      <c r="AE36" s="89"/>
      <c r="AF36" s="90"/>
      <c r="AG36" s="95">
        <f t="shared" si="59"/>
        <v>0</v>
      </c>
      <c r="AH36" s="10">
        <f t="shared" si="59"/>
        <v>0</v>
      </c>
      <c r="AI36" s="101"/>
    </row>
    <row r="37" spans="1:35" ht="15" thickBot="1">
      <c r="A37" s="557">
        <v>12</v>
      </c>
      <c r="B37" s="24">
        <v>43435</v>
      </c>
      <c r="C37" s="67"/>
      <c r="D37" s="68"/>
      <c r="E37" s="75"/>
      <c r="F37" s="76"/>
      <c r="G37" s="83">
        <f t="shared" ref="C37:L37" si="60">G17/G77</f>
        <v>0</v>
      </c>
      <c r="H37" s="84">
        <f t="shared" si="60"/>
        <v>0</v>
      </c>
      <c r="I37" s="91"/>
      <c r="J37" s="92"/>
      <c r="K37" s="96">
        <f t="shared" si="60"/>
        <v>0</v>
      </c>
      <c r="L37" s="11">
        <f t="shared" si="60"/>
        <v>0</v>
      </c>
      <c r="M37" s="101"/>
      <c r="N37" s="67"/>
      <c r="O37" s="68"/>
      <c r="P37" s="75"/>
      <c r="Q37" s="76"/>
      <c r="R37" s="83">
        <f t="shared" ref="N37:W37" si="61">R17/R77</f>
        <v>0</v>
      </c>
      <c r="S37" s="84">
        <f t="shared" si="61"/>
        <v>0</v>
      </c>
      <c r="T37" s="91"/>
      <c r="U37" s="92"/>
      <c r="V37" s="96">
        <f t="shared" si="61"/>
        <v>0</v>
      </c>
      <c r="W37" s="11">
        <f t="shared" si="61"/>
        <v>0</v>
      </c>
      <c r="X37" s="101"/>
      <c r="Y37" s="67"/>
      <c r="Z37" s="68"/>
      <c r="AA37" s="75"/>
      <c r="AB37" s="76"/>
      <c r="AC37" s="83">
        <f t="shared" ref="Y37:AH37" si="62">AC17/AC77</f>
        <v>0</v>
      </c>
      <c r="AD37" s="84">
        <f t="shared" si="62"/>
        <v>0</v>
      </c>
      <c r="AE37" s="91"/>
      <c r="AF37" s="92"/>
      <c r="AG37" s="96">
        <f t="shared" si="62"/>
        <v>0</v>
      </c>
      <c r="AH37" s="11">
        <f t="shared" si="62"/>
        <v>0</v>
      </c>
      <c r="AI37" s="101"/>
    </row>
    <row r="38" spans="1:35" ht="15" thickBot="1">
      <c r="M38" s="101"/>
      <c r="X38" s="101"/>
      <c r="AI38" s="101"/>
    </row>
    <row r="39" spans="1:35">
      <c r="A39" s="557"/>
      <c r="B39" s="641" t="s">
        <v>124</v>
      </c>
      <c r="C39" s="642"/>
      <c r="D39" s="643"/>
      <c r="E39" s="644"/>
      <c r="F39" s="645"/>
      <c r="G39" s="646">
        <f t="shared" ref="C39:L39" si="63">G19/G79</f>
        <v>1.1819595888581866</v>
      </c>
      <c r="H39" s="647">
        <f t="shared" si="63"/>
        <v>1.2256676468277237</v>
      </c>
      <c r="I39" s="648"/>
      <c r="J39" s="649"/>
      <c r="K39" s="650">
        <f t="shared" si="63"/>
        <v>1.6272912121335712</v>
      </c>
      <c r="L39" s="651">
        <f t="shared" si="63"/>
        <v>1.7569121462818738</v>
      </c>
      <c r="M39" s="652"/>
      <c r="N39" s="642"/>
      <c r="O39" s="643"/>
      <c r="P39" s="644"/>
      <c r="Q39" s="645"/>
      <c r="R39" s="646">
        <f t="shared" ref="N39:W39" si="64">R19/R79</f>
        <v>1.064297425963131</v>
      </c>
      <c r="S39" s="647">
        <f t="shared" si="64"/>
        <v>1.0961397112287914</v>
      </c>
      <c r="T39" s="648"/>
      <c r="U39" s="649"/>
      <c r="V39" s="650">
        <f t="shared" si="64"/>
        <v>1.5861702630332899</v>
      </c>
      <c r="W39" s="651">
        <f t="shared" si="64"/>
        <v>2.0408046451933686</v>
      </c>
      <c r="X39" s="652"/>
      <c r="Y39" s="642"/>
      <c r="Z39" s="643"/>
      <c r="AA39" s="644"/>
      <c r="AB39" s="645"/>
      <c r="AC39" s="646">
        <f t="shared" ref="Y39:AH39" si="65">AC19/AC79</f>
        <v>3.1285458978062155</v>
      </c>
      <c r="AD39" s="647">
        <f t="shared" si="65"/>
        <v>2.0422994070093705</v>
      </c>
      <c r="AE39" s="648"/>
      <c r="AF39" s="649"/>
      <c r="AG39" s="650">
        <f t="shared" si="65"/>
        <v>1.943743733470519</v>
      </c>
      <c r="AH39" s="651">
        <f t="shared" si="65"/>
        <v>1.5534359875610133</v>
      </c>
      <c r="AI39" s="101"/>
    </row>
    <row r="40" spans="1:35">
      <c r="A40" s="557"/>
      <c r="B40" s="653" t="s">
        <v>125</v>
      </c>
      <c r="C40" s="65"/>
      <c r="D40" s="66"/>
      <c r="E40" s="73"/>
      <c r="F40" s="74"/>
      <c r="G40" s="81">
        <f t="shared" ref="C40:L40" si="66">G20/G80</f>
        <v>0.71878026926573346</v>
      </c>
      <c r="H40" s="82">
        <f t="shared" si="66"/>
        <v>0.87460638037122118</v>
      </c>
      <c r="I40" s="89"/>
      <c r="J40" s="90"/>
      <c r="K40" s="95">
        <f t="shared" si="66"/>
        <v>2.5656611721761737</v>
      </c>
      <c r="L40" s="10">
        <f t="shared" si="66"/>
        <v>6.0031585669326351</v>
      </c>
      <c r="M40" s="654"/>
      <c r="N40" s="65"/>
      <c r="O40" s="66"/>
      <c r="P40" s="73"/>
      <c r="Q40" s="74"/>
      <c r="R40" s="81">
        <f t="shared" ref="N40:W40" si="67">R20/R80</f>
        <v>0.57689224170795372</v>
      </c>
      <c r="S40" s="82">
        <f t="shared" si="67"/>
        <v>0.64251851130749316</v>
      </c>
      <c r="T40" s="89"/>
      <c r="U40" s="90"/>
      <c r="V40" s="95">
        <f t="shared" si="67"/>
        <v>1.3027347150822584</v>
      </c>
      <c r="W40" s="10">
        <f t="shared" si="67"/>
        <v>2.2398788330150365</v>
      </c>
      <c r="X40" s="654"/>
      <c r="Y40" s="65"/>
      <c r="Z40" s="66"/>
      <c r="AA40" s="73"/>
      <c r="AB40" s="74"/>
      <c r="AC40" s="81">
        <f t="shared" ref="Y40:AH40" si="68">AC20/AC80</f>
        <v>3.0661558830725073</v>
      </c>
      <c r="AD40" s="82">
        <f t="shared" si="68"/>
        <v>2.3378453654900579</v>
      </c>
      <c r="AE40" s="89"/>
      <c r="AF40" s="90"/>
      <c r="AG40" s="95">
        <f t="shared" si="68"/>
        <v>12.284703907203264</v>
      </c>
      <c r="AH40" s="10">
        <f t="shared" si="68"/>
        <v>8.7004390776386895</v>
      </c>
      <c r="AI40" s="101"/>
    </row>
    <row r="41" spans="1:35">
      <c r="A41" s="557"/>
      <c r="B41" s="653" t="s">
        <v>126</v>
      </c>
      <c r="C41" s="65"/>
      <c r="D41" s="66"/>
      <c r="E41" s="73"/>
      <c r="F41" s="74"/>
      <c r="G41" s="81">
        <f t="shared" ref="C41:L41" si="69">G21/G81</f>
        <v>0</v>
      </c>
      <c r="H41" s="82">
        <f t="shared" si="69"/>
        <v>0</v>
      </c>
      <c r="I41" s="89"/>
      <c r="J41" s="90"/>
      <c r="K41" s="95">
        <f t="shared" si="69"/>
        <v>0</v>
      </c>
      <c r="L41" s="10">
        <f t="shared" si="69"/>
        <v>0</v>
      </c>
      <c r="M41" s="654"/>
      <c r="N41" s="65"/>
      <c r="O41" s="66"/>
      <c r="P41" s="73"/>
      <c r="Q41" s="74"/>
      <c r="R41" s="81">
        <f t="shared" ref="N41:W41" si="70">R21/R81</f>
        <v>0</v>
      </c>
      <c r="S41" s="82">
        <f t="shared" si="70"/>
        <v>0</v>
      </c>
      <c r="T41" s="89"/>
      <c r="U41" s="90"/>
      <c r="V41" s="95">
        <f t="shared" si="70"/>
        <v>0</v>
      </c>
      <c r="W41" s="10">
        <f t="shared" si="70"/>
        <v>0</v>
      </c>
      <c r="X41" s="654"/>
      <c r="Y41" s="65"/>
      <c r="Z41" s="66"/>
      <c r="AA41" s="73"/>
      <c r="AB41" s="74"/>
      <c r="AC41" s="81">
        <f t="shared" ref="Y41:AH41" si="71">AC21/AC81</f>
        <v>0</v>
      </c>
      <c r="AD41" s="82">
        <f t="shared" si="71"/>
        <v>0</v>
      </c>
      <c r="AE41" s="89"/>
      <c r="AF41" s="90"/>
      <c r="AG41" s="95">
        <f t="shared" si="71"/>
        <v>0</v>
      </c>
      <c r="AH41" s="10">
        <f t="shared" si="71"/>
        <v>0</v>
      </c>
      <c r="AI41" s="101"/>
    </row>
    <row r="42" spans="1:35" ht="15" thickBot="1">
      <c r="A42" s="557"/>
      <c r="B42" s="655" t="s">
        <v>127</v>
      </c>
      <c r="C42" s="67"/>
      <c r="D42" s="68"/>
      <c r="E42" s="75"/>
      <c r="F42" s="76"/>
      <c r="G42" s="83">
        <f t="shared" ref="C42:L42" si="72">G22/G82</f>
        <v>0</v>
      </c>
      <c r="H42" s="84">
        <f t="shared" si="72"/>
        <v>0</v>
      </c>
      <c r="I42" s="91"/>
      <c r="J42" s="92"/>
      <c r="K42" s="96">
        <f t="shared" si="72"/>
        <v>0</v>
      </c>
      <c r="L42" s="11">
        <f t="shared" si="72"/>
        <v>0</v>
      </c>
      <c r="M42" s="656"/>
      <c r="N42" s="67"/>
      <c r="O42" s="68"/>
      <c r="P42" s="75"/>
      <c r="Q42" s="76"/>
      <c r="R42" s="83">
        <f t="shared" ref="N42:W42" si="73">R22/R82</f>
        <v>0</v>
      </c>
      <c r="S42" s="84">
        <f t="shared" si="73"/>
        <v>0</v>
      </c>
      <c r="T42" s="91"/>
      <c r="U42" s="92"/>
      <c r="V42" s="96">
        <f t="shared" si="73"/>
        <v>0</v>
      </c>
      <c r="W42" s="11">
        <f t="shared" si="73"/>
        <v>0</v>
      </c>
      <c r="X42" s="656"/>
      <c r="Y42" s="67"/>
      <c r="Z42" s="68"/>
      <c r="AA42" s="75"/>
      <c r="AB42" s="76"/>
      <c r="AC42" s="83">
        <f t="shared" ref="Y42:AH42" si="74">AC22/AC82</f>
        <v>0</v>
      </c>
      <c r="AD42" s="84">
        <f t="shared" si="74"/>
        <v>0</v>
      </c>
      <c r="AE42" s="91"/>
      <c r="AF42" s="92"/>
      <c r="AG42" s="96">
        <f t="shared" si="74"/>
        <v>0</v>
      </c>
      <c r="AH42" s="11">
        <f t="shared" si="74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90</v>
      </c>
      <c r="M44" s="101"/>
      <c r="R44">
        <f>R47/2</f>
        <v>40188247.202679217</v>
      </c>
      <c r="X44" s="101"/>
      <c r="AI44" s="101"/>
    </row>
    <row r="45" spans="1:35" ht="15" thickBot="1">
      <c r="B45" s="21" t="s">
        <v>5</v>
      </c>
      <c r="C45" s="25"/>
      <c r="D45" s="26"/>
      <c r="E45" s="33"/>
      <c r="F45" s="34"/>
      <c r="G45" s="41">
        <f t="shared" ref="F45:L45" si="75">SUM(G46:G57)</f>
        <v>-5243782115</v>
      </c>
      <c r="H45" s="42">
        <f t="shared" si="75"/>
        <v>-1007764.0543315229</v>
      </c>
      <c r="I45" s="49"/>
      <c r="J45" s="50"/>
      <c r="K45" s="57">
        <f t="shared" si="75"/>
        <v>-93588648.00000003</v>
      </c>
      <c r="L45" s="18">
        <f t="shared" si="75"/>
        <v>160055.50193798577</v>
      </c>
      <c r="M45" s="101"/>
      <c r="N45" s="25"/>
      <c r="O45" s="26"/>
      <c r="P45" s="33"/>
      <c r="Q45" s="34"/>
      <c r="R45" s="41">
        <f t="shared" ref="Q45:W45" si="76">SUM(R46:R57)</f>
        <v>-5411540645.999999</v>
      </c>
      <c r="S45" s="42">
        <f t="shared" si="76"/>
        <v>-995818.99602375261</v>
      </c>
      <c r="T45" s="49"/>
      <c r="U45" s="50"/>
      <c r="V45" s="57">
        <f t="shared" si="76"/>
        <v>-422732846</v>
      </c>
      <c r="W45" s="18">
        <f t="shared" si="76"/>
        <v>-6242.7045258763246</v>
      </c>
      <c r="X45" s="101"/>
      <c r="Y45" s="25"/>
      <c r="Z45" s="26"/>
      <c r="AA45" s="33"/>
      <c r="AB45" s="34"/>
      <c r="AC45" s="41">
        <f t="shared" ref="AB45:AH45" si="77">SUM(AC46:AC57)</f>
        <v>167758530.9999997</v>
      </c>
      <c r="AD45" s="42">
        <f t="shared" si="77"/>
        <v>-11945.058307770305</v>
      </c>
      <c r="AE45" s="49"/>
      <c r="AF45" s="50"/>
      <c r="AG45" s="57">
        <f t="shared" si="77"/>
        <v>329144198</v>
      </c>
      <c r="AH45" s="18">
        <f t="shared" si="77"/>
        <v>166298.20646386204</v>
      </c>
      <c r="AI45" s="101"/>
    </row>
    <row r="46" spans="1:35">
      <c r="A46" s="557">
        <v>1</v>
      </c>
      <c r="B46" s="22">
        <v>43101</v>
      </c>
      <c r="C46" s="27"/>
      <c r="D46" s="28"/>
      <c r="E46" s="35"/>
      <c r="F46" s="36"/>
      <c r="G46" s="43">
        <f t="shared" ref="E46:L57" si="78">G6-G66</f>
        <v>142568759.16597044</v>
      </c>
      <c r="H46" s="44">
        <f t="shared" si="78"/>
        <v>29904.861305609404</v>
      </c>
      <c r="I46" s="51"/>
      <c r="J46" s="52"/>
      <c r="K46" s="58">
        <f t="shared" si="78"/>
        <v>44606993.737995774</v>
      </c>
      <c r="L46" s="17">
        <f t="shared" si="78"/>
        <v>3616.3495156655372</v>
      </c>
      <c r="M46" s="101"/>
      <c r="N46" s="27"/>
      <c r="O46" s="28"/>
      <c r="P46" s="35"/>
      <c r="Q46" s="36"/>
      <c r="R46" s="43">
        <f t="shared" ref="P46:W57" si="79">R6-R66</f>
        <v>62927976.165510178</v>
      </c>
      <c r="S46" s="44">
        <f t="shared" si="79"/>
        <v>13409.99573902975</v>
      </c>
      <c r="T46" s="51"/>
      <c r="U46" s="52"/>
      <c r="V46" s="58">
        <f t="shared" si="79"/>
        <v>28668102.843126252</v>
      </c>
      <c r="W46" s="17">
        <f t="shared" si="79"/>
        <v>3163.3450693251962</v>
      </c>
      <c r="X46" s="101"/>
      <c r="Y46" s="27"/>
      <c r="Z46" s="28"/>
      <c r="AA46" s="35"/>
      <c r="AB46" s="36"/>
      <c r="AC46" s="43">
        <f t="shared" ref="AA46:AH57" si="80">AC6-AC66</f>
        <v>79640783.000460267</v>
      </c>
      <c r="AD46" s="44">
        <f t="shared" si="80"/>
        <v>16494.865566579658</v>
      </c>
      <c r="AE46" s="51"/>
      <c r="AF46" s="52"/>
      <c r="AG46" s="58">
        <f t="shared" si="80"/>
        <v>15938890.894869521</v>
      </c>
      <c r="AH46" s="17">
        <f t="shared" si="80"/>
        <v>453.0044463403392</v>
      </c>
      <c r="AI46" s="101"/>
    </row>
    <row r="47" spans="1:35">
      <c r="A47" s="557">
        <v>2</v>
      </c>
      <c r="B47" s="23">
        <v>43132</v>
      </c>
      <c r="C47" s="29"/>
      <c r="D47" s="30"/>
      <c r="E47" s="35"/>
      <c r="F47" s="38"/>
      <c r="G47" s="45">
        <f t="shared" si="78"/>
        <v>131914329.82222527</v>
      </c>
      <c r="H47" s="46">
        <f t="shared" si="78"/>
        <v>12483.159076782686</v>
      </c>
      <c r="I47" s="53"/>
      <c r="J47" s="54"/>
      <c r="K47" s="59">
        <f t="shared" si="78"/>
        <v>28069154.974603608</v>
      </c>
      <c r="L47" s="15">
        <f t="shared" si="78"/>
        <v>4064.5982285075388</v>
      </c>
      <c r="M47" s="103"/>
      <c r="N47" s="29"/>
      <c r="O47" s="30"/>
      <c r="P47" s="35"/>
      <c r="Q47" s="38"/>
      <c r="R47" s="45">
        <f t="shared" si="79"/>
        <v>80376494.405358434</v>
      </c>
      <c r="S47" s="46">
        <f t="shared" si="79"/>
        <v>3194.5563924649468</v>
      </c>
      <c r="T47" s="53"/>
      <c r="U47" s="54"/>
      <c r="V47" s="59">
        <f t="shared" si="79"/>
        <v>23443819.082524195</v>
      </c>
      <c r="W47" s="15">
        <f t="shared" si="79"/>
        <v>2809.0222682080848</v>
      </c>
      <c r="X47" s="103"/>
      <c r="Y47" s="29"/>
      <c r="Z47" s="30"/>
      <c r="AA47" s="35"/>
      <c r="AB47" s="38"/>
      <c r="AC47" s="45">
        <f t="shared" si="80"/>
        <v>51537835.416866839</v>
      </c>
      <c r="AD47" s="46">
        <f t="shared" si="80"/>
        <v>9288.6026843177351</v>
      </c>
      <c r="AE47" s="53"/>
      <c r="AF47" s="54"/>
      <c r="AG47" s="59">
        <f t="shared" si="80"/>
        <v>4625335.8920794129</v>
      </c>
      <c r="AH47" s="15">
        <f t="shared" si="80"/>
        <v>1255.5759602994594</v>
      </c>
      <c r="AI47" s="103"/>
    </row>
    <row r="48" spans="1:35">
      <c r="A48" s="557">
        <v>3</v>
      </c>
      <c r="B48" s="23">
        <v>43160</v>
      </c>
      <c r="C48" s="29"/>
      <c r="D48" s="30"/>
      <c r="E48" s="35"/>
      <c r="F48" s="38"/>
      <c r="G48" s="45">
        <f t="shared" si="78"/>
        <v>35873282.122288942</v>
      </c>
      <c r="H48" s="46">
        <f t="shared" si="78"/>
        <v>37653.614231277636</v>
      </c>
      <c r="I48" s="53"/>
      <c r="J48" s="54"/>
      <c r="K48" s="59">
        <f t="shared" si="78"/>
        <v>80170838.160326973</v>
      </c>
      <c r="L48" s="15">
        <f t="shared" si="78"/>
        <v>23192.955677492148</v>
      </c>
      <c r="M48" s="101"/>
      <c r="N48" s="29"/>
      <c r="O48" s="30"/>
      <c r="P48" s="35"/>
      <c r="Q48" s="38"/>
      <c r="R48" s="45">
        <f t="shared" si="79"/>
        <v>-39887693.738681555</v>
      </c>
      <c r="S48" s="46">
        <f t="shared" si="79"/>
        <v>12826.872485766595</v>
      </c>
      <c r="T48" s="53"/>
      <c r="U48" s="54"/>
      <c r="V48" s="59">
        <f t="shared" si="79"/>
        <v>74290306.796889365</v>
      </c>
      <c r="W48" s="15">
        <f t="shared" si="79"/>
        <v>11752.019598050483</v>
      </c>
      <c r="X48" s="101"/>
      <c r="Y48" s="29"/>
      <c r="Z48" s="30"/>
      <c r="AA48" s="35"/>
      <c r="AB48" s="38"/>
      <c r="AC48" s="45">
        <f t="shared" si="80"/>
        <v>75760975.860970497</v>
      </c>
      <c r="AD48" s="46">
        <f t="shared" si="80"/>
        <v>24826.741745511048</v>
      </c>
      <c r="AE48" s="53"/>
      <c r="AF48" s="54"/>
      <c r="AG48" s="59">
        <f t="shared" si="80"/>
        <v>5880531.3634376079</v>
      </c>
      <c r="AH48" s="15">
        <f t="shared" si="80"/>
        <v>11440.936079441661</v>
      </c>
      <c r="AI48" s="101"/>
    </row>
    <row r="49" spans="1:35">
      <c r="A49" s="557">
        <v>4</v>
      </c>
      <c r="B49" s="23">
        <v>43191</v>
      </c>
      <c r="C49" s="29"/>
      <c r="D49" s="30"/>
      <c r="E49" s="35"/>
      <c r="F49" s="38"/>
      <c r="G49" s="45">
        <f t="shared" si="78"/>
        <v>34935582.281538725</v>
      </c>
      <c r="H49" s="46">
        <f t="shared" si="78"/>
        <v>33272.515619112033</v>
      </c>
      <c r="I49" s="53"/>
      <c r="J49" s="54"/>
      <c r="K49" s="59">
        <f t="shared" si="78"/>
        <v>264575591.89736265</v>
      </c>
      <c r="L49" s="15">
        <f t="shared" si="78"/>
        <v>105858.63881157195</v>
      </c>
      <c r="M49" s="101"/>
      <c r="N49" s="29"/>
      <c r="O49" s="30"/>
      <c r="P49" s="35"/>
      <c r="Q49" s="38"/>
      <c r="R49" s="45">
        <f t="shared" si="79"/>
        <v>-73375962.662508965</v>
      </c>
      <c r="S49" s="46">
        <f t="shared" si="79"/>
        <v>-1647.0376078272529</v>
      </c>
      <c r="T49" s="53"/>
      <c r="U49" s="54"/>
      <c r="V49" s="59">
        <f t="shared" si="79"/>
        <v>101411287.18416595</v>
      </c>
      <c r="W49" s="15">
        <f t="shared" si="79"/>
        <v>17222.116000423212</v>
      </c>
      <c r="X49" s="101"/>
      <c r="Y49" s="29"/>
      <c r="Z49" s="30"/>
      <c r="AA49" s="35"/>
      <c r="AB49" s="38"/>
      <c r="AC49" s="45">
        <f t="shared" si="80"/>
        <v>108311544.94404769</v>
      </c>
      <c r="AD49" s="46">
        <f t="shared" si="80"/>
        <v>34919.553226939315</v>
      </c>
      <c r="AE49" s="53"/>
      <c r="AF49" s="54"/>
      <c r="AG49" s="59">
        <f t="shared" si="80"/>
        <v>163164304.71319669</v>
      </c>
      <c r="AH49" s="15">
        <f t="shared" si="80"/>
        <v>88636.522811148723</v>
      </c>
      <c r="AI49" s="101"/>
    </row>
    <row r="50" spans="1:35">
      <c r="A50" s="557">
        <v>5</v>
      </c>
      <c r="B50" s="23">
        <v>43221</v>
      </c>
      <c r="C50" s="29"/>
      <c r="D50" s="30"/>
      <c r="E50" s="35"/>
      <c r="F50" s="38"/>
      <c r="G50" s="45">
        <f t="shared" si="78"/>
        <v>82566464.235784531</v>
      </c>
      <c r="H50" s="46">
        <f t="shared" si="78"/>
        <v>58344.891778198216</v>
      </c>
      <c r="I50" s="53"/>
      <c r="J50" s="54"/>
      <c r="K50" s="59">
        <f t="shared" si="78"/>
        <v>299223135.03368348</v>
      </c>
      <c r="L50" s="15">
        <f t="shared" si="78"/>
        <v>158957.10844804056</v>
      </c>
      <c r="M50" s="101"/>
      <c r="N50" s="29"/>
      <c r="O50" s="30"/>
      <c r="P50" s="35"/>
      <c r="Q50" s="38"/>
      <c r="R50" s="45">
        <f t="shared" si="79"/>
        <v>-93224437.901655197</v>
      </c>
      <c r="S50" s="46">
        <f t="shared" si="79"/>
        <v>-5641.6547326945583</v>
      </c>
      <c r="T50" s="53"/>
      <c r="U50" s="54"/>
      <c r="V50" s="59">
        <f t="shared" si="79"/>
        <v>66511048.289809898</v>
      </c>
      <c r="W50" s="15">
        <f t="shared" si="79"/>
        <v>15437.978438276823</v>
      </c>
      <c r="X50" s="101"/>
      <c r="Y50" s="29"/>
      <c r="Z50" s="30"/>
      <c r="AA50" s="35"/>
      <c r="AB50" s="38"/>
      <c r="AC50" s="45">
        <f t="shared" si="80"/>
        <v>175790902.13743973</v>
      </c>
      <c r="AD50" s="46">
        <f t="shared" si="80"/>
        <v>63986.54651089276</v>
      </c>
      <c r="AE50" s="53"/>
      <c r="AF50" s="54"/>
      <c r="AG50" s="59">
        <f t="shared" si="80"/>
        <v>232712086.7438736</v>
      </c>
      <c r="AH50" s="15">
        <f t="shared" si="80"/>
        <v>143519.1300097637</v>
      </c>
      <c r="AI50" s="101"/>
    </row>
    <row r="51" spans="1:35">
      <c r="A51" s="557">
        <v>6</v>
      </c>
      <c r="B51" s="23">
        <v>43252</v>
      </c>
      <c r="C51" s="29"/>
      <c r="D51" s="30"/>
      <c r="E51" s="35"/>
      <c r="F51" s="38"/>
      <c r="G51" s="45">
        <f t="shared" si="78"/>
        <v>-700547432.74220216</v>
      </c>
      <c r="H51" s="46">
        <f t="shared" si="78"/>
        <v>-145679.5115110692</v>
      </c>
      <c r="I51" s="53"/>
      <c r="J51" s="54"/>
      <c r="K51" s="59">
        <f t="shared" si="78"/>
        <v>-100078204.67745745</v>
      </c>
      <c r="L51" s="15">
        <f t="shared" si="78"/>
        <v>-16753.20467643653</v>
      </c>
      <c r="M51" s="101"/>
      <c r="N51" s="29"/>
      <c r="O51" s="30"/>
      <c r="P51" s="35"/>
      <c r="Q51" s="38"/>
      <c r="R51" s="45">
        <f t="shared" si="79"/>
        <v>-660616229.07589662</v>
      </c>
      <c r="S51" s="46">
        <f t="shared" si="79"/>
        <v>-125736.19066445214</v>
      </c>
      <c r="T51" s="53"/>
      <c r="U51" s="54"/>
      <c r="V51" s="59">
        <f t="shared" si="79"/>
        <v>-88569211.139549851</v>
      </c>
      <c r="W51" s="15">
        <f t="shared" si="79"/>
        <v>-6994.454157938766</v>
      </c>
      <c r="X51" s="101"/>
      <c r="Y51" s="29"/>
      <c r="Z51" s="30"/>
      <c r="AA51" s="35"/>
      <c r="AB51" s="38"/>
      <c r="AC51" s="45">
        <f t="shared" si="80"/>
        <v>-39931203.666305542</v>
      </c>
      <c r="AD51" s="46">
        <f t="shared" si="80"/>
        <v>-19943.320846617062</v>
      </c>
      <c r="AE51" s="53"/>
      <c r="AF51" s="54"/>
      <c r="AG51" s="59">
        <f t="shared" si="80"/>
        <v>-11508993.5379076</v>
      </c>
      <c r="AH51" s="15">
        <f t="shared" si="80"/>
        <v>-9758.7505184977636</v>
      </c>
      <c r="AI51" s="101"/>
    </row>
    <row r="52" spans="1:35">
      <c r="A52" s="557">
        <v>7</v>
      </c>
      <c r="B52" s="23">
        <v>43282</v>
      </c>
      <c r="C52" s="29"/>
      <c r="D52" s="30"/>
      <c r="E52" s="35"/>
      <c r="F52" s="38"/>
      <c r="G52" s="45">
        <f t="shared" si="78"/>
        <v>-756363432.58724153</v>
      </c>
      <c r="H52" s="46">
        <f t="shared" si="78"/>
        <v>-157286.50228983568</v>
      </c>
      <c r="I52" s="53"/>
      <c r="J52" s="54"/>
      <c r="K52" s="59">
        <f t="shared" si="78"/>
        <v>-108051918.94103451</v>
      </c>
      <c r="L52" s="15">
        <f t="shared" si="78"/>
        <v>-18088.013464420492</v>
      </c>
      <c r="M52" s="101"/>
      <c r="N52" s="29"/>
      <c r="O52" s="30"/>
      <c r="P52" s="35"/>
      <c r="Q52" s="38"/>
      <c r="R52" s="45">
        <f t="shared" si="79"/>
        <v>-713250716.92976868</v>
      </c>
      <c r="S52" s="46">
        <f t="shared" si="79"/>
        <v>-135754.20068152048</v>
      </c>
      <c r="T52" s="53"/>
      <c r="U52" s="54"/>
      <c r="V52" s="59">
        <f t="shared" si="79"/>
        <v>-95625948.26281555</v>
      </c>
      <c r="W52" s="15">
        <f t="shared" si="79"/>
        <v>-7551.7361262238619</v>
      </c>
      <c r="X52" s="101"/>
      <c r="Y52" s="29"/>
      <c r="Z52" s="30"/>
      <c r="AA52" s="35"/>
      <c r="AB52" s="38"/>
      <c r="AC52" s="45">
        <f t="shared" si="80"/>
        <v>-43112715.657472849</v>
      </c>
      <c r="AD52" s="46">
        <f t="shared" si="80"/>
        <v>-21532.301608315203</v>
      </c>
      <c r="AE52" s="53"/>
      <c r="AF52" s="54"/>
      <c r="AG52" s="59">
        <f t="shared" si="80"/>
        <v>-12425970.678218961</v>
      </c>
      <c r="AH52" s="15">
        <f t="shared" si="80"/>
        <v>-10536.277338196629</v>
      </c>
      <c r="AI52" s="101"/>
    </row>
    <row r="53" spans="1:35">
      <c r="A53" s="557">
        <v>8</v>
      </c>
      <c r="B53" s="23">
        <v>43313</v>
      </c>
      <c r="C53" s="29"/>
      <c r="D53" s="30"/>
      <c r="E53" s="35"/>
      <c r="F53" s="38"/>
      <c r="G53" s="45">
        <f t="shared" si="78"/>
        <v>-749302914.2797215</v>
      </c>
      <c r="H53" s="46">
        <f t="shared" si="78"/>
        <v>-155818.26072619413</v>
      </c>
      <c r="I53" s="53"/>
      <c r="J53" s="54"/>
      <c r="K53" s="59">
        <f t="shared" si="78"/>
        <v>-107043273.46853167</v>
      </c>
      <c r="L53" s="15">
        <f t="shared" si="78"/>
        <v>-17919.165071293719</v>
      </c>
      <c r="M53" s="101"/>
      <c r="N53" s="29"/>
      <c r="O53" s="30"/>
      <c r="P53" s="35"/>
      <c r="Q53" s="38"/>
      <c r="R53" s="45">
        <f t="shared" si="79"/>
        <v>-706592648.16577733</v>
      </c>
      <c r="S53" s="46">
        <f t="shared" si="79"/>
        <v>-134486.9593290982</v>
      </c>
      <c r="T53" s="53"/>
      <c r="U53" s="54"/>
      <c r="V53" s="59">
        <f t="shared" si="79"/>
        <v>-94733297.019650534</v>
      </c>
      <c r="W53" s="15">
        <f t="shared" si="79"/>
        <v>-7481.2420107291746</v>
      </c>
      <c r="X53" s="101"/>
      <c r="Y53" s="29"/>
      <c r="Z53" s="30"/>
      <c r="AA53" s="35"/>
      <c r="AB53" s="38"/>
      <c r="AC53" s="45">
        <f t="shared" si="80"/>
        <v>-42710266.113944173</v>
      </c>
      <c r="AD53" s="46">
        <f t="shared" si="80"/>
        <v>-21331.301397095929</v>
      </c>
      <c r="AE53" s="53"/>
      <c r="AF53" s="54"/>
      <c r="AG53" s="59">
        <f t="shared" si="80"/>
        <v>-12309976.448881134</v>
      </c>
      <c r="AH53" s="15">
        <f t="shared" si="80"/>
        <v>-10437.923060564544</v>
      </c>
      <c r="AI53" s="101"/>
    </row>
    <row r="54" spans="1:35">
      <c r="A54" s="557">
        <v>9</v>
      </c>
      <c r="B54" s="23">
        <v>43344</v>
      </c>
      <c r="C54" s="29"/>
      <c r="D54" s="30"/>
      <c r="E54" s="35"/>
      <c r="F54" s="38"/>
      <c r="G54" s="45">
        <f t="shared" si="78"/>
        <v>-790556961.82225585</v>
      </c>
      <c r="H54" s="46">
        <f t="shared" si="78"/>
        <v>-164397.07953697184</v>
      </c>
      <c r="I54" s="53"/>
      <c r="J54" s="54"/>
      <c r="K54" s="59">
        <f t="shared" si="78"/>
        <v>-112936708.83175085</v>
      </c>
      <c r="L54" s="15">
        <f t="shared" si="78"/>
        <v>-18905.732818043078</v>
      </c>
      <c r="M54" s="101"/>
      <c r="N54" s="29"/>
      <c r="O54" s="30"/>
      <c r="P54" s="35"/>
      <c r="Q54" s="38"/>
      <c r="R54" s="45">
        <f t="shared" si="79"/>
        <v>-745495214.99838722</v>
      </c>
      <c r="S54" s="46">
        <f t="shared" si="79"/>
        <v>-141891.34987433814</v>
      </c>
      <c r="T54" s="53"/>
      <c r="U54" s="54"/>
      <c r="V54" s="59">
        <f t="shared" si="79"/>
        <v>-99948987.31609951</v>
      </c>
      <c r="W54" s="15">
        <f t="shared" si="79"/>
        <v>-7893.1335271054359</v>
      </c>
      <c r="X54" s="101"/>
      <c r="Y54" s="29"/>
      <c r="Z54" s="30"/>
      <c r="AA54" s="35"/>
      <c r="AB54" s="38"/>
      <c r="AC54" s="45">
        <f t="shared" si="80"/>
        <v>-45061746.823868632</v>
      </c>
      <c r="AD54" s="46">
        <f t="shared" si="80"/>
        <v>-22505.729662633705</v>
      </c>
      <c r="AE54" s="53"/>
      <c r="AF54" s="54"/>
      <c r="AG54" s="59">
        <f t="shared" si="80"/>
        <v>-12987721.515651345</v>
      </c>
      <c r="AH54" s="15">
        <f t="shared" si="80"/>
        <v>-11012.599290937642</v>
      </c>
      <c r="AI54" s="101"/>
    </row>
    <row r="55" spans="1:35">
      <c r="A55" s="557">
        <v>10</v>
      </c>
      <c r="B55" s="23">
        <v>43374</v>
      </c>
      <c r="C55" s="29"/>
      <c r="D55" s="30"/>
      <c r="E55" s="35"/>
      <c r="F55" s="38"/>
      <c r="G55" s="45">
        <f t="shared" si="78"/>
        <v>-848257957.42272496</v>
      </c>
      <c r="H55" s="46">
        <f t="shared" si="78"/>
        <v>-176396.05699360892</v>
      </c>
      <c r="I55" s="53"/>
      <c r="J55" s="54"/>
      <c r="K55" s="59">
        <f t="shared" si="78"/>
        <v>-121179708.20324643</v>
      </c>
      <c r="L55" s="15">
        <f t="shared" si="78"/>
        <v>-20285.620237721268</v>
      </c>
      <c r="M55" s="101"/>
      <c r="N55" s="29"/>
      <c r="O55" s="30"/>
      <c r="P55" s="35"/>
      <c r="Q55" s="38"/>
      <c r="R55" s="45">
        <f t="shared" si="79"/>
        <v>-799907253.84962964</v>
      </c>
      <c r="S55" s="46">
        <f t="shared" si="79"/>
        <v>-152247.68414274041</v>
      </c>
      <c r="T55" s="53"/>
      <c r="U55" s="54"/>
      <c r="V55" s="59">
        <f t="shared" si="79"/>
        <v>-107244041.75987309</v>
      </c>
      <c r="W55" s="15">
        <f t="shared" si="79"/>
        <v>-8469.2358004591733</v>
      </c>
      <c r="X55" s="101"/>
      <c r="Y55" s="29"/>
      <c r="Z55" s="30"/>
      <c r="AA55" s="35"/>
      <c r="AB55" s="38"/>
      <c r="AC55" s="45">
        <f t="shared" si="80"/>
        <v>-48350703.573095322</v>
      </c>
      <c r="AD55" s="46">
        <f t="shared" si="80"/>
        <v>-24148.372850868502</v>
      </c>
      <c r="AE55" s="53"/>
      <c r="AF55" s="54"/>
      <c r="AG55" s="59">
        <f t="shared" si="80"/>
        <v>-13935666.443373337</v>
      </c>
      <c r="AH55" s="15">
        <f t="shared" si="80"/>
        <v>-11816.384437262095</v>
      </c>
      <c r="AI55" s="101"/>
    </row>
    <row r="56" spans="1:35">
      <c r="A56" s="557">
        <v>11</v>
      </c>
      <c r="B56" s="23">
        <v>43405</v>
      </c>
      <c r="C56" s="29"/>
      <c r="D56" s="30"/>
      <c r="E56" s="35"/>
      <c r="F56" s="38"/>
      <c r="G56" s="45">
        <f t="shared" si="78"/>
        <v>-865704178.90948462</v>
      </c>
      <c r="H56" s="46">
        <f t="shared" si="78"/>
        <v>-180024.01550878966</v>
      </c>
      <c r="I56" s="53"/>
      <c r="J56" s="54"/>
      <c r="K56" s="59">
        <f t="shared" si="78"/>
        <v>-123672025.55849782</v>
      </c>
      <c r="L56" s="15">
        <f t="shared" si="78"/>
        <v>-20702.836982423396</v>
      </c>
      <c r="M56" s="101"/>
      <c r="N56" s="29"/>
      <c r="O56" s="30"/>
      <c r="P56" s="35"/>
      <c r="Q56" s="38"/>
      <c r="R56" s="45">
        <f t="shared" si="79"/>
        <v>-816359040.71164393</v>
      </c>
      <c r="S56" s="46">
        <f t="shared" si="79"/>
        <v>-155378.98022450152</v>
      </c>
      <c r="T56" s="53"/>
      <c r="U56" s="54"/>
      <c r="V56" s="59">
        <f t="shared" si="79"/>
        <v>-109449742.61927056</v>
      </c>
      <c r="W56" s="15">
        <f t="shared" si="79"/>
        <v>-8643.4235723573984</v>
      </c>
      <c r="X56" s="101"/>
      <c r="Y56" s="29"/>
      <c r="Z56" s="30"/>
      <c r="AA56" s="35"/>
      <c r="AB56" s="38"/>
      <c r="AC56" s="45">
        <f t="shared" si="80"/>
        <v>-49345138.197840691</v>
      </c>
      <c r="AD56" s="46">
        <f t="shared" si="80"/>
        <v>-24645.03528428814</v>
      </c>
      <c r="AE56" s="53"/>
      <c r="AF56" s="54"/>
      <c r="AG56" s="59">
        <f t="shared" si="80"/>
        <v>-14222282.939227253</v>
      </c>
      <c r="AH56" s="15">
        <f t="shared" si="80"/>
        <v>-12059.413410065998</v>
      </c>
      <c r="AI56" s="101"/>
    </row>
    <row r="57" spans="1:35" ht="15" thickBot="1">
      <c r="A57" s="557">
        <v>12</v>
      </c>
      <c r="B57" s="24">
        <v>43435</v>
      </c>
      <c r="C57" s="31"/>
      <c r="D57" s="32"/>
      <c r="E57" s="559"/>
      <c r="F57" s="40"/>
      <c r="G57" s="47">
        <f t="shared" si="78"/>
        <v>-960907654.86417639</v>
      </c>
      <c r="H57" s="48">
        <f t="shared" si="78"/>
        <v>-199821.66977603344</v>
      </c>
      <c r="I57" s="55"/>
      <c r="J57" s="56"/>
      <c r="K57" s="60">
        <f t="shared" si="78"/>
        <v>-137272522.1234538</v>
      </c>
      <c r="L57" s="16">
        <f t="shared" si="78"/>
        <v>-22979.575492953481</v>
      </c>
      <c r="M57" s="101"/>
      <c r="N57" s="31"/>
      <c r="O57" s="32"/>
      <c r="P57" s="559"/>
      <c r="Q57" s="40"/>
      <c r="R57" s="47">
        <f t="shared" si="79"/>
        <v>-906135918.53691828</v>
      </c>
      <c r="S57" s="48">
        <f t="shared" si="79"/>
        <v>-172466.36338384115</v>
      </c>
      <c r="T57" s="55"/>
      <c r="U57" s="56"/>
      <c r="V57" s="60">
        <f t="shared" si="79"/>
        <v>-121486182.07925661</v>
      </c>
      <c r="W57" s="16">
        <f t="shared" si="79"/>
        <v>-9593.9607053463151</v>
      </c>
      <c r="X57" s="101"/>
      <c r="Y57" s="31"/>
      <c r="Z57" s="32"/>
      <c r="AA57" s="559"/>
      <c r="AB57" s="40"/>
      <c r="AC57" s="47">
        <f t="shared" si="80"/>
        <v>-54771736.32725811</v>
      </c>
      <c r="AD57" s="48">
        <f t="shared" si="80"/>
        <v>-27355.306392192288</v>
      </c>
      <c r="AE57" s="55"/>
      <c r="AF57" s="56"/>
      <c r="AG57" s="60">
        <f t="shared" si="80"/>
        <v>-15786340.044197187</v>
      </c>
      <c r="AH57" s="16">
        <f t="shared" si="80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7"/>
      <c r="B59" s="641" t="s">
        <v>124</v>
      </c>
      <c r="C59" s="657"/>
      <c r="D59" s="658"/>
      <c r="E59" s="659"/>
      <c r="F59" s="660"/>
      <c r="G59" s="661">
        <f t="shared" ref="C59:L59" si="81">SUM(G46:G48)</f>
        <v>310356371.11048466</v>
      </c>
      <c r="H59" s="662">
        <f t="shared" si="81"/>
        <v>80041.634613669725</v>
      </c>
      <c r="I59" s="663"/>
      <c r="J59" s="664"/>
      <c r="K59" s="665">
        <f t="shared" si="81"/>
        <v>152846986.87292635</v>
      </c>
      <c r="L59" s="666">
        <f t="shared" si="81"/>
        <v>30873.903421665222</v>
      </c>
      <c r="M59" s="652"/>
      <c r="N59" s="657"/>
      <c r="O59" s="658"/>
      <c r="P59" s="659"/>
      <c r="Q59" s="660"/>
      <c r="R59" s="661">
        <f t="shared" ref="N59:W59" si="82">SUM(R46:R48)</f>
        <v>103416776.83218706</v>
      </c>
      <c r="S59" s="662">
        <f t="shared" si="82"/>
        <v>29431.424617261291</v>
      </c>
      <c r="T59" s="663"/>
      <c r="U59" s="664"/>
      <c r="V59" s="665">
        <f t="shared" si="82"/>
        <v>126402228.72253981</v>
      </c>
      <c r="W59" s="666">
        <f t="shared" si="82"/>
        <v>17724.386935583763</v>
      </c>
      <c r="X59" s="652"/>
      <c r="Y59" s="657"/>
      <c r="Z59" s="658"/>
      <c r="AA59" s="659"/>
      <c r="AB59" s="660"/>
      <c r="AC59" s="661">
        <f t="shared" ref="Y59:AH59" si="83">SUM(AC46:AC48)</f>
        <v>206939594.2782976</v>
      </c>
      <c r="AD59" s="662">
        <f t="shared" si="83"/>
        <v>50610.209996408441</v>
      </c>
      <c r="AE59" s="663"/>
      <c r="AF59" s="664"/>
      <c r="AG59" s="665">
        <f t="shared" si="83"/>
        <v>26444758.150386542</v>
      </c>
      <c r="AH59" s="666">
        <f t="shared" si="83"/>
        <v>13149.516486081458</v>
      </c>
      <c r="AI59" s="101"/>
    </row>
    <row r="60" spans="1:35">
      <c r="A60" s="557"/>
      <c r="B60" s="653" t="s">
        <v>125</v>
      </c>
      <c r="C60" s="29"/>
      <c r="D60" s="30"/>
      <c r="E60" s="37"/>
      <c r="F60" s="38"/>
      <c r="G60" s="45">
        <f t="shared" ref="C60:L60" si="84">SUM(G49:G51)</f>
        <v>-583045386.22487891</v>
      </c>
      <c r="H60" s="46">
        <f t="shared" si="84"/>
        <v>-54062.104113758949</v>
      </c>
      <c r="I60" s="53"/>
      <c r="J60" s="54"/>
      <c r="K60" s="59">
        <f t="shared" si="84"/>
        <v>463720522.25358868</v>
      </c>
      <c r="L60" s="15">
        <f t="shared" si="84"/>
        <v>248062.54258317596</v>
      </c>
      <c r="M60" s="654"/>
      <c r="N60" s="29"/>
      <c r="O60" s="30"/>
      <c r="P60" s="37"/>
      <c r="Q60" s="38"/>
      <c r="R60" s="45">
        <f t="shared" ref="N60:W60" si="85">SUM(R49:R51)</f>
        <v>-827216629.64006078</v>
      </c>
      <c r="S60" s="46">
        <f t="shared" si="85"/>
        <v>-133024.88300497393</v>
      </c>
      <c r="T60" s="53"/>
      <c r="U60" s="54"/>
      <c r="V60" s="59">
        <f t="shared" si="85"/>
        <v>79353124.334425986</v>
      </c>
      <c r="W60" s="15">
        <f t="shared" si="85"/>
        <v>25665.640280761269</v>
      </c>
      <c r="X60" s="654"/>
      <c r="Y60" s="29"/>
      <c r="Z60" s="30"/>
      <c r="AA60" s="37"/>
      <c r="AB60" s="38"/>
      <c r="AC60" s="45">
        <f t="shared" ref="Y60:AH60" si="86">SUM(AC49:AC51)</f>
        <v>244171243.41518188</v>
      </c>
      <c r="AD60" s="46">
        <f t="shared" si="86"/>
        <v>78962.778891215014</v>
      </c>
      <c r="AE60" s="53"/>
      <c r="AF60" s="54"/>
      <c r="AG60" s="59">
        <f t="shared" si="86"/>
        <v>384367397.91916269</v>
      </c>
      <c r="AH60" s="15">
        <f t="shared" si="86"/>
        <v>222396.90230241464</v>
      </c>
      <c r="AI60" s="101"/>
    </row>
    <row r="61" spans="1:35">
      <c r="A61" s="557"/>
      <c r="B61" s="653" t="s">
        <v>126</v>
      </c>
      <c r="C61" s="29"/>
      <c r="D61" s="30"/>
      <c r="E61" s="37"/>
      <c r="F61" s="38"/>
      <c r="G61" s="45">
        <f t="shared" ref="C61:L61" si="87">SUM(G52:G54)</f>
        <v>-2296223308.6892185</v>
      </c>
      <c r="H61" s="46">
        <f t="shared" si="87"/>
        <v>-477501.84255300171</v>
      </c>
      <c r="I61" s="53"/>
      <c r="J61" s="54"/>
      <c r="K61" s="59">
        <f t="shared" si="87"/>
        <v>-328031901.24131703</v>
      </c>
      <c r="L61" s="15">
        <f t="shared" si="87"/>
        <v>-54912.911353757285</v>
      </c>
      <c r="M61" s="654"/>
      <c r="N61" s="29"/>
      <c r="O61" s="30"/>
      <c r="P61" s="37"/>
      <c r="Q61" s="38"/>
      <c r="R61" s="45">
        <f t="shared" ref="N61:W61" si="88">SUM(R52:R54)</f>
        <v>-2165338580.0939331</v>
      </c>
      <c r="S61" s="46">
        <f t="shared" si="88"/>
        <v>-412132.50988495682</v>
      </c>
      <c r="T61" s="53"/>
      <c r="U61" s="54"/>
      <c r="V61" s="59">
        <f t="shared" si="88"/>
        <v>-290308232.59856558</v>
      </c>
      <c r="W61" s="15">
        <f t="shared" si="88"/>
        <v>-22926.111664058473</v>
      </c>
      <c r="X61" s="654"/>
      <c r="Y61" s="29"/>
      <c r="Z61" s="30"/>
      <c r="AA61" s="37"/>
      <c r="AB61" s="38"/>
      <c r="AC61" s="45">
        <f t="shared" ref="Y61:AH61" si="89">SUM(AC52:AC54)</f>
        <v>-130884728.59528565</v>
      </c>
      <c r="AD61" s="46">
        <f t="shared" si="89"/>
        <v>-65369.332668044837</v>
      </c>
      <c r="AE61" s="53"/>
      <c r="AF61" s="54"/>
      <c r="AG61" s="59">
        <f t="shared" si="89"/>
        <v>-37723668.64275144</v>
      </c>
      <c r="AH61" s="15">
        <f t="shared" si="89"/>
        <v>-31986.799689698819</v>
      </c>
      <c r="AI61" s="101"/>
    </row>
    <row r="62" spans="1:35" ht="15" thickBot="1">
      <c r="A62" s="557"/>
      <c r="B62" s="655" t="s">
        <v>127</v>
      </c>
      <c r="C62" s="31"/>
      <c r="D62" s="32"/>
      <c r="E62" s="39"/>
      <c r="F62" s="40"/>
      <c r="G62" s="47">
        <f t="shared" ref="C62:L62" si="90">SUM(G55:G57)</f>
        <v>-2674869791.1963859</v>
      </c>
      <c r="H62" s="48">
        <f t="shared" si="90"/>
        <v>-556241.74227843201</v>
      </c>
      <c r="I62" s="55"/>
      <c r="J62" s="56"/>
      <c r="K62" s="60">
        <f t="shared" si="90"/>
        <v>-382124255.88519806</v>
      </c>
      <c r="L62" s="16">
        <f t="shared" si="90"/>
        <v>-63968.032713098146</v>
      </c>
      <c r="M62" s="656"/>
      <c r="N62" s="31"/>
      <c r="O62" s="32"/>
      <c r="P62" s="39"/>
      <c r="Q62" s="40"/>
      <c r="R62" s="47">
        <f t="shared" ref="N62:W62" si="91">SUM(R55:R57)</f>
        <v>-2522402213.0981917</v>
      </c>
      <c r="S62" s="48">
        <f t="shared" si="91"/>
        <v>-480093.02775108302</v>
      </c>
      <c r="T62" s="55"/>
      <c r="U62" s="56"/>
      <c r="V62" s="60">
        <f t="shared" si="91"/>
        <v>-338179966.45840025</v>
      </c>
      <c r="W62" s="16">
        <f t="shared" si="91"/>
        <v>-26706.620078162887</v>
      </c>
      <c r="X62" s="656"/>
      <c r="Y62" s="31"/>
      <c r="Z62" s="32"/>
      <c r="AA62" s="39"/>
      <c r="AB62" s="40"/>
      <c r="AC62" s="47">
        <f t="shared" ref="Y62:AH62" si="92">SUM(AC55:AC57)</f>
        <v>-152467578.09819412</v>
      </c>
      <c r="AD62" s="48">
        <f t="shared" si="92"/>
        <v>-76148.71452734893</v>
      </c>
      <c r="AE62" s="55"/>
      <c r="AF62" s="56"/>
      <c r="AG62" s="60">
        <f t="shared" si="92"/>
        <v>-43944289.426797777</v>
      </c>
      <c r="AH62" s="16">
        <f t="shared" si="92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153</v>
      </c>
      <c r="M64" s="101"/>
      <c r="P64" s="567"/>
      <c r="Q64" s="568"/>
      <c r="R64" s="567">
        <v>0.94299999999999995</v>
      </c>
      <c r="S64" s="568">
        <v>1.9033167084063054E-4</v>
      </c>
      <c r="T64" s="567"/>
      <c r="U64" s="568"/>
      <c r="V64" s="567">
        <v>0.88500000000000001</v>
      </c>
      <c r="W64" s="568">
        <v>7.8971620814351478E-5</v>
      </c>
      <c r="X64" s="101"/>
      <c r="AI64" s="101"/>
    </row>
    <row r="65" spans="1:35" ht="15" thickBot="1">
      <c r="B65" s="21" t="s">
        <v>5</v>
      </c>
      <c r="C65" s="25"/>
      <c r="D65" s="26"/>
      <c r="E65" s="33"/>
      <c r="F65" s="34"/>
      <c r="G65" s="41">
        <f t="shared" ref="F65:L65" si="93">SUM(G66:G77)</f>
        <v>8750000000</v>
      </c>
      <c r="H65" s="42">
        <f t="shared" si="93"/>
        <v>1819570.9043315225</v>
      </c>
      <c r="I65" s="49"/>
      <c r="J65" s="50"/>
      <c r="K65" s="57">
        <f t="shared" si="93"/>
        <v>1250000000.0000002</v>
      </c>
      <c r="L65" s="18">
        <f t="shared" si="93"/>
        <v>209251.41406201432</v>
      </c>
      <c r="M65" s="101"/>
      <c r="N65" s="25"/>
      <c r="O65" s="26"/>
      <c r="P65" s="33"/>
      <c r="Q65" s="34"/>
      <c r="R65" s="41">
        <f t="shared" ref="R65" si="94">SUM(R66:R77)</f>
        <v>8251249999.999999</v>
      </c>
      <c r="S65" s="42">
        <f t="shared" ref="S65" si="95">SUM(S66:S77)</f>
        <v>1570474.1990237527</v>
      </c>
      <c r="T65" s="49"/>
      <c r="U65" s="50"/>
      <c r="V65" s="57">
        <f t="shared" ref="V65" si="96">SUM(V66:V77)</f>
        <v>1106250000</v>
      </c>
      <c r="W65" s="18">
        <f t="shared" ref="W65" si="97">SUM(W66:W77)</f>
        <v>87362.355525876323</v>
      </c>
      <c r="X65" s="101"/>
      <c r="Y65" s="25"/>
      <c r="Z65" s="26"/>
      <c r="AA65" s="33"/>
      <c r="AB65" s="34"/>
      <c r="AC65" s="41">
        <f t="shared" ref="AC65" si="98">SUM(AC66:AC77)</f>
        <v>498750000.0000003</v>
      </c>
      <c r="AD65" s="42">
        <f t="shared" ref="AD65" si="99">SUM(AD66:AD77)</f>
        <v>249096.70530777035</v>
      </c>
      <c r="AE65" s="49"/>
      <c r="AF65" s="50"/>
      <c r="AG65" s="57">
        <f t="shared" ref="AG65" si="100">SUM(AG66:AG77)</f>
        <v>143749999.99999997</v>
      </c>
      <c r="AH65" s="18">
        <f t="shared" ref="AH65" si="101">SUM(AH66:AH77)</f>
        <v>121889.05853613796</v>
      </c>
      <c r="AI65" s="101"/>
    </row>
    <row r="66" spans="1:35">
      <c r="A66" s="557">
        <v>1</v>
      </c>
      <c r="B66" s="22">
        <v>43101</v>
      </c>
      <c r="C66" s="27"/>
      <c r="D66" s="28"/>
      <c r="E66" s="35"/>
      <c r="F66" s="36"/>
      <c r="G66" s="43">
        <v>569674736.83402956</v>
      </c>
      <c r="H66" s="44">
        <v>118464.40869439059</v>
      </c>
      <c r="I66" s="51"/>
      <c r="J66" s="52"/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>
        <v>537203276.83448982</v>
      </c>
      <c r="S66" s="44">
        <f>R66*$S$64</f>
        <v>102246.79726097024</v>
      </c>
      <c r="T66" s="51"/>
      <c r="U66" s="52"/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>
        <f t="shared" ref="AC66:AC77" si="102">G66-R66</f>
        <v>32471459.999539733</v>
      </c>
      <c r="AD66" s="44">
        <f t="shared" ref="AD66:AD77" si="103">H66-S66</f>
        <v>16217.611433420345</v>
      </c>
      <c r="AE66" s="51"/>
      <c r="AF66" s="52"/>
      <c r="AG66" s="58">
        <f t="shared" ref="AG66:AG77" si="104">K66-V66</f>
        <v>9358942.1051304787</v>
      </c>
      <c r="AH66" s="17">
        <f t="shared" ref="AH66:AH77" si="105">L66-W66</f>
        <v>7935.6705536596601</v>
      </c>
      <c r="AI66" s="101"/>
    </row>
    <row r="67" spans="1:35">
      <c r="A67" s="557">
        <v>2</v>
      </c>
      <c r="B67" s="23">
        <v>43132</v>
      </c>
      <c r="C67" s="29"/>
      <c r="D67" s="30"/>
      <c r="E67" s="37"/>
      <c r="F67" s="38"/>
      <c r="G67" s="45">
        <v>508439589.17777473</v>
      </c>
      <c r="H67" s="46">
        <v>105730.50092321732</v>
      </c>
      <c r="I67" s="53"/>
      <c r="J67" s="54"/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>
        <v>479458532.59464157</v>
      </c>
      <c r="S67" s="44">
        <f t="shared" ref="S67:S77" si="106">R67*$S$64</f>
        <v>91256.14360753505</v>
      </c>
      <c r="T67" s="53"/>
      <c r="U67" s="52"/>
      <c r="V67" s="59">
        <v>64281290.917475805</v>
      </c>
      <c r="W67" s="17">
        <f t="shared" ref="W67:W77" si="107">V67*$W$64</f>
        <v>5076.3977317919152</v>
      </c>
      <c r="X67" s="103"/>
      <c r="Y67" s="29"/>
      <c r="Z67" s="30"/>
      <c r="AA67" s="35"/>
      <c r="AB67" s="38"/>
      <c r="AC67" s="45">
        <f t="shared" si="102"/>
        <v>28981056.583133161</v>
      </c>
      <c r="AD67" s="46">
        <f t="shared" si="103"/>
        <v>14474.357315682268</v>
      </c>
      <c r="AE67" s="53"/>
      <c r="AF67" s="54"/>
      <c r="AG67" s="59">
        <f t="shared" si="104"/>
        <v>8352936.1079205871</v>
      </c>
      <c r="AH67" s="15">
        <f t="shared" si="105"/>
        <v>7082.6540397005419</v>
      </c>
      <c r="AI67" s="103"/>
    </row>
    <row r="68" spans="1:35">
      <c r="A68" s="557">
        <v>3</v>
      </c>
      <c r="B68" s="23">
        <v>43160</v>
      </c>
      <c r="C68" s="29"/>
      <c r="D68" s="30"/>
      <c r="E68" s="37"/>
      <c r="F68" s="38"/>
      <c r="G68" s="45">
        <v>627519177.87771106</v>
      </c>
      <c r="H68" s="46">
        <v>130493.21576872235</v>
      </c>
      <c r="I68" s="53"/>
      <c r="J68" s="54"/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>
        <v>591750584.73868155</v>
      </c>
      <c r="S68" s="44">
        <f t="shared" si="106"/>
        <v>112628.87751423339</v>
      </c>
      <c r="T68" s="53"/>
      <c r="U68" s="52"/>
      <c r="V68" s="59">
        <v>79336353.203110635</v>
      </c>
      <c r="W68" s="17">
        <f t="shared" si="107"/>
        <v>6265.3204019495124</v>
      </c>
      <c r="X68" s="101"/>
      <c r="Y68" s="29"/>
      <c r="Z68" s="30"/>
      <c r="AA68" s="35"/>
      <c r="AB68" s="38"/>
      <c r="AC68" s="45">
        <f t="shared" si="102"/>
        <v>35768593.139029503</v>
      </c>
      <c r="AD68" s="46">
        <f t="shared" si="103"/>
        <v>17864.338254488961</v>
      </c>
      <c r="AE68" s="53"/>
      <c r="AF68" s="54"/>
      <c r="AG68" s="59">
        <f t="shared" si="104"/>
        <v>10309243.636562392</v>
      </c>
      <c r="AH68" s="15">
        <f t="shared" si="105"/>
        <v>8741.4539205583424</v>
      </c>
      <c r="AI68" s="101"/>
    </row>
    <row r="69" spans="1:35">
      <c r="A69" s="557">
        <v>4</v>
      </c>
      <c r="B69" s="23">
        <v>43191</v>
      </c>
      <c r="C69" s="29"/>
      <c r="D69" s="30"/>
      <c r="E69" s="37"/>
      <c r="F69" s="38"/>
      <c r="G69" s="45">
        <v>658895895.71846128</v>
      </c>
      <c r="H69" s="46">
        <v>137018.03438088796</v>
      </c>
      <c r="I69" s="53"/>
      <c r="J69" s="54"/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>
        <v>621338829.66250896</v>
      </c>
      <c r="S69" s="44">
        <f t="shared" si="106"/>
        <v>118260.45760782727</v>
      </c>
      <c r="T69" s="53"/>
      <c r="U69" s="52"/>
      <c r="V69" s="59">
        <v>83303266.815834045</v>
      </c>
      <c r="W69" s="17">
        <f t="shared" si="107"/>
        <v>6578.5939995767949</v>
      </c>
      <c r="X69" s="101"/>
      <c r="Y69" s="29"/>
      <c r="Z69" s="30"/>
      <c r="AA69" s="35"/>
      <c r="AB69" s="38"/>
      <c r="AC69" s="45">
        <f t="shared" si="102"/>
        <v>37557066.055952311</v>
      </c>
      <c r="AD69" s="46">
        <f t="shared" si="103"/>
        <v>18757.576773060689</v>
      </c>
      <c r="AE69" s="53"/>
      <c r="AF69" s="54"/>
      <c r="AG69" s="59">
        <f t="shared" si="104"/>
        <v>10824718.28680329</v>
      </c>
      <c r="AH69" s="15">
        <f t="shared" si="105"/>
        <v>9178.5371888512673</v>
      </c>
      <c r="AI69" s="101"/>
    </row>
    <row r="70" spans="1:35">
      <c r="A70" s="557">
        <v>5</v>
      </c>
      <c r="B70" s="23">
        <v>43221</v>
      </c>
      <c r="C70" s="29"/>
      <c r="D70" s="30"/>
      <c r="E70" s="37"/>
      <c r="F70" s="38"/>
      <c r="G70" s="45">
        <v>713830067.76421547</v>
      </c>
      <c r="H70" s="46">
        <v>148441.64822180182</v>
      </c>
      <c r="I70" s="53"/>
      <c r="J70" s="54"/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>
        <v>673141753.9016552</v>
      </c>
      <c r="S70" s="44">
        <f t="shared" si="106"/>
        <v>128120.19473269457</v>
      </c>
      <c r="T70" s="53"/>
      <c r="U70" s="52"/>
      <c r="V70" s="59">
        <v>90248515.710190102</v>
      </c>
      <c r="W70" s="17">
        <f t="shared" si="107"/>
        <v>7127.0715617231754</v>
      </c>
      <c r="X70" s="101"/>
      <c r="Y70" s="29"/>
      <c r="Z70" s="30"/>
      <c r="AA70" s="35"/>
      <c r="AB70" s="38"/>
      <c r="AC70" s="45">
        <f t="shared" si="102"/>
        <v>40688313.862560272</v>
      </c>
      <c r="AD70" s="46">
        <f t="shared" si="103"/>
        <v>20321.453489107254</v>
      </c>
      <c r="AE70" s="53"/>
      <c r="AF70" s="54"/>
      <c r="AG70" s="59">
        <f t="shared" si="104"/>
        <v>11727208.256126404</v>
      </c>
      <c r="AH70" s="15">
        <f t="shared" si="105"/>
        <v>9943.7799902363186</v>
      </c>
      <c r="AI70" s="101"/>
    </row>
    <row r="71" spans="1:35">
      <c r="A71" s="557">
        <v>6</v>
      </c>
      <c r="B71" s="23">
        <v>43252</v>
      </c>
      <c r="C71" s="29"/>
      <c r="D71" s="30"/>
      <c r="E71" s="37"/>
      <c r="F71" s="38"/>
      <c r="G71" s="45">
        <v>700547432.74220216</v>
      </c>
      <c r="H71" s="46">
        <v>145679.5115110692</v>
      </c>
      <c r="I71" s="53"/>
      <c r="J71" s="54"/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>
        <v>660616229.07589662</v>
      </c>
      <c r="S71" s="44">
        <f t="shared" si="106"/>
        <v>125736.19066445214</v>
      </c>
      <c r="T71" s="53"/>
      <c r="U71" s="52"/>
      <c r="V71" s="59">
        <v>88569211.139549851</v>
      </c>
      <c r="W71" s="17">
        <f t="shared" si="107"/>
        <v>6994.454157938766</v>
      </c>
      <c r="X71" s="101"/>
      <c r="Y71" s="29"/>
      <c r="Z71" s="30"/>
      <c r="AA71" s="35"/>
      <c r="AB71" s="38"/>
      <c r="AC71" s="45">
        <f t="shared" si="102"/>
        <v>39931203.666305542</v>
      </c>
      <c r="AD71" s="46">
        <f t="shared" si="103"/>
        <v>19943.320846617062</v>
      </c>
      <c r="AE71" s="53"/>
      <c r="AF71" s="54"/>
      <c r="AG71" s="59">
        <f t="shared" si="104"/>
        <v>11508993.5379076</v>
      </c>
      <c r="AH71" s="15">
        <f t="shared" si="105"/>
        <v>9758.7505184977636</v>
      </c>
      <c r="AI71" s="101"/>
    </row>
    <row r="72" spans="1:35">
      <c r="A72" s="557">
        <v>7</v>
      </c>
      <c r="B72" s="23">
        <v>43282</v>
      </c>
      <c r="C72" s="29"/>
      <c r="D72" s="30"/>
      <c r="E72" s="37"/>
      <c r="F72" s="38"/>
      <c r="G72" s="45">
        <v>756363432.58724153</v>
      </c>
      <c r="H72" s="46">
        <v>157286.50228983568</v>
      </c>
      <c r="I72" s="53"/>
      <c r="J72" s="54"/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>
        <v>713250716.92976868</v>
      </c>
      <c r="S72" s="44">
        <f t="shared" si="106"/>
        <v>135754.20068152048</v>
      </c>
      <c r="T72" s="53"/>
      <c r="U72" s="52"/>
      <c r="V72" s="59">
        <v>95625948.26281555</v>
      </c>
      <c r="W72" s="17">
        <f t="shared" si="107"/>
        <v>7551.7361262238619</v>
      </c>
      <c r="X72" s="101"/>
      <c r="Y72" s="29"/>
      <c r="Z72" s="30"/>
      <c r="AA72" s="35"/>
      <c r="AB72" s="38"/>
      <c r="AC72" s="45">
        <f t="shared" si="102"/>
        <v>43112715.657472849</v>
      </c>
      <c r="AD72" s="46">
        <f t="shared" si="103"/>
        <v>21532.301608315203</v>
      </c>
      <c r="AE72" s="53"/>
      <c r="AF72" s="54"/>
      <c r="AG72" s="59">
        <f t="shared" si="104"/>
        <v>12425970.678218961</v>
      </c>
      <c r="AH72" s="15">
        <f t="shared" si="105"/>
        <v>10536.277338196629</v>
      </c>
      <c r="AI72" s="101"/>
    </row>
    <row r="73" spans="1:35">
      <c r="A73" s="557">
        <v>8</v>
      </c>
      <c r="B73" s="23">
        <v>43313</v>
      </c>
      <c r="C73" s="29"/>
      <c r="D73" s="30"/>
      <c r="E73" s="37"/>
      <c r="F73" s="38"/>
      <c r="G73" s="45">
        <v>749302914.2797215</v>
      </c>
      <c r="H73" s="46">
        <v>155818.26072619413</v>
      </c>
      <c r="I73" s="53"/>
      <c r="J73" s="54"/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>
        <v>706592648.16577733</v>
      </c>
      <c r="S73" s="44">
        <f t="shared" si="106"/>
        <v>134486.9593290982</v>
      </c>
      <c r="T73" s="53"/>
      <c r="U73" s="52"/>
      <c r="V73" s="59">
        <v>94733297.019650534</v>
      </c>
      <c r="W73" s="17">
        <f t="shared" si="107"/>
        <v>7481.2420107291746</v>
      </c>
      <c r="X73" s="101"/>
      <c r="Y73" s="29"/>
      <c r="Z73" s="30"/>
      <c r="AA73" s="35"/>
      <c r="AB73" s="38"/>
      <c r="AC73" s="45">
        <f t="shared" si="102"/>
        <v>42710266.113944173</v>
      </c>
      <c r="AD73" s="46">
        <f t="shared" si="103"/>
        <v>21331.301397095929</v>
      </c>
      <c r="AE73" s="53"/>
      <c r="AF73" s="54"/>
      <c r="AG73" s="59">
        <f t="shared" si="104"/>
        <v>12309976.448881134</v>
      </c>
      <c r="AH73" s="15">
        <f t="shared" si="105"/>
        <v>10437.923060564544</v>
      </c>
      <c r="AI73" s="101"/>
    </row>
    <row r="74" spans="1:35">
      <c r="A74" s="557">
        <v>9</v>
      </c>
      <c r="B74" s="23">
        <v>43344</v>
      </c>
      <c r="C74" s="29"/>
      <c r="D74" s="30"/>
      <c r="E74" s="37"/>
      <c r="F74" s="38"/>
      <c r="G74" s="45">
        <v>790556961.82225585</v>
      </c>
      <c r="H74" s="46">
        <v>164397.07953697184</v>
      </c>
      <c r="I74" s="53"/>
      <c r="J74" s="54"/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>
        <v>745495214.99838722</v>
      </c>
      <c r="S74" s="44">
        <f t="shared" si="106"/>
        <v>141891.34987433814</v>
      </c>
      <c r="T74" s="53"/>
      <c r="U74" s="52"/>
      <c r="V74" s="59">
        <v>99948987.31609951</v>
      </c>
      <c r="W74" s="17">
        <f t="shared" si="107"/>
        <v>7893.1335271054359</v>
      </c>
      <c r="X74" s="101"/>
      <c r="Y74" s="29"/>
      <c r="Z74" s="30"/>
      <c r="AA74" s="35"/>
      <c r="AB74" s="38"/>
      <c r="AC74" s="45">
        <f t="shared" si="102"/>
        <v>45061746.823868632</v>
      </c>
      <c r="AD74" s="46">
        <f t="shared" si="103"/>
        <v>22505.729662633705</v>
      </c>
      <c r="AE74" s="53"/>
      <c r="AF74" s="54"/>
      <c r="AG74" s="59">
        <f t="shared" si="104"/>
        <v>12987721.515651345</v>
      </c>
      <c r="AH74" s="15">
        <f t="shared" si="105"/>
        <v>11012.599290937642</v>
      </c>
      <c r="AI74" s="101"/>
    </row>
    <row r="75" spans="1:35">
      <c r="A75" s="557">
        <v>10</v>
      </c>
      <c r="B75" s="23">
        <v>43374</v>
      </c>
      <c r="C75" s="29"/>
      <c r="D75" s="30"/>
      <c r="E75" s="37"/>
      <c r="F75" s="38"/>
      <c r="G75" s="45">
        <v>848257957.42272496</v>
      </c>
      <c r="H75" s="46">
        <v>176396.05699360892</v>
      </c>
      <c r="I75" s="53"/>
      <c r="J75" s="54"/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>
        <v>799907253.84962964</v>
      </c>
      <c r="S75" s="44">
        <f t="shared" si="106"/>
        <v>152247.68414274041</v>
      </c>
      <c r="T75" s="53"/>
      <c r="U75" s="52"/>
      <c r="V75" s="59">
        <v>107244041.75987309</v>
      </c>
      <c r="W75" s="17">
        <f t="shared" si="107"/>
        <v>8469.2358004591733</v>
      </c>
      <c r="X75" s="101"/>
      <c r="Y75" s="29"/>
      <c r="Z75" s="30"/>
      <c r="AA75" s="35"/>
      <c r="AB75" s="38"/>
      <c r="AC75" s="45">
        <f t="shared" si="102"/>
        <v>48350703.573095322</v>
      </c>
      <c r="AD75" s="46">
        <f t="shared" si="103"/>
        <v>24148.372850868502</v>
      </c>
      <c r="AE75" s="53"/>
      <c r="AF75" s="54"/>
      <c r="AG75" s="59">
        <f t="shared" si="104"/>
        <v>13935666.443373337</v>
      </c>
      <c r="AH75" s="15">
        <f t="shared" si="105"/>
        <v>11816.384437262095</v>
      </c>
      <c r="AI75" s="101"/>
    </row>
    <row r="76" spans="1:35">
      <c r="A76" s="557">
        <v>11</v>
      </c>
      <c r="B76" s="23">
        <v>43405</v>
      </c>
      <c r="C76" s="29"/>
      <c r="D76" s="30"/>
      <c r="E76" s="37"/>
      <c r="F76" s="38"/>
      <c r="G76" s="45">
        <v>865704178.90948462</v>
      </c>
      <c r="H76" s="46">
        <v>180024.01550878966</v>
      </c>
      <c r="I76" s="53"/>
      <c r="J76" s="54"/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>
        <v>816359040.71164393</v>
      </c>
      <c r="S76" s="44">
        <f t="shared" si="106"/>
        <v>155378.98022450152</v>
      </c>
      <c r="T76" s="53"/>
      <c r="U76" s="52"/>
      <c r="V76" s="59">
        <v>109449742.61927056</v>
      </c>
      <c r="W76" s="17">
        <f t="shared" si="107"/>
        <v>8643.4235723573984</v>
      </c>
      <c r="X76" s="101"/>
      <c r="Y76" s="29"/>
      <c r="Z76" s="30"/>
      <c r="AA76" s="35"/>
      <c r="AB76" s="38"/>
      <c r="AC76" s="45">
        <f t="shared" si="102"/>
        <v>49345138.197840691</v>
      </c>
      <c r="AD76" s="46">
        <f t="shared" si="103"/>
        <v>24645.03528428814</v>
      </c>
      <c r="AE76" s="53"/>
      <c r="AF76" s="54"/>
      <c r="AG76" s="59">
        <f t="shared" si="104"/>
        <v>14222282.939227253</v>
      </c>
      <c r="AH76" s="15">
        <f t="shared" si="105"/>
        <v>12059.413410065998</v>
      </c>
      <c r="AI76" s="101"/>
    </row>
    <row r="77" spans="1:35" ht="15" thickBot="1">
      <c r="A77" s="557">
        <v>12</v>
      </c>
      <c r="B77" s="24">
        <v>43435</v>
      </c>
      <c r="C77" s="31"/>
      <c r="D77" s="32"/>
      <c r="E77" s="39"/>
      <c r="F77" s="40"/>
      <c r="G77" s="47">
        <v>960907654.86417639</v>
      </c>
      <c r="H77" s="48">
        <v>199821.66977603344</v>
      </c>
      <c r="I77" s="55"/>
      <c r="J77" s="56"/>
      <c r="K77" s="60">
        <v>137272522.1234538</v>
      </c>
      <c r="L77" s="16">
        <v>22979.575492953481</v>
      </c>
      <c r="M77" s="101"/>
      <c r="N77" s="31"/>
      <c r="O77" s="32"/>
      <c r="P77" s="39"/>
      <c r="Q77" s="36"/>
      <c r="R77" s="47">
        <v>906135918.53691828</v>
      </c>
      <c r="S77" s="44">
        <f t="shared" si="106"/>
        <v>172466.36338384115</v>
      </c>
      <c r="T77" s="55"/>
      <c r="U77" s="52"/>
      <c r="V77" s="60">
        <v>121486182.07925661</v>
      </c>
      <c r="W77" s="17">
        <f t="shared" si="107"/>
        <v>9593.9607053463151</v>
      </c>
      <c r="X77" s="101"/>
      <c r="Y77" s="31"/>
      <c r="Z77" s="32"/>
      <c r="AA77" s="559"/>
      <c r="AB77" s="40"/>
      <c r="AC77" s="47">
        <f t="shared" si="102"/>
        <v>54771736.32725811</v>
      </c>
      <c r="AD77" s="48">
        <f t="shared" si="103"/>
        <v>27355.306392192288</v>
      </c>
      <c r="AE77" s="55"/>
      <c r="AF77" s="56"/>
      <c r="AG77" s="60">
        <f t="shared" si="104"/>
        <v>15786340.044197187</v>
      </c>
      <c r="AH77" s="16">
        <f t="shared" si="105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7"/>
      <c r="B79" s="641" t="s">
        <v>124</v>
      </c>
      <c r="C79" s="657"/>
      <c r="D79" s="658"/>
      <c r="E79" s="659"/>
      <c r="F79" s="660"/>
      <c r="G79" s="661">
        <f t="shared" ref="C79:L79" si="108">SUM(G66:G68)</f>
        <v>1705633503.8895154</v>
      </c>
      <c r="H79" s="662">
        <f t="shared" si="108"/>
        <v>354688.12538633024</v>
      </c>
      <c r="I79" s="663"/>
      <c r="J79" s="664"/>
      <c r="K79" s="665">
        <f t="shared" si="108"/>
        <v>243661929.12707365</v>
      </c>
      <c r="L79" s="666">
        <f t="shared" si="108"/>
        <v>40789.28257833478</v>
      </c>
      <c r="M79" s="652"/>
      <c r="N79" s="657"/>
      <c r="O79" s="658"/>
      <c r="P79" s="659"/>
      <c r="Q79" s="660"/>
      <c r="R79" s="661">
        <f t="shared" ref="N79:W79" si="109">SUM(R66:R68)</f>
        <v>1608412394.1678128</v>
      </c>
      <c r="S79" s="662">
        <f t="shared" si="109"/>
        <v>306131.81838273868</v>
      </c>
      <c r="T79" s="663"/>
      <c r="U79" s="664"/>
      <c r="V79" s="665">
        <f t="shared" si="109"/>
        <v>215640807.27746019</v>
      </c>
      <c r="W79" s="666">
        <f t="shared" si="109"/>
        <v>17029.504064416233</v>
      </c>
      <c r="X79" s="652"/>
      <c r="Y79" s="657"/>
      <c r="Z79" s="658"/>
      <c r="AA79" s="659"/>
      <c r="AB79" s="660"/>
      <c r="AC79" s="661">
        <f t="shared" ref="Y79:AH79" si="110">SUM(AC66:AC68)</f>
        <v>97221109.721702397</v>
      </c>
      <c r="AD79" s="662">
        <f t="shared" si="110"/>
        <v>48556.307003591573</v>
      </c>
      <c r="AE79" s="663"/>
      <c r="AF79" s="664"/>
      <c r="AG79" s="665">
        <f t="shared" si="110"/>
        <v>28021121.849613458</v>
      </c>
      <c r="AH79" s="666">
        <f t="shared" si="110"/>
        <v>23759.778513918543</v>
      </c>
      <c r="AI79" s="101"/>
    </row>
    <row r="80" spans="1:35">
      <c r="A80" s="557"/>
      <c r="B80" s="653" t="s">
        <v>125</v>
      </c>
      <c r="C80" s="29"/>
      <c r="D80" s="30"/>
      <c r="E80" s="37"/>
      <c r="F80" s="38"/>
      <c r="G80" s="45">
        <f t="shared" ref="C80:L80" si="111">SUM(G69:G71)</f>
        <v>2073273396.2248788</v>
      </c>
      <c r="H80" s="46">
        <f t="shared" si="111"/>
        <v>431139.19411375897</v>
      </c>
      <c r="I80" s="53"/>
      <c r="J80" s="54"/>
      <c r="K80" s="59">
        <f t="shared" si="111"/>
        <v>296181913.74641132</v>
      </c>
      <c r="L80" s="15">
        <f t="shared" si="111"/>
        <v>49581.187416824083</v>
      </c>
      <c r="M80" s="654"/>
      <c r="N80" s="29"/>
      <c r="O80" s="30"/>
      <c r="P80" s="37"/>
      <c r="Q80" s="38"/>
      <c r="R80" s="45">
        <f t="shared" ref="N80:W80" si="112">SUM(R69:R71)</f>
        <v>1955096812.6400609</v>
      </c>
      <c r="S80" s="46">
        <f t="shared" si="112"/>
        <v>372116.84300497395</v>
      </c>
      <c r="T80" s="53"/>
      <c r="U80" s="54"/>
      <c r="V80" s="59">
        <f t="shared" si="112"/>
        <v>262120993.66557401</v>
      </c>
      <c r="W80" s="15">
        <f t="shared" si="112"/>
        <v>20700.119719238737</v>
      </c>
      <c r="X80" s="654"/>
      <c r="Y80" s="29"/>
      <c r="Z80" s="30"/>
      <c r="AA80" s="37"/>
      <c r="AB80" s="38"/>
      <c r="AC80" s="45">
        <f t="shared" ref="Y80:AH80" si="113">SUM(AC69:AC71)</f>
        <v>118176583.58481812</v>
      </c>
      <c r="AD80" s="46">
        <f t="shared" si="113"/>
        <v>59022.351108785006</v>
      </c>
      <c r="AE80" s="53"/>
      <c r="AF80" s="54"/>
      <c r="AG80" s="59">
        <f t="shared" si="113"/>
        <v>34060920.080837294</v>
      </c>
      <c r="AH80" s="15">
        <f t="shared" si="113"/>
        <v>28881.067697585349</v>
      </c>
      <c r="AI80" s="101"/>
    </row>
    <row r="81" spans="1:35">
      <c r="A81" s="557"/>
      <c r="B81" s="653" t="s">
        <v>126</v>
      </c>
      <c r="C81" s="29"/>
      <c r="D81" s="30"/>
      <c r="E81" s="37"/>
      <c r="F81" s="38"/>
      <c r="G81" s="45">
        <f t="shared" ref="C81:L81" si="114">SUM(G72:G74)</f>
        <v>2296223308.6892185</v>
      </c>
      <c r="H81" s="46">
        <f t="shared" si="114"/>
        <v>477501.84255300171</v>
      </c>
      <c r="I81" s="53"/>
      <c r="J81" s="54"/>
      <c r="K81" s="59">
        <f t="shared" si="114"/>
        <v>328031901.24131703</v>
      </c>
      <c r="L81" s="15">
        <f t="shared" si="114"/>
        <v>54912.911353757285</v>
      </c>
      <c r="M81" s="654"/>
      <c r="N81" s="29"/>
      <c r="O81" s="30"/>
      <c r="P81" s="37"/>
      <c r="Q81" s="38"/>
      <c r="R81" s="45">
        <f t="shared" ref="N81:W81" si="115">SUM(R72:R74)</f>
        <v>2165338580.0939331</v>
      </c>
      <c r="S81" s="46">
        <f t="shared" si="115"/>
        <v>412132.50988495682</v>
      </c>
      <c r="T81" s="53"/>
      <c r="U81" s="54"/>
      <c r="V81" s="59">
        <f t="shared" si="115"/>
        <v>290308232.59856558</v>
      </c>
      <c r="W81" s="15">
        <f t="shared" si="115"/>
        <v>22926.111664058473</v>
      </c>
      <c r="X81" s="654"/>
      <c r="Y81" s="29"/>
      <c r="Z81" s="30"/>
      <c r="AA81" s="37"/>
      <c r="AB81" s="38"/>
      <c r="AC81" s="45">
        <f t="shared" ref="Y81:AH81" si="116">SUM(AC72:AC74)</f>
        <v>130884728.59528565</v>
      </c>
      <c r="AD81" s="46">
        <f t="shared" si="116"/>
        <v>65369.332668044837</v>
      </c>
      <c r="AE81" s="53"/>
      <c r="AF81" s="54"/>
      <c r="AG81" s="59">
        <f t="shared" si="116"/>
        <v>37723668.64275144</v>
      </c>
      <c r="AH81" s="15">
        <f t="shared" si="116"/>
        <v>31986.799689698819</v>
      </c>
      <c r="AI81" s="101"/>
    </row>
    <row r="82" spans="1:35" ht="15" thickBot="1">
      <c r="A82" s="557"/>
      <c r="B82" s="655" t="s">
        <v>127</v>
      </c>
      <c r="C82" s="31"/>
      <c r="D82" s="32"/>
      <c r="E82" s="39"/>
      <c r="F82" s="40"/>
      <c r="G82" s="47">
        <f t="shared" ref="C82:L82" si="117">SUM(G75:G77)</f>
        <v>2674869791.1963859</v>
      </c>
      <c r="H82" s="48">
        <f t="shared" si="117"/>
        <v>556241.74227843201</v>
      </c>
      <c r="I82" s="55"/>
      <c r="J82" s="56"/>
      <c r="K82" s="60">
        <f t="shared" si="117"/>
        <v>382124255.88519806</v>
      </c>
      <c r="L82" s="16">
        <f t="shared" si="117"/>
        <v>63968.032713098146</v>
      </c>
      <c r="M82" s="656"/>
      <c r="N82" s="31"/>
      <c r="O82" s="32"/>
      <c r="P82" s="39"/>
      <c r="Q82" s="40"/>
      <c r="R82" s="47">
        <f t="shared" ref="N82:W82" si="118">SUM(R75:R77)</f>
        <v>2522402213.0981917</v>
      </c>
      <c r="S82" s="48">
        <f t="shared" si="118"/>
        <v>480093.02775108302</v>
      </c>
      <c r="T82" s="55"/>
      <c r="U82" s="56"/>
      <c r="V82" s="60">
        <f t="shared" si="118"/>
        <v>338179966.45840025</v>
      </c>
      <c r="W82" s="16">
        <f t="shared" si="118"/>
        <v>26706.620078162887</v>
      </c>
      <c r="X82" s="656"/>
      <c r="Y82" s="31"/>
      <c r="Z82" s="32"/>
      <c r="AA82" s="39"/>
      <c r="AB82" s="40"/>
      <c r="AC82" s="47">
        <f t="shared" ref="Y82:AH82" si="119">SUM(AC75:AC77)</f>
        <v>152467578.09819412</v>
      </c>
      <c r="AD82" s="48">
        <f t="shared" si="119"/>
        <v>76148.71452734893</v>
      </c>
      <c r="AE82" s="55"/>
      <c r="AF82" s="56"/>
      <c r="AG82" s="60">
        <f t="shared" si="119"/>
        <v>43944289.426797777</v>
      </c>
      <c r="AH82" s="16">
        <f t="shared" si="119"/>
        <v>37261.412634935259</v>
      </c>
      <c r="AI82" s="101"/>
    </row>
    <row r="84" spans="1:35">
      <c r="E84" s="554"/>
      <c r="F84" s="802"/>
    </row>
    <row r="85" spans="1:35">
      <c r="C85" s="554"/>
      <c r="D85" s="554"/>
      <c r="E85" s="633"/>
      <c r="F85" s="633"/>
      <c r="G85" s="554"/>
      <c r="H85" s="554"/>
      <c r="I85" s="554"/>
      <c r="J85" s="554"/>
      <c r="K85" s="554"/>
      <c r="L85" s="554"/>
    </row>
    <row r="86" spans="1:35">
      <c r="C86" s="554"/>
      <c r="D86" s="554"/>
      <c r="E86" s="554"/>
      <c r="F86" s="554"/>
      <c r="G86" s="554"/>
      <c r="H86" s="554"/>
      <c r="I86" s="554"/>
      <c r="J86" s="554"/>
      <c r="K86" s="554"/>
      <c r="L86" s="554"/>
    </row>
    <row r="88" spans="1:35">
      <c r="C88" s="633"/>
      <c r="D88" s="633"/>
      <c r="E88" s="822"/>
      <c r="F88" s="633"/>
      <c r="G88" s="633"/>
      <c r="H88" s="633"/>
      <c r="I88" s="633"/>
      <c r="J88" s="633"/>
      <c r="K88" s="633"/>
      <c r="L88" s="633"/>
    </row>
    <row r="89" spans="1:35">
      <c r="E89" s="823"/>
    </row>
    <row r="90" spans="1:35">
      <c r="E90" s="633"/>
    </row>
    <row r="91" spans="1:35">
      <c r="C91" s="668"/>
      <c r="D91" s="669"/>
      <c r="E91" s="633"/>
    </row>
    <row r="92" spans="1:35">
      <c r="E92" s="822"/>
    </row>
    <row r="93" spans="1:35">
      <c r="E93" s="824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26:L37">
    <cfRule type="expression" dxfId="28" priority="136">
      <formula>C26&gt;100%</formula>
    </cfRule>
  </conditionalFormatting>
  <conditionalFormatting sqref="AA26:AH37">
    <cfRule type="expression" dxfId="27" priority="134">
      <formula>AA26&gt;100%</formula>
    </cfRule>
  </conditionalFormatting>
  <conditionalFormatting sqref="P26:W37">
    <cfRule type="expression" dxfId="26" priority="135">
      <formula>P26&gt;100%</formula>
    </cfRule>
  </conditionalFormatting>
  <conditionalFormatting sqref="N26:O37">
    <cfRule type="expression" dxfId="25" priority="133">
      <formula>N26&gt;100%</formula>
    </cfRule>
  </conditionalFormatting>
  <conditionalFormatting sqref="Y26:Z37">
    <cfRule type="expression" dxfId="24" priority="132">
      <formula>Y26&gt;100%</formula>
    </cfRule>
  </conditionalFormatting>
  <conditionalFormatting sqref="E5 E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8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65 W5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65 Y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3" priority="15">
      <formula>C40&gt;100%</formula>
    </cfRule>
  </conditionalFormatting>
  <conditionalFormatting sqref="AA40:AH41">
    <cfRule type="expression" dxfId="22" priority="13">
      <formula>AA40&gt;100%</formula>
    </cfRule>
  </conditionalFormatting>
  <conditionalFormatting sqref="P40:W41">
    <cfRule type="expression" dxfId="21" priority="14">
      <formula>P40&gt;100%</formula>
    </cfRule>
  </conditionalFormatting>
  <conditionalFormatting sqref="N40:O41">
    <cfRule type="expression" dxfId="20" priority="12">
      <formula>N40&gt;100%</formula>
    </cfRule>
  </conditionalFormatting>
  <conditionalFormatting sqref="Y40:Z41">
    <cfRule type="expression" dxfId="19" priority="11">
      <formula>Y40&gt;100%</formula>
    </cfRule>
  </conditionalFormatting>
  <conditionalFormatting sqref="C42:L42">
    <cfRule type="expression" dxfId="18" priority="10">
      <formula>C42&gt;100%</formula>
    </cfRule>
  </conditionalFormatting>
  <conditionalFormatting sqref="AA42:AH42">
    <cfRule type="expression" dxfId="17" priority="8">
      <formula>AA42&gt;100%</formula>
    </cfRule>
  </conditionalFormatting>
  <conditionalFormatting sqref="P42:W42">
    <cfRule type="expression" dxfId="16" priority="9">
      <formula>P42&gt;100%</formula>
    </cfRule>
  </conditionalFormatting>
  <conditionalFormatting sqref="N42:O42">
    <cfRule type="expression" dxfId="15" priority="7">
      <formula>N42&gt;100%</formula>
    </cfRule>
  </conditionalFormatting>
  <conditionalFormatting sqref="Y42:Z42">
    <cfRule type="expression" dxfId="14" priority="6">
      <formula>Y42&gt;100%</formula>
    </cfRule>
  </conditionalFormatting>
  <conditionalFormatting sqref="C39:L39">
    <cfRule type="expression" dxfId="13" priority="5">
      <formula>C39&gt;100%</formula>
    </cfRule>
  </conditionalFormatting>
  <conditionalFormatting sqref="AA39:AH39">
    <cfRule type="expression" dxfId="12" priority="3">
      <formula>AA39&gt;100%</formula>
    </cfRule>
  </conditionalFormatting>
  <conditionalFormatting sqref="P39:W39">
    <cfRule type="expression" dxfId="11" priority="4">
      <formula>P39&gt;100%</formula>
    </cfRule>
  </conditionalFormatting>
  <conditionalFormatting sqref="N39:O39">
    <cfRule type="expression" dxfId="10" priority="2">
      <formula>N39&gt;100%</formula>
    </cfRule>
  </conditionalFormatting>
  <conditionalFormatting sqref="Y39:Z39">
    <cfRule type="expression" dxfId="9" priority="1">
      <formula>Y39&gt;100%</formula>
    </cfRule>
  </conditionalFormatting>
  <pageMargins left="0.7" right="0.7" top="0.75" bottom="0.75" header="0.3" footer="0.3"/>
  <pageSetup paperSize="9" orientation="portrait" verticalDpi="0" r:id="rId1"/>
  <ignoredErrors>
    <ignoredError sqref="G79:H82 K79:M82 R79:S82 V79:X82 AC79:AD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W65 W5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Y65 Y5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3"/>
      <c r="C1" s="100"/>
      <c r="K1" s="101"/>
      <c r="L1" s="100"/>
      <c r="T1" s="101"/>
      <c r="U1" s="100"/>
      <c r="AC1" s="101"/>
    </row>
    <row r="2" spans="1:29">
      <c r="B2" s="126"/>
      <c r="C2" s="833"/>
      <c r="D2" s="834"/>
      <c r="E2" s="835"/>
      <c r="F2" s="836"/>
      <c r="G2" s="839"/>
      <c r="H2" s="840"/>
      <c r="I2" s="841"/>
      <c r="J2" s="842"/>
      <c r="K2" s="101"/>
      <c r="L2" s="833"/>
      <c r="M2" s="834"/>
      <c r="N2" s="835"/>
      <c r="O2" s="836"/>
      <c r="P2" s="839"/>
      <c r="Q2" s="840"/>
      <c r="R2" s="841"/>
      <c r="S2" s="842"/>
      <c r="T2" s="101"/>
      <c r="U2" s="833"/>
      <c r="V2" s="834"/>
      <c r="W2" s="835"/>
      <c r="X2" s="836"/>
      <c r="Y2" s="839"/>
      <c r="Z2" s="840"/>
      <c r="AA2" s="841"/>
      <c r="AB2" s="842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20"/>
      <c r="K4" s="101"/>
      <c r="T4" s="101"/>
      <c r="AC4" s="101"/>
    </row>
    <row r="5" spans="1:29" ht="15" thickBot="1">
      <c r="B5" s="21"/>
      <c r="C5" s="25"/>
      <c r="D5" s="26"/>
      <c r="E5" s="33"/>
      <c r="F5" s="34"/>
      <c r="G5" s="49"/>
      <c r="H5" s="50"/>
      <c r="I5" s="57"/>
      <c r="J5" s="18"/>
      <c r="K5" s="101"/>
      <c r="L5" s="25"/>
      <c r="M5" s="26"/>
      <c r="N5" s="33"/>
      <c r="O5" s="34"/>
      <c r="P5" s="49"/>
      <c r="Q5" s="50"/>
      <c r="R5" s="57"/>
      <c r="S5" s="18"/>
      <c r="T5" s="101"/>
      <c r="U5" s="25"/>
      <c r="V5" s="26"/>
      <c r="W5" s="33"/>
      <c r="X5" s="34"/>
      <c r="Y5" s="49"/>
      <c r="Z5" s="50"/>
      <c r="AA5" s="57"/>
      <c r="AB5" s="18"/>
      <c r="AC5" s="101"/>
    </row>
    <row r="6" spans="1:29">
      <c r="A6" s="557"/>
      <c r="B6" s="22"/>
      <c r="C6" s="27"/>
      <c r="D6" s="28"/>
      <c r="E6" s="35"/>
      <c r="F6" s="36"/>
      <c r="G6" s="51"/>
      <c r="H6" s="52"/>
      <c r="I6" s="58"/>
      <c r="J6" s="17"/>
      <c r="K6" s="101"/>
      <c r="L6" s="27"/>
      <c r="M6" s="28"/>
      <c r="N6" s="35"/>
      <c r="O6" s="36"/>
      <c r="P6" s="51"/>
      <c r="Q6" s="52"/>
      <c r="R6" s="58"/>
      <c r="S6" s="17"/>
      <c r="T6" s="101"/>
      <c r="U6" s="27"/>
      <c r="V6" s="28"/>
      <c r="W6" s="35"/>
      <c r="X6" s="36"/>
      <c r="Y6" s="51"/>
      <c r="Z6" s="52"/>
      <c r="AA6" s="58"/>
      <c r="AB6" s="17"/>
      <c r="AC6" s="101"/>
    </row>
    <row r="7" spans="1:29">
      <c r="A7" s="557"/>
      <c r="B7" s="23"/>
      <c r="C7" s="27"/>
      <c r="D7" s="28"/>
      <c r="E7" s="35"/>
      <c r="F7" s="38"/>
      <c r="G7" s="53"/>
      <c r="H7" s="54"/>
      <c r="I7" s="59"/>
      <c r="J7" s="15"/>
      <c r="K7" s="101"/>
      <c r="L7" s="29"/>
      <c r="M7" s="30"/>
      <c r="N7" s="35"/>
      <c r="O7" s="38"/>
      <c r="P7" s="53"/>
      <c r="Q7" s="54"/>
      <c r="R7" s="59"/>
      <c r="S7" s="15"/>
      <c r="T7" s="101"/>
      <c r="U7" s="29"/>
      <c r="V7" s="30"/>
      <c r="W7" s="35"/>
      <c r="X7" s="38"/>
      <c r="Y7" s="53"/>
      <c r="Z7" s="54"/>
      <c r="AA7" s="59"/>
      <c r="AB7" s="15"/>
      <c r="AC7" s="101"/>
    </row>
    <row r="8" spans="1:29">
      <c r="A8" s="557"/>
      <c r="B8" s="23"/>
      <c r="C8" s="27"/>
      <c r="D8" s="28"/>
      <c r="E8" s="37"/>
      <c r="F8" s="38"/>
      <c r="G8" s="53"/>
      <c r="H8" s="54"/>
      <c r="I8" s="59"/>
      <c r="J8" s="15"/>
      <c r="K8" s="101"/>
      <c r="L8" s="29"/>
      <c r="M8" s="30"/>
      <c r="N8" s="37"/>
      <c r="O8" s="38"/>
      <c r="P8" s="53"/>
      <c r="Q8" s="54"/>
      <c r="R8" s="59"/>
      <c r="S8" s="15"/>
      <c r="T8" s="101"/>
      <c r="U8" s="29"/>
      <c r="V8" s="30"/>
      <c r="W8" s="37"/>
      <c r="X8" s="38"/>
      <c r="Y8" s="53"/>
      <c r="Z8" s="54"/>
      <c r="AA8" s="59"/>
      <c r="AB8" s="15"/>
      <c r="AC8" s="101"/>
    </row>
    <row r="9" spans="1:29">
      <c r="A9" s="557"/>
      <c r="B9" s="23"/>
      <c r="C9" s="27"/>
      <c r="D9" s="28"/>
      <c r="E9" s="37"/>
      <c r="F9" s="38"/>
      <c r="G9" s="53"/>
      <c r="H9" s="54"/>
      <c r="I9" s="59"/>
      <c r="J9" s="15"/>
      <c r="K9" s="101"/>
      <c r="L9" s="29"/>
      <c r="M9" s="30"/>
      <c r="N9" s="37"/>
      <c r="O9" s="38"/>
      <c r="P9" s="53"/>
      <c r="Q9" s="54"/>
      <c r="R9" s="59"/>
      <c r="S9" s="15"/>
      <c r="T9" s="101"/>
      <c r="U9" s="29"/>
      <c r="V9" s="30"/>
      <c r="W9" s="37"/>
      <c r="X9" s="38"/>
      <c r="Y9" s="53"/>
      <c r="Z9" s="54"/>
      <c r="AA9" s="59"/>
      <c r="AB9" s="15"/>
      <c r="AC9" s="101"/>
    </row>
    <row r="10" spans="1:29">
      <c r="A10" s="557"/>
      <c r="B10" s="23"/>
      <c r="C10" s="27"/>
      <c r="D10" s="28"/>
      <c r="E10" s="37"/>
      <c r="F10" s="38"/>
      <c r="G10" s="53"/>
      <c r="H10" s="54"/>
      <c r="I10" s="59"/>
      <c r="J10" s="15"/>
      <c r="K10" s="101"/>
      <c r="L10" s="29"/>
      <c r="M10" s="30"/>
      <c r="N10" s="37"/>
      <c r="O10" s="38"/>
      <c r="P10" s="53"/>
      <c r="Q10" s="54"/>
      <c r="R10" s="59"/>
      <c r="S10" s="15"/>
      <c r="T10" s="101"/>
      <c r="U10" s="29"/>
      <c r="V10" s="30"/>
      <c r="W10" s="37"/>
      <c r="X10" s="38"/>
      <c r="Y10" s="53"/>
      <c r="Z10" s="54"/>
      <c r="AA10" s="59"/>
      <c r="AB10" s="15"/>
      <c r="AC10" s="101"/>
    </row>
    <row r="11" spans="1:29">
      <c r="A11" s="557"/>
      <c r="B11" s="23"/>
      <c r="C11" s="27"/>
      <c r="D11" s="28"/>
      <c r="E11" s="37"/>
      <c r="F11" s="38"/>
      <c r="G11" s="53"/>
      <c r="H11" s="54"/>
      <c r="I11" s="59"/>
      <c r="J11" s="15"/>
      <c r="K11" s="101"/>
      <c r="L11" s="29"/>
      <c r="M11" s="30"/>
      <c r="N11" s="37"/>
      <c r="O11" s="38"/>
      <c r="P11" s="53"/>
      <c r="Q11" s="54"/>
      <c r="R11" s="59"/>
      <c r="S11" s="15"/>
      <c r="T11" s="101"/>
      <c r="U11" s="29"/>
      <c r="V11" s="30"/>
      <c r="W11" s="37"/>
      <c r="X11" s="38"/>
      <c r="Y11" s="53"/>
      <c r="Z11" s="54"/>
      <c r="AA11" s="59"/>
      <c r="AB11" s="15"/>
      <c r="AC11" s="101"/>
    </row>
    <row r="12" spans="1:29">
      <c r="A12" s="557"/>
      <c r="B12" s="23"/>
      <c r="C12" s="27"/>
      <c r="D12" s="28"/>
      <c r="E12" s="37"/>
      <c r="F12" s="38"/>
      <c r="G12" s="53"/>
      <c r="H12" s="54"/>
      <c r="I12" s="59"/>
      <c r="J12" s="15"/>
      <c r="K12" s="101"/>
      <c r="L12" s="29"/>
      <c r="M12" s="30"/>
      <c r="N12" s="37"/>
      <c r="O12" s="38"/>
      <c r="P12" s="53"/>
      <c r="Q12" s="54"/>
      <c r="R12" s="59"/>
      <c r="S12" s="15"/>
      <c r="T12" s="101"/>
      <c r="U12" s="29"/>
      <c r="V12" s="30"/>
      <c r="W12" s="37"/>
      <c r="X12" s="38"/>
      <c r="Y12" s="53"/>
      <c r="Z12" s="54"/>
      <c r="AA12" s="59"/>
      <c r="AB12" s="15"/>
      <c r="AC12" s="101"/>
    </row>
    <row r="13" spans="1:29">
      <c r="A13" s="557"/>
      <c r="B13" s="23"/>
      <c r="C13" s="27"/>
      <c r="D13" s="28"/>
      <c r="E13" s="37"/>
      <c r="F13" s="38"/>
      <c r="G13" s="53"/>
      <c r="H13" s="54"/>
      <c r="I13" s="59"/>
      <c r="J13" s="15"/>
      <c r="K13" s="101"/>
      <c r="L13" s="29"/>
      <c r="M13" s="30"/>
      <c r="N13" s="37"/>
      <c r="O13" s="38"/>
      <c r="P13" s="53"/>
      <c r="Q13" s="54"/>
      <c r="R13" s="59"/>
      <c r="S13" s="15"/>
      <c r="T13" s="101"/>
      <c r="U13" s="29"/>
      <c r="V13" s="30"/>
      <c r="W13" s="37"/>
      <c r="X13" s="38"/>
      <c r="Y13" s="53"/>
      <c r="Z13" s="54"/>
      <c r="AA13" s="59"/>
      <c r="AB13" s="15"/>
      <c r="AC13" s="101"/>
    </row>
    <row r="14" spans="1:29">
      <c r="A14" s="557"/>
      <c r="B14" s="23"/>
      <c r="C14" s="27"/>
      <c r="D14" s="28"/>
      <c r="E14" s="37"/>
      <c r="F14" s="38"/>
      <c r="G14" s="53"/>
      <c r="H14" s="54"/>
      <c r="I14" s="59"/>
      <c r="J14" s="15"/>
      <c r="K14" s="101"/>
      <c r="L14" s="29"/>
      <c r="M14" s="30"/>
      <c r="N14" s="37"/>
      <c r="O14" s="38"/>
      <c r="P14" s="53"/>
      <c r="Q14" s="54"/>
      <c r="R14" s="59"/>
      <c r="S14" s="15"/>
      <c r="T14" s="101"/>
      <c r="U14" s="29"/>
      <c r="V14" s="30"/>
      <c r="W14" s="37"/>
      <c r="X14" s="38"/>
      <c r="Y14" s="53"/>
      <c r="Z14" s="54"/>
      <c r="AA14" s="59"/>
      <c r="AB14" s="15"/>
      <c r="AC14" s="101"/>
    </row>
    <row r="15" spans="1:29">
      <c r="A15" s="557"/>
      <c r="B15" s="23"/>
      <c r="C15" s="27"/>
      <c r="D15" s="28"/>
      <c r="E15" s="37"/>
      <c r="F15" s="38"/>
      <c r="G15" s="53"/>
      <c r="H15" s="54"/>
      <c r="I15" s="59"/>
      <c r="J15" s="15"/>
      <c r="K15" s="101"/>
      <c r="L15" s="29"/>
      <c r="M15" s="30"/>
      <c r="N15" s="37"/>
      <c r="O15" s="38"/>
      <c r="P15" s="53"/>
      <c r="Q15" s="54"/>
      <c r="R15" s="59"/>
      <c r="S15" s="15"/>
      <c r="T15" s="101"/>
      <c r="U15" s="29"/>
      <c r="V15" s="30"/>
      <c r="W15" s="37"/>
      <c r="X15" s="38"/>
      <c r="Y15" s="53"/>
      <c r="Z15" s="54"/>
      <c r="AA15" s="59"/>
      <c r="AB15" s="15"/>
      <c r="AC15" s="101"/>
    </row>
    <row r="16" spans="1:29">
      <c r="A16" s="557"/>
      <c r="B16" s="23"/>
      <c r="C16" s="27"/>
      <c r="D16" s="28"/>
      <c r="E16" s="37"/>
      <c r="F16" s="38"/>
      <c r="G16" s="53"/>
      <c r="H16" s="54"/>
      <c r="I16" s="59"/>
      <c r="J16" s="15"/>
      <c r="K16" s="101"/>
      <c r="L16" s="29"/>
      <c r="M16" s="30"/>
      <c r="N16" s="37"/>
      <c r="O16" s="38"/>
      <c r="P16" s="53"/>
      <c r="Q16" s="54"/>
      <c r="R16" s="59"/>
      <c r="S16" s="15"/>
      <c r="T16" s="101"/>
      <c r="U16" s="29"/>
      <c r="V16" s="30"/>
      <c r="W16" s="37"/>
      <c r="X16" s="38"/>
      <c r="Y16" s="53"/>
      <c r="Z16" s="54"/>
      <c r="AA16" s="59"/>
      <c r="AB16" s="15"/>
      <c r="AC16" s="101"/>
    </row>
    <row r="17" spans="1:29" ht="15" thickBot="1">
      <c r="A17" s="557"/>
      <c r="B17" s="24"/>
      <c r="C17" s="674"/>
      <c r="D17" s="675"/>
      <c r="E17" s="39"/>
      <c r="F17" s="40"/>
      <c r="G17" s="55"/>
      <c r="H17" s="56"/>
      <c r="I17" s="60"/>
      <c r="J17" s="16"/>
      <c r="K17" s="101"/>
      <c r="L17" s="31"/>
      <c r="M17" s="32"/>
      <c r="N17" s="39"/>
      <c r="O17" s="40"/>
      <c r="P17" s="55"/>
      <c r="Q17" s="56"/>
      <c r="R17" s="60"/>
      <c r="S17" s="16"/>
      <c r="T17" s="101"/>
      <c r="U17" s="31"/>
      <c r="V17" s="32"/>
      <c r="W17" s="39"/>
      <c r="X17" s="40"/>
      <c r="Y17" s="55"/>
      <c r="Z17" s="56"/>
      <c r="AA17" s="60"/>
      <c r="AB17" s="16"/>
      <c r="AC17" s="101"/>
    </row>
    <row r="18" spans="1:29" ht="15" thickBot="1">
      <c r="K18" s="101"/>
      <c r="T18" s="101"/>
      <c r="AC18" s="101"/>
    </row>
    <row r="19" spans="1:29">
      <c r="A19" s="557"/>
      <c r="B19" s="641"/>
      <c r="C19" s="657"/>
      <c r="D19" s="658"/>
      <c r="E19" s="659"/>
      <c r="F19" s="660"/>
      <c r="G19" s="663"/>
      <c r="H19" s="664"/>
      <c r="I19" s="665"/>
      <c r="J19" s="666"/>
      <c r="K19" s="652"/>
      <c r="L19" s="657"/>
      <c r="M19" s="658"/>
      <c r="N19" s="659"/>
      <c r="O19" s="660"/>
      <c r="P19" s="663"/>
      <c r="Q19" s="664"/>
      <c r="R19" s="665"/>
      <c r="S19" s="666"/>
      <c r="T19" s="652"/>
      <c r="U19" s="657"/>
      <c r="V19" s="658"/>
      <c r="W19" s="659"/>
      <c r="X19" s="660"/>
      <c r="Y19" s="663"/>
      <c r="Z19" s="664"/>
      <c r="AA19" s="665"/>
      <c r="AB19" s="666"/>
      <c r="AC19" s="101"/>
    </row>
    <row r="20" spans="1:29">
      <c r="A20" s="557"/>
      <c r="B20" s="653"/>
      <c r="C20" s="29"/>
      <c r="D20" s="30"/>
      <c r="E20" s="37"/>
      <c r="F20" s="38"/>
      <c r="G20" s="53"/>
      <c r="H20" s="54"/>
      <c r="I20" s="59"/>
      <c r="J20" s="15"/>
      <c r="K20" s="654"/>
      <c r="L20" s="29"/>
      <c r="M20" s="30"/>
      <c r="N20" s="37"/>
      <c r="O20" s="38"/>
      <c r="P20" s="53"/>
      <c r="Q20" s="54"/>
      <c r="R20" s="59"/>
      <c r="S20" s="15"/>
      <c r="T20" s="654"/>
      <c r="U20" s="29"/>
      <c r="V20" s="30"/>
      <c r="W20" s="37"/>
      <c r="X20" s="38"/>
      <c r="Y20" s="53"/>
      <c r="Z20" s="54"/>
      <c r="AA20" s="59"/>
      <c r="AB20" s="15"/>
      <c r="AC20" s="101"/>
    </row>
    <row r="21" spans="1:29">
      <c r="A21" s="557"/>
      <c r="B21" s="653"/>
      <c r="C21" s="29"/>
      <c r="D21" s="30"/>
      <c r="E21" s="37"/>
      <c r="F21" s="38"/>
      <c r="G21" s="53"/>
      <c r="H21" s="54"/>
      <c r="I21" s="59"/>
      <c r="J21" s="15"/>
      <c r="K21" s="654"/>
      <c r="L21" s="29"/>
      <c r="M21" s="30"/>
      <c r="N21" s="37"/>
      <c r="O21" s="38"/>
      <c r="P21" s="53"/>
      <c r="Q21" s="54"/>
      <c r="R21" s="59"/>
      <c r="S21" s="15"/>
      <c r="T21" s="654"/>
      <c r="U21" s="29"/>
      <c r="V21" s="30"/>
      <c r="W21" s="37"/>
      <c r="X21" s="38"/>
      <c r="Y21" s="53"/>
      <c r="Z21" s="54"/>
      <c r="AA21" s="59"/>
      <c r="AB21" s="15"/>
      <c r="AC21" s="101"/>
    </row>
    <row r="22" spans="1:29" ht="15" thickBot="1">
      <c r="A22" s="557"/>
      <c r="B22" s="655"/>
      <c r="C22" s="31"/>
      <c r="D22" s="32"/>
      <c r="E22" s="39"/>
      <c r="F22" s="40"/>
      <c r="G22" s="55"/>
      <c r="H22" s="56"/>
      <c r="I22" s="60"/>
      <c r="J22" s="16"/>
      <c r="K22" s="656"/>
      <c r="L22" s="31"/>
      <c r="M22" s="32"/>
      <c r="N22" s="39"/>
      <c r="O22" s="40"/>
      <c r="P22" s="55"/>
      <c r="Q22" s="56"/>
      <c r="R22" s="60"/>
      <c r="S22" s="16"/>
      <c r="T22" s="656"/>
      <c r="U22" s="31"/>
      <c r="V22" s="32"/>
      <c r="W22" s="39"/>
      <c r="X22" s="40"/>
      <c r="Y22" s="55"/>
      <c r="Z22" s="56"/>
      <c r="AA22" s="60"/>
      <c r="AB22" s="16"/>
      <c r="AC22" s="101"/>
    </row>
    <row r="23" spans="1:29" ht="15" thickBot="1">
      <c r="K23" s="101"/>
      <c r="T23" s="101"/>
      <c r="AC23" s="101"/>
    </row>
    <row r="24" spans="1:29" ht="15" thickBot="1">
      <c r="B24" s="19"/>
      <c r="C24" s="113"/>
      <c r="D24" s="113"/>
      <c r="E24" s="113"/>
      <c r="F24" s="113"/>
      <c r="G24" s="113"/>
      <c r="H24" s="113"/>
      <c r="I24" s="113"/>
      <c r="J24" s="113"/>
      <c r="K24" s="103"/>
      <c r="L24" s="113"/>
      <c r="M24" s="113"/>
      <c r="N24" s="113"/>
      <c r="O24" s="113"/>
      <c r="P24" s="113"/>
      <c r="Q24" s="113"/>
      <c r="R24" s="113"/>
      <c r="S24" s="113"/>
      <c r="T24" s="103"/>
      <c r="U24" s="113"/>
      <c r="V24" s="113"/>
      <c r="W24" s="113"/>
      <c r="X24" s="113"/>
      <c r="Y24" s="113"/>
      <c r="Z24" s="113"/>
      <c r="AA24" s="113"/>
      <c r="AB24" s="113"/>
      <c r="AC24" s="103"/>
    </row>
    <row r="25" spans="1:29" ht="15" thickBot="1">
      <c r="B25" s="21"/>
      <c r="C25" s="61"/>
      <c r="D25" s="62"/>
      <c r="E25" s="69"/>
      <c r="F25" s="70"/>
      <c r="G25" s="85"/>
      <c r="H25" s="86"/>
      <c r="I25" s="93"/>
      <c r="J25" s="13"/>
      <c r="K25" s="103"/>
      <c r="L25" s="61"/>
      <c r="M25" s="62"/>
      <c r="N25" s="69"/>
      <c r="O25" s="70"/>
      <c r="P25" s="85"/>
      <c r="Q25" s="86"/>
      <c r="R25" s="93"/>
      <c r="S25" s="13"/>
      <c r="T25" s="103"/>
      <c r="U25" s="61"/>
      <c r="V25" s="62"/>
      <c r="W25" s="69"/>
      <c r="X25" s="70"/>
      <c r="Y25" s="85"/>
      <c r="Z25" s="86"/>
      <c r="AA25" s="93"/>
      <c r="AB25" s="13"/>
      <c r="AC25" s="103"/>
    </row>
    <row r="26" spans="1:29">
      <c r="A26" s="557"/>
      <c r="B26" s="22"/>
      <c r="C26" s="63"/>
      <c r="D26" s="64"/>
      <c r="E26" s="71"/>
      <c r="F26" s="72"/>
      <c r="G26" s="87"/>
      <c r="H26" s="88"/>
      <c r="I26" s="94"/>
      <c r="J26" s="12"/>
      <c r="K26" s="101"/>
      <c r="L26" s="63"/>
      <c r="M26" s="64"/>
      <c r="N26" s="71"/>
      <c r="O26" s="72"/>
      <c r="P26" s="87"/>
      <c r="Q26" s="88"/>
      <c r="R26" s="94"/>
      <c r="S26" s="12"/>
      <c r="T26" s="101"/>
      <c r="U26" s="63"/>
      <c r="V26" s="64"/>
      <c r="W26" s="71"/>
      <c r="X26" s="72"/>
      <c r="Y26" s="87"/>
      <c r="Z26" s="88"/>
      <c r="AA26" s="94"/>
      <c r="AB26" s="12"/>
      <c r="AC26" s="101"/>
    </row>
    <row r="27" spans="1:29">
      <c r="A27" s="557"/>
      <c r="B27" s="23"/>
      <c r="C27" s="65"/>
      <c r="D27" s="66"/>
      <c r="E27" s="73"/>
      <c r="F27" s="74"/>
      <c r="G27" s="89"/>
      <c r="H27" s="90"/>
      <c r="I27" s="95"/>
      <c r="J27" s="10"/>
      <c r="K27" s="101"/>
      <c r="L27" s="65"/>
      <c r="M27" s="66"/>
      <c r="N27" s="73"/>
      <c r="O27" s="74"/>
      <c r="P27" s="89"/>
      <c r="Q27" s="90"/>
      <c r="R27" s="95"/>
      <c r="S27" s="10"/>
      <c r="T27" s="101"/>
      <c r="U27" s="65"/>
      <c r="V27" s="66"/>
      <c r="W27" s="73"/>
      <c r="X27" s="74"/>
      <c r="Y27" s="89"/>
      <c r="Z27" s="90"/>
      <c r="AA27" s="95"/>
      <c r="AB27" s="10"/>
      <c r="AC27" s="101"/>
    </row>
    <row r="28" spans="1:29">
      <c r="A28" s="557"/>
      <c r="B28" s="23"/>
      <c r="C28" s="65"/>
      <c r="D28" s="66"/>
      <c r="E28" s="73"/>
      <c r="F28" s="74"/>
      <c r="G28" s="89"/>
      <c r="H28" s="90"/>
      <c r="I28" s="95"/>
      <c r="J28" s="10"/>
      <c r="K28" s="101"/>
      <c r="L28" s="65"/>
      <c r="M28" s="66"/>
      <c r="N28" s="73"/>
      <c r="O28" s="74"/>
      <c r="P28" s="89"/>
      <c r="Q28" s="90"/>
      <c r="R28" s="95"/>
      <c r="S28" s="10"/>
      <c r="T28" s="101"/>
      <c r="U28" s="65"/>
      <c r="V28" s="66"/>
      <c r="W28" s="73"/>
      <c r="X28" s="74"/>
      <c r="Y28" s="89"/>
      <c r="Z28" s="90"/>
      <c r="AA28" s="95"/>
      <c r="AB28" s="10"/>
      <c r="AC28" s="101"/>
    </row>
    <row r="29" spans="1:29">
      <c r="A29" s="557"/>
      <c r="B29" s="23"/>
      <c r="C29" s="65"/>
      <c r="D29" s="66"/>
      <c r="E29" s="73"/>
      <c r="F29" s="74"/>
      <c r="G29" s="89"/>
      <c r="H29" s="90"/>
      <c r="I29" s="95"/>
      <c r="J29" s="10"/>
      <c r="K29" s="101"/>
      <c r="L29" s="65"/>
      <c r="M29" s="66"/>
      <c r="N29" s="73"/>
      <c r="O29" s="74"/>
      <c r="P29" s="89"/>
      <c r="Q29" s="90"/>
      <c r="R29" s="95"/>
      <c r="S29" s="10"/>
      <c r="T29" s="101"/>
      <c r="U29" s="65"/>
      <c r="V29" s="66"/>
      <c r="W29" s="73"/>
      <c r="X29" s="74"/>
      <c r="Y29" s="89"/>
      <c r="Z29" s="90"/>
      <c r="AA29" s="95"/>
      <c r="AB29" s="10"/>
      <c r="AC29" s="101"/>
    </row>
    <row r="30" spans="1:29">
      <c r="A30" s="557"/>
      <c r="B30" s="23"/>
      <c r="C30" s="65"/>
      <c r="D30" s="66"/>
      <c r="E30" s="73"/>
      <c r="F30" s="74"/>
      <c r="G30" s="89"/>
      <c r="H30" s="90"/>
      <c r="I30" s="95"/>
      <c r="J30" s="10"/>
      <c r="K30" s="101"/>
      <c r="L30" s="65"/>
      <c r="M30" s="66"/>
      <c r="N30" s="73"/>
      <c r="O30" s="74"/>
      <c r="P30" s="89"/>
      <c r="Q30" s="90"/>
      <c r="R30" s="95"/>
      <c r="S30" s="10"/>
      <c r="T30" s="101"/>
      <c r="U30" s="65"/>
      <c r="V30" s="66"/>
      <c r="W30" s="73"/>
      <c r="X30" s="74"/>
      <c r="Y30" s="89"/>
      <c r="Z30" s="90"/>
      <c r="AA30" s="95"/>
      <c r="AB30" s="10"/>
      <c r="AC30" s="101"/>
    </row>
    <row r="31" spans="1:29">
      <c r="A31" s="557"/>
      <c r="B31" s="23"/>
      <c r="C31" s="65"/>
      <c r="D31" s="66"/>
      <c r="E31" s="73"/>
      <c r="F31" s="74"/>
      <c r="G31" s="89"/>
      <c r="H31" s="90"/>
      <c r="I31" s="95"/>
      <c r="J31" s="10"/>
      <c r="K31" s="101"/>
      <c r="L31" s="65"/>
      <c r="M31" s="66"/>
      <c r="N31" s="73"/>
      <c r="O31" s="74"/>
      <c r="P31" s="89"/>
      <c r="Q31" s="90"/>
      <c r="R31" s="95"/>
      <c r="S31" s="10"/>
      <c r="T31" s="101"/>
      <c r="U31" s="65"/>
      <c r="V31" s="66"/>
      <c r="W31" s="73"/>
      <c r="X31" s="74"/>
      <c r="Y31" s="89"/>
      <c r="Z31" s="90"/>
      <c r="AA31" s="95"/>
      <c r="AB31" s="10"/>
      <c r="AC31" s="101"/>
    </row>
    <row r="32" spans="1:29">
      <c r="A32" s="557"/>
      <c r="B32" s="23"/>
      <c r="C32" s="65"/>
      <c r="D32" s="66"/>
      <c r="E32" s="73"/>
      <c r="F32" s="74"/>
      <c r="G32" s="89"/>
      <c r="H32" s="90"/>
      <c r="I32" s="95"/>
      <c r="J32" s="10"/>
      <c r="K32" s="101"/>
      <c r="L32" s="65"/>
      <c r="M32" s="66"/>
      <c r="N32" s="73"/>
      <c r="O32" s="74"/>
      <c r="P32" s="89"/>
      <c r="Q32" s="90"/>
      <c r="R32" s="95"/>
      <c r="S32" s="10"/>
      <c r="T32" s="101"/>
      <c r="U32" s="65"/>
      <c r="V32" s="66"/>
      <c r="W32" s="73"/>
      <c r="X32" s="74"/>
      <c r="Y32" s="89"/>
      <c r="Z32" s="90"/>
      <c r="AA32" s="95"/>
      <c r="AB32" s="10"/>
      <c r="AC32" s="101"/>
    </row>
    <row r="33" spans="1:29">
      <c r="A33" s="557"/>
      <c r="B33" s="23"/>
      <c r="C33" s="65"/>
      <c r="D33" s="66"/>
      <c r="E33" s="73"/>
      <c r="F33" s="74"/>
      <c r="G33" s="89"/>
      <c r="H33" s="90"/>
      <c r="I33" s="95"/>
      <c r="J33" s="10"/>
      <c r="K33" s="101"/>
      <c r="L33" s="65"/>
      <c r="M33" s="66"/>
      <c r="N33" s="73"/>
      <c r="O33" s="74"/>
      <c r="P33" s="89"/>
      <c r="Q33" s="90"/>
      <c r="R33" s="95"/>
      <c r="S33" s="10"/>
      <c r="T33" s="101"/>
      <c r="U33" s="65"/>
      <c r="V33" s="66"/>
      <c r="W33" s="73"/>
      <c r="X33" s="74"/>
      <c r="Y33" s="89"/>
      <c r="Z33" s="90"/>
      <c r="AA33" s="95"/>
      <c r="AB33" s="10"/>
      <c r="AC33" s="101"/>
    </row>
    <row r="34" spans="1:29">
      <c r="A34" s="557"/>
      <c r="B34" s="23"/>
      <c r="C34" s="65"/>
      <c r="D34" s="66"/>
      <c r="E34" s="73"/>
      <c r="F34" s="74"/>
      <c r="G34" s="89"/>
      <c r="H34" s="90"/>
      <c r="I34" s="95"/>
      <c r="J34" s="10"/>
      <c r="K34" s="101"/>
      <c r="L34" s="65"/>
      <c r="M34" s="66"/>
      <c r="N34" s="73"/>
      <c r="O34" s="74"/>
      <c r="P34" s="89"/>
      <c r="Q34" s="90"/>
      <c r="R34" s="95"/>
      <c r="S34" s="10"/>
      <c r="T34" s="101"/>
      <c r="U34" s="65"/>
      <c r="V34" s="66"/>
      <c r="W34" s="73"/>
      <c r="X34" s="74"/>
      <c r="Y34" s="89"/>
      <c r="Z34" s="90"/>
      <c r="AA34" s="95"/>
      <c r="AB34" s="10"/>
      <c r="AC34" s="101"/>
    </row>
    <row r="35" spans="1:29">
      <c r="A35" s="557"/>
      <c r="B35" s="23"/>
      <c r="C35" s="65"/>
      <c r="D35" s="66"/>
      <c r="E35" s="73"/>
      <c r="F35" s="74"/>
      <c r="G35" s="89"/>
      <c r="H35" s="90"/>
      <c r="I35" s="95"/>
      <c r="J35" s="10"/>
      <c r="K35" s="101"/>
      <c r="L35" s="65"/>
      <c r="M35" s="66"/>
      <c r="N35" s="73"/>
      <c r="O35" s="74"/>
      <c r="P35" s="89"/>
      <c r="Q35" s="90"/>
      <c r="R35" s="95"/>
      <c r="S35" s="10"/>
      <c r="T35" s="101"/>
      <c r="U35" s="65"/>
      <c r="V35" s="66"/>
      <c r="W35" s="73"/>
      <c r="X35" s="74"/>
      <c r="Y35" s="89"/>
      <c r="Z35" s="90"/>
      <c r="AA35" s="95"/>
      <c r="AB35" s="10"/>
      <c r="AC35" s="101"/>
    </row>
    <row r="36" spans="1:29">
      <c r="A36" s="557"/>
      <c r="B36" s="23"/>
      <c r="C36" s="65"/>
      <c r="D36" s="66"/>
      <c r="E36" s="73"/>
      <c r="F36" s="74"/>
      <c r="G36" s="89"/>
      <c r="H36" s="90"/>
      <c r="I36" s="95"/>
      <c r="J36" s="10"/>
      <c r="K36" s="101"/>
      <c r="L36" s="65"/>
      <c r="M36" s="66"/>
      <c r="N36" s="73"/>
      <c r="O36" s="74"/>
      <c r="P36" s="89"/>
      <c r="Q36" s="90"/>
      <c r="R36" s="95"/>
      <c r="S36" s="10"/>
      <c r="T36" s="101"/>
      <c r="U36" s="65"/>
      <c r="V36" s="66"/>
      <c r="W36" s="73"/>
      <c r="X36" s="74"/>
      <c r="Y36" s="89"/>
      <c r="Z36" s="90"/>
      <c r="AA36" s="95"/>
      <c r="AB36" s="10"/>
      <c r="AC36" s="101"/>
    </row>
    <row r="37" spans="1:29" ht="15" thickBot="1">
      <c r="A37" s="557"/>
      <c r="B37" s="24"/>
      <c r="C37" s="67"/>
      <c r="D37" s="68"/>
      <c r="E37" s="75"/>
      <c r="F37" s="76"/>
      <c r="G37" s="91"/>
      <c r="H37" s="92"/>
      <c r="I37" s="96"/>
      <c r="J37" s="11"/>
      <c r="K37" s="101"/>
      <c r="L37" s="67"/>
      <c r="M37" s="68"/>
      <c r="N37" s="75"/>
      <c r="O37" s="76"/>
      <c r="P37" s="91"/>
      <c r="Q37" s="92"/>
      <c r="R37" s="96"/>
      <c r="S37" s="11"/>
      <c r="T37" s="101"/>
      <c r="U37" s="67"/>
      <c r="V37" s="68"/>
      <c r="W37" s="75"/>
      <c r="X37" s="76"/>
      <c r="Y37" s="91"/>
      <c r="Z37" s="92"/>
      <c r="AA37" s="96"/>
      <c r="AB37" s="11"/>
      <c r="AC37" s="101"/>
    </row>
    <row r="38" spans="1:29" ht="15" thickBot="1">
      <c r="K38" s="101"/>
      <c r="T38" s="101"/>
      <c r="AC38" s="101"/>
    </row>
    <row r="39" spans="1:29">
      <c r="A39" s="557"/>
      <c r="B39" s="641"/>
      <c r="C39" s="642"/>
      <c r="D39" s="643"/>
      <c r="E39" s="644"/>
      <c r="F39" s="645"/>
      <c r="G39" s="648"/>
      <c r="H39" s="649"/>
      <c r="I39" s="650"/>
      <c r="J39" s="651"/>
      <c r="K39" s="652"/>
      <c r="L39" s="642"/>
      <c r="M39" s="643"/>
      <c r="N39" s="644"/>
      <c r="O39" s="645"/>
      <c r="P39" s="648"/>
      <c r="Q39" s="649"/>
      <c r="R39" s="650"/>
      <c r="S39" s="651"/>
      <c r="T39" s="652"/>
      <c r="U39" s="642"/>
      <c r="V39" s="643"/>
      <c r="W39" s="644"/>
      <c r="X39" s="645"/>
      <c r="Y39" s="648"/>
      <c r="Z39" s="649"/>
      <c r="AA39" s="650"/>
      <c r="AB39" s="651"/>
      <c r="AC39" s="101"/>
    </row>
    <row r="40" spans="1:29">
      <c r="A40" s="557"/>
      <c r="B40" s="653"/>
      <c r="C40" s="65"/>
      <c r="D40" s="66"/>
      <c r="E40" s="73"/>
      <c r="F40" s="74"/>
      <c r="G40" s="89"/>
      <c r="H40" s="90"/>
      <c r="I40" s="95"/>
      <c r="J40" s="10"/>
      <c r="K40" s="654"/>
      <c r="L40" s="65"/>
      <c r="M40" s="66"/>
      <c r="N40" s="73"/>
      <c r="O40" s="74"/>
      <c r="P40" s="89"/>
      <c r="Q40" s="90"/>
      <c r="R40" s="95"/>
      <c r="S40" s="10"/>
      <c r="T40" s="654"/>
      <c r="U40" s="65"/>
      <c r="V40" s="66"/>
      <c r="W40" s="73"/>
      <c r="X40" s="74"/>
      <c r="Y40" s="89"/>
      <c r="Z40" s="90"/>
      <c r="AA40" s="95"/>
      <c r="AB40" s="10"/>
      <c r="AC40" s="101"/>
    </row>
    <row r="41" spans="1:29">
      <c r="A41" s="557"/>
      <c r="B41" s="653"/>
      <c r="C41" s="65"/>
      <c r="D41" s="66"/>
      <c r="E41" s="73"/>
      <c r="F41" s="74"/>
      <c r="G41" s="89"/>
      <c r="H41" s="90"/>
      <c r="I41" s="95"/>
      <c r="J41" s="10"/>
      <c r="K41" s="654"/>
      <c r="L41" s="65"/>
      <c r="M41" s="66"/>
      <c r="N41" s="73"/>
      <c r="O41" s="74"/>
      <c r="P41" s="89"/>
      <c r="Q41" s="90"/>
      <c r="R41" s="95"/>
      <c r="S41" s="10"/>
      <c r="T41" s="654"/>
      <c r="U41" s="65"/>
      <c r="V41" s="66"/>
      <c r="W41" s="73"/>
      <c r="X41" s="74"/>
      <c r="Y41" s="89"/>
      <c r="Z41" s="90"/>
      <c r="AA41" s="95"/>
      <c r="AB41" s="10"/>
      <c r="AC41" s="101"/>
    </row>
    <row r="42" spans="1:29" ht="15" thickBot="1">
      <c r="A42" s="557"/>
      <c r="B42" s="655"/>
      <c r="C42" s="67"/>
      <c r="D42" s="68"/>
      <c r="E42" s="75"/>
      <c r="F42" s="76"/>
      <c r="G42" s="91"/>
      <c r="H42" s="92"/>
      <c r="I42" s="96"/>
      <c r="J42" s="11"/>
      <c r="K42" s="656"/>
      <c r="L42" s="67"/>
      <c r="M42" s="68"/>
      <c r="N42" s="75"/>
      <c r="O42" s="76"/>
      <c r="P42" s="91"/>
      <c r="Q42" s="92"/>
      <c r="R42" s="96"/>
      <c r="S42" s="11"/>
      <c r="T42" s="656"/>
      <c r="U42" s="67"/>
      <c r="V42" s="68"/>
      <c r="W42" s="75"/>
      <c r="X42" s="76"/>
      <c r="Y42" s="91"/>
      <c r="Z42" s="92"/>
      <c r="AA42" s="96"/>
      <c r="AB42" s="11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7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7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7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7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7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7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7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7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7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7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7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7"/>
      <c r="B57" s="24"/>
      <c r="C57" s="31"/>
      <c r="D57" s="32"/>
      <c r="E57" s="559"/>
      <c r="F57" s="40"/>
      <c r="G57" s="55"/>
      <c r="H57" s="56"/>
      <c r="I57" s="60"/>
      <c r="J57" s="16"/>
      <c r="K57" s="101"/>
      <c r="L57" s="31"/>
      <c r="M57" s="32"/>
      <c r="N57" s="559"/>
      <c r="O57" s="40"/>
      <c r="P57" s="55"/>
      <c r="Q57" s="56"/>
      <c r="R57" s="60"/>
      <c r="S57" s="16"/>
      <c r="T57" s="101"/>
      <c r="U57" s="31"/>
      <c r="V57" s="32"/>
      <c r="W57" s="559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7"/>
      <c r="B59" s="641"/>
      <c r="C59" s="657"/>
      <c r="D59" s="658"/>
      <c r="E59" s="659"/>
      <c r="F59" s="660"/>
      <c r="G59" s="663"/>
      <c r="H59" s="664"/>
      <c r="I59" s="665"/>
      <c r="J59" s="666"/>
      <c r="K59" s="652"/>
      <c r="L59" s="657"/>
      <c r="M59" s="658"/>
      <c r="N59" s="659"/>
      <c r="O59" s="660"/>
      <c r="P59" s="663"/>
      <c r="Q59" s="664"/>
      <c r="R59" s="665"/>
      <c r="S59" s="666"/>
      <c r="T59" s="652"/>
      <c r="U59" s="657"/>
      <c r="V59" s="658"/>
      <c r="W59" s="659"/>
      <c r="X59" s="660"/>
      <c r="Y59" s="663"/>
      <c r="Z59" s="664"/>
      <c r="AA59" s="665"/>
      <c r="AB59" s="666"/>
      <c r="AC59" s="101"/>
    </row>
    <row r="60" spans="1:29">
      <c r="A60" s="557"/>
      <c r="B60" s="653"/>
      <c r="C60" s="29"/>
      <c r="D60" s="30"/>
      <c r="E60" s="37"/>
      <c r="F60" s="38"/>
      <c r="G60" s="53"/>
      <c r="H60" s="54"/>
      <c r="I60" s="59"/>
      <c r="J60" s="15"/>
      <c r="K60" s="654"/>
      <c r="L60" s="29"/>
      <c r="M60" s="30"/>
      <c r="N60" s="37"/>
      <c r="O60" s="38"/>
      <c r="P60" s="53"/>
      <c r="Q60" s="54"/>
      <c r="R60" s="59"/>
      <c r="S60" s="15"/>
      <c r="T60" s="654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7"/>
      <c r="B61" s="653"/>
      <c r="C61" s="29"/>
      <c r="D61" s="30"/>
      <c r="E61" s="37"/>
      <c r="F61" s="38"/>
      <c r="G61" s="53"/>
      <c r="H61" s="54"/>
      <c r="I61" s="59"/>
      <c r="J61" s="15"/>
      <c r="K61" s="654"/>
      <c r="L61" s="29"/>
      <c r="M61" s="30"/>
      <c r="N61" s="37"/>
      <c r="O61" s="38"/>
      <c r="P61" s="53"/>
      <c r="Q61" s="54"/>
      <c r="R61" s="59"/>
      <c r="S61" s="15"/>
      <c r="T61" s="654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7"/>
      <c r="B62" s="655"/>
      <c r="C62" s="31"/>
      <c r="D62" s="32"/>
      <c r="E62" s="39"/>
      <c r="F62" s="40"/>
      <c r="G62" s="55"/>
      <c r="H62" s="56"/>
      <c r="I62" s="60"/>
      <c r="J62" s="16"/>
      <c r="K62" s="656"/>
      <c r="L62" s="31"/>
      <c r="M62" s="32"/>
      <c r="N62" s="39"/>
      <c r="O62" s="40"/>
      <c r="P62" s="55"/>
      <c r="Q62" s="56"/>
      <c r="R62" s="60"/>
      <c r="S62" s="16"/>
      <c r="T62" s="656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7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7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7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7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7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7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7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7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7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7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7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7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7"/>
      <c r="B79" s="641"/>
      <c r="C79" s="657"/>
      <c r="D79" s="658"/>
      <c r="E79" s="659"/>
      <c r="F79" s="660"/>
      <c r="G79" s="663"/>
      <c r="H79" s="664"/>
      <c r="I79" s="665"/>
      <c r="J79" s="666"/>
      <c r="K79" s="652"/>
      <c r="L79" s="657"/>
      <c r="M79" s="658"/>
      <c r="N79" s="659"/>
      <c r="O79" s="660"/>
      <c r="P79" s="663"/>
      <c r="Q79" s="664"/>
      <c r="R79" s="665"/>
      <c r="S79" s="666"/>
      <c r="T79" s="652"/>
      <c r="U79" s="657"/>
      <c r="V79" s="658"/>
      <c r="W79" s="659"/>
      <c r="X79" s="660"/>
      <c r="Y79" s="663"/>
      <c r="Z79" s="664"/>
      <c r="AA79" s="665"/>
      <c r="AB79" s="666"/>
      <c r="AC79" s="101"/>
    </row>
    <row r="80" spans="1:29">
      <c r="A80" s="557"/>
      <c r="B80" s="653"/>
      <c r="C80" s="29"/>
      <c r="D80" s="30"/>
      <c r="E80" s="37"/>
      <c r="F80" s="38"/>
      <c r="G80" s="53"/>
      <c r="H80" s="54"/>
      <c r="I80" s="59"/>
      <c r="J80" s="15"/>
      <c r="K80" s="654"/>
      <c r="L80" s="29"/>
      <c r="M80" s="30"/>
      <c r="N80" s="37"/>
      <c r="O80" s="38"/>
      <c r="P80" s="53"/>
      <c r="Q80" s="54"/>
      <c r="R80" s="59"/>
      <c r="S80" s="15"/>
      <c r="T80" s="654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7"/>
      <c r="B81" s="653"/>
      <c r="C81" s="29"/>
      <c r="D81" s="30"/>
      <c r="E81" s="37"/>
      <c r="F81" s="38"/>
      <c r="G81" s="53"/>
      <c r="H81" s="54"/>
      <c r="I81" s="59"/>
      <c r="J81" s="15"/>
      <c r="K81" s="654"/>
      <c r="L81" s="29"/>
      <c r="M81" s="30"/>
      <c r="N81" s="37"/>
      <c r="O81" s="38"/>
      <c r="P81" s="53"/>
      <c r="Q81" s="54"/>
      <c r="R81" s="59"/>
      <c r="S81" s="15"/>
      <c r="T81" s="654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7"/>
      <c r="B82" s="655"/>
      <c r="C82" s="31"/>
      <c r="D82" s="32"/>
      <c r="E82" s="39"/>
      <c r="F82" s="40"/>
      <c r="G82" s="55"/>
      <c r="H82" s="56"/>
      <c r="I82" s="60"/>
      <c r="J82" s="16"/>
      <c r="K82" s="656"/>
      <c r="L82" s="31"/>
      <c r="M82" s="32"/>
      <c r="N82" s="39"/>
      <c r="O82" s="40"/>
      <c r="P82" s="55"/>
      <c r="Q82" s="56"/>
      <c r="R82" s="60"/>
      <c r="S82" s="16"/>
      <c r="T82" s="656"/>
      <c r="U82" s="31"/>
      <c r="V82" s="32"/>
      <c r="W82" s="39"/>
      <c r="X82" s="40"/>
      <c r="Y82" s="55"/>
      <c r="Z82" s="56"/>
      <c r="AA82" s="60"/>
      <c r="AB82" s="16"/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65 H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H65 H5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E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hidden="1" customWidth="1"/>
    <col min="5" max="6" width="13.77734375" customWidth="1"/>
    <col min="7" max="8" width="13.77734375" hidden="1" customWidth="1"/>
    <col min="9" max="10" width="13.77734375" customWidth="1"/>
    <col min="11" max="11" width="0.77734375" customWidth="1"/>
    <col min="12" max="13" width="13.77734375" hidden="1" customWidth="1"/>
    <col min="14" max="15" width="13.77734375" customWidth="1"/>
    <col min="16" max="17" width="13.77734375" hidden="1" customWidth="1"/>
    <col min="18" max="19" width="13.77734375" customWidth="1"/>
    <col min="20" max="20" width="0.77734375" customWidth="1"/>
    <col min="21" max="22" width="13.77734375" hidden="1" customWidth="1"/>
    <col min="23" max="24" width="13.77734375" customWidth="1"/>
    <col min="25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128</v>
      </c>
      <c r="C1" s="102"/>
      <c r="E1" s="102" t="s">
        <v>0</v>
      </c>
      <c r="K1" s="101"/>
      <c r="L1" s="102"/>
      <c r="N1" s="102" t="s">
        <v>3</v>
      </c>
      <c r="T1" s="101"/>
      <c r="U1" s="102"/>
      <c r="W1" s="102" t="s">
        <v>4</v>
      </c>
      <c r="AC1" s="101"/>
    </row>
    <row r="2" spans="1:34">
      <c r="C2" s="835"/>
      <c r="D2" s="836"/>
      <c r="E2" s="837" t="s">
        <v>1</v>
      </c>
      <c r="F2" s="838"/>
      <c r="G2" s="839"/>
      <c r="H2" s="840"/>
      <c r="I2" s="841" t="s">
        <v>2</v>
      </c>
      <c r="J2" s="842"/>
      <c r="K2" s="101"/>
      <c r="L2" s="835"/>
      <c r="M2" s="836"/>
      <c r="N2" s="837" t="s">
        <v>1</v>
      </c>
      <c r="O2" s="838"/>
      <c r="P2" s="839"/>
      <c r="Q2" s="840"/>
      <c r="R2" s="841" t="s">
        <v>2</v>
      </c>
      <c r="S2" s="842"/>
      <c r="T2" s="101"/>
      <c r="U2" s="835"/>
      <c r="V2" s="836"/>
      <c r="W2" s="837" t="s">
        <v>1</v>
      </c>
      <c r="X2" s="838"/>
      <c r="Y2" s="839"/>
      <c r="Z2" s="840"/>
      <c r="AA2" s="841" t="s">
        <v>2</v>
      </c>
      <c r="AB2" s="842"/>
      <c r="AC2" s="101"/>
      <c r="AD2" s="843" t="s">
        <v>121</v>
      </c>
      <c r="AE2" s="844"/>
    </row>
    <row r="3" spans="1:34">
      <c r="A3" s="99" t="s">
        <v>10</v>
      </c>
      <c r="B3" s="99" t="s">
        <v>122</v>
      </c>
      <c r="C3" s="1"/>
      <c r="D3" s="1"/>
      <c r="E3" s="2" t="s">
        <v>6</v>
      </c>
      <c r="F3" s="2" t="s">
        <v>7</v>
      </c>
      <c r="G3" s="3"/>
      <c r="H3" s="3"/>
      <c r="I3" s="4" t="s">
        <v>6</v>
      </c>
      <c r="J3" s="4" t="s">
        <v>7</v>
      </c>
      <c r="K3" s="101"/>
      <c r="L3" s="1"/>
      <c r="M3" s="1"/>
      <c r="N3" s="2" t="s">
        <v>6</v>
      </c>
      <c r="O3" s="2" t="s">
        <v>7</v>
      </c>
      <c r="P3" s="3"/>
      <c r="Q3" s="3"/>
      <c r="R3" s="4" t="s">
        <v>6</v>
      </c>
      <c r="S3" s="4" t="s">
        <v>7</v>
      </c>
      <c r="T3" s="101"/>
      <c r="U3" s="1"/>
      <c r="V3" s="1"/>
      <c r="W3" s="2" t="s">
        <v>6</v>
      </c>
      <c r="X3" s="2" t="s">
        <v>7</v>
      </c>
      <c r="Y3" s="3"/>
      <c r="Z3" s="3"/>
      <c r="AA3" s="4" t="s">
        <v>6</v>
      </c>
      <c r="AB3" s="4" t="s">
        <v>7</v>
      </c>
      <c r="AC3" s="101"/>
      <c r="AD3" s="556" t="s">
        <v>6</v>
      </c>
      <c r="AE3" s="556" t="s">
        <v>7</v>
      </c>
    </row>
    <row r="4" spans="1:34">
      <c r="A4" s="104"/>
      <c r="B4" s="125" t="s">
        <v>0</v>
      </c>
      <c r="C4" s="117"/>
      <c r="D4" s="118"/>
      <c r="E4" s="119">
        <f t="shared" ref="E4:AB4" si="0">SUBTOTAL(9,E6:E381)</f>
        <v>3506217885</v>
      </c>
      <c r="F4" s="120">
        <f t="shared" si="0"/>
        <v>811806.84999999986</v>
      </c>
      <c r="G4" s="121"/>
      <c r="H4" s="122"/>
      <c r="I4" s="123">
        <f t="shared" si="0"/>
        <v>1156411352</v>
      </c>
      <c r="J4" s="124">
        <f t="shared" si="0"/>
        <v>369306.91599999997</v>
      </c>
      <c r="K4" s="103"/>
      <c r="L4" s="117"/>
      <c r="M4" s="118"/>
      <c r="N4" s="119">
        <f t="shared" si="0"/>
        <v>2839709354</v>
      </c>
      <c r="O4" s="120">
        <f t="shared" si="0"/>
        <v>574655.20299999951</v>
      </c>
      <c r="P4" s="121"/>
      <c r="Q4" s="122"/>
      <c r="R4" s="123">
        <f t="shared" si="0"/>
        <v>683517154</v>
      </c>
      <c r="S4" s="124">
        <f t="shared" si="0"/>
        <v>81119.650999999969</v>
      </c>
      <c r="T4" s="103"/>
      <c r="U4" s="117"/>
      <c r="V4" s="118"/>
      <c r="W4" s="119">
        <f t="shared" si="0"/>
        <v>666508531</v>
      </c>
      <c r="X4" s="120">
        <f t="shared" si="0"/>
        <v>237151.64700000003</v>
      </c>
      <c r="Y4" s="121"/>
      <c r="Z4" s="122"/>
      <c r="AA4" s="123">
        <f t="shared" si="0"/>
        <v>472894198</v>
      </c>
      <c r="AB4" s="124">
        <f t="shared" si="0"/>
        <v>288187.26499999996</v>
      </c>
      <c r="AC4" s="103"/>
      <c r="AD4" s="116"/>
      <c r="AE4" s="116"/>
    </row>
    <row r="5" spans="1:34">
      <c r="A5" s="104"/>
      <c r="B5" s="104" t="s">
        <v>12</v>
      </c>
      <c r="C5" s="105"/>
      <c r="D5" s="106"/>
      <c r="E5" s="107">
        <f t="shared" ref="E5:J5" si="1">SUBTOTAL(9,E6:E36)</f>
        <v>712243496</v>
      </c>
      <c r="F5" s="108">
        <f t="shared" si="1"/>
        <v>148369.26999999999</v>
      </c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>
        <f t="shared" ref="N5" si="2">SUBTOTAL(9,N6:N36)</f>
        <v>600131253</v>
      </c>
      <c r="O5" s="108">
        <f t="shared" ref="O5" si="3">SUBTOTAL(9,O6:O36)</f>
        <v>115656.79299999999</v>
      </c>
      <c r="P5" s="109"/>
      <c r="Q5" s="110"/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>
        <f t="shared" ref="W5" si="6">SUBTOTAL(9,W6:W36)</f>
        <v>112112243</v>
      </c>
      <c r="X5" s="108">
        <f t="shared" ref="X5" si="7">SUBTOTAL(9,X6:X36)</f>
        <v>32712.477000000003</v>
      </c>
      <c r="Y5" s="109"/>
      <c r="Z5" s="110"/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>
        <v>30951330</v>
      </c>
      <c r="F6" s="44">
        <v>6020.7370000000001</v>
      </c>
      <c r="G6" s="51"/>
      <c r="H6" s="52"/>
      <c r="I6" s="58">
        <v>5588995</v>
      </c>
      <c r="J6" s="17">
        <v>302.87799999999999</v>
      </c>
      <c r="K6" s="101"/>
      <c r="L6" s="35"/>
      <c r="M6" s="36"/>
      <c r="N6" s="43">
        <v>21286553</v>
      </c>
      <c r="O6" s="44">
        <v>2843.8069999999998</v>
      </c>
      <c r="P6" s="51"/>
      <c r="Q6" s="52"/>
      <c r="R6" s="58">
        <v>2854854</v>
      </c>
      <c r="S6" s="17">
        <v>149.655</v>
      </c>
      <c r="T6" s="101"/>
      <c r="U6" s="35"/>
      <c r="V6" s="36"/>
      <c r="W6" s="43">
        <f t="shared" ref="W6:AB6" si="11">E6-N6</f>
        <v>9664777</v>
      </c>
      <c r="X6" s="44">
        <f t="shared" si="11"/>
        <v>3176.9300000000003</v>
      </c>
      <c r="Y6" s="51"/>
      <c r="Z6" s="52"/>
      <c r="AA6" s="58">
        <f t="shared" si="11"/>
        <v>2734141</v>
      </c>
      <c r="AB6" s="17">
        <f t="shared" si="11"/>
        <v>153.22299999999998</v>
      </c>
      <c r="AC6" s="101"/>
      <c r="AD6" s="555">
        <f t="shared" ref="AD6:AE36" si="12">SUM(C6,E6,G6,I6)</f>
        <v>36540325</v>
      </c>
      <c r="AE6" s="632">
        <f t="shared" si="12"/>
        <v>6323.6149999999998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>
        <v>30633213</v>
      </c>
      <c r="F7" s="44">
        <v>6451.6570000000002</v>
      </c>
      <c r="G7" s="51"/>
      <c r="H7" s="52"/>
      <c r="I7" s="58">
        <v>5665551</v>
      </c>
      <c r="J7" s="17">
        <v>354.07299999999998</v>
      </c>
      <c r="K7" s="101"/>
      <c r="L7" s="35"/>
      <c r="M7" s="36"/>
      <c r="N7" s="43">
        <v>21148160</v>
      </c>
      <c r="O7" s="44">
        <v>3319.2469999999998</v>
      </c>
      <c r="P7" s="51"/>
      <c r="Q7" s="52"/>
      <c r="R7" s="58">
        <v>2811796</v>
      </c>
      <c r="S7" s="17">
        <v>175.256</v>
      </c>
      <c r="T7" s="101"/>
      <c r="U7" s="35"/>
      <c r="V7" s="36"/>
      <c r="W7" s="43">
        <f t="shared" ref="W7:W72" si="13">E7-N7</f>
        <v>9485053</v>
      </c>
      <c r="X7" s="44">
        <f t="shared" ref="X7:X72" si="14">F7-O7</f>
        <v>3132.4100000000003</v>
      </c>
      <c r="Y7" s="51"/>
      <c r="Z7" s="52"/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555">
        <f t="shared" si="12"/>
        <v>36298764</v>
      </c>
      <c r="AE7" s="632">
        <f t="shared" si="12"/>
        <v>6805.7300000000005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>
        <v>28400699</v>
      </c>
      <c r="F8" s="44">
        <v>5260.4719999999998</v>
      </c>
      <c r="G8" s="51"/>
      <c r="H8" s="52"/>
      <c r="I8" s="58">
        <v>5689422</v>
      </c>
      <c r="J8" s="17">
        <v>346.41399999999999</v>
      </c>
      <c r="K8" s="101"/>
      <c r="L8" s="35"/>
      <c r="M8" s="36"/>
      <c r="N8" s="43">
        <v>21726541</v>
      </c>
      <c r="O8" s="44">
        <v>3414.7890000000002</v>
      </c>
      <c r="P8" s="51"/>
      <c r="Q8" s="52"/>
      <c r="R8" s="58">
        <v>2882203</v>
      </c>
      <c r="S8" s="17">
        <v>163.215</v>
      </c>
      <c r="T8" s="101"/>
      <c r="U8" s="35"/>
      <c r="V8" s="36"/>
      <c r="W8" s="43">
        <f t="shared" si="13"/>
        <v>6674158</v>
      </c>
      <c r="X8" s="44">
        <f t="shared" si="14"/>
        <v>1845.6829999999995</v>
      </c>
      <c r="Y8" s="51"/>
      <c r="Z8" s="52"/>
      <c r="AA8" s="58">
        <f t="shared" si="15"/>
        <v>2807219</v>
      </c>
      <c r="AB8" s="17">
        <f t="shared" si="16"/>
        <v>183.19899999999998</v>
      </c>
      <c r="AC8" s="101"/>
      <c r="AD8" s="555">
        <f t="shared" si="12"/>
        <v>34090121</v>
      </c>
      <c r="AE8" s="632">
        <f t="shared" si="12"/>
        <v>5606.8859999999995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>
        <v>29798476</v>
      </c>
      <c r="F9" s="44">
        <v>5379.8879999999999</v>
      </c>
      <c r="G9" s="51"/>
      <c r="H9" s="52"/>
      <c r="I9" s="58">
        <v>5630864</v>
      </c>
      <c r="J9" s="17">
        <v>345.71300000000002</v>
      </c>
      <c r="K9" s="101"/>
      <c r="L9" s="35"/>
      <c r="M9" s="36"/>
      <c r="N9" s="43">
        <v>22839278</v>
      </c>
      <c r="O9" s="44">
        <v>3388.4029999999998</v>
      </c>
      <c r="P9" s="51"/>
      <c r="Q9" s="52"/>
      <c r="R9" s="58">
        <v>2984155</v>
      </c>
      <c r="S9" s="17">
        <v>159.51499999999999</v>
      </c>
      <c r="T9" s="101"/>
      <c r="U9" s="35"/>
      <c r="V9" s="36"/>
      <c r="W9" s="43">
        <f t="shared" si="13"/>
        <v>6959198</v>
      </c>
      <c r="X9" s="44">
        <f t="shared" si="14"/>
        <v>1991.4850000000001</v>
      </c>
      <c r="Y9" s="51"/>
      <c r="Z9" s="52"/>
      <c r="AA9" s="58">
        <f t="shared" si="15"/>
        <v>2646709</v>
      </c>
      <c r="AB9" s="17">
        <f t="shared" si="16"/>
        <v>186.19800000000004</v>
      </c>
      <c r="AC9" s="101"/>
      <c r="AD9" s="555">
        <f t="shared" si="12"/>
        <v>35429340</v>
      </c>
      <c r="AE9" s="632">
        <f t="shared" si="12"/>
        <v>5725.6009999999997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>
        <v>30682596</v>
      </c>
      <c r="F10" s="44">
        <v>5652.8860000000004</v>
      </c>
      <c r="G10" s="51"/>
      <c r="H10" s="52"/>
      <c r="I10" s="58">
        <v>5294513</v>
      </c>
      <c r="J10" s="17">
        <v>379.245</v>
      </c>
      <c r="K10" s="101"/>
      <c r="L10" s="35"/>
      <c r="M10" s="36"/>
      <c r="N10" s="43">
        <v>25749920</v>
      </c>
      <c r="O10" s="44">
        <v>4166.9639999999999</v>
      </c>
      <c r="P10" s="51"/>
      <c r="Q10" s="52"/>
      <c r="R10" s="58">
        <v>3128526</v>
      </c>
      <c r="S10" s="17">
        <v>183.28399999999999</v>
      </c>
      <c r="T10" s="101"/>
      <c r="U10" s="35"/>
      <c r="V10" s="36"/>
      <c r="W10" s="43">
        <f t="shared" si="13"/>
        <v>4932676</v>
      </c>
      <c r="X10" s="44">
        <f t="shared" si="14"/>
        <v>1485.9220000000005</v>
      </c>
      <c r="Y10" s="51"/>
      <c r="Z10" s="52"/>
      <c r="AA10" s="58">
        <f t="shared" si="15"/>
        <v>2165987</v>
      </c>
      <c r="AB10" s="17">
        <f t="shared" si="16"/>
        <v>195.96100000000001</v>
      </c>
      <c r="AC10" s="101"/>
      <c r="AD10" s="555">
        <f t="shared" si="12"/>
        <v>35977109</v>
      </c>
      <c r="AE10" s="632">
        <f t="shared" si="12"/>
        <v>6032.1310000000003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>
        <v>31909852</v>
      </c>
      <c r="F11" s="44">
        <v>5127.8670000000002</v>
      </c>
      <c r="G11" s="51"/>
      <c r="H11" s="52"/>
      <c r="I11" s="58">
        <v>4210443</v>
      </c>
      <c r="J11" s="17">
        <v>390.49599999999998</v>
      </c>
      <c r="K11" s="101"/>
      <c r="L11" s="35"/>
      <c r="M11" s="36"/>
      <c r="N11" s="43">
        <v>26915139</v>
      </c>
      <c r="O11" s="44">
        <v>3587.1559999999999</v>
      </c>
      <c r="P11" s="51"/>
      <c r="Q11" s="52"/>
      <c r="R11" s="58">
        <v>3244857</v>
      </c>
      <c r="S11" s="17">
        <v>156.709</v>
      </c>
      <c r="T11" s="101"/>
      <c r="U11" s="35"/>
      <c r="V11" s="36"/>
      <c r="W11" s="43">
        <f t="shared" si="13"/>
        <v>4994713</v>
      </c>
      <c r="X11" s="44">
        <f t="shared" si="14"/>
        <v>1540.7110000000002</v>
      </c>
      <c r="Y11" s="51"/>
      <c r="Z11" s="52"/>
      <c r="AA11" s="58">
        <f t="shared" si="15"/>
        <v>965586</v>
      </c>
      <c r="AB11" s="17">
        <f t="shared" si="16"/>
        <v>233.78699999999998</v>
      </c>
      <c r="AC11" s="101"/>
      <c r="AD11" s="555">
        <f t="shared" si="12"/>
        <v>36120295</v>
      </c>
      <c r="AE11" s="632">
        <f t="shared" si="12"/>
        <v>5518.3630000000003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>
        <v>27817987</v>
      </c>
      <c r="F12" s="44">
        <v>4964.2330000000002</v>
      </c>
      <c r="G12" s="51"/>
      <c r="H12" s="52"/>
      <c r="I12" s="58">
        <v>4050713</v>
      </c>
      <c r="J12" s="17">
        <v>339.81700000000001</v>
      </c>
      <c r="K12" s="101"/>
      <c r="L12" s="35"/>
      <c r="M12" s="36"/>
      <c r="N12" s="43">
        <v>21416595</v>
      </c>
      <c r="O12" s="44">
        <v>3023.46</v>
      </c>
      <c r="P12" s="51"/>
      <c r="Q12" s="52"/>
      <c r="R12" s="58">
        <v>2986966</v>
      </c>
      <c r="S12" s="17">
        <v>137.48400000000001</v>
      </c>
      <c r="T12" s="101"/>
      <c r="U12" s="35"/>
      <c r="V12" s="36"/>
      <c r="W12" s="43">
        <f t="shared" si="13"/>
        <v>6401392</v>
      </c>
      <c r="X12" s="44">
        <f t="shared" si="14"/>
        <v>1940.7730000000001</v>
      </c>
      <c r="Y12" s="51"/>
      <c r="Z12" s="52"/>
      <c r="AA12" s="58">
        <f t="shared" si="15"/>
        <v>1063747</v>
      </c>
      <c r="AB12" s="17">
        <f t="shared" si="16"/>
        <v>202.333</v>
      </c>
      <c r="AC12" s="101"/>
      <c r="AD12" s="555">
        <f t="shared" si="12"/>
        <v>31868700</v>
      </c>
      <c r="AE12" s="632">
        <f t="shared" si="12"/>
        <v>5304.05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>
        <v>26708875</v>
      </c>
      <c r="F13" s="44">
        <v>5191.5559999999996</v>
      </c>
      <c r="G13" s="51"/>
      <c r="H13" s="52"/>
      <c r="I13" s="58">
        <v>5801981</v>
      </c>
      <c r="J13" s="17">
        <v>829.07299999999998</v>
      </c>
      <c r="K13" s="101"/>
      <c r="L13" s="35"/>
      <c r="M13" s="36"/>
      <c r="N13" s="43">
        <v>19923837</v>
      </c>
      <c r="O13" s="44">
        <v>3097.73</v>
      </c>
      <c r="P13" s="51"/>
      <c r="Q13" s="52"/>
      <c r="R13" s="58">
        <v>4568593</v>
      </c>
      <c r="S13" s="17">
        <v>261.875</v>
      </c>
      <c r="T13" s="101"/>
      <c r="U13" s="35"/>
      <c r="V13" s="36"/>
      <c r="W13" s="43">
        <f t="shared" si="13"/>
        <v>6785038</v>
      </c>
      <c r="X13" s="44">
        <f t="shared" si="14"/>
        <v>2093.8259999999996</v>
      </c>
      <c r="Y13" s="51"/>
      <c r="Z13" s="52"/>
      <c r="AA13" s="58">
        <f t="shared" si="15"/>
        <v>1233388</v>
      </c>
      <c r="AB13" s="17">
        <f t="shared" si="16"/>
        <v>567.19799999999998</v>
      </c>
      <c r="AC13" s="101"/>
      <c r="AD13" s="555">
        <f t="shared" si="12"/>
        <v>32510856</v>
      </c>
      <c r="AE13" s="632">
        <f t="shared" si="12"/>
        <v>6020.6289999999999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>
        <v>26251962</v>
      </c>
      <c r="F14" s="44">
        <v>5566.15</v>
      </c>
      <c r="G14" s="51"/>
      <c r="H14" s="52"/>
      <c r="I14" s="58">
        <v>4765603</v>
      </c>
      <c r="J14" s="17">
        <v>588.03200000000004</v>
      </c>
      <c r="K14" s="101"/>
      <c r="L14" s="35"/>
      <c r="M14" s="36"/>
      <c r="N14" s="43">
        <v>19494178</v>
      </c>
      <c r="O14" s="44">
        <v>3083.9169999999999</v>
      </c>
      <c r="P14" s="51"/>
      <c r="Q14" s="52"/>
      <c r="R14" s="58">
        <v>3642099</v>
      </c>
      <c r="S14" s="17">
        <v>250.39500000000001</v>
      </c>
      <c r="T14" s="101"/>
      <c r="U14" s="35"/>
      <c r="V14" s="36"/>
      <c r="W14" s="43">
        <f t="shared" si="13"/>
        <v>6757784</v>
      </c>
      <c r="X14" s="44">
        <f t="shared" si="14"/>
        <v>2482.2329999999997</v>
      </c>
      <c r="Y14" s="51"/>
      <c r="Z14" s="52"/>
      <c r="AA14" s="58">
        <f t="shared" si="15"/>
        <v>1123504</v>
      </c>
      <c r="AB14" s="17">
        <f t="shared" si="16"/>
        <v>337.63700000000006</v>
      </c>
      <c r="AC14" s="101"/>
      <c r="AD14" s="555">
        <f t="shared" si="12"/>
        <v>31017565</v>
      </c>
      <c r="AE14" s="632">
        <f t="shared" si="12"/>
        <v>6154.1819999999998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>
        <v>17693650</v>
      </c>
      <c r="F15" s="44">
        <v>3127.788</v>
      </c>
      <c r="G15" s="51"/>
      <c r="H15" s="52"/>
      <c r="I15" s="58">
        <v>4029373</v>
      </c>
      <c r="J15" s="17">
        <v>554.34500000000003</v>
      </c>
      <c r="K15" s="101"/>
      <c r="L15" s="35"/>
      <c r="M15" s="36"/>
      <c r="N15" s="43">
        <v>16862238</v>
      </c>
      <c r="O15" s="44">
        <v>2844.172</v>
      </c>
      <c r="P15" s="51"/>
      <c r="Q15" s="52"/>
      <c r="R15" s="58">
        <v>3327298</v>
      </c>
      <c r="S15" s="17">
        <v>227.02500000000001</v>
      </c>
      <c r="T15" s="101"/>
      <c r="U15" s="35"/>
      <c r="V15" s="36"/>
      <c r="W15" s="43">
        <f t="shared" si="13"/>
        <v>831412</v>
      </c>
      <c r="X15" s="44">
        <f t="shared" si="14"/>
        <v>283.61599999999999</v>
      </c>
      <c r="Y15" s="51"/>
      <c r="Z15" s="52"/>
      <c r="AA15" s="58">
        <f t="shared" si="15"/>
        <v>702075</v>
      </c>
      <c r="AB15" s="17">
        <f t="shared" si="16"/>
        <v>327.32000000000005</v>
      </c>
      <c r="AC15" s="101"/>
      <c r="AD15" s="555">
        <f t="shared" si="12"/>
        <v>21723023</v>
      </c>
      <c r="AE15" s="632">
        <f t="shared" si="12"/>
        <v>3682.1329999999998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>
        <v>18241641</v>
      </c>
      <c r="F16" s="44">
        <v>3779.152</v>
      </c>
      <c r="G16" s="51"/>
      <c r="H16" s="52"/>
      <c r="I16" s="58">
        <v>3677371</v>
      </c>
      <c r="J16" s="17">
        <v>542.20799999999997</v>
      </c>
      <c r="K16" s="101"/>
      <c r="L16" s="35"/>
      <c r="M16" s="36"/>
      <c r="N16" s="43">
        <v>16679650</v>
      </c>
      <c r="O16" s="44">
        <v>3399.703</v>
      </c>
      <c r="P16" s="51"/>
      <c r="Q16" s="52"/>
      <c r="R16" s="58">
        <v>3061903</v>
      </c>
      <c r="S16" s="17">
        <v>248.88200000000001</v>
      </c>
      <c r="T16" s="101"/>
      <c r="U16" s="35"/>
      <c r="V16" s="36"/>
      <c r="W16" s="43">
        <f t="shared" si="13"/>
        <v>1561991</v>
      </c>
      <c r="X16" s="44">
        <f t="shared" si="14"/>
        <v>379.44900000000007</v>
      </c>
      <c r="Y16" s="51"/>
      <c r="Z16" s="52"/>
      <c r="AA16" s="58">
        <f t="shared" si="15"/>
        <v>615468</v>
      </c>
      <c r="AB16" s="17">
        <f t="shared" si="16"/>
        <v>293.32599999999996</v>
      </c>
      <c r="AC16" s="101"/>
      <c r="AD16" s="555">
        <f t="shared" si="12"/>
        <v>21919012</v>
      </c>
      <c r="AE16" s="632">
        <f t="shared" si="12"/>
        <v>4321.3599999999997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>
        <v>21630025</v>
      </c>
      <c r="F17" s="44">
        <v>4491.4089999999997</v>
      </c>
      <c r="G17" s="51"/>
      <c r="H17" s="52"/>
      <c r="I17" s="58">
        <v>3814862</v>
      </c>
      <c r="J17" s="17">
        <v>589.78700000000003</v>
      </c>
      <c r="K17" s="101"/>
      <c r="L17" s="35"/>
      <c r="M17" s="36"/>
      <c r="N17" s="43">
        <v>20011186</v>
      </c>
      <c r="O17" s="44">
        <v>4082.7640000000001</v>
      </c>
      <c r="P17" s="51"/>
      <c r="Q17" s="52"/>
      <c r="R17" s="58">
        <v>3155400</v>
      </c>
      <c r="S17" s="17">
        <v>259.15800000000002</v>
      </c>
      <c r="T17" s="101"/>
      <c r="U17" s="35"/>
      <c r="V17" s="36"/>
      <c r="W17" s="43">
        <f t="shared" si="13"/>
        <v>1618839</v>
      </c>
      <c r="X17" s="44">
        <f t="shared" si="14"/>
        <v>408.64499999999953</v>
      </c>
      <c r="Y17" s="51"/>
      <c r="Z17" s="52"/>
      <c r="AA17" s="58">
        <f t="shared" si="15"/>
        <v>659462</v>
      </c>
      <c r="AB17" s="17">
        <f t="shared" si="16"/>
        <v>330.62900000000002</v>
      </c>
      <c r="AC17" s="101"/>
      <c r="AD17" s="555">
        <f t="shared" si="12"/>
        <v>25444887</v>
      </c>
      <c r="AE17" s="632">
        <f t="shared" si="12"/>
        <v>5081.1959999999999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>
        <v>22986512</v>
      </c>
      <c r="F18" s="44">
        <v>4240.7520000000004</v>
      </c>
      <c r="G18" s="51"/>
      <c r="H18" s="52"/>
      <c r="I18" s="58">
        <v>3608174</v>
      </c>
      <c r="J18" s="17">
        <v>546.15700000000004</v>
      </c>
      <c r="K18" s="101"/>
      <c r="L18" s="35"/>
      <c r="M18" s="36"/>
      <c r="N18" s="43">
        <v>21100045</v>
      </c>
      <c r="O18" s="44">
        <v>3761.7979999999998</v>
      </c>
      <c r="P18" s="51"/>
      <c r="Q18" s="52"/>
      <c r="R18" s="58">
        <v>3216753</v>
      </c>
      <c r="S18" s="17">
        <v>263.32299999999998</v>
      </c>
      <c r="T18" s="101"/>
      <c r="U18" s="35"/>
      <c r="V18" s="36"/>
      <c r="W18" s="43">
        <f t="shared" si="13"/>
        <v>1886467</v>
      </c>
      <c r="X18" s="44">
        <f t="shared" si="14"/>
        <v>478.95400000000063</v>
      </c>
      <c r="Y18" s="51"/>
      <c r="Z18" s="52"/>
      <c r="AA18" s="58">
        <f t="shared" si="15"/>
        <v>391421</v>
      </c>
      <c r="AB18" s="17">
        <f t="shared" si="16"/>
        <v>282.83400000000006</v>
      </c>
      <c r="AC18" s="101"/>
      <c r="AD18" s="555">
        <f t="shared" si="12"/>
        <v>26594686</v>
      </c>
      <c r="AE18" s="632">
        <f t="shared" si="12"/>
        <v>4786.9090000000006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>
        <v>17761630</v>
      </c>
      <c r="F19" s="44">
        <v>3611.5210000000002</v>
      </c>
      <c r="G19" s="51"/>
      <c r="H19" s="52"/>
      <c r="I19" s="58">
        <v>3276487</v>
      </c>
      <c r="J19" s="17">
        <v>658.49699999999996</v>
      </c>
      <c r="K19" s="101"/>
      <c r="L19" s="35"/>
      <c r="M19" s="36"/>
      <c r="N19" s="43">
        <v>15999979</v>
      </c>
      <c r="O19" s="44">
        <v>3158.527</v>
      </c>
      <c r="P19" s="51"/>
      <c r="Q19" s="52"/>
      <c r="R19" s="58">
        <v>2951873</v>
      </c>
      <c r="S19" s="17">
        <v>325.10500000000002</v>
      </c>
      <c r="T19" s="101"/>
      <c r="U19" s="35"/>
      <c r="V19" s="36"/>
      <c r="W19" s="43">
        <f t="shared" si="13"/>
        <v>1761651</v>
      </c>
      <c r="X19" s="44">
        <f t="shared" si="14"/>
        <v>452.99400000000014</v>
      </c>
      <c r="Y19" s="51"/>
      <c r="Z19" s="52"/>
      <c r="AA19" s="58">
        <f t="shared" si="15"/>
        <v>324614</v>
      </c>
      <c r="AB19" s="17">
        <f t="shared" si="16"/>
        <v>333.39199999999994</v>
      </c>
      <c r="AC19" s="101"/>
      <c r="AD19" s="555">
        <f t="shared" si="12"/>
        <v>21038117</v>
      </c>
      <c r="AE19" s="632">
        <f t="shared" si="12"/>
        <v>4270.018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>
        <v>18071867</v>
      </c>
      <c r="F20" s="44">
        <v>3380.4209999999998</v>
      </c>
      <c r="G20" s="51"/>
      <c r="H20" s="52"/>
      <c r="I20" s="58">
        <v>3396641</v>
      </c>
      <c r="J20" s="17">
        <v>774.81700000000001</v>
      </c>
      <c r="K20" s="101"/>
      <c r="L20" s="35"/>
      <c r="M20" s="36"/>
      <c r="N20" s="43">
        <v>16229476</v>
      </c>
      <c r="O20" s="44">
        <v>2924.1750000000002</v>
      </c>
      <c r="P20" s="51"/>
      <c r="Q20" s="52"/>
      <c r="R20" s="58">
        <v>3097828</v>
      </c>
      <c r="S20" s="17">
        <v>409.07600000000002</v>
      </c>
      <c r="T20" s="101"/>
      <c r="U20" s="35"/>
      <c r="V20" s="36"/>
      <c r="W20" s="43">
        <f t="shared" si="13"/>
        <v>1842391</v>
      </c>
      <c r="X20" s="44">
        <f t="shared" si="14"/>
        <v>456.24599999999964</v>
      </c>
      <c r="Y20" s="51"/>
      <c r="Z20" s="52"/>
      <c r="AA20" s="58">
        <f t="shared" si="15"/>
        <v>298813</v>
      </c>
      <c r="AB20" s="17">
        <f t="shared" si="16"/>
        <v>365.74099999999999</v>
      </c>
      <c r="AC20" s="101"/>
      <c r="AD20" s="555">
        <f t="shared" si="12"/>
        <v>21468508</v>
      </c>
      <c r="AE20" s="632">
        <f t="shared" si="12"/>
        <v>4155.2379999999994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>
        <v>18985698</v>
      </c>
      <c r="F21" s="44">
        <v>4070.6509999999998</v>
      </c>
      <c r="G21" s="51"/>
      <c r="H21" s="52"/>
      <c r="I21" s="58">
        <v>3564513</v>
      </c>
      <c r="J21" s="17">
        <v>805.81</v>
      </c>
      <c r="K21" s="101"/>
      <c r="L21" s="35"/>
      <c r="M21" s="36"/>
      <c r="N21" s="43">
        <v>16989452</v>
      </c>
      <c r="O21" s="44">
        <v>3578.2620000000002</v>
      </c>
      <c r="P21" s="51"/>
      <c r="Q21" s="52"/>
      <c r="R21" s="58">
        <v>3264533</v>
      </c>
      <c r="S21" s="17">
        <v>430.524</v>
      </c>
      <c r="T21" s="101"/>
      <c r="U21" s="35"/>
      <c r="V21" s="36"/>
      <c r="W21" s="43">
        <f t="shared" si="13"/>
        <v>1996246</v>
      </c>
      <c r="X21" s="44">
        <f t="shared" si="14"/>
        <v>492.38899999999967</v>
      </c>
      <c r="Y21" s="51"/>
      <c r="Z21" s="52"/>
      <c r="AA21" s="58">
        <f t="shared" si="15"/>
        <v>299980</v>
      </c>
      <c r="AB21" s="17">
        <f t="shared" si="16"/>
        <v>375.28599999999994</v>
      </c>
      <c r="AC21" s="101"/>
      <c r="AD21" s="555">
        <f t="shared" si="12"/>
        <v>22550211</v>
      </c>
      <c r="AE21" s="632">
        <f t="shared" si="12"/>
        <v>4876.4609999999993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>
        <v>19426876</v>
      </c>
      <c r="F22" s="44">
        <v>4022.7420000000002</v>
      </c>
      <c r="G22" s="51"/>
      <c r="H22" s="52"/>
      <c r="I22" s="58">
        <v>3632060</v>
      </c>
      <c r="J22" s="17">
        <v>797.08500000000004</v>
      </c>
      <c r="K22" s="101"/>
      <c r="L22" s="35"/>
      <c r="M22" s="36"/>
      <c r="N22" s="43">
        <v>17289797</v>
      </c>
      <c r="O22" s="44">
        <v>3483.9259999999999</v>
      </c>
      <c r="P22" s="51"/>
      <c r="Q22" s="52"/>
      <c r="R22" s="58">
        <v>3336136</v>
      </c>
      <c r="S22" s="17">
        <v>439.43799999999999</v>
      </c>
      <c r="T22" s="101"/>
      <c r="U22" s="35"/>
      <c r="V22" s="36"/>
      <c r="W22" s="43">
        <f t="shared" si="13"/>
        <v>2137079</v>
      </c>
      <c r="X22" s="44">
        <f t="shared" si="14"/>
        <v>538.81600000000026</v>
      </c>
      <c r="Y22" s="51"/>
      <c r="Z22" s="52"/>
      <c r="AA22" s="58">
        <f t="shared" si="15"/>
        <v>295924</v>
      </c>
      <c r="AB22" s="17">
        <f t="shared" si="16"/>
        <v>357.64700000000005</v>
      </c>
      <c r="AC22" s="101"/>
      <c r="AD22" s="555">
        <f t="shared" si="12"/>
        <v>23058936</v>
      </c>
      <c r="AE22" s="632">
        <f t="shared" si="12"/>
        <v>4819.8270000000002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>
        <v>20116192</v>
      </c>
      <c r="F23" s="44">
        <v>4658.4250000000002</v>
      </c>
      <c r="G23" s="51"/>
      <c r="H23" s="52"/>
      <c r="I23" s="58">
        <v>3528007</v>
      </c>
      <c r="J23" s="17">
        <v>629.096</v>
      </c>
      <c r="K23" s="101"/>
      <c r="L23" s="35"/>
      <c r="M23" s="36"/>
      <c r="N23" s="43">
        <v>17768139</v>
      </c>
      <c r="O23" s="44">
        <v>4034.3240000000001</v>
      </c>
      <c r="P23" s="51"/>
      <c r="Q23" s="52"/>
      <c r="R23" s="58">
        <v>3248202</v>
      </c>
      <c r="S23" s="17">
        <v>339.40800000000002</v>
      </c>
      <c r="T23" s="101"/>
      <c r="U23" s="35"/>
      <c r="V23" s="36"/>
      <c r="W23" s="43">
        <f t="shared" si="13"/>
        <v>2348053</v>
      </c>
      <c r="X23" s="44">
        <f t="shared" si="14"/>
        <v>624.10100000000011</v>
      </c>
      <c r="Y23" s="51"/>
      <c r="Z23" s="52"/>
      <c r="AA23" s="58">
        <f t="shared" si="15"/>
        <v>279805</v>
      </c>
      <c r="AB23" s="17">
        <f t="shared" si="16"/>
        <v>289.68799999999999</v>
      </c>
      <c r="AC23" s="101"/>
      <c r="AD23" s="555">
        <f t="shared" si="12"/>
        <v>23644199</v>
      </c>
      <c r="AE23" s="632">
        <f t="shared" si="12"/>
        <v>5287.5210000000006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>
        <v>23516773</v>
      </c>
      <c r="F24" s="44">
        <v>5417.1890000000003</v>
      </c>
      <c r="G24" s="51"/>
      <c r="H24" s="52"/>
      <c r="I24" s="58">
        <v>3303747</v>
      </c>
      <c r="J24" s="17">
        <v>490.01600000000002</v>
      </c>
      <c r="K24" s="101"/>
      <c r="L24" s="35"/>
      <c r="M24" s="36"/>
      <c r="N24" s="43">
        <v>21054530</v>
      </c>
      <c r="O24" s="44">
        <v>4788.076</v>
      </c>
      <c r="P24" s="51"/>
      <c r="Q24" s="52"/>
      <c r="R24" s="58">
        <v>2969261</v>
      </c>
      <c r="S24" s="17">
        <v>250.22399999999999</v>
      </c>
      <c r="T24" s="101"/>
      <c r="U24" s="35"/>
      <c r="V24" s="36"/>
      <c r="W24" s="43">
        <f t="shared" si="13"/>
        <v>2462243</v>
      </c>
      <c r="X24" s="44">
        <f t="shared" si="14"/>
        <v>629.11300000000028</v>
      </c>
      <c r="Y24" s="51"/>
      <c r="Z24" s="52"/>
      <c r="AA24" s="58">
        <f t="shared" si="15"/>
        <v>334486</v>
      </c>
      <c r="AB24" s="17">
        <f t="shared" si="16"/>
        <v>239.79200000000003</v>
      </c>
      <c r="AC24" s="101"/>
      <c r="AD24" s="555">
        <f t="shared" si="12"/>
        <v>26820520</v>
      </c>
      <c r="AE24" s="632">
        <f t="shared" si="12"/>
        <v>5907.2049999999999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>
        <v>24850899</v>
      </c>
      <c r="F25" s="44">
        <v>5050.4549999999999</v>
      </c>
      <c r="G25" s="51"/>
      <c r="H25" s="52"/>
      <c r="I25" s="58">
        <v>3593515</v>
      </c>
      <c r="J25" s="17">
        <v>452.49200000000002</v>
      </c>
      <c r="K25" s="101"/>
      <c r="L25" s="35"/>
      <c r="M25" s="36"/>
      <c r="N25" s="43">
        <v>22295748</v>
      </c>
      <c r="O25" s="44">
        <v>4423.6949999999997</v>
      </c>
      <c r="P25" s="51"/>
      <c r="Q25" s="52"/>
      <c r="R25" s="58">
        <v>3259761</v>
      </c>
      <c r="S25" s="17">
        <v>239.07599999999999</v>
      </c>
      <c r="T25" s="101"/>
      <c r="U25" s="35"/>
      <c r="V25" s="36"/>
      <c r="W25" s="43">
        <f t="shared" si="13"/>
        <v>2555151</v>
      </c>
      <c r="X25" s="44">
        <f t="shared" si="14"/>
        <v>626.76000000000022</v>
      </c>
      <c r="Y25" s="51"/>
      <c r="Z25" s="52"/>
      <c r="AA25" s="58">
        <f t="shared" si="15"/>
        <v>333754</v>
      </c>
      <c r="AB25" s="17">
        <f t="shared" si="16"/>
        <v>213.41600000000003</v>
      </c>
      <c r="AC25" s="101"/>
      <c r="AD25" s="555">
        <f t="shared" si="12"/>
        <v>28444414</v>
      </c>
      <c r="AE25" s="632">
        <f t="shared" si="12"/>
        <v>5502.9470000000001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>
        <v>20007495</v>
      </c>
      <c r="F26" s="44">
        <v>4305.2489999999998</v>
      </c>
      <c r="G26" s="51"/>
      <c r="H26" s="52"/>
      <c r="I26" s="58">
        <v>3094365</v>
      </c>
      <c r="J26" s="17">
        <v>463.94499999999999</v>
      </c>
      <c r="K26" s="101"/>
      <c r="L26" s="35"/>
      <c r="M26" s="36"/>
      <c r="N26" s="43">
        <v>17326839</v>
      </c>
      <c r="O26" s="44">
        <v>3636.9879999999998</v>
      </c>
      <c r="P26" s="51"/>
      <c r="Q26" s="52"/>
      <c r="R26" s="58">
        <v>2804240</v>
      </c>
      <c r="S26" s="17">
        <v>238.304</v>
      </c>
      <c r="T26" s="101"/>
      <c r="U26" s="35"/>
      <c r="V26" s="36"/>
      <c r="W26" s="43">
        <f t="shared" si="13"/>
        <v>2680656</v>
      </c>
      <c r="X26" s="44">
        <f t="shared" si="14"/>
        <v>668.26099999999997</v>
      </c>
      <c r="Y26" s="51"/>
      <c r="Z26" s="52"/>
      <c r="AA26" s="58">
        <f t="shared" si="15"/>
        <v>290125</v>
      </c>
      <c r="AB26" s="17">
        <f t="shared" si="16"/>
        <v>225.64099999999999</v>
      </c>
      <c r="AC26" s="101"/>
      <c r="AD26" s="555">
        <f t="shared" si="12"/>
        <v>23101860</v>
      </c>
      <c r="AE26" s="632">
        <f t="shared" si="12"/>
        <v>4769.1939999999995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>
        <v>19042150</v>
      </c>
      <c r="F27" s="44">
        <v>4975.05</v>
      </c>
      <c r="G27" s="51"/>
      <c r="H27" s="52"/>
      <c r="I27" s="58">
        <v>3280142</v>
      </c>
      <c r="J27" s="17">
        <v>589.47</v>
      </c>
      <c r="K27" s="101"/>
      <c r="L27" s="35"/>
      <c r="M27" s="36"/>
      <c r="N27" s="43">
        <v>16484384</v>
      </c>
      <c r="O27" s="44">
        <v>4286.12</v>
      </c>
      <c r="P27" s="51"/>
      <c r="Q27" s="52"/>
      <c r="R27" s="58">
        <v>2998112</v>
      </c>
      <c r="S27" s="17">
        <v>347.52</v>
      </c>
      <c r="T27" s="101"/>
      <c r="U27" s="35"/>
      <c r="V27" s="36"/>
      <c r="W27" s="43">
        <f t="shared" si="13"/>
        <v>2557766</v>
      </c>
      <c r="X27" s="44">
        <f t="shared" si="14"/>
        <v>688.93000000000029</v>
      </c>
      <c r="Y27" s="51"/>
      <c r="Z27" s="52"/>
      <c r="AA27" s="58">
        <f t="shared" si="15"/>
        <v>282030</v>
      </c>
      <c r="AB27" s="17">
        <f t="shared" si="16"/>
        <v>241.95000000000005</v>
      </c>
      <c r="AC27" s="101"/>
      <c r="AD27" s="555">
        <f t="shared" si="12"/>
        <v>22322292</v>
      </c>
      <c r="AE27" s="632">
        <f t="shared" si="12"/>
        <v>5564.52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>
        <v>18465185</v>
      </c>
      <c r="F28" s="44">
        <v>5907.96</v>
      </c>
      <c r="G28" s="51"/>
      <c r="H28" s="52"/>
      <c r="I28" s="58">
        <v>3954788</v>
      </c>
      <c r="J28" s="17">
        <v>644.91</v>
      </c>
      <c r="K28" s="101"/>
      <c r="L28" s="35"/>
      <c r="M28" s="36"/>
      <c r="N28" s="43">
        <v>15886525</v>
      </c>
      <c r="O28" s="44">
        <v>5156.95</v>
      </c>
      <c r="P28" s="51"/>
      <c r="Q28" s="52"/>
      <c r="R28" s="58">
        <v>3621631</v>
      </c>
      <c r="S28" s="17">
        <v>407.03</v>
      </c>
      <c r="T28" s="101"/>
      <c r="U28" s="35"/>
      <c r="V28" s="36"/>
      <c r="W28" s="43">
        <f t="shared" si="13"/>
        <v>2578660</v>
      </c>
      <c r="X28" s="44">
        <f t="shared" si="14"/>
        <v>751.01000000000022</v>
      </c>
      <c r="Y28" s="51"/>
      <c r="Z28" s="52"/>
      <c r="AA28" s="58">
        <f t="shared" si="15"/>
        <v>333157</v>
      </c>
      <c r="AB28" s="17">
        <f t="shared" si="16"/>
        <v>237.88</v>
      </c>
      <c r="AC28" s="101"/>
      <c r="AD28" s="555">
        <f t="shared" si="12"/>
        <v>22419973</v>
      </c>
      <c r="AE28" s="632">
        <f t="shared" si="12"/>
        <v>6552.87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>
        <v>18724142</v>
      </c>
      <c r="F29" s="44">
        <v>4841.46</v>
      </c>
      <c r="G29" s="51"/>
      <c r="H29" s="52"/>
      <c r="I29" s="58">
        <v>3510275</v>
      </c>
      <c r="J29" s="17">
        <v>580.92999999999995</v>
      </c>
      <c r="K29" s="101"/>
      <c r="L29" s="35"/>
      <c r="M29" s="36"/>
      <c r="N29" s="43">
        <v>16310177</v>
      </c>
      <c r="O29" s="44">
        <v>4186.1400000000003</v>
      </c>
      <c r="P29" s="51"/>
      <c r="Q29" s="52"/>
      <c r="R29" s="58">
        <v>3263105</v>
      </c>
      <c r="S29" s="17">
        <v>345.39</v>
      </c>
      <c r="T29" s="101"/>
      <c r="U29" s="35"/>
      <c r="V29" s="36"/>
      <c r="W29" s="43">
        <f t="shared" si="13"/>
        <v>2413965</v>
      </c>
      <c r="X29" s="44">
        <f t="shared" si="14"/>
        <v>655.31999999999971</v>
      </c>
      <c r="Y29" s="51"/>
      <c r="Z29" s="52"/>
      <c r="AA29" s="58">
        <f t="shared" si="15"/>
        <v>247170</v>
      </c>
      <c r="AB29" s="17">
        <f t="shared" si="16"/>
        <v>235.53999999999996</v>
      </c>
      <c r="AC29" s="101"/>
      <c r="AD29" s="555">
        <f t="shared" si="12"/>
        <v>22234417</v>
      </c>
      <c r="AE29" s="632">
        <f t="shared" si="12"/>
        <v>5422.39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>
        <v>19214820</v>
      </c>
      <c r="F30" s="44">
        <v>4750.79</v>
      </c>
      <c r="G30" s="51"/>
      <c r="H30" s="52"/>
      <c r="I30" s="58">
        <v>3446352</v>
      </c>
      <c r="J30" s="17">
        <v>576.66</v>
      </c>
      <c r="K30" s="101"/>
      <c r="L30" s="35"/>
      <c r="M30" s="36"/>
      <c r="N30" s="43">
        <v>16864765</v>
      </c>
      <c r="O30" s="44">
        <v>4115.6400000000003</v>
      </c>
      <c r="P30" s="51"/>
      <c r="Q30" s="52"/>
      <c r="R30" s="58">
        <v>3203541</v>
      </c>
      <c r="S30" s="17">
        <v>332.23</v>
      </c>
      <c r="T30" s="101"/>
      <c r="U30" s="35"/>
      <c r="V30" s="36"/>
      <c r="W30" s="43">
        <f t="shared" si="13"/>
        <v>2350055</v>
      </c>
      <c r="X30" s="44">
        <f t="shared" si="14"/>
        <v>635.14999999999964</v>
      </c>
      <c r="Y30" s="51"/>
      <c r="Z30" s="52"/>
      <c r="AA30" s="58">
        <f t="shared" si="15"/>
        <v>242811</v>
      </c>
      <c r="AB30" s="17">
        <f t="shared" si="16"/>
        <v>244.42999999999995</v>
      </c>
      <c r="AC30" s="101"/>
      <c r="AD30" s="555">
        <f t="shared" si="12"/>
        <v>22661172</v>
      </c>
      <c r="AE30" s="632">
        <f t="shared" si="12"/>
        <v>5327.45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>
        <v>24664923</v>
      </c>
      <c r="F31" s="44">
        <v>5175.5600000000004</v>
      </c>
      <c r="G31" s="51"/>
      <c r="H31" s="52"/>
      <c r="I31" s="58">
        <v>3726737</v>
      </c>
      <c r="J31" s="17">
        <v>611.54</v>
      </c>
      <c r="K31" s="101"/>
      <c r="L31" s="35"/>
      <c r="M31" s="36"/>
      <c r="N31" s="43">
        <v>22181202</v>
      </c>
      <c r="O31" s="44">
        <v>4514.84</v>
      </c>
      <c r="P31" s="51"/>
      <c r="Q31" s="52"/>
      <c r="R31" s="58">
        <v>3415368</v>
      </c>
      <c r="S31" s="17">
        <v>354.38</v>
      </c>
      <c r="T31" s="101"/>
      <c r="U31" s="35"/>
      <c r="V31" s="36"/>
      <c r="W31" s="43">
        <f t="shared" si="13"/>
        <v>2483721</v>
      </c>
      <c r="X31" s="44">
        <f t="shared" si="14"/>
        <v>660.72000000000025</v>
      </c>
      <c r="Y31" s="51"/>
      <c r="Z31" s="52"/>
      <c r="AA31" s="58">
        <f t="shared" si="15"/>
        <v>311369</v>
      </c>
      <c r="AB31" s="17">
        <f t="shared" si="16"/>
        <v>257.15999999999997</v>
      </c>
      <c r="AC31" s="101"/>
      <c r="AD31" s="555">
        <f t="shared" si="12"/>
        <v>28391660</v>
      </c>
      <c r="AE31" s="632">
        <f t="shared" si="12"/>
        <v>5787.1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>
        <v>25692123</v>
      </c>
      <c r="F32" s="44">
        <v>4718.22</v>
      </c>
      <c r="G32" s="51"/>
      <c r="H32" s="52"/>
      <c r="I32" s="58">
        <v>5483845</v>
      </c>
      <c r="J32" s="17">
        <v>605.61</v>
      </c>
      <c r="K32" s="101"/>
      <c r="L32" s="35"/>
      <c r="M32" s="36"/>
      <c r="N32" s="43">
        <v>23138362</v>
      </c>
      <c r="O32" s="44">
        <v>4095.57</v>
      </c>
      <c r="P32" s="51"/>
      <c r="Q32" s="52"/>
      <c r="R32" s="58">
        <v>5024090</v>
      </c>
      <c r="S32" s="17">
        <v>353.43</v>
      </c>
      <c r="T32" s="101"/>
      <c r="U32" s="35"/>
      <c r="V32" s="36"/>
      <c r="W32" s="43">
        <f t="shared" si="13"/>
        <v>2553761</v>
      </c>
      <c r="X32" s="44">
        <f t="shared" si="14"/>
        <v>622.65000000000009</v>
      </c>
      <c r="Y32" s="51"/>
      <c r="Z32" s="52"/>
      <c r="AA32" s="58">
        <f t="shared" si="15"/>
        <v>459755</v>
      </c>
      <c r="AB32" s="17">
        <f t="shared" si="16"/>
        <v>252.18</v>
      </c>
      <c r="AC32" s="101"/>
      <c r="AD32" s="555">
        <f t="shared" si="12"/>
        <v>31175968</v>
      </c>
      <c r="AE32" s="632">
        <f t="shared" si="12"/>
        <v>5323.83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>
        <v>20608720</v>
      </c>
      <c r="F33" s="44">
        <v>4126.4399999999996</v>
      </c>
      <c r="G33" s="51"/>
      <c r="H33" s="52"/>
      <c r="I33" s="58">
        <v>3056084</v>
      </c>
      <c r="J33" s="17">
        <v>530.54999999999995</v>
      </c>
      <c r="K33" s="101"/>
      <c r="L33" s="35"/>
      <c r="M33" s="36"/>
      <c r="N33" s="43">
        <v>17955745</v>
      </c>
      <c r="O33" s="44">
        <v>3449.7</v>
      </c>
      <c r="P33" s="51"/>
      <c r="Q33" s="52"/>
      <c r="R33" s="58">
        <v>2803900</v>
      </c>
      <c r="S33" s="17">
        <v>297.64999999999998</v>
      </c>
      <c r="T33" s="101"/>
      <c r="U33" s="35"/>
      <c r="V33" s="36"/>
      <c r="W33" s="43">
        <f t="shared" si="13"/>
        <v>2652975</v>
      </c>
      <c r="X33" s="44">
        <f t="shared" si="14"/>
        <v>676.73999999999978</v>
      </c>
      <c r="Y33" s="51"/>
      <c r="Z33" s="52"/>
      <c r="AA33" s="58">
        <f t="shared" si="15"/>
        <v>252184</v>
      </c>
      <c r="AB33" s="17">
        <f t="shared" si="16"/>
        <v>232.89999999999998</v>
      </c>
      <c r="AC33" s="101"/>
      <c r="AD33" s="555">
        <f t="shared" si="12"/>
        <v>23664804</v>
      </c>
      <c r="AE33" s="632">
        <f t="shared" si="12"/>
        <v>4656.99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>
        <v>19840859</v>
      </c>
      <c r="F34" s="44">
        <v>4834.1499999999996</v>
      </c>
      <c r="G34" s="51"/>
      <c r="H34" s="52"/>
      <c r="I34" s="58">
        <v>3275154</v>
      </c>
      <c r="J34" s="17">
        <v>614.54</v>
      </c>
      <c r="K34" s="101"/>
      <c r="L34" s="35"/>
      <c r="M34" s="36"/>
      <c r="N34" s="43">
        <v>17005388</v>
      </c>
      <c r="O34" s="44">
        <v>4062.93</v>
      </c>
      <c r="P34" s="51"/>
      <c r="Q34" s="52"/>
      <c r="R34" s="58">
        <v>3030477</v>
      </c>
      <c r="S34" s="17">
        <v>363.27</v>
      </c>
      <c r="T34" s="101"/>
      <c r="U34" s="35"/>
      <c r="V34" s="36"/>
      <c r="W34" s="43">
        <f t="shared" si="13"/>
        <v>2835471</v>
      </c>
      <c r="X34" s="44">
        <f t="shared" si="14"/>
        <v>771.2199999999998</v>
      </c>
      <c r="Y34" s="51"/>
      <c r="Z34" s="52"/>
      <c r="AA34" s="58">
        <f t="shared" si="15"/>
        <v>244677</v>
      </c>
      <c r="AB34" s="17">
        <f t="shared" si="16"/>
        <v>251.26999999999998</v>
      </c>
      <c r="AC34" s="101"/>
      <c r="AD34" s="555">
        <f t="shared" si="12"/>
        <v>23116013</v>
      </c>
      <c r="AE34" s="632">
        <f t="shared" si="12"/>
        <v>5448.69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>
        <v>20341494</v>
      </c>
      <c r="F35" s="44">
        <v>4862.1000000000004</v>
      </c>
      <c r="G35" s="51"/>
      <c r="H35" s="52"/>
      <c r="I35" s="58">
        <v>3628191</v>
      </c>
      <c r="J35" s="17">
        <v>666.61</v>
      </c>
      <c r="K35" s="101"/>
      <c r="L35" s="35"/>
      <c r="M35" s="36"/>
      <c r="N35" s="43">
        <v>17499530</v>
      </c>
      <c r="O35" s="44">
        <v>4034.9</v>
      </c>
      <c r="P35" s="51"/>
      <c r="Q35" s="52"/>
      <c r="R35" s="58">
        <v>3366609</v>
      </c>
      <c r="S35" s="17">
        <v>384.16</v>
      </c>
      <c r="T35" s="101"/>
      <c r="U35" s="35"/>
      <c r="V35" s="36"/>
      <c r="W35" s="43">
        <f t="shared" si="13"/>
        <v>2841964</v>
      </c>
      <c r="X35" s="44">
        <f t="shared" si="14"/>
        <v>827.20000000000027</v>
      </c>
      <c r="Y35" s="51"/>
      <c r="Z35" s="52"/>
      <c r="AA35" s="58">
        <f t="shared" si="15"/>
        <v>261582</v>
      </c>
      <c r="AB35" s="17">
        <f t="shared" si="16"/>
        <v>282.45</v>
      </c>
      <c r="AC35" s="101"/>
      <c r="AD35" s="555">
        <f t="shared" si="12"/>
        <v>23969685</v>
      </c>
      <c r="AE35" s="632">
        <f t="shared" si="12"/>
        <v>5528.71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>
        <v>19204832</v>
      </c>
      <c r="F36" s="44">
        <v>4406.34</v>
      </c>
      <c r="G36" s="51"/>
      <c r="H36" s="52"/>
      <c r="I36" s="58">
        <v>3410331</v>
      </c>
      <c r="J36" s="17">
        <v>638.99</v>
      </c>
      <c r="K36" s="101"/>
      <c r="L36" s="35"/>
      <c r="M36" s="36"/>
      <c r="N36" s="43">
        <v>16697895</v>
      </c>
      <c r="O36" s="44">
        <v>3712.12</v>
      </c>
      <c r="P36" s="51"/>
      <c r="Q36" s="52"/>
      <c r="R36" s="58">
        <v>3167196</v>
      </c>
      <c r="S36" s="17">
        <v>359.14</v>
      </c>
      <c r="T36" s="101"/>
      <c r="U36" s="35"/>
      <c r="V36" s="36"/>
      <c r="W36" s="43">
        <f t="shared" si="13"/>
        <v>2506937</v>
      </c>
      <c r="X36" s="44">
        <f t="shared" si="14"/>
        <v>694.22000000000025</v>
      </c>
      <c r="Y36" s="51"/>
      <c r="Z36" s="52"/>
      <c r="AA36" s="58">
        <f t="shared" si="15"/>
        <v>243135</v>
      </c>
      <c r="AB36" s="17">
        <f t="shared" si="16"/>
        <v>279.85000000000002</v>
      </c>
      <c r="AC36" s="101"/>
      <c r="AD36" s="555">
        <f t="shared" si="12"/>
        <v>22615163</v>
      </c>
      <c r="AE36" s="632">
        <f t="shared" si="12"/>
        <v>5045.33</v>
      </c>
    </row>
    <row r="37" spans="1:31" collapsed="1">
      <c r="A37" s="104"/>
      <c r="B37" s="104" t="s">
        <v>13</v>
      </c>
      <c r="C37" s="105"/>
      <c r="D37" s="106"/>
      <c r="E37" s="107">
        <f t="shared" ref="E37:J37" si="18">SUBTOTAL(9,E38:E65)</f>
        <v>640353919</v>
      </c>
      <c r="F37" s="108">
        <f t="shared" si="18"/>
        <v>118213.66</v>
      </c>
      <c r="G37" s="109"/>
      <c r="H37" s="110"/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>
        <f t="shared" ref="N37" si="19">SUBTOTAL(9,N38:N65)</f>
        <v>559835027</v>
      </c>
      <c r="O37" s="108">
        <f t="shared" ref="O37" si="20">SUBTOTAL(9,O38:O65)</f>
        <v>94450.7</v>
      </c>
      <c r="P37" s="109"/>
      <c r="Q37" s="110"/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>
        <f t="shared" ref="W37" si="23">SUBTOTAL(9,W38:W65)</f>
        <v>80518892</v>
      </c>
      <c r="X37" s="108">
        <f t="shared" ref="X37" si="24">SUBTOTAL(9,X38:X65)</f>
        <v>23762.960000000003</v>
      </c>
      <c r="Y37" s="109"/>
      <c r="Z37" s="110"/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>
        <v>19140126</v>
      </c>
      <c r="F38" s="44">
        <v>5358.43</v>
      </c>
      <c r="G38" s="51"/>
      <c r="H38" s="52"/>
      <c r="I38" s="58">
        <v>3262505</v>
      </c>
      <c r="J38" s="17">
        <v>615.28</v>
      </c>
      <c r="K38" s="101"/>
      <c r="L38" s="35"/>
      <c r="M38" s="36"/>
      <c r="N38" s="43">
        <v>16481943</v>
      </c>
      <c r="O38" s="44">
        <v>4625.96</v>
      </c>
      <c r="P38" s="51"/>
      <c r="Q38" s="52"/>
      <c r="R38" s="58">
        <v>3016256</v>
      </c>
      <c r="S38" s="17">
        <v>343.75</v>
      </c>
      <c r="T38" s="101"/>
      <c r="U38" s="35"/>
      <c r="V38" s="36"/>
      <c r="W38" s="43">
        <f t="shared" si="13"/>
        <v>2658183</v>
      </c>
      <c r="X38" s="44">
        <f t="shared" si="14"/>
        <v>732.47000000000025</v>
      </c>
      <c r="Y38" s="51"/>
      <c r="Z38" s="52"/>
      <c r="AA38" s="58">
        <f t="shared" si="15"/>
        <v>246249</v>
      </c>
      <c r="AB38" s="17">
        <f t="shared" si="16"/>
        <v>271.52999999999997</v>
      </c>
      <c r="AC38" s="101"/>
      <c r="AD38" s="555">
        <f t="shared" ref="AD38:AE65" si="27">SUM(C38,E38,G38,I38)</f>
        <v>22402631</v>
      </c>
      <c r="AE38" s="632">
        <f t="shared" si="27"/>
        <v>5973.71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>
        <v>24236511</v>
      </c>
      <c r="F39" s="44">
        <v>6481.92</v>
      </c>
      <c r="G39" s="51"/>
      <c r="H39" s="52"/>
      <c r="I39" s="58">
        <v>3560151</v>
      </c>
      <c r="J39" s="17">
        <v>671.73</v>
      </c>
      <c r="K39" s="101"/>
      <c r="L39" s="35"/>
      <c r="M39" s="36"/>
      <c r="N39" s="43">
        <v>20957767</v>
      </c>
      <c r="O39" s="44">
        <v>5528.06</v>
      </c>
      <c r="P39" s="51"/>
      <c r="Q39" s="52"/>
      <c r="R39" s="58">
        <v>3264744</v>
      </c>
      <c r="S39" s="17">
        <v>373.01</v>
      </c>
      <c r="T39" s="101"/>
      <c r="U39" s="35"/>
      <c r="V39" s="36"/>
      <c r="W39" s="43">
        <f t="shared" si="13"/>
        <v>3278744</v>
      </c>
      <c r="X39" s="44">
        <f t="shared" si="14"/>
        <v>953.85999999999967</v>
      </c>
      <c r="Y39" s="51"/>
      <c r="Z39" s="52"/>
      <c r="AA39" s="58">
        <f t="shared" si="15"/>
        <v>295407</v>
      </c>
      <c r="AB39" s="17">
        <f t="shared" si="16"/>
        <v>298.72000000000003</v>
      </c>
      <c r="AC39" s="101"/>
      <c r="AD39" s="555">
        <f t="shared" si="27"/>
        <v>27796662</v>
      </c>
      <c r="AE39" s="632">
        <f t="shared" si="27"/>
        <v>7153.65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>
        <v>26018733</v>
      </c>
      <c r="F40" s="44">
        <v>5775.16</v>
      </c>
      <c r="G40" s="51"/>
      <c r="H40" s="52"/>
      <c r="I40" s="58">
        <v>3760536</v>
      </c>
      <c r="J40" s="17">
        <v>633.08000000000004</v>
      </c>
      <c r="K40" s="101"/>
      <c r="L40" s="35"/>
      <c r="M40" s="36"/>
      <c r="N40" s="43">
        <v>22139865</v>
      </c>
      <c r="O40" s="44">
        <v>4699.88</v>
      </c>
      <c r="P40" s="51"/>
      <c r="Q40" s="52"/>
      <c r="R40" s="58">
        <v>3393130</v>
      </c>
      <c r="S40" s="17">
        <v>352.77</v>
      </c>
      <c r="T40" s="101"/>
      <c r="U40" s="35"/>
      <c r="V40" s="36"/>
      <c r="W40" s="43">
        <f t="shared" si="13"/>
        <v>3878868</v>
      </c>
      <c r="X40" s="44">
        <f t="shared" si="14"/>
        <v>1075.2799999999997</v>
      </c>
      <c r="Y40" s="51"/>
      <c r="Z40" s="52"/>
      <c r="AA40" s="58">
        <f t="shared" si="15"/>
        <v>367406</v>
      </c>
      <c r="AB40" s="17">
        <f t="shared" si="16"/>
        <v>280.31000000000006</v>
      </c>
      <c r="AC40" s="101"/>
      <c r="AD40" s="555">
        <f t="shared" si="27"/>
        <v>29779269</v>
      </c>
      <c r="AE40" s="632">
        <f t="shared" si="27"/>
        <v>6408.24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>
        <v>19441360</v>
      </c>
      <c r="F41" s="44">
        <v>4623.3</v>
      </c>
      <c r="G41" s="51"/>
      <c r="H41" s="52"/>
      <c r="I41" s="58">
        <v>3500808</v>
      </c>
      <c r="J41" s="17">
        <v>631.24</v>
      </c>
      <c r="K41" s="101"/>
      <c r="L41" s="35"/>
      <c r="M41" s="36"/>
      <c r="N41" s="43">
        <v>16820410</v>
      </c>
      <c r="O41" s="44">
        <v>3876.16</v>
      </c>
      <c r="P41" s="51"/>
      <c r="Q41" s="52"/>
      <c r="R41" s="58">
        <v>3146276</v>
      </c>
      <c r="S41" s="17">
        <v>329.4</v>
      </c>
      <c r="T41" s="101"/>
      <c r="U41" s="35"/>
      <c r="V41" s="36"/>
      <c r="W41" s="43">
        <f t="shared" si="13"/>
        <v>2620950</v>
      </c>
      <c r="X41" s="44">
        <f t="shared" si="14"/>
        <v>747.14000000000033</v>
      </c>
      <c r="Y41" s="51"/>
      <c r="Z41" s="52"/>
      <c r="AA41" s="58">
        <f t="shared" si="15"/>
        <v>354532</v>
      </c>
      <c r="AB41" s="17">
        <f t="shared" si="16"/>
        <v>301.84000000000003</v>
      </c>
      <c r="AC41" s="101"/>
      <c r="AD41" s="555">
        <f t="shared" si="27"/>
        <v>22942168</v>
      </c>
      <c r="AE41" s="632">
        <f t="shared" si="27"/>
        <v>5254.54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>
        <v>18088263</v>
      </c>
      <c r="F42" s="44">
        <v>4430.93</v>
      </c>
      <c r="G42" s="51"/>
      <c r="H42" s="52"/>
      <c r="I42" s="58">
        <v>3364285</v>
      </c>
      <c r="J42" s="17">
        <v>670.29</v>
      </c>
      <c r="K42" s="101"/>
      <c r="L42" s="35"/>
      <c r="M42" s="36"/>
      <c r="N42" s="43">
        <v>15755469</v>
      </c>
      <c r="O42" s="44">
        <v>3733.98</v>
      </c>
      <c r="P42" s="51"/>
      <c r="Q42" s="52"/>
      <c r="R42" s="58">
        <v>3013604</v>
      </c>
      <c r="S42" s="17">
        <v>343.25</v>
      </c>
      <c r="T42" s="101"/>
      <c r="U42" s="35"/>
      <c r="V42" s="36"/>
      <c r="W42" s="43">
        <f t="shared" si="13"/>
        <v>2332794</v>
      </c>
      <c r="X42" s="44">
        <f t="shared" si="14"/>
        <v>696.95000000000027</v>
      </c>
      <c r="Y42" s="51"/>
      <c r="Z42" s="52"/>
      <c r="AA42" s="58">
        <f t="shared" si="15"/>
        <v>350681</v>
      </c>
      <c r="AB42" s="17">
        <f t="shared" si="16"/>
        <v>327.03999999999996</v>
      </c>
      <c r="AC42" s="101"/>
      <c r="AD42" s="555">
        <f t="shared" si="27"/>
        <v>21452548</v>
      </c>
      <c r="AE42" s="632">
        <f t="shared" si="27"/>
        <v>5101.22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>
        <v>18047279</v>
      </c>
      <c r="F43" s="44">
        <v>4595.8</v>
      </c>
      <c r="G43" s="51"/>
      <c r="H43" s="52"/>
      <c r="I43" s="58">
        <v>3310363</v>
      </c>
      <c r="J43" s="17">
        <v>674.03</v>
      </c>
      <c r="K43" s="101"/>
      <c r="L43" s="35"/>
      <c r="M43" s="36"/>
      <c r="N43" s="43">
        <v>15651898</v>
      </c>
      <c r="O43" s="44">
        <v>3845.04</v>
      </c>
      <c r="P43" s="51"/>
      <c r="Q43" s="52"/>
      <c r="R43" s="58">
        <v>2998633</v>
      </c>
      <c r="S43" s="17">
        <v>344.53</v>
      </c>
      <c r="T43" s="101"/>
      <c r="U43" s="35"/>
      <c r="V43" s="36"/>
      <c r="W43" s="43">
        <f t="shared" si="13"/>
        <v>2395381</v>
      </c>
      <c r="X43" s="44">
        <f t="shared" si="14"/>
        <v>750.76000000000022</v>
      </c>
      <c r="Y43" s="51"/>
      <c r="Z43" s="52"/>
      <c r="AA43" s="58">
        <f t="shared" si="15"/>
        <v>311730</v>
      </c>
      <c r="AB43" s="17">
        <f t="shared" si="16"/>
        <v>329.5</v>
      </c>
      <c r="AC43" s="101"/>
      <c r="AD43" s="555">
        <f t="shared" si="27"/>
        <v>21357642</v>
      </c>
      <c r="AE43" s="632">
        <f t="shared" si="27"/>
        <v>5269.83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>
        <v>18823692</v>
      </c>
      <c r="F44" s="44">
        <v>4110.82</v>
      </c>
      <c r="G44" s="51"/>
      <c r="H44" s="52"/>
      <c r="I44" s="58">
        <v>3317414</v>
      </c>
      <c r="J44" s="17">
        <v>615.67999999999995</v>
      </c>
      <c r="K44" s="101"/>
      <c r="L44" s="35"/>
      <c r="M44" s="36"/>
      <c r="N44" s="43">
        <v>16319384</v>
      </c>
      <c r="O44" s="44">
        <v>3424.34</v>
      </c>
      <c r="P44" s="51"/>
      <c r="Q44" s="52"/>
      <c r="R44" s="58">
        <v>2995583</v>
      </c>
      <c r="S44" s="17">
        <v>319.67</v>
      </c>
      <c r="T44" s="101"/>
      <c r="U44" s="35"/>
      <c r="V44" s="36"/>
      <c r="W44" s="43">
        <f t="shared" si="13"/>
        <v>2504308</v>
      </c>
      <c r="X44" s="44">
        <f t="shared" si="14"/>
        <v>686.47999999999956</v>
      </c>
      <c r="Y44" s="51"/>
      <c r="Z44" s="52"/>
      <c r="AA44" s="58">
        <f t="shared" si="15"/>
        <v>321831</v>
      </c>
      <c r="AB44" s="17">
        <f t="shared" si="16"/>
        <v>296.00999999999993</v>
      </c>
      <c r="AC44" s="101"/>
      <c r="AD44" s="555">
        <f t="shared" si="27"/>
        <v>22141106</v>
      </c>
      <c r="AE44" s="632">
        <f t="shared" si="27"/>
        <v>4726.5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>
        <v>20464476</v>
      </c>
      <c r="F45" s="44">
        <v>4148.3500000000004</v>
      </c>
      <c r="G45" s="51"/>
      <c r="H45" s="52"/>
      <c r="I45" s="58">
        <v>3346878</v>
      </c>
      <c r="J45" s="17">
        <v>616.75</v>
      </c>
      <c r="K45" s="101"/>
      <c r="L45" s="35"/>
      <c r="M45" s="36"/>
      <c r="N45" s="43">
        <v>17732022</v>
      </c>
      <c r="O45" s="44">
        <v>3415.06</v>
      </c>
      <c r="P45" s="51"/>
      <c r="Q45" s="52"/>
      <c r="R45" s="58">
        <v>3003820</v>
      </c>
      <c r="S45" s="17">
        <v>315.49</v>
      </c>
      <c r="T45" s="101"/>
      <c r="U45" s="35"/>
      <c r="V45" s="36"/>
      <c r="W45" s="43">
        <f t="shared" si="13"/>
        <v>2732454</v>
      </c>
      <c r="X45" s="44">
        <f t="shared" si="14"/>
        <v>733.29000000000042</v>
      </c>
      <c r="Y45" s="51"/>
      <c r="Z45" s="52"/>
      <c r="AA45" s="58">
        <f t="shared" si="15"/>
        <v>343058</v>
      </c>
      <c r="AB45" s="17">
        <f t="shared" si="16"/>
        <v>301.26</v>
      </c>
      <c r="AC45" s="101"/>
      <c r="AD45" s="555">
        <f t="shared" si="27"/>
        <v>23811354</v>
      </c>
      <c r="AE45" s="632">
        <f t="shared" si="27"/>
        <v>4765.1000000000004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>
        <v>24637247</v>
      </c>
      <c r="F46" s="44">
        <v>4746.6400000000003</v>
      </c>
      <c r="G46" s="51"/>
      <c r="H46" s="52"/>
      <c r="I46" s="58">
        <v>3388502</v>
      </c>
      <c r="J46" s="17">
        <v>592.70000000000005</v>
      </c>
      <c r="K46" s="101"/>
      <c r="L46" s="35"/>
      <c r="M46" s="36"/>
      <c r="N46" s="43">
        <v>21562756</v>
      </c>
      <c r="O46" s="44">
        <v>3968.8</v>
      </c>
      <c r="P46" s="51"/>
      <c r="Q46" s="52"/>
      <c r="R46" s="58">
        <v>3006709</v>
      </c>
      <c r="S46" s="17">
        <v>308.27999999999997</v>
      </c>
      <c r="T46" s="101"/>
      <c r="U46" s="35"/>
      <c r="V46" s="36"/>
      <c r="W46" s="43">
        <f t="shared" si="13"/>
        <v>3074491</v>
      </c>
      <c r="X46" s="44">
        <f t="shared" si="14"/>
        <v>777.84000000000015</v>
      </c>
      <c r="Y46" s="51"/>
      <c r="Z46" s="52"/>
      <c r="AA46" s="58">
        <f t="shared" si="15"/>
        <v>381793</v>
      </c>
      <c r="AB46" s="17">
        <f t="shared" si="16"/>
        <v>284.42000000000007</v>
      </c>
      <c r="AC46" s="101"/>
      <c r="AD46" s="555">
        <f t="shared" si="27"/>
        <v>28025749</v>
      </c>
      <c r="AE46" s="632">
        <f t="shared" si="27"/>
        <v>5339.34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>
        <v>26011955</v>
      </c>
      <c r="F47" s="44">
        <v>4451.07</v>
      </c>
      <c r="G47" s="51"/>
      <c r="H47" s="52"/>
      <c r="I47" s="58">
        <v>3529403</v>
      </c>
      <c r="J47" s="17">
        <v>582.33000000000004</v>
      </c>
      <c r="K47" s="101"/>
      <c r="L47" s="35"/>
      <c r="M47" s="36"/>
      <c r="N47" s="43">
        <v>22971017</v>
      </c>
      <c r="O47" s="44">
        <v>3727.5</v>
      </c>
      <c r="P47" s="51"/>
      <c r="Q47" s="52"/>
      <c r="R47" s="58">
        <v>3089608</v>
      </c>
      <c r="S47" s="17">
        <v>311.32</v>
      </c>
      <c r="T47" s="101"/>
      <c r="U47" s="35"/>
      <c r="V47" s="36"/>
      <c r="W47" s="43">
        <f t="shared" si="13"/>
        <v>3040938</v>
      </c>
      <c r="X47" s="44">
        <f t="shared" si="14"/>
        <v>723.56999999999971</v>
      </c>
      <c r="Y47" s="51"/>
      <c r="Z47" s="52"/>
      <c r="AA47" s="58">
        <f t="shared" si="15"/>
        <v>439795</v>
      </c>
      <c r="AB47" s="17">
        <f t="shared" si="16"/>
        <v>271.01000000000005</v>
      </c>
      <c r="AC47" s="101"/>
      <c r="AD47" s="555">
        <f t="shared" si="27"/>
        <v>29541358</v>
      </c>
      <c r="AE47" s="632">
        <f t="shared" si="27"/>
        <v>5033.3999999999996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>
        <v>26028766</v>
      </c>
      <c r="F48" s="44">
        <v>4189.3599999999997</v>
      </c>
      <c r="G48" s="51"/>
      <c r="H48" s="52"/>
      <c r="I48" s="58">
        <v>3526131</v>
      </c>
      <c r="J48" s="17">
        <v>530.05999999999995</v>
      </c>
      <c r="K48" s="101"/>
      <c r="L48" s="35"/>
      <c r="M48" s="36"/>
      <c r="N48" s="43">
        <v>23159197</v>
      </c>
      <c r="O48" s="44">
        <v>3497.23</v>
      </c>
      <c r="P48" s="51"/>
      <c r="Q48" s="52"/>
      <c r="R48" s="58">
        <v>3112229</v>
      </c>
      <c r="S48" s="17">
        <v>270.98</v>
      </c>
      <c r="T48" s="101"/>
      <c r="U48" s="35"/>
      <c r="V48" s="36"/>
      <c r="W48" s="43">
        <f t="shared" si="13"/>
        <v>2869569</v>
      </c>
      <c r="X48" s="44">
        <f t="shared" si="14"/>
        <v>692.12999999999965</v>
      </c>
      <c r="Y48" s="51"/>
      <c r="Z48" s="52"/>
      <c r="AA48" s="58">
        <f t="shared" si="15"/>
        <v>413902</v>
      </c>
      <c r="AB48" s="17">
        <f t="shared" si="16"/>
        <v>259.07999999999993</v>
      </c>
      <c r="AC48" s="101"/>
      <c r="AD48" s="555">
        <f t="shared" si="27"/>
        <v>29554897</v>
      </c>
      <c r="AE48" s="632">
        <f t="shared" si="27"/>
        <v>4719.42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>
        <v>25890939</v>
      </c>
      <c r="F49" s="44">
        <v>4086.25</v>
      </c>
      <c r="G49" s="51"/>
      <c r="H49" s="52"/>
      <c r="I49" s="58">
        <v>3537158</v>
      </c>
      <c r="J49" s="17">
        <v>578.53</v>
      </c>
      <c r="K49" s="101"/>
      <c r="L49" s="35"/>
      <c r="M49" s="36"/>
      <c r="N49" s="43">
        <v>23103863</v>
      </c>
      <c r="O49" s="44">
        <v>3382.77</v>
      </c>
      <c r="P49" s="51"/>
      <c r="Q49" s="52"/>
      <c r="R49" s="58">
        <v>3187566</v>
      </c>
      <c r="S49" s="17">
        <v>304.81</v>
      </c>
      <c r="T49" s="101"/>
      <c r="U49" s="35"/>
      <c r="V49" s="36"/>
      <c r="W49" s="43">
        <f t="shared" si="13"/>
        <v>2787076</v>
      </c>
      <c r="X49" s="44">
        <f t="shared" si="14"/>
        <v>703.48</v>
      </c>
      <c r="Y49" s="51"/>
      <c r="Z49" s="52"/>
      <c r="AA49" s="58">
        <f t="shared" si="15"/>
        <v>349592</v>
      </c>
      <c r="AB49" s="17">
        <f t="shared" si="16"/>
        <v>273.71999999999997</v>
      </c>
      <c r="AC49" s="101"/>
      <c r="AD49" s="555">
        <f t="shared" si="27"/>
        <v>29428097</v>
      </c>
      <c r="AE49" s="632">
        <f t="shared" si="27"/>
        <v>4664.78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>
        <v>25724634</v>
      </c>
      <c r="F50" s="44">
        <v>4183.78</v>
      </c>
      <c r="G50" s="51"/>
      <c r="H50" s="52"/>
      <c r="I50" s="58">
        <v>3570462</v>
      </c>
      <c r="J50" s="17">
        <v>578.26</v>
      </c>
      <c r="K50" s="101"/>
      <c r="L50" s="35"/>
      <c r="M50" s="36"/>
      <c r="N50" s="43">
        <v>23045900</v>
      </c>
      <c r="O50" s="44">
        <v>3468.66</v>
      </c>
      <c r="P50" s="51"/>
      <c r="Q50" s="52"/>
      <c r="R50" s="58">
        <v>3234269</v>
      </c>
      <c r="S50" s="17">
        <v>305.52</v>
      </c>
      <c r="T50" s="101"/>
      <c r="U50" s="35"/>
      <c r="V50" s="36"/>
      <c r="W50" s="43">
        <f t="shared" si="13"/>
        <v>2678734</v>
      </c>
      <c r="X50" s="44">
        <f t="shared" si="14"/>
        <v>715.11999999999989</v>
      </c>
      <c r="Y50" s="51"/>
      <c r="Z50" s="52"/>
      <c r="AA50" s="58">
        <f t="shared" si="15"/>
        <v>336193</v>
      </c>
      <c r="AB50" s="17">
        <f t="shared" si="16"/>
        <v>272.74</v>
      </c>
      <c r="AC50" s="101"/>
      <c r="AD50" s="555">
        <f t="shared" si="27"/>
        <v>29295096</v>
      </c>
      <c r="AE50" s="632">
        <f t="shared" si="27"/>
        <v>4762.04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>
        <v>27203764</v>
      </c>
      <c r="F51" s="44">
        <v>4072.41</v>
      </c>
      <c r="G51" s="51"/>
      <c r="H51" s="52"/>
      <c r="I51" s="58">
        <v>3479087</v>
      </c>
      <c r="J51" s="17">
        <v>509.62</v>
      </c>
      <c r="K51" s="101"/>
      <c r="L51" s="35"/>
      <c r="M51" s="36"/>
      <c r="N51" s="43">
        <v>24494457</v>
      </c>
      <c r="O51" s="44">
        <v>3332.92</v>
      </c>
      <c r="P51" s="51"/>
      <c r="Q51" s="52"/>
      <c r="R51" s="58">
        <v>3149641</v>
      </c>
      <c r="S51" s="17">
        <v>253.75</v>
      </c>
      <c r="T51" s="101"/>
      <c r="U51" s="35"/>
      <c r="V51" s="36"/>
      <c r="W51" s="43">
        <f t="shared" si="13"/>
        <v>2709307</v>
      </c>
      <c r="X51" s="44">
        <f t="shared" si="14"/>
        <v>739.48999999999978</v>
      </c>
      <c r="Y51" s="51"/>
      <c r="Z51" s="52"/>
      <c r="AA51" s="58">
        <f t="shared" si="15"/>
        <v>329446</v>
      </c>
      <c r="AB51" s="17">
        <f t="shared" si="16"/>
        <v>255.87</v>
      </c>
      <c r="AC51" s="101"/>
      <c r="AD51" s="555">
        <f t="shared" si="27"/>
        <v>30682851</v>
      </c>
      <c r="AE51" s="632">
        <f t="shared" si="27"/>
        <v>4582.03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>
        <v>26173765</v>
      </c>
      <c r="F52" s="44">
        <v>3957.98</v>
      </c>
      <c r="G52" s="51"/>
      <c r="H52" s="52"/>
      <c r="I52" s="58">
        <v>3709356</v>
      </c>
      <c r="J52" s="17">
        <v>466.04</v>
      </c>
      <c r="K52" s="101"/>
      <c r="L52" s="35"/>
      <c r="M52" s="36"/>
      <c r="N52" s="43">
        <v>23321885</v>
      </c>
      <c r="O52" s="44">
        <v>3116.79</v>
      </c>
      <c r="P52" s="51"/>
      <c r="Q52" s="52"/>
      <c r="R52" s="58">
        <v>3369495</v>
      </c>
      <c r="S52" s="17">
        <v>221.61</v>
      </c>
      <c r="T52" s="101"/>
      <c r="U52" s="35"/>
      <c r="V52" s="36"/>
      <c r="W52" s="43">
        <f t="shared" si="13"/>
        <v>2851880</v>
      </c>
      <c r="X52" s="44">
        <f t="shared" si="14"/>
        <v>841.19</v>
      </c>
      <c r="Y52" s="51"/>
      <c r="Z52" s="52"/>
      <c r="AA52" s="58">
        <f t="shared" si="15"/>
        <v>339861</v>
      </c>
      <c r="AB52" s="17">
        <f t="shared" si="16"/>
        <v>244.43</v>
      </c>
      <c r="AC52" s="101"/>
      <c r="AD52" s="555">
        <f t="shared" si="27"/>
        <v>29883121</v>
      </c>
      <c r="AE52" s="632">
        <f t="shared" si="27"/>
        <v>4424.0200000000004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>
        <v>24115101</v>
      </c>
      <c r="F53" s="44">
        <v>3549.56</v>
      </c>
      <c r="G53" s="51"/>
      <c r="H53" s="52"/>
      <c r="I53" s="58">
        <v>3838515</v>
      </c>
      <c r="J53" s="17">
        <v>454.81</v>
      </c>
      <c r="K53" s="101"/>
      <c r="L53" s="35"/>
      <c r="M53" s="36"/>
      <c r="N53" s="43">
        <v>21214861</v>
      </c>
      <c r="O53" s="44">
        <v>2684.06</v>
      </c>
      <c r="P53" s="51"/>
      <c r="Q53" s="52"/>
      <c r="R53" s="58">
        <v>3381288</v>
      </c>
      <c r="S53" s="17">
        <v>210.41</v>
      </c>
      <c r="T53" s="101"/>
      <c r="U53" s="35"/>
      <c r="V53" s="36"/>
      <c r="W53" s="43">
        <f t="shared" si="13"/>
        <v>2900240</v>
      </c>
      <c r="X53" s="44">
        <f t="shared" si="14"/>
        <v>865.5</v>
      </c>
      <c r="Y53" s="51"/>
      <c r="Z53" s="52"/>
      <c r="AA53" s="58">
        <f t="shared" si="15"/>
        <v>457227</v>
      </c>
      <c r="AB53" s="17">
        <f t="shared" si="16"/>
        <v>244.4</v>
      </c>
      <c r="AC53" s="101"/>
      <c r="AD53" s="555">
        <f t="shared" si="27"/>
        <v>27953616</v>
      </c>
      <c r="AE53" s="632">
        <f t="shared" si="27"/>
        <v>4004.37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>
        <v>23747774</v>
      </c>
      <c r="F54" s="44">
        <v>3348.57</v>
      </c>
      <c r="G54" s="51"/>
      <c r="H54" s="52"/>
      <c r="I54" s="58">
        <v>3992201</v>
      </c>
      <c r="J54" s="17">
        <v>437.36</v>
      </c>
      <c r="K54" s="101"/>
      <c r="L54" s="35"/>
      <c r="M54" s="36"/>
      <c r="N54" s="43">
        <v>20629130</v>
      </c>
      <c r="O54" s="44">
        <v>2449.92</v>
      </c>
      <c r="P54" s="51"/>
      <c r="Q54" s="52"/>
      <c r="R54" s="58">
        <v>3348879</v>
      </c>
      <c r="S54" s="17">
        <v>196.09</v>
      </c>
      <c r="T54" s="101"/>
      <c r="U54" s="35"/>
      <c r="V54" s="36"/>
      <c r="W54" s="43">
        <f t="shared" si="13"/>
        <v>3118644</v>
      </c>
      <c r="X54" s="44">
        <f t="shared" si="14"/>
        <v>898.65000000000009</v>
      </c>
      <c r="Y54" s="51"/>
      <c r="Z54" s="52"/>
      <c r="AA54" s="58">
        <f t="shared" si="15"/>
        <v>643322</v>
      </c>
      <c r="AB54" s="17">
        <f t="shared" si="16"/>
        <v>241.27</v>
      </c>
      <c r="AC54" s="101"/>
      <c r="AD54" s="555">
        <f t="shared" si="27"/>
        <v>27739975</v>
      </c>
      <c r="AE54" s="632">
        <f t="shared" si="27"/>
        <v>3785.9300000000003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>
        <v>24548386</v>
      </c>
      <c r="F55" s="44">
        <v>3437.21</v>
      </c>
      <c r="G55" s="51"/>
      <c r="H55" s="52"/>
      <c r="I55" s="58">
        <v>3882400</v>
      </c>
      <c r="J55" s="17">
        <v>419.33</v>
      </c>
      <c r="K55" s="101"/>
      <c r="L55" s="35"/>
      <c r="M55" s="36"/>
      <c r="N55" s="43">
        <v>21599099</v>
      </c>
      <c r="O55" s="44">
        <v>2564.04</v>
      </c>
      <c r="P55" s="51"/>
      <c r="Q55" s="52"/>
      <c r="R55" s="58">
        <v>3253953</v>
      </c>
      <c r="S55" s="17">
        <v>184.48</v>
      </c>
      <c r="T55" s="101"/>
      <c r="U55" s="35"/>
      <c r="V55" s="36"/>
      <c r="W55" s="43">
        <f t="shared" si="13"/>
        <v>2949287</v>
      </c>
      <c r="X55" s="44">
        <f t="shared" si="14"/>
        <v>873.17000000000007</v>
      </c>
      <c r="Y55" s="51"/>
      <c r="Z55" s="52"/>
      <c r="AA55" s="58">
        <f t="shared" si="15"/>
        <v>628447</v>
      </c>
      <c r="AB55" s="17">
        <f t="shared" si="16"/>
        <v>234.85</v>
      </c>
      <c r="AC55" s="101"/>
      <c r="AD55" s="555">
        <f t="shared" si="27"/>
        <v>28430786</v>
      </c>
      <c r="AE55" s="632">
        <f t="shared" si="27"/>
        <v>3856.54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>
        <v>24816742</v>
      </c>
      <c r="F56" s="44">
        <v>3730.65</v>
      </c>
      <c r="G56" s="51"/>
      <c r="H56" s="52"/>
      <c r="I56" s="58">
        <v>3893590</v>
      </c>
      <c r="J56" s="17">
        <v>450.05</v>
      </c>
      <c r="K56" s="101"/>
      <c r="L56" s="35"/>
      <c r="M56" s="36"/>
      <c r="N56" s="43">
        <v>22096301</v>
      </c>
      <c r="O56" s="44">
        <v>2907.47</v>
      </c>
      <c r="P56" s="51"/>
      <c r="Q56" s="52"/>
      <c r="R56" s="58">
        <v>3296104</v>
      </c>
      <c r="S56" s="17">
        <v>208.48</v>
      </c>
      <c r="T56" s="101"/>
      <c r="U56" s="35"/>
      <c r="V56" s="36"/>
      <c r="W56" s="43">
        <f t="shared" si="13"/>
        <v>2720441</v>
      </c>
      <c r="X56" s="44">
        <f t="shared" si="14"/>
        <v>823.18000000000029</v>
      </c>
      <c r="Y56" s="51"/>
      <c r="Z56" s="52"/>
      <c r="AA56" s="58">
        <f t="shared" si="15"/>
        <v>597486</v>
      </c>
      <c r="AB56" s="17">
        <f t="shared" si="16"/>
        <v>241.57000000000002</v>
      </c>
      <c r="AC56" s="101"/>
      <c r="AD56" s="555">
        <f t="shared" si="27"/>
        <v>28710332</v>
      </c>
      <c r="AE56" s="632">
        <f t="shared" si="27"/>
        <v>4180.7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>
        <v>23345150</v>
      </c>
      <c r="F57" s="44">
        <v>3669.36</v>
      </c>
      <c r="G57" s="51"/>
      <c r="H57" s="52"/>
      <c r="I57" s="58">
        <v>3769512</v>
      </c>
      <c r="J57" s="17">
        <v>498.38</v>
      </c>
      <c r="K57" s="101"/>
      <c r="L57" s="35"/>
      <c r="M57" s="36"/>
      <c r="N57" s="43">
        <v>20422534</v>
      </c>
      <c r="O57" s="44">
        <v>2731.15</v>
      </c>
      <c r="P57" s="51"/>
      <c r="Q57" s="52"/>
      <c r="R57" s="58">
        <v>3083288</v>
      </c>
      <c r="S57" s="17">
        <v>228.26</v>
      </c>
      <c r="T57" s="101"/>
      <c r="U57" s="35"/>
      <c r="V57" s="36"/>
      <c r="W57" s="43">
        <f t="shared" si="13"/>
        <v>2922616</v>
      </c>
      <c r="X57" s="44">
        <f t="shared" si="14"/>
        <v>938.21</v>
      </c>
      <c r="Y57" s="51"/>
      <c r="Z57" s="52"/>
      <c r="AA57" s="58">
        <f t="shared" si="15"/>
        <v>686224</v>
      </c>
      <c r="AB57" s="17">
        <f t="shared" si="16"/>
        <v>270.12</v>
      </c>
      <c r="AC57" s="101"/>
      <c r="AD57" s="555">
        <f t="shared" si="27"/>
        <v>27114662</v>
      </c>
      <c r="AE57" s="632">
        <f t="shared" si="27"/>
        <v>4167.74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>
        <v>22786938</v>
      </c>
      <c r="F58" s="44">
        <v>3628.59</v>
      </c>
      <c r="G58" s="51"/>
      <c r="H58" s="52"/>
      <c r="I58" s="58">
        <v>3649847</v>
      </c>
      <c r="J58" s="17">
        <v>510.63</v>
      </c>
      <c r="K58" s="101"/>
      <c r="L58" s="35"/>
      <c r="M58" s="36"/>
      <c r="N58" s="43">
        <v>19885580</v>
      </c>
      <c r="O58" s="44">
        <v>2630.87</v>
      </c>
      <c r="P58" s="51"/>
      <c r="Q58" s="52"/>
      <c r="R58" s="58">
        <v>3029280</v>
      </c>
      <c r="S58" s="17">
        <v>227.06</v>
      </c>
      <c r="T58" s="101"/>
      <c r="U58" s="35"/>
      <c r="V58" s="36"/>
      <c r="W58" s="43">
        <f t="shared" si="13"/>
        <v>2901358</v>
      </c>
      <c r="X58" s="44">
        <f t="shared" si="14"/>
        <v>997.72000000000025</v>
      </c>
      <c r="Y58" s="51"/>
      <c r="Z58" s="52"/>
      <c r="AA58" s="58">
        <f t="shared" si="15"/>
        <v>620567</v>
      </c>
      <c r="AB58" s="17">
        <f t="shared" si="16"/>
        <v>283.57</v>
      </c>
      <c r="AC58" s="101"/>
      <c r="AD58" s="555">
        <f t="shared" si="27"/>
        <v>26436785</v>
      </c>
      <c r="AE58" s="632">
        <f t="shared" si="27"/>
        <v>4139.22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>
        <v>23271442</v>
      </c>
      <c r="F59" s="44">
        <v>3882.98</v>
      </c>
      <c r="G59" s="51"/>
      <c r="H59" s="52"/>
      <c r="I59" s="58">
        <v>3731478</v>
      </c>
      <c r="J59" s="17">
        <v>538.05999999999995</v>
      </c>
      <c r="K59" s="101"/>
      <c r="L59" s="35"/>
      <c r="M59" s="36"/>
      <c r="N59" s="43">
        <v>20095571</v>
      </c>
      <c r="O59" s="44">
        <v>2807.82</v>
      </c>
      <c r="P59" s="51"/>
      <c r="Q59" s="52"/>
      <c r="R59" s="58">
        <v>3098611</v>
      </c>
      <c r="S59" s="17">
        <v>241.26</v>
      </c>
      <c r="T59" s="101"/>
      <c r="U59" s="35"/>
      <c r="V59" s="36"/>
      <c r="W59" s="43">
        <f t="shared" si="13"/>
        <v>3175871</v>
      </c>
      <c r="X59" s="44">
        <f t="shared" si="14"/>
        <v>1075.1599999999999</v>
      </c>
      <c r="Y59" s="51"/>
      <c r="Z59" s="52"/>
      <c r="AA59" s="58">
        <f t="shared" si="15"/>
        <v>632867</v>
      </c>
      <c r="AB59" s="17">
        <f t="shared" si="16"/>
        <v>296.79999999999995</v>
      </c>
      <c r="AC59" s="101"/>
      <c r="AD59" s="555">
        <f t="shared" si="27"/>
        <v>27002920</v>
      </c>
      <c r="AE59" s="632">
        <f t="shared" si="27"/>
        <v>4421.04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>
        <v>25476885</v>
      </c>
      <c r="F60" s="44">
        <v>4549.47</v>
      </c>
      <c r="G60" s="51"/>
      <c r="H60" s="52"/>
      <c r="I60" s="58">
        <v>3958145</v>
      </c>
      <c r="J60" s="17">
        <v>618.55999999999995</v>
      </c>
      <c r="K60" s="101"/>
      <c r="L60" s="35"/>
      <c r="M60" s="36"/>
      <c r="N60" s="43">
        <v>22574740</v>
      </c>
      <c r="O60" s="44">
        <v>3515.76</v>
      </c>
      <c r="P60" s="51"/>
      <c r="Q60" s="52"/>
      <c r="R60" s="58">
        <v>3187335</v>
      </c>
      <c r="S60" s="17">
        <v>267.85000000000002</v>
      </c>
      <c r="T60" s="101"/>
      <c r="U60" s="35"/>
      <c r="V60" s="36"/>
      <c r="W60" s="43">
        <f t="shared" si="13"/>
        <v>2902145</v>
      </c>
      <c r="X60" s="44">
        <f t="shared" si="14"/>
        <v>1033.71</v>
      </c>
      <c r="Y60" s="51"/>
      <c r="Z60" s="52"/>
      <c r="AA60" s="58">
        <f t="shared" si="15"/>
        <v>770810</v>
      </c>
      <c r="AB60" s="17">
        <f t="shared" si="16"/>
        <v>350.70999999999992</v>
      </c>
      <c r="AC60" s="101"/>
      <c r="AD60" s="555">
        <f t="shared" si="27"/>
        <v>29435030</v>
      </c>
      <c r="AE60" s="632">
        <f t="shared" si="27"/>
        <v>5168.0300000000007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>
        <v>26289537</v>
      </c>
      <c r="F61" s="44">
        <v>4342.49</v>
      </c>
      <c r="G61" s="51"/>
      <c r="H61" s="52"/>
      <c r="I61" s="58">
        <v>4798742</v>
      </c>
      <c r="J61" s="17">
        <v>630.29999999999995</v>
      </c>
      <c r="K61" s="101"/>
      <c r="L61" s="35"/>
      <c r="M61" s="36"/>
      <c r="N61" s="43">
        <v>23140514</v>
      </c>
      <c r="O61" s="44">
        <v>3313.36</v>
      </c>
      <c r="P61" s="51"/>
      <c r="Q61" s="52"/>
      <c r="R61" s="58">
        <v>3324850</v>
      </c>
      <c r="S61" s="17">
        <v>276.45999999999998</v>
      </c>
      <c r="T61" s="101"/>
      <c r="U61" s="35"/>
      <c r="V61" s="36"/>
      <c r="W61" s="43">
        <f t="shared" si="13"/>
        <v>3149023</v>
      </c>
      <c r="X61" s="44">
        <f t="shared" si="14"/>
        <v>1029.1299999999997</v>
      </c>
      <c r="Y61" s="51"/>
      <c r="Z61" s="52"/>
      <c r="AA61" s="58">
        <f t="shared" si="15"/>
        <v>1473892</v>
      </c>
      <c r="AB61" s="17">
        <f t="shared" si="16"/>
        <v>353.84</v>
      </c>
      <c r="AC61" s="101"/>
      <c r="AD61" s="555">
        <f t="shared" si="27"/>
        <v>31088279</v>
      </c>
      <c r="AE61" s="632">
        <f t="shared" si="27"/>
        <v>4972.79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>
        <v>19615984</v>
      </c>
      <c r="F62" s="44">
        <v>3447.39</v>
      </c>
      <c r="G62" s="51"/>
      <c r="H62" s="52"/>
      <c r="I62" s="58">
        <v>3353964</v>
      </c>
      <c r="J62" s="17">
        <v>685.66</v>
      </c>
      <c r="K62" s="101"/>
      <c r="L62" s="35"/>
      <c r="M62" s="36"/>
      <c r="N62" s="43">
        <v>16737044</v>
      </c>
      <c r="O62" s="44">
        <v>2532.42</v>
      </c>
      <c r="P62" s="51"/>
      <c r="Q62" s="52"/>
      <c r="R62" s="58">
        <v>2804006</v>
      </c>
      <c r="S62" s="17">
        <v>264.56</v>
      </c>
      <c r="T62" s="101"/>
      <c r="U62" s="35"/>
      <c r="V62" s="36"/>
      <c r="W62" s="43">
        <f t="shared" si="13"/>
        <v>2878940</v>
      </c>
      <c r="X62" s="44">
        <f t="shared" si="14"/>
        <v>914.9699999999998</v>
      </c>
      <c r="Y62" s="51"/>
      <c r="Z62" s="52"/>
      <c r="AA62" s="58">
        <f t="shared" si="15"/>
        <v>549958</v>
      </c>
      <c r="AB62" s="17">
        <f t="shared" si="16"/>
        <v>421.09999999999997</v>
      </c>
      <c r="AC62" s="101"/>
      <c r="AD62" s="555">
        <f t="shared" si="27"/>
        <v>22969948</v>
      </c>
      <c r="AE62" s="632">
        <f t="shared" si="27"/>
        <v>4133.05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>
        <v>18830912</v>
      </c>
      <c r="F63" s="44">
        <v>3840.82</v>
      </c>
      <c r="G63" s="51"/>
      <c r="H63" s="52"/>
      <c r="I63" s="58">
        <v>3226795</v>
      </c>
      <c r="J63" s="17">
        <v>668.38</v>
      </c>
      <c r="K63" s="101"/>
      <c r="L63" s="35"/>
      <c r="M63" s="36"/>
      <c r="N63" s="43">
        <v>15830316</v>
      </c>
      <c r="O63" s="44">
        <v>2869.35</v>
      </c>
      <c r="P63" s="51"/>
      <c r="Q63" s="52"/>
      <c r="R63" s="58">
        <v>2926921</v>
      </c>
      <c r="S63" s="17">
        <v>300.82</v>
      </c>
      <c r="T63" s="101"/>
      <c r="U63" s="35"/>
      <c r="V63" s="36"/>
      <c r="W63" s="43">
        <f t="shared" si="13"/>
        <v>3000596</v>
      </c>
      <c r="X63" s="44">
        <f t="shared" si="14"/>
        <v>971.47000000000025</v>
      </c>
      <c r="Y63" s="51"/>
      <c r="Z63" s="52"/>
      <c r="AA63" s="58">
        <f t="shared" si="15"/>
        <v>299874</v>
      </c>
      <c r="AB63" s="17">
        <f t="shared" si="16"/>
        <v>367.56</v>
      </c>
      <c r="AC63" s="101"/>
      <c r="AD63" s="555">
        <f t="shared" si="27"/>
        <v>22057707</v>
      </c>
      <c r="AE63" s="632">
        <f t="shared" si="27"/>
        <v>4509.2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>
        <v>18793870</v>
      </c>
      <c r="F64" s="44">
        <v>3920.31</v>
      </c>
      <c r="G64" s="51"/>
      <c r="H64" s="52"/>
      <c r="I64" s="58">
        <v>3173562</v>
      </c>
      <c r="J64" s="17">
        <v>682.01</v>
      </c>
      <c r="K64" s="101"/>
      <c r="L64" s="35"/>
      <c r="M64" s="36"/>
      <c r="N64" s="43">
        <v>16007815</v>
      </c>
      <c r="O64" s="44">
        <v>3002.16</v>
      </c>
      <c r="P64" s="51"/>
      <c r="Q64" s="52"/>
      <c r="R64" s="58">
        <v>2960606</v>
      </c>
      <c r="S64" s="17">
        <v>294.33</v>
      </c>
      <c r="T64" s="101"/>
      <c r="U64" s="35"/>
      <c r="V64" s="36"/>
      <c r="W64" s="43">
        <f t="shared" si="13"/>
        <v>2786055</v>
      </c>
      <c r="X64" s="44">
        <f t="shared" si="14"/>
        <v>918.15000000000009</v>
      </c>
      <c r="Y64" s="51"/>
      <c r="Z64" s="52"/>
      <c r="AA64" s="58">
        <f t="shared" si="15"/>
        <v>212956</v>
      </c>
      <c r="AB64" s="17">
        <f t="shared" si="16"/>
        <v>387.68</v>
      </c>
      <c r="AC64" s="101"/>
      <c r="AD64" s="555">
        <f t="shared" si="27"/>
        <v>21967432</v>
      </c>
      <c r="AE64" s="632">
        <f t="shared" si="27"/>
        <v>4602.32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>
        <v>18783688</v>
      </c>
      <c r="F65" s="44">
        <v>3654.06</v>
      </c>
      <c r="G65" s="51"/>
      <c r="H65" s="52"/>
      <c r="I65" s="58">
        <v>3271592</v>
      </c>
      <c r="J65" s="17">
        <v>664.5</v>
      </c>
      <c r="K65" s="101"/>
      <c r="L65" s="35"/>
      <c r="M65" s="36"/>
      <c r="N65" s="43">
        <v>16083689</v>
      </c>
      <c r="O65" s="44">
        <v>2799.17</v>
      </c>
      <c r="P65" s="51"/>
      <c r="Q65" s="52"/>
      <c r="R65" s="58">
        <v>3048426</v>
      </c>
      <c r="S65" s="17">
        <v>287.22000000000003</v>
      </c>
      <c r="T65" s="101"/>
      <c r="U65" s="35"/>
      <c r="V65" s="36"/>
      <c r="W65" s="43">
        <f t="shared" si="13"/>
        <v>2699999</v>
      </c>
      <c r="X65" s="44">
        <f t="shared" si="14"/>
        <v>854.88999999999987</v>
      </c>
      <c r="Y65" s="51"/>
      <c r="Z65" s="52"/>
      <c r="AA65" s="58">
        <f t="shared" si="15"/>
        <v>223166</v>
      </c>
      <c r="AB65" s="17">
        <f t="shared" si="16"/>
        <v>377.28</v>
      </c>
      <c r="AC65" s="101"/>
      <c r="AD65" s="555">
        <f t="shared" si="27"/>
        <v>22055280</v>
      </c>
      <c r="AE65" s="632">
        <f t="shared" si="27"/>
        <v>4318.5599999999995</v>
      </c>
    </row>
    <row r="66" spans="1:31" collapsed="1">
      <c r="A66" s="104"/>
      <c r="B66" s="104" t="s">
        <v>14</v>
      </c>
      <c r="C66" s="105"/>
      <c r="D66" s="106"/>
      <c r="E66" s="107">
        <f t="shared" ref="E66:AB66" si="28">SUBTOTAL(9,E67:E97)</f>
        <v>663392460</v>
      </c>
      <c r="F66" s="108">
        <f t="shared" si="28"/>
        <v>168146.83</v>
      </c>
      <c r="G66" s="109"/>
      <c r="H66" s="110"/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>
        <f t="shared" si="28"/>
        <v>551862891</v>
      </c>
      <c r="O66" s="108">
        <f t="shared" si="28"/>
        <v>125455.74999999999</v>
      </c>
      <c r="P66" s="109"/>
      <c r="Q66" s="110"/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>
        <f t="shared" si="28"/>
        <v>111529569</v>
      </c>
      <c r="X66" s="108">
        <f t="shared" si="28"/>
        <v>42691.080000000009</v>
      </c>
      <c r="Y66" s="109"/>
      <c r="Z66" s="110"/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>
        <v>18691536</v>
      </c>
      <c r="F67" s="44">
        <v>3693.11</v>
      </c>
      <c r="G67" s="51"/>
      <c r="H67" s="52"/>
      <c r="I67" s="58">
        <v>3499236</v>
      </c>
      <c r="J67" s="17">
        <v>603.34</v>
      </c>
      <c r="K67" s="101"/>
      <c r="L67" s="35"/>
      <c r="M67" s="36"/>
      <c r="N67" s="43">
        <v>16363389</v>
      </c>
      <c r="O67" s="44">
        <v>2985.26</v>
      </c>
      <c r="P67" s="51"/>
      <c r="Q67" s="52"/>
      <c r="R67" s="58">
        <v>3276309</v>
      </c>
      <c r="S67" s="17">
        <v>264.91000000000003</v>
      </c>
      <c r="T67" s="101"/>
      <c r="U67" s="35"/>
      <c r="V67" s="36"/>
      <c r="W67" s="43">
        <f t="shared" si="13"/>
        <v>2328147</v>
      </c>
      <c r="X67" s="44">
        <f t="shared" si="14"/>
        <v>707.84999999999991</v>
      </c>
      <c r="Y67" s="51"/>
      <c r="Z67" s="52"/>
      <c r="AA67" s="58">
        <f t="shared" si="15"/>
        <v>222927</v>
      </c>
      <c r="AB67" s="17">
        <f t="shared" si="16"/>
        <v>338.43</v>
      </c>
      <c r="AC67" s="101"/>
      <c r="AD67" s="555">
        <f t="shared" ref="AD67:AE92" si="29">SUM(C67,E67,G67,I67)</f>
        <v>22190772</v>
      </c>
      <c r="AE67" s="632">
        <f t="shared" si="29"/>
        <v>4296.45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>
        <v>23543407</v>
      </c>
      <c r="F68" s="44">
        <v>4550.63</v>
      </c>
      <c r="G68" s="51"/>
      <c r="H68" s="52"/>
      <c r="I68" s="58">
        <v>4198612</v>
      </c>
      <c r="J68" s="17">
        <v>714.29</v>
      </c>
      <c r="K68" s="101"/>
      <c r="L68" s="35"/>
      <c r="M68" s="36"/>
      <c r="N68" s="43">
        <v>21121345</v>
      </c>
      <c r="O68" s="44">
        <v>3806.27</v>
      </c>
      <c r="P68" s="51"/>
      <c r="Q68" s="52"/>
      <c r="R68" s="58">
        <v>3906638</v>
      </c>
      <c r="S68" s="17">
        <v>321.98</v>
      </c>
      <c r="T68" s="101"/>
      <c r="U68" s="35"/>
      <c r="V68" s="36"/>
      <c r="W68" s="43">
        <f t="shared" si="13"/>
        <v>2422062</v>
      </c>
      <c r="X68" s="44">
        <f t="shared" si="14"/>
        <v>744.36000000000013</v>
      </c>
      <c r="Y68" s="51"/>
      <c r="Z68" s="52"/>
      <c r="AA68" s="58">
        <f t="shared" si="15"/>
        <v>291974</v>
      </c>
      <c r="AB68" s="17">
        <f t="shared" si="16"/>
        <v>392.30999999999995</v>
      </c>
      <c r="AC68" s="101"/>
      <c r="AD68" s="555">
        <f t="shared" si="29"/>
        <v>27742019</v>
      </c>
      <c r="AE68" s="632">
        <f t="shared" si="29"/>
        <v>5264.92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>
        <v>24741991</v>
      </c>
      <c r="F69" s="44">
        <v>4348.26</v>
      </c>
      <c r="G69" s="51"/>
      <c r="H69" s="52"/>
      <c r="I69" s="58">
        <v>3940197</v>
      </c>
      <c r="J69" s="17">
        <v>648.26</v>
      </c>
      <c r="K69" s="101"/>
      <c r="L69" s="35"/>
      <c r="M69" s="36"/>
      <c r="N69" s="43">
        <v>22263745</v>
      </c>
      <c r="O69" s="44">
        <v>3595.12</v>
      </c>
      <c r="P69" s="51"/>
      <c r="Q69" s="52"/>
      <c r="R69" s="58">
        <v>3652654</v>
      </c>
      <c r="S69" s="17">
        <v>288.14999999999998</v>
      </c>
      <c r="T69" s="101"/>
      <c r="U69" s="35"/>
      <c r="V69" s="36"/>
      <c r="W69" s="43">
        <f t="shared" si="13"/>
        <v>2478246</v>
      </c>
      <c r="X69" s="44">
        <f t="shared" si="14"/>
        <v>753.14000000000033</v>
      </c>
      <c r="Y69" s="51"/>
      <c r="Z69" s="52"/>
      <c r="AA69" s="58">
        <f t="shared" si="15"/>
        <v>287543</v>
      </c>
      <c r="AB69" s="17">
        <f t="shared" si="16"/>
        <v>360.11</v>
      </c>
      <c r="AC69" s="101"/>
      <c r="AD69" s="555">
        <f t="shared" si="29"/>
        <v>28682188</v>
      </c>
      <c r="AE69" s="632">
        <f t="shared" si="29"/>
        <v>4996.5200000000004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>
        <v>18856076</v>
      </c>
      <c r="F70" s="44">
        <v>3402.25</v>
      </c>
      <c r="G70" s="51"/>
      <c r="H70" s="52"/>
      <c r="I70" s="58">
        <v>3295117</v>
      </c>
      <c r="J70" s="17">
        <v>631.88</v>
      </c>
      <c r="K70" s="101"/>
      <c r="L70" s="35"/>
      <c r="M70" s="36"/>
      <c r="N70" s="43">
        <v>16482390</v>
      </c>
      <c r="O70" s="44">
        <v>2653.72</v>
      </c>
      <c r="P70" s="51"/>
      <c r="Q70" s="52"/>
      <c r="R70" s="58">
        <v>3044396</v>
      </c>
      <c r="S70" s="17">
        <v>281.29000000000002</v>
      </c>
      <c r="T70" s="101"/>
      <c r="U70" s="35"/>
      <c r="V70" s="36"/>
      <c r="W70" s="43">
        <f t="shared" si="13"/>
        <v>2373686</v>
      </c>
      <c r="X70" s="44">
        <f t="shared" si="14"/>
        <v>748.5300000000002</v>
      </c>
      <c r="Y70" s="51"/>
      <c r="Z70" s="52"/>
      <c r="AA70" s="58">
        <f t="shared" si="15"/>
        <v>250721</v>
      </c>
      <c r="AB70" s="17">
        <f t="shared" si="16"/>
        <v>350.59</v>
      </c>
      <c r="AC70" s="101"/>
      <c r="AD70" s="555">
        <f t="shared" si="29"/>
        <v>22151193</v>
      </c>
      <c r="AE70" s="632">
        <f t="shared" si="29"/>
        <v>4034.13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>
        <v>18003210</v>
      </c>
      <c r="F71" s="44">
        <v>3471.4</v>
      </c>
      <c r="G71" s="51"/>
      <c r="H71" s="52"/>
      <c r="I71" s="58">
        <v>3247116</v>
      </c>
      <c r="J71" s="17">
        <v>673.1</v>
      </c>
      <c r="K71" s="101"/>
      <c r="L71" s="35"/>
      <c r="M71" s="36"/>
      <c r="N71" s="43">
        <v>15980030</v>
      </c>
      <c r="O71" s="44">
        <v>2788.74</v>
      </c>
      <c r="P71" s="51"/>
      <c r="Q71" s="52"/>
      <c r="R71" s="58">
        <v>3023033</v>
      </c>
      <c r="S71" s="17">
        <v>302.45999999999998</v>
      </c>
      <c r="T71" s="101"/>
      <c r="U71" s="35"/>
      <c r="V71" s="36"/>
      <c r="W71" s="43">
        <f t="shared" si="13"/>
        <v>2023180</v>
      </c>
      <c r="X71" s="44">
        <f t="shared" si="14"/>
        <v>682.66000000000031</v>
      </c>
      <c r="Y71" s="51"/>
      <c r="Z71" s="52"/>
      <c r="AA71" s="58">
        <f t="shared" si="15"/>
        <v>224083</v>
      </c>
      <c r="AB71" s="17">
        <f t="shared" si="16"/>
        <v>370.64000000000004</v>
      </c>
      <c r="AC71" s="101"/>
      <c r="AD71" s="555">
        <f t="shared" si="29"/>
        <v>21250326</v>
      </c>
      <c r="AE71" s="632">
        <f t="shared" si="29"/>
        <v>4144.5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>
        <v>18046316</v>
      </c>
      <c r="F72" s="44">
        <v>3801.05</v>
      </c>
      <c r="G72" s="51"/>
      <c r="H72" s="52"/>
      <c r="I72" s="58">
        <v>3222160</v>
      </c>
      <c r="J72" s="17">
        <v>774.03</v>
      </c>
      <c r="K72" s="101"/>
      <c r="L72" s="35"/>
      <c r="M72" s="36"/>
      <c r="N72" s="43">
        <v>15990582</v>
      </c>
      <c r="O72" s="44">
        <v>3128.07</v>
      </c>
      <c r="P72" s="51"/>
      <c r="Q72" s="52"/>
      <c r="R72" s="58">
        <v>3001179</v>
      </c>
      <c r="S72" s="17">
        <v>384.39</v>
      </c>
      <c r="T72" s="101"/>
      <c r="U72" s="35"/>
      <c r="V72" s="36"/>
      <c r="W72" s="43">
        <f t="shared" si="13"/>
        <v>2055734</v>
      </c>
      <c r="X72" s="44">
        <f t="shared" si="14"/>
        <v>672.98</v>
      </c>
      <c r="Y72" s="51"/>
      <c r="Z72" s="52"/>
      <c r="AA72" s="58">
        <f t="shared" si="15"/>
        <v>220981</v>
      </c>
      <c r="AB72" s="17">
        <f t="shared" si="16"/>
        <v>389.64</v>
      </c>
      <c r="AC72" s="101"/>
      <c r="AD72" s="555">
        <f t="shared" si="29"/>
        <v>21268476</v>
      </c>
      <c r="AE72" s="632">
        <f t="shared" si="29"/>
        <v>4575.08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>
        <v>19242301</v>
      </c>
      <c r="F73" s="44">
        <v>3825.76</v>
      </c>
      <c r="G73" s="51"/>
      <c r="H73" s="52"/>
      <c r="I73" s="58">
        <v>4376526</v>
      </c>
      <c r="J73" s="17">
        <v>848.17</v>
      </c>
      <c r="K73" s="101"/>
      <c r="L73" s="35"/>
      <c r="M73" s="36"/>
      <c r="N73" s="43">
        <v>17049277</v>
      </c>
      <c r="O73" s="44">
        <v>3128.12</v>
      </c>
      <c r="P73" s="51"/>
      <c r="Q73" s="52"/>
      <c r="R73" s="58">
        <v>4116126</v>
      </c>
      <c r="S73" s="17">
        <v>396.28</v>
      </c>
      <c r="T73" s="101"/>
      <c r="U73" s="35"/>
      <c r="V73" s="36"/>
      <c r="W73" s="43">
        <f t="shared" ref="W73:W138" si="30">E73-N73</f>
        <v>2193024</v>
      </c>
      <c r="X73" s="44">
        <f t="shared" ref="X73:X138" si="31">F73-O73</f>
        <v>697.64000000000033</v>
      </c>
      <c r="Y73" s="51"/>
      <c r="Z73" s="52"/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555">
        <f t="shared" si="29"/>
        <v>23618827</v>
      </c>
      <c r="AE73" s="632">
        <f t="shared" si="29"/>
        <v>4673.93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>
        <v>18352319</v>
      </c>
      <c r="F74" s="44">
        <v>3609.8</v>
      </c>
      <c r="G74" s="51"/>
      <c r="H74" s="52"/>
      <c r="I74" s="58">
        <v>4480461</v>
      </c>
      <c r="J74" s="17">
        <v>859.92</v>
      </c>
      <c r="K74" s="101"/>
      <c r="L74" s="35"/>
      <c r="M74" s="36"/>
      <c r="N74" s="43">
        <v>16297580</v>
      </c>
      <c r="O74" s="44">
        <v>2888.93</v>
      </c>
      <c r="P74" s="51"/>
      <c r="Q74" s="52"/>
      <c r="R74" s="58">
        <v>4212545</v>
      </c>
      <c r="S74" s="17">
        <v>372.94</v>
      </c>
      <c r="T74" s="101"/>
      <c r="U74" s="35"/>
      <c r="V74" s="36"/>
      <c r="W74" s="43">
        <f t="shared" si="30"/>
        <v>2054739</v>
      </c>
      <c r="X74" s="44">
        <f t="shared" si="31"/>
        <v>720.87000000000035</v>
      </c>
      <c r="Y74" s="51"/>
      <c r="Z74" s="52"/>
      <c r="AA74" s="58">
        <f t="shared" si="32"/>
        <v>267916</v>
      </c>
      <c r="AB74" s="17">
        <f t="shared" si="33"/>
        <v>486.97999999999996</v>
      </c>
      <c r="AC74" s="101"/>
      <c r="AD74" s="555">
        <f t="shared" si="29"/>
        <v>22832780</v>
      </c>
      <c r="AE74" s="632">
        <f t="shared" si="29"/>
        <v>4469.72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>
        <v>22676849</v>
      </c>
      <c r="F75" s="44">
        <v>4323</v>
      </c>
      <c r="G75" s="51"/>
      <c r="H75" s="52"/>
      <c r="I75" s="58">
        <v>4527988</v>
      </c>
      <c r="J75" s="17">
        <v>843.42</v>
      </c>
      <c r="K75" s="101"/>
      <c r="L75" s="35"/>
      <c r="M75" s="36"/>
      <c r="N75" s="43">
        <v>20602254</v>
      </c>
      <c r="O75" s="44">
        <v>3652.27</v>
      </c>
      <c r="P75" s="51"/>
      <c r="Q75" s="52"/>
      <c r="R75" s="58">
        <v>4243627</v>
      </c>
      <c r="S75" s="17">
        <v>376.74</v>
      </c>
      <c r="T75" s="101"/>
      <c r="U75" s="35"/>
      <c r="V75" s="36"/>
      <c r="W75" s="43">
        <f t="shared" si="30"/>
        <v>2074595</v>
      </c>
      <c r="X75" s="44">
        <f t="shared" si="31"/>
        <v>670.73</v>
      </c>
      <c r="Y75" s="51"/>
      <c r="Z75" s="52"/>
      <c r="AA75" s="58">
        <f t="shared" si="32"/>
        <v>284361</v>
      </c>
      <c r="AB75" s="17">
        <f t="shared" si="33"/>
        <v>466.67999999999995</v>
      </c>
      <c r="AC75" s="101"/>
      <c r="AD75" s="555">
        <f t="shared" si="29"/>
        <v>27204837</v>
      </c>
      <c r="AE75" s="632">
        <f t="shared" si="29"/>
        <v>5166.42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>
        <v>23742909</v>
      </c>
      <c r="F76" s="44">
        <v>4091.77</v>
      </c>
      <c r="G76" s="51"/>
      <c r="H76" s="52"/>
      <c r="I76" s="58">
        <v>5051550</v>
      </c>
      <c r="J76" s="17">
        <v>830.75</v>
      </c>
      <c r="K76" s="101"/>
      <c r="L76" s="35"/>
      <c r="M76" s="36"/>
      <c r="N76" s="43">
        <v>21815221</v>
      </c>
      <c r="O76" s="44">
        <v>3487.5</v>
      </c>
      <c r="P76" s="51"/>
      <c r="Q76" s="52"/>
      <c r="R76" s="58">
        <v>4695212</v>
      </c>
      <c r="S76" s="17">
        <v>352.06</v>
      </c>
      <c r="T76" s="101"/>
      <c r="U76" s="35"/>
      <c r="V76" s="36"/>
      <c r="W76" s="43">
        <f t="shared" si="30"/>
        <v>1927688</v>
      </c>
      <c r="X76" s="44">
        <f t="shared" si="31"/>
        <v>604.27</v>
      </c>
      <c r="Y76" s="51"/>
      <c r="Z76" s="52"/>
      <c r="AA76" s="58">
        <f t="shared" si="32"/>
        <v>356338</v>
      </c>
      <c r="AB76" s="17">
        <f t="shared" si="33"/>
        <v>478.69</v>
      </c>
      <c r="AC76" s="101"/>
      <c r="AD76" s="555">
        <f t="shared" si="29"/>
        <v>28794459</v>
      </c>
      <c r="AE76" s="632">
        <f t="shared" si="29"/>
        <v>4922.5200000000004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>
        <v>17615778</v>
      </c>
      <c r="F77" s="44">
        <v>3669.5</v>
      </c>
      <c r="G77" s="51"/>
      <c r="H77" s="52"/>
      <c r="I77" s="58">
        <v>4116145</v>
      </c>
      <c r="J77" s="17">
        <v>824.67</v>
      </c>
      <c r="K77" s="101"/>
      <c r="L77" s="35"/>
      <c r="M77" s="36"/>
      <c r="N77" s="43">
        <v>15875120</v>
      </c>
      <c r="O77" s="44">
        <v>3084.15</v>
      </c>
      <c r="P77" s="51"/>
      <c r="Q77" s="52"/>
      <c r="R77" s="58">
        <v>3829095</v>
      </c>
      <c r="S77" s="17">
        <v>374.97</v>
      </c>
      <c r="T77" s="101"/>
      <c r="U77" s="35"/>
      <c r="V77" s="36"/>
      <c r="W77" s="43">
        <f t="shared" si="30"/>
        <v>1740658</v>
      </c>
      <c r="X77" s="44">
        <f t="shared" si="31"/>
        <v>585.34999999999991</v>
      </c>
      <c r="Y77" s="51"/>
      <c r="Z77" s="52"/>
      <c r="AA77" s="58">
        <f t="shared" si="32"/>
        <v>287050</v>
      </c>
      <c r="AB77" s="17">
        <f t="shared" si="33"/>
        <v>449.69999999999993</v>
      </c>
      <c r="AC77" s="101"/>
      <c r="AD77" s="555">
        <f t="shared" si="29"/>
        <v>21731923</v>
      </c>
      <c r="AE77" s="632">
        <f t="shared" si="29"/>
        <v>4494.17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>
        <v>18054301</v>
      </c>
      <c r="F78" s="44">
        <v>4061.8</v>
      </c>
      <c r="G78" s="51"/>
      <c r="H78" s="52"/>
      <c r="I78" s="58">
        <v>4190526</v>
      </c>
      <c r="J78" s="17">
        <v>875.72</v>
      </c>
      <c r="K78" s="101"/>
      <c r="L78" s="35"/>
      <c r="M78" s="36"/>
      <c r="N78" s="43">
        <v>16234498</v>
      </c>
      <c r="O78" s="44">
        <v>3372.53</v>
      </c>
      <c r="P78" s="51"/>
      <c r="Q78" s="52"/>
      <c r="R78" s="58">
        <v>3927486</v>
      </c>
      <c r="S78" s="17">
        <v>402.55</v>
      </c>
      <c r="T78" s="101"/>
      <c r="U78" s="35"/>
      <c r="V78" s="36"/>
      <c r="W78" s="43">
        <f t="shared" si="30"/>
        <v>1819803</v>
      </c>
      <c r="X78" s="44">
        <f t="shared" si="31"/>
        <v>689.27</v>
      </c>
      <c r="Y78" s="51"/>
      <c r="Z78" s="52"/>
      <c r="AA78" s="58">
        <f t="shared" si="32"/>
        <v>263040</v>
      </c>
      <c r="AB78" s="17">
        <f t="shared" si="33"/>
        <v>473.17</v>
      </c>
      <c r="AC78" s="101"/>
      <c r="AD78" s="555">
        <f t="shared" si="29"/>
        <v>22244827</v>
      </c>
      <c r="AE78" s="632">
        <f t="shared" si="29"/>
        <v>4937.5200000000004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>
        <v>17126059</v>
      </c>
      <c r="F79" s="44">
        <v>5311.76</v>
      </c>
      <c r="G79" s="51"/>
      <c r="H79" s="52"/>
      <c r="I79" s="58">
        <v>4137864</v>
      </c>
      <c r="J79" s="17">
        <v>1043.08</v>
      </c>
      <c r="K79" s="101"/>
      <c r="L79" s="35"/>
      <c r="M79" s="36"/>
      <c r="N79" s="43">
        <v>15445458</v>
      </c>
      <c r="O79" s="44">
        <v>4551.53</v>
      </c>
      <c r="P79" s="51"/>
      <c r="Q79" s="52"/>
      <c r="R79" s="58">
        <v>3868632</v>
      </c>
      <c r="S79" s="17">
        <v>524.58000000000004</v>
      </c>
      <c r="T79" s="101"/>
      <c r="U79" s="35"/>
      <c r="V79" s="36"/>
      <c r="W79" s="43">
        <f t="shared" si="30"/>
        <v>1680601</v>
      </c>
      <c r="X79" s="44">
        <f t="shared" si="31"/>
        <v>760.23000000000047</v>
      </c>
      <c r="Y79" s="51"/>
      <c r="Z79" s="52"/>
      <c r="AA79" s="58">
        <f t="shared" si="32"/>
        <v>269232</v>
      </c>
      <c r="AB79" s="17">
        <f t="shared" si="33"/>
        <v>518.49999999999989</v>
      </c>
      <c r="AC79" s="101"/>
      <c r="AD79" s="555">
        <f t="shared" si="29"/>
        <v>21263923</v>
      </c>
      <c r="AE79" s="632">
        <f t="shared" si="29"/>
        <v>6354.84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>
        <v>17623598</v>
      </c>
      <c r="F80" s="44">
        <v>4808.62</v>
      </c>
      <c r="G80" s="51"/>
      <c r="H80" s="52"/>
      <c r="I80" s="58">
        <v>4348692</v>
      </c>
      <c r="J80" s="17">
        <v>1120.93</v>
      </c>
      <c r="K80" s="101"/>
      <c r="L80" s="35"/>
      <c r="M80" s="36"/>
      <c r="N80" s="43">
        <v>15889725</v>
      </c>
      <c r="O80" s="44">
        <v>3960.21</v>
      </c>
      <c r="P80" s="51"/>
      <c r="Q80" s="52"/>
      <c r="R80" s="58">
        <v>4083964</v>
      </c>
      <c r="S80" s="17">
        <v>585.08000000000004</v>
      </c>
      <c r="T80" s="101"/>
      <c r="U80" s="35"/>
      <c r="V80" s="36"/>
      <c r="W80" s="43">
        <f t="shared" si="30"/>
        <v>1733873</v>
      </c>
      <c r="X80" s="44">
        <f t="shared" si="31"/>
        <v>848.40999999999985</v>
      </c>
      <c r="Y80" s="51"/>
      <c r="Z80" s="52"/>
      <c r="AA80" s="58">
        <f t="shared" si="32"/>
        <v>264728</v>
      </c>
      <c r="AB80" s="17">
        <f t="shared" si="33"/>
        <v>535.85</v>
      </c>
      <c r="AC80" s="101"/>
      <c r="AD80" s="555">
        <f t="shared" si="29"/>
        <v>21972290</v>
      </c>
      <c r="AE80" s="632">
        <f t="shared" si="29"/>
        <v>5929.55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>
        <v>17731984</v>
      </c>
      <c r="F81" s="44">
        <v>5008.8900000000003</v>
      </c>
      <c r="G81" s="51"/>
      <c r="H81" s="52"/>
      <c r="I81" s="58">
        <v>4400082</v>
      </c>
      <c r="J81" s="17">
        <v>1136.9100000000001</v>
      </c>
      <c r="K81" s="101"/>
      <c r="L81" s="35"/>
      <c r="M81" s="36"/>
      <c r="N81" s="43">
        <v>16049432</v>
      </c>
      <c r="O81" s="44">
        <v>4242.3500000000004</v>
      </c>
      <c r="P81" s="51"/>
      <c r="Q81" s="52"/>
      <c r="R81" s="58">
        <v>4128448</v>
      </c>
      <c r="S81" s="17">
        <v>589.16</v>
      </c>
      <c r="T81" s="101"/>
      <c r="U81" s="35"/>
      <c r="V81" s="36"/>
      <c r="W81" s="43">
        <f t="shared" si="30"/>
        <v>1682552</v>
      </c>
      <c r="X81" s="44">
        <f t="shared" si="31"/>
        <v>766.54</v>
      </c>
      <c r="Y81" s="51"/>
      <c r="Z81" s="52"/>
      <c r="AA81" s="58">
        <f t="shared" si="32"/>
        <v>271634</v>
      </c>
      <c r="AB81" s="17">
        <f t="shared" si="33"/>
        <v>547.75000000000011</v>
      </c>
      <c r="AC81" s="101"/>
      <c r="AD81" s="555">
        <f t="shared" si="29"/>
        <v>22132066</v>
      </c>
      <c r="AE81" s="632">
        <f t="shared" si="29"/>
        <v>6145.8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>
        <v>26802929</v>
      </c>
      <c r="F82" s="44">
        <v>5630.85</v>
      </c>
      <c r="G82" s="51"/>
      <c r="H82" s="52"/>
      <c r="I82" s="58">
        <v>4767456</v>
      </c>
      <c r="J82" s="17">
        <v>1123.99</v>
      </c>
      <c r="K82" s="101"/>
      <c r="L82" s="35"/>
      <c r="M82" s="36"/>
      <c r="N82" s="43">
        <v>20958517</v>
      </c>
      <c r="O82" s="44">
        <v>4883.18</v>
      </c>
      <c r="P82" s="51"/>
      <c r="Q82" s="52"/>
      <c r="R82" s="58">
        <v>4467224</v>
      </c>
      <c r="S82" s="17">
        <v>564.03</v>
      </c>
      <c r="T82" s="101"/>
      <c r="U82" s="35"/>
      <c r="V82" s="36"/>
      <c r="W82" s="43">
        <f t="shared" si="30"/>
        <v>5844412</v>
      </c>
      <c r="X82" s="44">
        <f t="shared" si="31"/>
        <v>747.67000000000007</v>
      </c>
      <c r="Y82" s="51"/>
      <c r="Z82" s="52"/>
      <c r="AA82" s="58">
        <f t="shared" si="32"/>
        <v>300232</v>
      </c>
      <c r="AB82" s="17">
        <f t="shared" si="33"/>
        <v>559.96</v>
      </c>
      <c r="AC82" s="101"/>
      <c r="AD82" s="555">
        <f t="shared" si="29"/>
        <v>31570385</v>
      </c>
      <c r="AE82" s="632">
        <f t="shared" si="29"/>
        <v>6754.84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>
        <v>27329991</v>
      </c>
      <c r="F83" s="44">
        <v>6493.11</v>
      </c>
      <c r="G83" s="51"/>
      <c r="H83" s="52"/>
      <c r="I83" s="58">
        <v>5326120</v>
      </c>
      <c r="J83" s="17">
        <v>1050.1600000000001</v>
      </c>
      <c r="K83" s="101"/>
      <c r="L83" s="35"/>
      <c r="M83" s="36"/>
      <c r="N83" s="43">
        <v>21977103</v>
      </c>
      <c r="O83" s="44">
        <v>4609.13</v>
      </c>
      <c r="P83" s="51"/>
      <c r="Q83" s="52"/>
      <c r="R83" s="58">
        <v>4985879</v>
      </c>
      <c r="S83" s="17">
        <v>523.51</v>
      </c>
      <c r="T83" s="101"/>
      <c r="U83" s="35"/>
      <c r="V83" s="36"/>
      <c r="W83" s="43">
        <f t="shared" si="30"/>
        <v>5352888</v>
      </c>
      <c r="X83" s="44">
        <f t="shared" si="31"/>
        <v>1883.9799999999996</v>
      </c>
      <c r="Y83" s="51"/>
      <c r="Z83" s="52"/>
      <c r="AA83" s="58">
        <f t="shared" si="32"/>
        <v>340241</v>
      </c>
      <c r="AB83" s="17">
        <f t="shared" si="33"/>
        <v>526.65000000000009</v>
      </c>
      <c r="AC83" s="101"/>
      <c r="AD83" s="555">
        <f t="shared" si="29"/>
        <v>32656111</v>
      </c>
      <c r="AE83" s="632">
        <f t="shared" si="29"/>
        <v>7543.2699999999995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>
        <v>21703646</v>
      </c>
      <c r="F84" s="44">
        <v>5384.55</v>
      </c>
      <c r="G84" s="51"/>
      <c r="H84" s="52"/>
      <c r="I84" s="58">
        <v>5066045</v>
      </c>
      <c r="J84" s="17">
        <v>1089.54</v>
      </c>
      <c r="K84" s="101"/>
      <c r="L84" s="35"/>
      <c r="M84" s="36"/>
      <c r="N84" s="43">
        <v>16786832</v>
      </c>
      <c r="O84" s="44">
        <v>3504.38</v>
      </c>
      <c r="P84" s="51"/>
      <c r="Q84" s="52"/>
      <c r="R84" s="58">
        <v>4616366</v>
      </c>
      <c r="S84" s="17">
        <v>520.29999999999995</v>
      </c>
      <c r="T84" s="101"/>
      <c r="U84" s="35"/>
      <c r="V84" s="36"/>
      <c r="W84" s="43">
        <f t="shared" si="30"/>
        <v>4916814</v>
      </c>
      <c r="X84" s="44">
        <f t="shared" si="31"/>
        <v>1880.17</v>
      </c>
      <c r="Y84" s="51"/>
      <c r="Z84" s="52"/>
      <c r="AA84" s="58">
        <f t="shared" si="32"/>
        <v>449679</v>
      </c>
      <c r="AB84" s="17">
        <f t="shared" si="33"/>
        <v>569.24</v>
      </c>
      <c r="AC84" s="101"/>
      <c r="AD84" s="555">
        <f t="shared" si="29"/>
        <v>26769691</v>
      </c>
      <c r="AE84" s="632">
        <f t="shared" si="29"/>
        <v>6474.09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>
        <v>20012845</v>
      </c>
      <c r="F85" s="44">
        <v>5781.78</v>
      </c>
      <c r="G85" s="51"/>
      <c r="H85" s="52"/>
      <c r="I85" s="58">
        <v>5262250</v>
      </c>
      <c r="J85" s="17">
        <v>1322.61</v>
      </c>
      <c r="K85" s="101"/>
      <c r="L85" s="35"/>
      <c r="M85" s="36"/>
      <c r="N85" s="43">
        <v>15456900</v>
      </c>
      <c r="O85" s="44">
        <v>3871.31</v>
      </c>
      <c r="P85" s="51"/>
      <c r="Q85" s="52"/>
      <c r="R85" s="58">
        <v>4739690</v>
      </c>
      <c r="S85" s="17">
        <v>592.13</v>
      </c>
      <c r="T85" s="101"/>
      <c r="U85" s="35"/>
      <c r="V85" s="36"/>
      <c r="W85" s="43">
        <f t="shared" si="30"/>
        <v>4555945</v>
      </c>
      <c r="X85" s="44">
        <f t="shared" si="31"/>
        <v>1910.4699999999998</v>
      </c>
      <c r="Y85" s="51"/>
      <c r="Z85" s="52"/>
      <c r="AA85" s="58">
        <f t="shared" si="32"/>
        <v>522560</v>
      </c>
      <c r="AB85" s="17">
        <f t="shared" si="33"/>
        <v>730.4799999999999</v>
      </c>
      <c r="AC85" s="101"/>
      <c r="AD85" s="555">
        <f t="shared" si="29"/>
        <v>25275095</v>
      </c>
      <c r="AE85" s="632">
        <f t="shared" si="29"/>
        <v>7104.3899999999994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>
        <v>19485233</v>
      </c>
      <c r="F86" s="44">
        <v>6216.58</v>
      </c>
      <c r="G86" s="51"/>
      <c r="H86" s="52"/>
      <c r="I86" s="58">
        <v>5758857</v>
      </c>
      <c r="J86" s="17">
        <v>1366.75</v>
      </c>
      <c r="K86" s="101"/>
      <c r="L86" s="35"/>
      <c r="M86" s="36"/>
      <c r="N86" s="43">
        <v>15181176</v>
      </c>
      <c r="O86" s="44">
        <v>4390.72</v>
      </c>
      <c r="P86" s="51"/>
      <c r="Q86" s="52"/>
      <c r="R86" s="58">
        <v>5348962</v>
      </c>
      <c r="S86" s="17">
        <v>718.66</v>
      </c>
      <c r="T86" s="101"/>
      <c r="U86" s="35"/>
      <c r="V86" s="36"/>
      <c r="W86" s="43">
        <f t="shared" si="30"/>
        <v>4304057</v>
      </c>
      <c r="X86" s="44">
        <f t="shared" si="31"/>
        <v>1825.8599999999997</v>
      </c>
      <c r="Y86" s="51"/>
      <c r="Z86" s="52"/>
      <c r="AA86" s="58">
        <f t="shared" si="32"/>
        <v>409895</v>
      </c>
      <c r="AB86" s="17">
        <f t="shared" si="33"/>
        <v>648.09</v>
      </c>
      <c r="AC86" s="101"/>
      <c r="AD86" s="555">
        <f t="shared" si="29"/>
        <v>25244090</v>
      </c>
      <c r="AE86" s="632">
        <f t="shared" si="29"/>
        <v>7583.33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>
        <v>19823714</v>
      </c>
      <c r="F87" s="44">
        <v>6280.3</v>
      </c>
      <c r="G87" s="51"/>
      <c r="H87" s="52"/>
      <c r="I87" s="58">
        <v>6302779</v>
      </c>
      <c r="J87" s="17">
        <v>1494.96</v>
      </c>
      <c r="K87" s="101"/>
      <c r="L87" s="35"/>
      <c r="M87" s="36"/>
      <c r="N87" s="43">
        <v>15399874</v>
      </c>
      <c r="O87" s="44">
        <v>4390.34</v>
      </c>
      <c r="P87" s="51"/>
      <c r="Q87" s="52"/>
      <c r="R87" s="58">
        <v>5719110</v>
      </c>
      <c r="S87" s="17">
        <v>868.77</v>
      </c>
      <c r="T87" s="101"/>
      <c r="U87" s="35"/>
      <c r="V87" s="36"/>
      <c r="W87" s="43">
        <f t="shared" si="30"/>
        <v>4423840</v>
      </c>
      <c r="X87" s="44">
        <f t="shared" si="31"/>
        <v>1889.96</v>
      </c>
      <c r="Y87" s="51"/>
      <c r="Z87" s="52"/>
      <c r="AA87" s="58">
        <f t="shared" si="32"/>
        <v>583669</v>
      </c>
      <c r="AB87" s="17">
        <f t="shared" si="33"/>
        <v>626.19000000000005</v>
      </c>
      <c r="AC87" s="101"/>
      <c r="AD87" s="555">
        <f t="shared" si="29"/>
        <v>26126493</v>
      </c>
      <c r="AE87" s="632">
        <f t="shared" si="29"/>
        <v>7775.26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>
        <v>20412306</v>
      </c>
      <c r="F88" s="44">
        <v>6486.62</v>
      </c>
      <c r="G88" s="51"/>
      <c r="H88" s="52"/>
      <c r="I88" s="58">
        <v>8438400</v>
      </c>
      <c r="J88" s="17">
        <v>2363.2399999999998</v>
      </c>
      <c r="K88" s="101"/>
      <c r="L88" s="35"/>
      <c r="M88" s="36"/>
      <c r="N88" s="43">
        <v>15846364</v>
      </c>
      <c r="O88" s="44">
        <v>4591.8500000000004</v>
      </c>
      <c r="P88" s="51"/>
      <c r="Q88" s="52"/>
      <c r="R88" s="58">
        <v>6858633</v>
      </c>
      <c r="S88" s="17">
        <v>987.64</v>
      </c>
      <c r="T88" s="101"/>
      <c r="U88" s="35"/>
      <c r="V88" s="36"/>
      <c r="W88" s="43">
        <f t="shared" si="30"/>
        <v>4565942</v>
      </c>
      <c r="X88" s="44">
        <f t="shared" si="31"/>
        <v>1894.7699999999995</v>
      </c>
      <c r="Y88" s="51"/>
      <c r="Z88" s="52"/>
      <c r="AA88" s="58">
        <f t="shared" si="32"/>
        <v>1579767</v>
      </c>
      <c r="AB88" s="17">
        <f t="shared" si="33"/>
        <v>1375.6</v>
      </c>
      <c r="AC88" s="101"/>
      <c r="AD88" s="555">
        <f t="shared" si="29"/>
        <v>28850706</v>
      </c>
      <c r="AE88" s="632">
        <f t="shared" si="29"/>
        <v>8849.86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>
        <v>24677662</v>
      </c>
      <c r="F89" s="44">
        <v>7972.49</v>
      </c>
      <c r="G89" s="51"/>
      <c r="H89" s="52"/>
      <c r="I89" s="58">
        <v>6970394</v>
      </c>
      <c r="J89" s="17">
        <v>1718.3</v>
      </c>
      <c r="K89" s="101"/>
      <c r="L89" s="35"/>
      <c r="M89" s="36"/>
      <c r="N89" s="43">
        <v>20088395</v>
      </c>
      <c r="O89" s="44">
        <v>6052.04</v>
      </c>
      <c r="P89" s="51"/>
      <c r="Q89" s="52"/>
      <c r="R89" s="58">
        <v>6242987</v>
      </c>
      <c r="S89" s="17">
        <v>863.78</v>
      </c>
      <c r="T89" s="101"/>
      <c r="U89" s="35"/>
      <c r="V89" s="36"/>
      <c r="W89" s="43">
        <f t="shared" si="30"/>
        <v>4589267</v>
      </c>
      <c r="X89" s="44">
        <f t="shared" si="31"/>
        <v>1920.4499999999998</v>
      </c>
      <c r="Y89" s="51"/>
      <c r="Z89" s="52"/>
      <c r="AA89" s="58">
        <f t="shared" si="32"/>
        <v>727407</v>
      </c>
      <c r="AB89" s="17">
        <f t="shared" si="33"/>
        <v>854.52</v>
      </c>
      <c r="AC89" s="101"/>
      <c r="AD89" s="555">
        <f t="shared" si="29"/>
        <v>31648056</v>
      </c>
      <c r="AE89" s="632">
        <f t="shared" si="29"/>
        <v>9690.7899999999991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>
        <v>26707887</v>
      </c>
      <c r="F90" s="44">
        <v>7570.49</v>
      </c>
      <c r="G90" s="51"/>
      <c r="H90" s="52"/>
      <c r="I90" s="58">
        <v>7981097</v>
      </c>
      <c r="J90" s="17">
        <v>1642.72</v>
      </c>
      <c r="K90" s="101"/>
      <c r="L90" s="35"/>
      <c r="M90" s="36"/>
      <c r="N90" s="43">
        <v>21661008</v>
      </c>
      <c r="O90" s="44">
        <v>5653.03</v>
      </c>
      <c r="P90" s="51"/>
      <c r="Q90" s="52"/>
      <c r="R90" s="58">
        <v>7042159</v>
      </c>
      <c r="S90" s="17">
        <v>788.13</v>
      </c>
      <c r="T90" s="101"/>
      <c r="U90" s="35"/>
      <c r="V90" s="36"/>
      <c r="W90" s="43">
        <f t="shared" si="30"/>
        <v>5046879</v>
      </c>
      <c r="X90" s="44">
        <f t="shared" si="31"/>
        <v>1917.46</v>
      </c>
      <c r="Y90" s="51"/>
      <c r="Z90" s="52"/>
      <c r="AA90" s="58">
        <f t="shared" si="32"/>
        <v>938938</v>
      </c>
      <c r="AB90" s="17">
        <f t="shared" si="33"/>
        <v>854.59</v>
      </c>
      <c r="AC90" s="101"/>
      <c r="AD90" s="555">
        <f t="shared" si="29"/>
        <v>34688984</v>
      </c>
      <c r="AE90" s="632">
        <f t="shared" si="29"/>
        <v>9213.2099999999991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>
        <v>21754894</v>
      </c>
      <c r="F91" s="44">
        <v>6450.26</v>
      </c>
      <c r="G91" s="51"/>
      <c r="H91" s="52"/>
      <c r="I91" s="58">
        <v>7694599</v>
      </c>
      <c r="J91" s="17">
        <v>1655.7</v>
      </c>
      <c r="K91" s="101"/>
      <c r="L91" s="35"/>
      <c r="M91" s="36"/>
      <c r="N91" s="43">
        <v>16936213</v>
      </c>
      <c r="O91" s="44">
        <v>4584.13</v>
      </c>
      <c r="P91" s="51"/>
      <c r="Q91" s="52"/>
      <c r="R91" s="58">
        <v>6671964</v>
      </c>
      <c r="S91" s="17">
        <v>784.11</v>
      </c>
      <c r="T91" s="101"/>
      <c r="U91" s="35"/>
      <c r="V91" s="36"/>
      <c r="W91" s="43">
        <f t="shared" si="30"/>
        <v>4818681</v>
      </c>
      <c r="X91" s="44">
        <f t="shared" si="31"/>
        <v>1866.13</v>
      </c>
      <c r="Y91" s="51"/>
      <c r="Z91" s="52"/>
      <c r="AA91" s="58">
        <f t="shared" si="32"/>
        <v>1022635</v>
      </c>
      <c r="AB91" s="17">
        <f t="shared" si="33"/>
        <v>871.59</v>
      </c>
      <c r="AC91" s="101"/>
      <c r="AD91" s="555">
        <f t="shared" si="29"/>
        <v>29449493</v>
      </c>
      <c r="AE91" s="632">
        <f t="shared" si="29"/>
        <v>8105.96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>
        <v>22885074</v>
      </c>
      <c r="F92" s="44">
        <v>6426.9</v>
      </c>
      <c r="G92" s="51"/>
      <c r="H92" s="52"/>
      <c r="I92" s="58">
        <v>7751851</v>
      </c>
      <c r="J92" s="17">
        <v>1781.92</v>
      </c>
      <c r="K92" s="101"/>
      <c r="L92" s="35"/>
      <c r="M92" s="36"/>
      <c r="N92" s="43">
        <v>18126454</v>
      </c>
      <c r="O92" s="44">
        <v>4289.04</v>
      </c>
      <c r="P92" s="51"/>
      <c r="Q92" s="52"/>
      <c r="R92" s="58">
        <v>6621727</v>
      </c>
      <c r="S92" s="17">
        <v>803.66</v>
      </c>
      <c r="T92" s="101"/>
      <c r="U92" s="35"/>
      <c r="V92" s="36"/>
      <c r="W92" s="43">
        <f t="shared" si="30"/>
        <v>4758620</v>
      </c>
      <c r="X92" s="44">
        <f t="shared" si="31"/>
        <v>2137.8599999999997</v>
      </c>
      <c r="Y92" s="51"/>
      <c r="Z92" s="52"/>
      <c r="AA92" s="58">
        <f t="shared" si="32"/>
        <v>1130124</v>
      </c>
      <c r="AB92" s="17">
        <f t="shared" si="33"/>
        <v>978.2600000000001</v>
      </c>
      <c r="AC92" s="101"/>
      <c r="AD92" s="555">
        <f t="shared" si="29"/>
        <v>30636925</v>
      </c>
      <c r="AE92" s="632">
        <f t="shared" si="29"/>
        <v>8208.82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>
        <v>21138103</v>
      </c>
      <c r="F93" s="44">
        <v>6618.54</v>
      </c>
      <c r="G93" s="51"/>
      <c r="H93" s="52"/>
      <c r="I93" s="58">
        <v>8066465</v>
      </c>
      <c r="J93" s="17">
        <v>1795.15</v>
      </c>
      <c r="K93" s="101"/>
      <c r="L93" s="35"/>
      <c r="M93" s="36"/>
      <c r="N93" s="43">
        <v>15850338</v>
      </c>
      <c r="O93" s="44">
        <v>4125.8</v>
      </c>
      <c r="P93" s="51"/>
      <c r="Q93" s="52"/>
      <c r="R93" s="58">
        <v>7056835</v>
      </c>
      <c r="S93" s="17">
        <v>824.15</v>
      </c>
      <c r="T93" s="101"/>
      <c r="U93" s="35"/>
      <c r="V93" s="36"/>
      <c r="W93" s="43">
        <f t="shared" si="30"/>
        <v>5287765</v>
      </c>
      <c r="X93" s="44">
        <f t="shared" si="31"/>
        <v>2492.7399999999998</v>
      </c>
      <c r="Y93" s="51"/>
      <c r="Z93" s="52"/>
      <c r="AA93" s="58">
        <f t="shared" si="32"/>
        <v>1009630</v>
      </c>
      <c r="AB93" s="17">
        <f t="shared" si="33"/>
        <v>971.00000000000011</v>
      </c>
      <c r="AC93" s="101"/>
      <c r="AD93" s="555">
        <f t="shared" ref="AD93:AE97" si="35">SUM(C93,E93,G93,I93)</f>
        <v>29204568</v>
      </c>
      <c r="AE93" s="632">
        <f t="shared" si="35"/>
        <v>8413.69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>
        <v>23132300</v>
      </c>
      <c r="F94" s="44">
        <v>6650.17</v>
      </c>
      <c r="G94" s="51"/>
      <c r="H94" s="52"/>
      <c r="I94" s="58">
        <v>8200139</v>
      </c>
      <c r="J94" s="17">
        <v>1830.6</v>
      </c>
      <c r="K94" s="101"/>
      <c r="L94" s="35"/>
      <c r="M94" s="36"/>
      <c r="N94" s="43">
        <v>17043757</v>
      </c>
      <c r="O94" s="44">
        <v>4084.23</v>
      </c>
      <c r="P94" s="51"/>
      <c r="Q94" s="52"/>
      <c r="R94" s="58">
        <v>7300669</v>
      </c>
      <c r="S94" s="17">
        <v>861.1</v>
      </c>
      <c r="T94" s="101"/>
      <c r="U94" s="35"/>
      <c r="V94" s="36"/>
      <c r="W94" s="43">
        <f t="shared" si="30"/>
        <v>6088543</v>
      </c>
      <c r="X94" s="44">
        <f t="shared" si="31"/>
        <v>2565.94</v>
      </c>
      <c r="Y94" s="51"/>
      <c r="Z94" s="52"/>
      <c r="AA94" s="58">
        <f t="shared" si="32"/>
        <v>899470</v>
      </c>
      <c r="AB94" s="17">
        <f t="shared" si="33"/>
        <v>969.49999999999989</v>
      </c>
      <c r="AC94" s="101"/>
      <c r="AD94" s="555">
        <f t="shared" si="35"/>
        <v>31332439</v>
      </c>
      <c r="AE94" s="632">
        <f t="shared" si="35"/>
        <v>8480.77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>
        <v>21524317</v>
      </c>
      <c r="F95" s="44">
        <v>6970.24</v>
      </c>
      <c r="G95" s="51"/>
      <c r="H95" s="52"/>
      <c r="I95" s="58">
        <v>7091097</v>
      </c>
      <c r="J95" s="17">
        <v>1918.81</v>
      </c>
      <c r="K95" s="101"/>
      <c r="L95" s="35"/>
      <c r="M95" s="36"/>
      <c r="N95" s="43">
        <v>16282260</v>
      </c>
      <c r="O95" s="44">
        <v>4476.0200000000004</v>
      </c>
      <c r="P95" s="51"/>
      <c r="Q95" s="52"/>
      <c r="R95" s="58">
        <v>6393149</v>
      </c>
      <c r="S95" s="17">
        <v>898.22</v>
      </c>
      <c r="T95" s="101"/>
      <c r="U95" s="35"/>
      <c r="V95" s="36"/>
      <c r="W95" s="43">
        <f t="shared" si="30"/>
        <v>5242057</v>
      </c>
      <c r="X95" s="44">
        <f t="shared" si="31"/>
        <v>2494.2199999999993</v>
      </c>
      <c r="Y95" s="51"/>
      <c r="Z95" s="52"/>
      <c r="AA95" s="58">
        <f t="shared" si="32"/>
        <v>697948</v>
      </c>
      <c r="AB95" s="17">
        <f t="shared" si="33"/>
        <v>1020.5899999999999</v>
      </c>
      <c r="AC95" s="101"/>
      <c r="AD95" s="555">
        <f t="shared" si="35"/>
        <v>28615414</v>
      </c>
      <c r="AE95" s="632">
        <f t="shared" si="35"/>
        <v>8889.0499999999993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>
        <v>26001782</v>
      </c>
      <c r="F96" s="44">
        <v>7852.49</v>
      </c>
      <c r="G96" s="51"/>
      <c r="H96" s="52"/>
      <c r="I96" s="58">
        <v>6799241</v>
      </c>
      <c r="J96" s="17">
        <v>1916.23</v>
      </c>
      <c r="K96" s="101"/>
      <c r="L96" s="35"/>
      <c r="M96" s="36"/>
      <c r="N96" s="43">
        <v>20643864</v>
      </c>
      <c r="O96" s="44">
        <v>5574.86</v>
      </c>
      <c r="P96" s="51"/>
      <c r="Q96" s="52"/>
      <c r="R96" s="58">
        <v>6081301</v>
      </c>
      <c r="S96" s="17">
        <v>862.51</v>
      </c>
      <c r="T96" s="101"/>
      <c r="U96" s="35"/>
      <c r="V96" s="36"/>
      <c r="W96" s="43">
        <f t="shared" si="30"/>
        <v>5357918</v>
      </c>
      <c r="X96" s="44">
        <f t="shared" si="31"/>
        <v>2277.63</v>
      </c>
      <c r="Y96" s="51"/>
      <c r="Z96" s="52"/>
      <c r="AA96" s="58">
        <f t="shared" si="32"/>
        <v>717940</v>
      </c>
      <c r="AB96" s="17">
        <f t="shared" si="33"/>
        <v>1053.72</v>
      </c>
      <c r="AC96" s="101"/>
      <c r="AD96" s="555">
        <f t="shared" si="35"/>
        <v>32801023</v>
      </c>
      <c r="AE96" s="632">
        <f t="shared" si="35"/>
        <v>9768.7199999999993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>
        <v>25951143</v>
      </c>
      <c r="F97" s="44">
        <v>7383.86</v>
      </c>
      <c r="G97" s="51"/>
      <c r="H97" s="52"/>
      <c r="I97" s="58">
        <v>7307373</v>
      </c>
      <c r="J97" s="17">
        <v>1700.58</v>
      </c>
      <c r="K97" s="101"/>
      <c r="L97" s="35"/>
      <c r="M97" s="36"/>
      <c r="N97" s="43">
        <v>20163790</v>
      </c>
      <c r="O97" s="44">
        <v>5050.92</v>
      </c>
      <c r="P97" s="51"/>
      <c r="Q97" s="52"/>
      <c r="R97" s="58">
        <v>6470661</v>
      </c>
      <c r="S97" s="17">
        <v>739.1</v>
      </c>
      <c r="T97" s="101"/>
      <c r="U97" s="35"/>
      <c r="V97" s="36"/>
      <c r="W97" s="43">
        <f t="shared" si="30"/>
        <v>5787353</v>
      </c>
      <c r="X97" s="44">
        <f t="shared" si="31"/>
        <v>2332.9399999999996</v>
      </c>
      <c r="Y97" s="51"/>
      <c r="Z97" s="52"/>
      <c r="AA97" s="58">
        <f t="shared" si="32"/>
        <v>836712</v>
      </c>
      <c r="AB97" s="17">
        <f t="shared" si="33"/>
        <v>961.4799999999999</v>
      </c>
      <c r="AC97" s="101"/>
      <c r="AD97" s="555">
        <f t="shared" si="35"/>
        <v>33258516</v>
      </c>
      <c r="AE97" s="632">
        <f t="shared" si="35"/>
        <v>9084.4399999999987</v>
      </c>
    </row>
    <row r="98" spans="1:31" collapsed="1">
      <c r="A98" s="104"/>
      <c r="B98" s="104" t="s">
        <v>15</v>
      </c>
      <c r="C98" s="105"/>
      <c r="D98" s="106"/>
      <c r="E98" s="107">
        <f t="shared" ref="E98:AB98" si="36">SUBTOTAL(9,E99:E128)</f>
        <v>693831478</v>
      </c>
      <c r="F98" s="108">
        <f t="shared" si="36"/>
        <v>170290.55</v>
      </c>
      <c r="G98" s="109"/>
      <c r="H98" s="110"/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>
        <f t="shared" si="36"/>
        <v>547962867</v>
      </c>
      <c r="O98" s="108">
        <f t="shared" si="36"/>
        <v>116613.42000000001</v>
      </c>
      <c r="P98" s="109"/>
      <c r="Q98" s="110"/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>
        <f t="shared" si="36"/>
        <v>145868611</v>
      </c>
      <c r="X98" s="108">
        <f t="shared" si="36"/>
        <v>53677.130000000005</v>
      </c>
      <c r="Y98" s="109"/>
      <c r="Z98" s="110"/>
      <c r="AA98" s="111">
        <f t="shared" si="36"/>
        <v>173989023</v>
      </c>
      <c r="AB98" s="14">
        <f t="shared" si="36"/>
        <v>97815.059999999983</v>
      </c>
      <c r="AC98" s="103"/>
      <c r="AD98" s="555"/>
      <c r="AE98" s="632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>
        <v>22107101</v>
      </c>
      <c r="F99" s="44">
        <v>5723.21</v>
      </c>
      <c r="G99" s="51"/>
      <c r="H99" s="52"/>
      <c r="I99" s="58">
        <v>6691924</v>
      </c>
      <c r="J99" s="17">
        <v>1356.14</v>
      </c>
      <c r="K99" s="101"/>
      <c r="L99" s="35"/>
      <c r="M99" s="36"/>
      <c r="N99" s="43">
        <v>15701668</v>
      </c>
      <c r="O99" s="44">
        <v>3616.52</v>
      </c>
      <c r="P99" s="51"/>
      <c r="Q99" s="52"/>
      <c r="R99" s="58">
        <v>5873925</v>
      </c>
      <c r="S99" s="17">
        <v>641.77</v>
      </c>
      <c r="T99" s="101"/>
      <c r="U99" s="35"/>
      <c r="V99" s="36"/>
      <c r="W99" s="43">
        <f t="shared" si="30"/>
        <v>6405433</v>
      </c>
      <c r="X99" s="44">
        <f t="shared" si="31"/>
        <v>2106.69</v>
      </c>
      <c r="Y99" s="51"/>
      <c r="Z99" s="52"/>
      <c r="AA99" s="58">
        <f t="shared" si="32"/>
        <v>817999</v>
      </c>
      <c r="AB99" s="17">
        <f t="shared" si="33"/>
        <v>714.37000000000012</v>
      </c>
      <c r="AC99" s="101"/>
      <c r="AD99" s="555">
        <f t="shared" ref="AD99:AD160" si="37">SUM(C99,E99,G99,I99)</f>
        <v>28799025</v>
      </c>
      <c r="AE99" s="632">
        <f t="shared" ref="AE99:AE160" si="38">SUM(D99,F99,H99,J99)</f>
        <v>7079.35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>
        <v>20893311</v>
      </c>
      <c r="F100" s="44">
        <v>4889.6000000000004</v>
      </c>
      <c r="G100" s="51"/>
      <c r="H100" s="52"/>
      <c r="I100" s="58">
        <v>7012261</v>
      </c>
      <c r="J100" s="17">
        <v>1562.51</v>
      </c>
      <c r="K100" s="101"/>
      <c r="L100" s="35"/>
      <c r="M100" s="36"/>
      <c r="N100" s="43">
        <v>15257634</v>
      </c>
      <c r="O100" s="44">
        <v>3035.68</v>
      </c>
      <c r="P100" s="51"/>
      <c r="Q100" s="52"/>
      <c r="R100" s="58">
        <v>5812420</v>
      </c>
      <c r="S100" s="17">
        <v>731.25</v>
      </c>
      <c r="T100" s="101"/>
      <c r="U100" s="35"/>
      <c r="V100" s="36"/>
      <c r="W100" s="43">
        <f t="shared" si="30"/>
        <v>5635677</v>
      </c>
      <c r="X100" s="44">
        <f t="shared" si="31"/>
        <v>1853.9200000000005</v>
      </c>
      <c r="Y100" s="51"/>
      <c r="Z100" s="52"/>
      <c r="AA100" s="58">
        <f t="shared" si="32"/>
        <v>1199841</v>
      </c>
      <c r="AB100" s="17">
        <f t="shared" si="33"/>
        <v>831.26</v>
      </c>
      <c r="AC100" s="101"/>
      <c r="AD100" s="555">
        <f t="shared" si="37"/>
        <v>27905572</v>
      </c>
      <c r="AE100" s="632">
        <f t="shared" si="38"/>
        <v>6452.1100000000006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>
        <v>20388110</v>
      </c>
      <c r="F101" s="44">
        <v>4805.62</v>
      </c>
      <c r="G101" s="51"/>
      <c r="H101" s="52"/>
      <c r="I101" s="58">
        <v>22162928</v>
      </c>
      <c r="J101" s="17">
        <v>2092.02</v>
      </c>
      <c r="K101" s="101"/>
      <c r="L101" s="35"/>
      <c r="M101" s="36"/>
      <c r="N101" s="43">
        <v>15593701</v>
      </c>
      <c r="O101" s="44">
        <v>3073.39</v>
      </c>
      <c r="P101" s="51"/>
      <c r="Q101" s="52"/>
      <c r="R101" s="58">
        <v>8152566</v>
      </c>
      <c r="S101" s="17">
        <v>721.77</v>
      </c>
      <c r="T101" s="101"/>
      <c r="U101" s="35"/>
      <c r="V101" s="36"/>
      <c r="W101" s="43">
        <f t="shared" si="30"/>
        <v>4794409</v>
      </c>
      <c r="X101" s="44">
        <f t="shared" si="31"/>
        <v>1732.23</v>
      </c>
      <c r="Y101" s="51"/>
      <c r="Z101" s="52"/>
      <c r="AA101" s="58">
        <f t="shared" si="32"/>
        <v>14010362</v>
      </c>
      <c r="AB101" s="17">
        <f t="shared" si="33"/>
        <v>1370.25</v>
      </c>
      <c r="AC101" s="101"/>
      <c r="AD101" s="555">
        <f t="shared" si="37"/>
        <v>42551038</v>
      </c>
      <c r="AE101" s="632">
        <f t="shared" si="38"/>
        <v>6897.6399999999994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>
        <v>20233415</v>
      </c>
      <c r="F102" s="44">
        <v>4722.22</v>
      </c>
      <c r="G102" s="51"/>
      <c r="H102" s="52"/>
      <c r="I102" s="58">
        <v>15899070</v>
      </c>
      <c r="J102" s="17">
        <v>6208.5</v>
      </c>
      <c r="K102" s="101"/>
      <c r="L102" s="35"/>
      <c r="M102" s="36"/>
      <c r="N102" s="43">
        <v>15690797</v>
      </c>
      <c r="O102" s="44">
        <v>3052.02</v>
      </c>
      <c r="P102" s="51"/>
      <c r="Q102" s="52"/>
      <c r="R102" s="58">
        <v>7634256</v>
      </c>
      <c r="S102" s="17">
        <v>793.36</v>
      </c>
      <c r="T102" s="101"/>
      <c r="U102" s="35"/>
      <c r="V102" s="36"/>
      <c r="W102" s="43">
        <f t="shared" si="30"/>
        <v>4542618</v>
      </c>
      <c r="X102" s="44">
        <f t="shared" si="31"/>
        <v>1670.2000000000003</v>
      </c>
      <c r="Y102" s="51"/>
      <c r="Z102" s="52"/>
      <c r="AA102" s="58">
        <f t="shared" si="32"/>
        <v>8264814</v>
      </c>
      <c r="AB102" s="17">
        <f t="shared" si="33"/>
        <v>5415.14</v>
      </c>
      <c r="AC102" s="101"/>
      <c r="AD102" s="555">
        <f t="shared" si="37"/>
        <v>36132485</v>
      </c>
      <c r="AE102" s="632">
        <f t="shared" si="38"/>
        <v>10930.720000000001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>
        <v>20546025</v>
      </c>
      <c r="F103" s="44">
        <v>5888.46</v>
      </c>
      <c r="G103" s="51"/>
      <c r="H103" s="52"/>
      <c r="I103" s="58">
        <v>12672146</v>
      </c>
      <c r="J103" s="17">
        <v>5038.53</v>
      </c>
      <c r="K103" s="101"/>
      <c r="L103" s="35"/>
      <c r="M103" s="36"/>
      <c r="N103" s="43">
        <v>15616330</v>
      </c>
      <c r="O103" s="44">
        <v>4001.05</v>
      </c>
      <c r="P103" s="51"/>
      <c r="Q103" s="52"/>
      <c r="R103" s="58">
        <v>7046988</v>
      </c>
      <c r="S103" s="17">
        <v>881.07</v>
      </c>
      <c r="T103" s="101"/>
      <c r="U103" s="35"/>
      <c r="V103" s="36"/>
      <c r="W103" s="43">
        <f t="shared" si="30"/>
        <v>4929695</v>
      </c>
      <c r="X103" s="44">
        <f t="shared" si="31"/>
        <v>1887.4099999999999</v>
      </c>
      <c r="Y103" s="51"/>
      <c r="Z103" s="52"/>
      <c r="AA103" s="58">
        <f t="shared" si="32"/>
        <v>5625158</v>
      </c>
      <c r="AB103" s="17">
        <f t="shared" si="33"/>
        <v>4157.46</v>
      </c>
      <c r="AC103" s="101"/>
      <c r="AD103" s="555">
        <f t="shared" si="37"/>
        <v>33218171</v>
      </c>
      <c r="AE103" s="632">
        <f t="shared" si="38"/>
        <v>10926.99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>
        <v>25429599</v>
      </c>
      <c r="F104" s="44">
        <v>5723.5</v>
      </c>
      <c r="G104" s="51"/>
      <c r="H104" s="52"/>
      <c r="I104" s="58">
        <v>13070970</v>
      </c>
      <c r="J104" s="17">
        <v>4377.6499999999996</v>
      </c>
      <c r="K104" s="101"/>
      <c r="L104" s="35"/>
      <c r="M104" s="36"/>
      <c r="N104" s="43">
        <v>19996352</v>
      </c>
      <c r="O104" s="44">
        <v>3551.26</v>
      </c>
      <c r="P104" s="51"/>
      <c r="Q104" s="52"/>
      <c r="R104" s="58">
        <v>7787321</v>
      </c>
      <c r="S104" s="17">
        <v>842.66</v>
      </c>
      <c r="T104" s="101"/>
      <c r="U104" s="35"/>
      <c r="V104" s="36"/>
      <c r="W104" s="43">
        <f t="shared" si="30"/>
        <v>5433247</v>
      </c>
      <c r="X104" s="44">
        <f t="shared" si="31"/>
        <v>2172.2399999999998</v>
      </c>
      <c r="Y104" s="51"/>
      <c r="Z104" s="52"/>
      <c r="AA104" s="58">
        <f t="shared" si="32"/>
        <v>5283649</v>
      </c>
      <c r="AB104" s="17">
        <f t="shared" si="33"/>
        <v>3534.99</v>
      </c>
      <c r="AC104" s="101"/>
      <c r="AD104" s="555">
        <f t="shared" si="37"/>
        <v>38500569</v>
      </c>
      <c r="AE104" s="632">
        <f t="shared" si="38"/>
        <v>10101.15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>
        <v>26287698</v>
      </c>
      <c r="F105" s="44">
        <v>5798.69</v>
      </c>
      <c r="G105" s="51"/>
      <c r="H105" s="52"/>
      <c r="I105" s="58">
        <v>16065480</v>
      </c>
      <c r="J105" s="17">
        <v>5760.89</v>
      </c>
      <c r="K105" s="101"/>
      <c r="L105" s="35"/>
      <c r="M105" s="36"/>
      <c r="N105" s="43">
        <v>20652462</v>
      </c>
      <c r="O105" s="44">
        <v>3612.34</v>
      </c>
      <c r="P105" s="51"/>
      <c r="Q105" s="52"/>
      <c r="R105" s="58">
        <v>8584604</v>
      </c>
      <c r="S105" s="17">
        <v>846.79</v>
      </c>
      <c r="T105" s="101"/>
      <c r="U105" s="35"/>
      <c r="V105" s="36"/>
      <c r="W105" s="43">
        <f t="shared" si="30"/>
        <v>5635236</v>
      </c>
      <c r="X105" s="44">
        <f t="shared" si="31"/>
        <v>2186.3499999999995</v>
      </c>
      <c r="Y105" s="51"/>
      <c r="Z105" s="52"/>
      <c r="AA105" s="58">
        <f t="shared" si="32"/>
        <v>7480876</v>
      </c>
      <c r="AB105" s="17">
        <f t="shared" si="33"/>
        <v>4914.1000000000004</v>
      </c>
      <c r="AC105" s="101"/>
      <c r="AD105" s="555">
        <f t="shared" si="37"/>
        <v>42353178</v>
      </c>
      <c r="AE105" s="632">
        <f t="shared" si="38"/>
        <v>11559.58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>
        <v>21232753</v>
      </c>
      <c r="F106" s="44">
        <v>5083.68</v>
      </c>
      <c r="G106" s="51"/>
      <c r="H106" s="52"/>
      <c r="I106" s="58">
        <v>17905601</v>
      </c>
      <c r="J106" s="17">
        <v>6632.73</v>
      </c>
      <c r="K106" s="101"/>
      <c r="L106" s="35"/>
      <c r="M106" s="36"/>
      <c r="N106" s="43">
        <v>15850079</v>
      </c>
      <c r="O106" s="44">
        <v>3048.97</v>
      </c>
      <c r="P106" s="51"/>
      <c r="Q106" s="52"/>
      <c r="R106" s="58">
        <v>7293676</v>
      </c>
      <c r="S106" s="17">
        <v>797.32</v>
      </c>
      <c r="T106" s="101"/>
      <c r="U106" s="35"/>
      <c r="V106" s="36"/>
      <c r="W106" s="43">
        <f t="shared" si="30"/>
        <v>5382674</v>
      </c>
      <c r="X106" s="44">
        <f t="shared" si="31"/>
        <v>2034.7100000000005</v>
      </c>
      <c r="Y106" s="51"/>
      <c r="Z106" s="52"/>
      <c r="AA106" s="58">
        <f t="shared" si="32"/>
        <v>10611925</v>
      </c>
      <c r="AB106" s="17">
        <f t="shared" si="33"/>
        <v>5835.41</v>
      </c>
      <c r="AC106" s="101"/>
      <c r="AD106" s="555">
        <f t="shared" si="37"/>
        <v>39138354</v>
      </c>
      <c r="AE106" s="632">
        <f t="shared" si="38"/>
        <v>11716.41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>
        <v>19907490</v>
      </c>
      <c r="F107" s="44">
        <v>5590.18</v>
      </c>
      <c r="G107" s="51"/>
      <c r="H107" s="52"/>
      <c r="I107" s="58">
        <v>19267150</v>
      </c>
      <c r="J107" s="17">
        <v>8955.56</v>
      </c>
      <c r="K107" s="101"/>
      <c r="L107" s="35"/>
      <c r="M107" s="36"/>
      <c r="N107" s="43">
        <v>14894443</v>
      </c>
      <c r="O107" s="44">
        <v>3616.95</v>
      </c>
      <c r="P107" s="51"/>
      <c r="Q107" s="52"/>
      <c r="R107" s="58">
        <v>6952535</v>
      </c>
      <c r="S107" s="17">
        <v>881.9</v>
      </c>
      <c r="T107" s="101"/>
      <c r="U107" s="35"/>
      <c r="V107" s="36"/>
      <c r="W107" s="43">
        <f t="shared" si="30"/>
        <v>5013047</v>
      </c>
      <c r="X107" s="44">
        <f t="shared" si="31"/>
        <v>1973.2300000000005</v>
      </c>
      <c r="Y107" s="51"/>
      <c r="Z107" s="52"/>
      <c r="AA107" s="58">
        <f t="shared" si="32"/>
        <v>12314615</v>
      </c>
      <c r="AB107" s="17">
        <f t="shared" si="33"/>
        <v>8073.66</v>
      </c>
      <c r="AC107" s="101"/>
      <c r="AD107" s="555">
        <f t="shared" si="37"/>
        <v>39174640</v>
      </c>
      <c r="AE107" s="632">
        <f t="shared" si="38"/>
        <v>14545.74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>
        <v>20677631</v>
      </c>
      <c r="F108" s="44">
        <v>5518.82</v>
      </c>
      <c r="G108" s="51"/>
      <c r="H108" s="52"/>
      <c r="I108" s="58">
        <v>14561951</v>
      </c>
      <c r="J108" s="17">
        <v>5238.1899999999996</v>
      </c>
      <c r="K108" s="101"/>
      <c r="L108" s="35"/>
      <c r="M108" s="36"/>
      <c r="N108" s="43">
        <v>15634522</v>
      </c>
      <c r="O108" s="44">
        <v>3444.87</v>
      </c>
      <c r="P108" s="51"/>
      <c r="Q108" s="52"/>
      <c r="R108" s="58">
        <v>6263189</v>
      </c>
      <c r="S108" s="17">
        <v>776.55</v>
      </c>
      <c r="T108" s="101"/>
      <c r="U108" s="35"/>
      <c r="V108" s="36"/>
      <c r="W108" s="43">
        <f t="shared" si="30"/>
        <v>5043109</v>
      </c>
      <c r="X108" s="44">
        <f t="shared" si="31"/>
        <v>2073.9499999999998</v>
      </c>
      <c r="Y108" s="51"/>
      <c r="Z108" s="52"/>
      <c r="AA108" s="58">
        <f t="shared" si="32"/>
        <v>8298762</v>
      </c>
      <c r="AB108" s="17">
        <f t="shared" si="33"/>
        <v>4461.6399999999994</v>
      </c>
      <c r="AC108" s="101"/>
      <c r="AD108" s="555">
        <f t="shared" si="37"/>
        <v>35239582</v>
      </c>
      <c r="AE108" s="632">
        <f t="shared" si="38"/>
        <v>10757.009999999998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>
        <v>20963300</v>
      </c>
      <c r="F109" s="44">
        <v>5574.02</v>
      </c>
      <c r="G109" s="51"/>
      <c r="H109" s="52"/>
      <c r="I109" s="58">
        <v>11699732</v>
      </c>
      <c r="J109" s="17">
        <v>3821.37</v>
      </c>
      <c r="K109" s="101"/>
      <c r="L109" s="35"/>
      <c r="M109" s="36"/>
      <c r="N109" s="43">
        <v>15635181</v>
      </c>
      <c r="O109" s="44">
        <v>3420.48</v>
      </c>
      <c r="P109" s="51"/>
      <c r="Q109" s="52"/>
      <c r="R109" s="58">
        <v>6159699</v>
      </c>
      <c r="S109" s="17">
        <v>776.21</v>
      </c>
      <c r="T109" s="101"/>
      <c r="U109" s="35"/>
      <c r="V109" s="36"/>
      <c r="W109" s="43">
        <f t="shared" si="30"/>
        <v>5328119</v>
      </c>
      <c r="X109" s="44">
        <f t="shared" si="31"/>
        <v>2153.5400000000004</v>
      </c>
      <c r="Y109" s="51"/>
      <c r="Z109" s="52"/>
      <c r="AA109" s="58">
        <f t="shared" si="32"/>
        <v>5540033</v>
      </c>
      <c r="AB109" s="17">
        <f t="shared" si="33"/>
        <v>3045.16</v>
      </c>
      <c r="AC109" s="101"/>
      <c r="AD109" s="555">
        <f t="shared" si="37"/>
        <v>32663032</v>
      </c>
      <c r="AE109" s="632">
        <f t="shared" si="38"/>
        <v>9395.39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>
        <v>20919919</v>
      </c>
      <c r="F110" s="44">
        <v>5305.97</v>
      </c>
      <c r="G110" s="51"/>
      <c r="H110" s="52"/>
      <c r="I110" s="58">
        <v>12275821</v>
      </c>
      <c r="J110" s="17">
        <v>4224.79</v>
      </c>
      <c r="K110" s="101"/>
      <c r="L110" s="35"/>
      <c r="M110" s="36"/>
      <c r="N110" s="43">
        <v>16001554</v>
      </c>
      <c r="O110" s="44">
        <v>3445.55</v>
      </c>
      <c r="P110" s="51"/>
      <c r="Q110" s="52"/>
      <c r="R110" s="58">
        <v>6079067</v>
      </c>
      <c r="S110" s="17">
        <v>788.86</v>
      </c>
      <c r="T110" s="101"/>
      <c r="U110" s="35"/>
      <c r="V110" s="36"/>
      <c r="W110" s="43">
        <f t="shared" si="30"/>
        <v>4918365</v>
      </c>
      <c r="X110" s="44">
        <f t="shared" si="31"/>
        <v>1860.42</v>
      </c>
      <c r="Y110" s="51"/>
      <c r="Z110" s="52"/>
      <c r="AA110" s="58">
        <f t="shared" si="32"/>
        <v>6196754</v>
      </c>
      <c r="AB110" s="17">
        <f t="shared" si="33"/>
        <v>3435.93</v>
      </c>
      <c r="AC110" s="101"/>
      <c r="AD110" s="555">
        <f t="shared" si="37"/>
        <v>33195740</v>
      </c>
      <c r="AE110" s="632">
        <f t="shared" si="38"/>
        <v>9530.76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>
        <v>24430701</v>
      </c>
      <c r="F111" s="44">
        <v>5792.28</v>
      </c>
      <c r="G111" s="51"/>
      <c r="H111" s="52"/>
      <c r="I111" s="58">
        <v>14747698</v>
      </c>
      <c r="J111" s="17">
        <v>4851.34</v>
      </c>
      <c r="K111" s="101"/>
      <c r="L111" s="35"/>
      <c r="M111" s="36"/>
      <c r="N111" s="43">
        <v>20429088</v>
      </c>
      <c r="O111" s="44">
        <v>4359.6400000000003</v>
      </c>
      <c r="P111" s="51"/>
      <c r="Q111" s="52"/>
      <c r="R111" s="58">
        <v>6829564</v>
      </c>
      <c r="S111" s="17">
        <v>786.61</v>
      </c>
      <c r="T111" s="101"/>
      <c r="U111" s="35"/>
      <c r="V111" s="36"/>
      <c r="W111" s="43">
        <f t="shared" si="30"/>
        <v>4001613</v>
      </c>
      <c r="X111" s="44">
        <f t="shared" si="31"/>
        <v>1432.6399999999994</v>
      </c>
      <c r="Y111" s="51"/>
      <c r="Z111" s="52"/>
      <c r="AA111" s="58">
        <f t="shared" si="32"/>
        <v>7918134</v>
      </c>
      <c r="AB111" s="17">
        <f t="shared" si="33"/>
        <v>4064.73</v>
      </c>
      <c r="AC111" s="101"/>
      <c r="AD111" s="555">
        <f t="shared" si="37"/>
        <v>39178399</v>
      </c>
      <c r="AE111" s="632">
        <f t="shared" si="38"/>
        <v>10643.619999999999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>
        <v>25287483</v>
      </c>
      <c r="F112" s="44">
        <v>5303.02</v>
      </c>
      <c r="G112" s="51"/>
      <c r="H112" s="52"/>
      <c r="I112" s="58">
        <v>21772454</v>
      </c>
      <c r="J112" s="17">
        <v>8709.77</v>
      </c>
      <c r="K112" s="101"/>
      <c r="L112" s="35"/>
      <c r="M112" s="36"/>
      <c r="N112" s="43">
        <v>21515375</v>
      </c>
      <c r="O112" s="44">
        <v>3901.38</v>
      </c>
      <c r="P112" s="51"/>
      <c r="Q112" s="52"/>
      <c r="R112" s="58">
        <v>8226583</v>
      </c>
      <c r="S112" s="17">
        <v>863.49</v>
      </c>
      <c r="T112" s="101"/>
      <c r="U112" s="35"/>
      <c r="V112" s="36"/>
      <c r="W112" s="43">
        <f t="shared" si="30"/>
        <v>3772108</v>
      </c>
      <c r="X112" s="44">
        <f t="shared" si="31"/>
        <v>1401.6400000000003</v>
      </c>
      <c r="Y112" s="51"/>
      <c r="Z112" s="52"/>
      <c r="AA112" s="58">
        <f t="shared" si="32"/>
        <v>13545871</v>
      </c>
      <c r="AB112" s="17">
        <f t="shared" si="33"/>
        <v>7846.2800000000007</v>
      </c>
      <c r="AC112" s="101"/>
      <c r="AD112" s="555">
        <f t="shared" si="37"/>
        <v>47059937</v>
      </c>
      <c r="AE112" s="632">
        <f t="shared" si="38"/>
        <v>14012.79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>
        <v>20824972</v>
      </c>
      <c r="F113" s="44">
        <v>5236.2</v>
      </c>
      <c r="G113" s="51"/>
      <c r="H113" s="52"/>
      <c r="I113" s="58">
        <v>20421072</v>
      </c>
      <c r="J113" s="17">
        <v>9207.9500000000007</v>
      </c>
      <c r="K113" s="101"/>
      <c r="L113" s="35"/>
      <c r="M113" s="36"/>
      <c r="N113" s="43">
        <v>17187719</v>
      </c>
      <c r="O113" s="44">
        <v>3916.35</v>
      </c>
      <c r="P113" s="51"/>
      <c r="Q113" s="52"/>
      <c r="R113" s="58">
        <v>7267545</v>
      </c>
      <c r="S113" s="17">
        <v>949.7</v>
      </c>
      <c r="T113" s="101"/>
      <c r="U113" s="35"/>
      <c r="V113" s="36"/>
      <c r="W113" s="43">
        <f t="shared" si="30"/>
        <v>3637253</v>
      </c>
      <c r="X113" s="44">
        <f t="shared" si="31"/>
        <v>1319.85</v>
      </c>
      <c r="Y113" s="51"/>
      <c r="Z113" s="52"/>
      <c r="AA113" s="58">
        <f t="shared" si="32"/>
        <v>13153527</v>
      </c>
      <c r="AB113" s="17">
        <f t="shared" si="33"/>
        <v>8258.25</v>
      </c>
      <c r="AC113" s="101"/>
      <c r="AD113" s="555">
        <f t="shared" si="37"/>
        <v>41246044</v>
      </c>
      <c r="AE113" s="632">
        <f t="shared" si="38"/>
        <v>14444.150000000001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>
        <v>26059719</v>
      </c>
      <c r="F114" s="44">
        <v>5239.99</v>
      </c>
      <c r="G114" s="51"/>
      <c r="H114" s="52"/>
      <c r="I114" s="58">
        <v>12224917</v>
      </c>
      <c r="J114" s="17">
        <v>5097.22</v>
      </c>
      <c r="K114" s="101"/>
      <c r="L114" s="35"/>
      <c r="M114" s="36"/>
      <c r="N114" s="43">
        <v>21288312</v>
      </c>
      <c r="O114" s="44">
        <v>3805.7</v>
      </c>
      <c r="P114" s="51"/>
      <c r="Q114" s="52"/>
      <c r="R114" s="58">
        <v>6156887</v>
      </c>
      <c r="S114" s="17">
        <v>924.17</v>
      </c>
      <c r="T114" s="101"/>
      <c r="U114" s="35"/>
      <c r="V114" s="36"/>
      <c r="W114" s="43">
        <f t="shared" si="30"/>
        <v>4771407</v>
      </c>
      <c r="X114" s="44">
        <f t="shared" si="31"/>
        <v>1434.29</v>
      </c>
      <c r="Y114" s="51"/>
      <c r="Z114" s="52"/>
      <c r="AA114" s="58">
        <f t="shared" si="32"/>
        <v>6068030</v>
      </c>
      <c r="AB114" s="17">
        <f t="shared" si="33"/>
        <v>4173.05</v>
      </c>
      <c r="AC114" s="101"/>
      <c r="AD114" s="555">
        <f t="shared" si="37"/>
        <v>38284636</v>
      </c>
      <c r="AE114" s="632">
        <f t="shared" si="38"/>
        <v>10337.209999999999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>
        <v>21143976</v>
      </c>
      <c r="F115" s="44">
        <v>5516.66</v>
      </c>
      <c r="G115" s="51"/>
      <c r="H115" s="52"/>
      <c r="I115" s="58">
        <v>7239427</v>
      </c>
      <c r="J115" s="17">
        <v>2374.33</v>
      </c>
      <c r="K115" s="101"/>
      <c r="L115" s="35"/>
      <c r="M115" s="36"/>
      <c r="N115" s="43">
        <v>16391196</v>
      </c>
      <c r="O115" s="44">
        <v>4012.6</v>
      </c>
      <c r="P115" s="51"/>
      <c r="Q115" s="52"/>
      <c r="R115" s="58">
        <v>4824659</v>
      </c>
      <c r="S115" s="17">
        <v>819.75</v>
      </c>
      <c r="T115" s="101"/>
      <c r="U115" s="35"/>
      <c r="V115" s="36"/>
      <c r="W115" s="43">
        <f t="shared" si="30"/>
        <v>4752780</v>
      </c>
      <c r="X115" s="44">
        <f t="shared" si="31"/>
        <v>1504.06</v>
      </c>
      <c r="Y115" s="51"/>
      <c r="Z115" s="52"/>
      <c r="AA115" s="58">
        <f t="shared" si="32"/>
        <v>2414768</v>
      </c>
      <c r="AB115" s="17">
        <f t="shared" si="33"/>
        <v>1554.58</v>
      </c>
      <c r="AC115" s="101"/>
      <c r="AD115" s="555">
        <f t="shared" si="37"/>
        <v>28383403</v>
      </c>
      <c r="AE115" s="632">
        <f t="shared" si="38"/>
        <v>7890.99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>
        <v>21225539</v>
      </c>
      <c r="F116" s="44">
        <v>4863.43</v>
      </c>
      <c r="G116" s="51"/>
      <c r="H116" s="52"/>
      <c r="I116" s="58">
        <v>6354644</v>
      </c>
      <c r="J116" s="17">
        <v>1834.67</v>
      </c>
      <c r="K116" s="101"/>
      <c r="L116" s="35"/>
      <c r="M116" s="36"/>
      <c r="N116" s="43">
        <v>16872046</v>
      </c>
      <c r="O116" s="44">
        <v>3521.86</v>
      </c>
      <c r="P116" s="51"/>
      <c r="Q116" s="52"/>
      <c r="R116" s="58">
        <v>4677924</v>
      </c>
      <c r="S116" s="17">
        <v>759.48</v>
      </c>
      <c r="T116" s="101"/>
      <c r="U116" s="35"/>
      <c r="V116" s="36"/>
      <c r="W116" s="43">
        <f t="shared" si="30"/>
        <v>4353493</v>
      </c>
      <c r="X116" s="44">
        <f t="shared" si="31"/>
        <v>1341.5700000000002</v>
      </c>
      <c r="Y116" s="51"/>
      <c r="Z116" s="52"/>
      <c r="AA116" s="58">
        <f t="shared" si="32"/>
        <v>1676720</v>
      </c>
      <c r="AB116" s="17">
        <f t="shared" si="33"/>
        <v>1075.19</v>
      </c>
      <c r="AC116" s="101"/>
      <c r="AD116" s="555">
        <f t="shared" si="37"/>
        <v>27580183</v>
      </c>
      <c r="AE116" s="632">
        <f t="shared" si="38"/>
        <v>6698.1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>
        <v>21285137</v>
      </c>
      <c r="F117" s="44">
        <v>5004.7299999999996</v>
      </c>
      <c r="G117" s="51"/>
      <c r="H117" s="52"/>
      <c r="I117" s="58">
        <v>6667114</v>
      </c>
      <c r="J117" s="17">
        <v>1921.16</v>
      </c>
      <c r="K117" s="101"/>
      <c r="L117" s="35"/>
      <c r="M117" s="36"/>
      <c r="N117" s="43">
        <v>17038293</v>
      </c>
      <c r="O117" s="44">
        <v>3583.39</v>
      </c>
      <c r="P117" s="51"/>
      <c r="Q117" s="52"/>
      <c r="R117" s="58">
        <v>4906546</v>
      </c>
      <c r="S117" s="17">
        <v>786.82</v>
      </c>
      <c r="T117" s="101"/>
      <c r="U117" s="35"/>
      <c r="V117" s="36"/>
      <c r="W117" s="43">
        <f t="shared" si="30"/>
        <v>4246844</v>
      </c>
      <c r="X117" s="44">
        <f t="shared" si="31"/>
        <v>1421.3399999999997</v>
      </c>
      <c r="Y117" s="51"/>
      <c r="Z117" s="52"/>
      <c r="AA117" s="58">
        <f t="shared" si="32"/>
        <v>1760568</v>
      </c>
      <c r="AB117" s="17">
        <f t="shared" si="33"/>
        <v>1134.3400000000001</v>
      </c>
      <c r="AC117" s="101"/>
      <c r="AD117" s="555">
        <f t="shared" si="37"/>
        <v>27952251</v>
      </c>
      <c r="AE117" s="632">
        <f t="shared" si="38"/>
        <v>6925.8899999999994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>
        <v>24449601</v>
      </c>
      <c r="F118" s="44">
        <v>5777.91</v>
      </c>
      <c r="G118" s="51"/>
      <c r="H118" s="52"/>
      <c r="I118" s="58">
        <v>6710288</v>
      </c>
      <c r="J118" s="17">
        <v>1730.92</v>
      </c>
      <c r="K118" s="101"/>
      <c r="L118" s="35"/>
      <c r="M118" s="36"/>
      <c r="N118" s="43">
        <v>20777800</v>
      </c>
      <c r="O118" s="44">
        <v>4359.05</v>
      </c>
      <c r="P118" s="51"/>
      <c r="Q118" s="52"/>
      <c r="R118" s="58">
        <v>5044615</v>
      </c>
      <c r="S118" s="17">
        <v>766.62</v>
      </c>
      <c r="T118" s="101"/>
      <c r="U118" s="35"/>
      <c r="V118" s="36"/>
      <c r="W118" s="43">
        <f t="shared" si="30"/>
        <v>3671801</v>
      </c>
      <c r="X118" s="44">
        <f t="shared" si="31"/>
        <v>1418.8599999999997</v>
      </c>
      <c r="Y118" s="51"/>
      <c r="Z118" s="52"/>
      <c r="AA118" s="58">
        <f t="shared" si="32"/>
        <v>1665673</v>
      </c>
      <c r="AB118" s="17">
        <f t="shared" si="33"/>
        <v>964.30000000000007</v>
      </c>
      <c r="AC118" s="101"/>
      <c r="AD118" s="555">
        <f t="shared" si="37"/>
        <v>31159889</v>
      </c>
      <c r="AE118" s="632">
        <f t="shared" si="38"/>
        <v>7508.83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>
        <v>26158983</v>
      </c>
      <c r="F119" s="44">
        <v>5812.29</v>
      </c>
      <c r="G119" s="51"/>
      <c r="H119" s="52"/>
      <c r="I119" s="58">
        <v>6838886</v>
      </c>
      <c r="J119" s="17">
        <v>1733.94</v>
      </c>
      <c r="K119" s="101"/>
      <c r="L119" s="35"/>
      <c r="M119" s="36"/>
      <c r="N119" s="43">
        <v>22166212</v>
      </c>
      <c r="O119" s="44">
        <v>4320.33</v>
      </c>
      <c r="P119" s="51"/>
      <c r="Q119" s="52"/>
      <c r="R119" s="58">
        <v>5359638</v>
      </c>
      <c r="S119" s="17">
        <v>820.65</v>
      </c>
      <c r="T119" s="101"/>
      <c r="U119" s="35"/>
      <c r="V119" s="36"/>
      <c r="W119" s="43">
        <f t="shared" si="30"/>
        <v>3992771</v>
      </c>
      <c r="X119" s="44">
        <f t="shared" si="31"/>
        <v>1491.96</v>
      </c>
      <c r="Y119" s="51"/>
      <c r="Z119" s="52"/>
      <c r="AA119" s="58">
        <f t="shared" si="32"/>
        <v>1479248</v>
      </c>
      <c r="AB119" s="17">
        <f t="shared" si="33"/>
        <v>913.29000000000008</v>
      </c>
      <c r="AC119" s="101"/>
      <c r="AD119" s="555">
        <f t="shared" si="37"/>
        <v>32997869</v>
      </c>
      <c r="AE119" s="632">
        <f t="shared" si="38"/>
        <v>7546.23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>
        <v>21211423</v>
      </c>
      <c r="F120" s="44">
        <v>5358.11</v>
      </c>
      <c r="G120" s="51"/>
      <c r="H120" s="52"/>
      <c r="I120" s="58">
        <v>6163980</v>
      </c>
      <c r="J120" s="17">
        <v>1716.78</v>
      </c>
      <c r="K120" s="101"/>
      <c r="L120" s="35"/>
      <c r="M120" s="36"/>
      <c r="N120" s="43">
        <v>17059361</v>
      </c>
      <c r="O120" s="44">
        <v>3827.42</v>
      </c>
      <c r="P120" s="51"/>
      <c r="Q120" s="52"/>
      <c r="R120" s="58">
        <v>4853178</v>
      </c>
      <c r="S120" s="17">
        <v>813.49</v>
      </c>
      <c r="T120" s="101"/>
      <c r="U120" s="35"/>
      <c r="V120" s="36"/>
      <c r="W120" s="43">
        <f t="shared" si="30"/>
        <v>4152062</v>
      </c>
      <c r="X120" s="44">
        <f t="shared" si="31"/>
        <v>1530.6899999999996</v>
      </c>
      <c r="Y120" s="51"/>
      <c r="Z120" s="52"/>
      <c r="AA120" s="58">
        <f t="shared" si="32"/>
        <v>1310802</v>
      </c>
      <c r="AB120" s="17">
        <f t="shared" si="33"/>
        <v>903.29</v>
      </c>
      <c r="AC120" s="101"/>
      <c r="AD120" s="555">
        <f t="shared" si="37"/>
        <v>27375403</v>
      </c>
      <c r="AE120" s="632">
        <f t="shared" si="38"/>
        <v>7074.8899999999994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>
        <v>20323249</v>
      </c>
      <c r="F121" s="44">
        <v>5583.36</v>
      </c>
      <c r="G121" s="51"/>
      <c r="H121" s="52"/>
      <c r="I121" s="58">
        <v>5859061</v>
      </c>
      <c r="J121" s="17">
        <v>1735.29</v>
      </c>
      <c r="K121" s="101"/>
      <c r="L121" s="35"/>
      <c r="M121" s="36"/>
      <c r="N121" s="43">
        <v>16373380</v>
      </c>
      <c r="O121" s="44">
        <v>4076.98</v>
      </c>
      <c r="P121" s="51"/>
      <c r="Q121" s="52"/>
      <c r="R121" s="58">
        <v>4535345</v>
      </c>
      <c r="S121" s="17">
        <v>778.63</v>
      </c>
      <c r="T121" s="101"/>
      <c r="U121" s="35"/>
      <c r="V121" s="36"/>
      <c r="W121" s="43">
        <f t="shared" si="30"/>
        <v>3949869</v>
      </c>
      <c r="X121" s="44">
        <f t="shared" si="31"/>
        <v>1506.3799999999997</v>
      </c>
      <c r="Y121" s="51"/>
      <c r="Z121" s="52"/>
      <c r="AA121" s="58">
        <f t="shared" si="32"/>
        <v>1323716</v>
      </c>
      <c r="AB121" s="17">
        <f t="shared" si="33"/>
        <v>956.66</v>
      </c>
      <c r="AC121" s="101"/>
      <c r="AD121" s="555">
        <f t="shared" si="37"/>
        <v>26182310</v>
      </c>
      <c r="AE121" s="632">
        <f t="shared" si="38"/>
        <v>7318.65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>
        <v>25482993</v>
      </c>
      <c r="F122" s="44">
        <v>6345.48</v>
      </c>
      <c r="G122" s="51"/>
      <c r="H122" s="52"/>
      <c r="I122" s="58">
        <v>6602107</v>
      </c>
      <c r="J122" s="17">
        <v>1706.3</v>
      </c>
      <c r="K122" s="101"/>
      <c r="L122" s="35"/>
      <c r="M122" s="36"/>
      <c r="N122" s="43">
        <v>21460716</v>
      </c>
      <c r="O122" s="44">
        <v>4725.8100000000004</v>
      </c>
      <c r="P122" s="51"/>
      <c r="Q122" s="52"/>
      <c r="R122" s="58">
        <v>5272151</v>
      </c>
      <c r="S122" s="17">
        <v>806.02</v>
      </c>
      <c r="T122" s="101"/>
      <c r="U122" s="35"/>
      <c r="V122" s="36"/>
      <c r="W122" s="43">
        <f t="shared" si="30"/>
        <v>4022277</v>
      </c>
      <c r="X122" s="44">
        <f t="shared" si="31"/>
        <v>1619.6699999999992</v>
      </c>
      <c r="Y122" s="51"/>
      <c r="Z122" s="52"/>
      <c r="AA122" s="58">
        <f t="shared" si="32"/>
        <v>1329956</v>
      </c>
      <c r="AB122" s="17">
        <f t="shared" si="33"/>
        <v>900.28</v>
      </c>
      <c r="AC122" s="101"/>
      <c r="AD122" s="555">
        <f t="shared" si="37"/>
        <v>32085100</v>
      </c>
      <c r="AE122" s="632">
        <f t="shared" si="38"/>
        <v>8051.78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>
        <v>21545020</v>
      </c>
      <c r="F123" s="44">
        <v>5363.91</v>
      </c>
      <c r="G123" s="51"/>
      <c r="H123" s="52"/>
      <c r="I123" s="58">
        <v>6314228</v>
      </c>
      <c r="J123" s="17">
        <v>1837.66</v>
      </c>
      <c r="K123" s="101"/>
      <c r="L123" s="35"/>
      <c r="M123" s="36"/>
      <c r="N123" s="43">
        <v>17428023</v>
      </c>
      <c r="O123" s="44">
        <v>3668.1</v>
      </c>
      <c r="P123" s="51"/>
      <c r="Q123" s="52"/>
      <c r="R123" s="58">
        <v>4914621</v>
      </c>
      <c r="S123" s="17">
        <v>709.76</v>
      </c>
      <c r="T123" s="101"/>
      <c r="U123" s="35"/>
      <c r="V123" s="36"/>
      <c r="W123" s="43">
        <f t="shared" si="30"/>
        <v>4116997</v>
      </c>
      <c r="X123" s="44">
        <f t="shared" si="31"/>
        <v>1695.81</v>
      </c>
      <c r="Y123" s="51"/>
      <c r="Z123" s="52"/>
      <c r="AA123" s="58">
        <f t="shared" si="32"/>
        <v>1399607</v>
      </c>
      <c r="AB123" s="17">
        <f t="shared" si="33"/>
        <v>1127.9000000000001</v>
      </c>
      <c r="AC123" s="101"/>
      <c r="AD123" s="555">
        <f t="shared" si="37"/>
        <v>27859248</v>
      </c>
      <c r="AE123" s="632">
        <f t="shared" si="38"/>
        <v>7201.57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>
        <v>21625195</v>
      </c>
      <c r="F124" s="44">
        <v>5845.84</v>
      </c>
      <c r="G124" s="51"/>
      <c r="H124" s="52"/>
      <c r="I124" s="58">
        <v>6018870</v>
      </c>
      <c r="J124" s="17">
        <v>1831.14</v>
      </c>
      <c r="K124" s="101"/>
      <c r="L124" s="35"/>
      <c r="M124" s="36"/>
      <c r="N124" s="43">
        <v>17185768</v>
      </c>
      <c r="O124" s="44">
        <v>4045.72</v>
      </c>
      <c r="P124" s="51"/>
      <c r="Q124" s="52"/>
      <c r="R124" s="58">
        <v>4624721</v>
      </c>
      <c r="S124" s="17">
        <v>750.58</v>
      </c>
      <c r="T124" s="101"/>
      <c r="U124" s="35"/>
      <c r="V124" s="36"/>
      <c r="W124" s="43">
        <f t="shared" si="30"/>
        <v>4439427</v>
      </c>
      <c r="X124" s="44">
        <f t="shared" si="31"/>
        <v>1800.1200000000003</v>
      </c>
      <c r="Y124" s="51"/>
      <c r="Z124" s="52"/>
      <c r="AA124" s="58">
        <f t="shared" si="32"/>
        <v>1394149</v>
      </c>
      <c r="AB124" s="17">
        <f t="shared" si="33"/>
        <v>1080.56</v>
      </c>
      <c r="AC124" s="101"/>
      <c r="AD124" s="555">
        <f t="shared" si="37"/>
        <v>27644065</v>
      </c>
      <c r="AE124" s="632">
        <f t="shared" si="38"/>
        <v>7676.9800000000005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>
        <v>27350647</v>
      </c>
      <c r="F125" s="44">
        <v>7155.97</v>
      </c>
      <c r="G125" s="51"/>
      <c r="H125" s="52"/>
      <c r="I125" s="58">
        <v>15250292</v>
      </c>
      <c r="J125" s="17">
        <v>6542.25</v>
      </c>
      <c r="K125" s="101"/>
      <c r="L125" s="35"/>
      <c r="M125" s="36"/>
      <c r="N125" s="43">
        <v>21774869</v>
      </c>
      <c r="O125" s="44">
        <v>5066.72</v>
      </c>
      <c r="P125" s="51"/>
      <c r="Q125" s="52"/>
      <c r="R125" s="58">
        <v>5655845</v>
      </c>
      <c r="S125" s="17">
        <v>812.43</v>
      </c>
      <c r="T125" s="101"/>
      <c r="U125" s="35"/>
      <c r="V125" s="36"/>
      <c r="W125" s="43">
        <f t="shared" si="30"/>
        <v>5575778</v>
      </c>
      <c r="X125" s="44">
        <f t="shared" si="31"/>
        <v>2089.25</v>
      </c>
      <c r="Y125" s="51"/>
      <c r="Z125" s="52"/>
      <c r="AA125" s="58">
        <f t="shared" si="32"/>
        <v>9594447</v>
      </c>
      <c r="AB125" s="17">
        <f t="shared" si="33"/>
        <v>5729.82</v>
      </c>
      <c r="AC125" s="101"/>
      <c r="AD125" s="555">
        <f t="shared" si="37"/>
        <v>42600939</v>
      </c>
      <c r="AE125" s="632">
        <f t="shared" si="38"/>
        <v>13698.220000000001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>
        <v>28670040</v>
      </c>
      <c r="F126" s="44">
        <v>7166.83</v>
      </c>
      <c r="G126" s="51"/>
      <c r="H126" s="52"/>
      <c r="I126" s="58">
        <v>14062173</v>
      </c>
      <c r="J126" s="17">
        <v>4905.38</v>
      </c>
      <c r="K126" s="101"/>
      <c r="L126" s="35"/>
      <c r="M126" s="36"/>
      <c r="N126" s="43">
        <v>22457696</v>
      </c>
      <c r="O126" s="44">
        <v>4968.72</v>
      </c>
      <c r="P126" s="51"/>
      <c r="Q126" s="52"/>
      <c r="R126" s="58">
        <v>5813976</v>
      </c>
      <c r="S126" s="17">
        <v>758.71</v>
      </c>
      <c r="T126" s="101"/>
      <c r="U126" s="35"/>
      <c r="V126" s="36"/>
      <c r="W126" s="43">
        <f t="shared" si="30"/>
        <v>6212344</v>
      </c>
      <c r="X126" s="44">
        <f t="shared" si="31"/>
        <v>2198.1099999999997</v>
      </c>
      <c r="Y126" s="51"/>
      <c r="Z126" s="52"/>
      <c r="AA126" s="58">
        <f t="shared" si="32"/>
        <v>8248197</v>
      </c>
      <c r="AB126" s="17">
        <f t="shared" si="33"/>
        <v>4146.67</v>
      </c>
      <c r="AC126" s="101"/>
      <c r="AD126" s="555">
        <f t="shared" si="37"/>
        <v>42732213</v>
      </c>
      <c r="AE126" s="632">
        <f t="shared" si="38"/>
        <v>12072.21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>
        <v>28954895</v>
      </c>
      <c r="F127" s="44">
        <v>7423.75</v>
      </c>
      <c r="G127" s="51"/>
      <c r="H127" s="52"/>
      <c r="I127" s="58">
        <v>13065888</v>
      </c>
      <c r="J127" s="17">
        <v>3992.7</v>
      </c>
      <c r="K127" s="101"/>
      <c r="L127" s="35"/>
      <c r="M127" s="36"/>
      <c r="N127" s="43">
        <v>22269357</v>
      </c>
      <c r="O127" s="44">
        <v>5032.97</v>
      </c>
      <c r="P127" s="51"/>
      <c r="Q127" s="52"/>
      <c r="R127" s="58">
        <v>5953451</v>
      </c>
      <c r="S127" s="17">
        <v>705.86</v>
      </c>
      <c r="T127" s="101"/>
      <c r="U127" s="35"/>
      <c r="V127" s="36"/>
      <c r="W127" s="43">
        <f t="shared" si="30"/>
        <v>6685538</v>
      </c>
      <c r="X127" s="44">
        <f t="shared" si="31"/>
        <v>2390.7799999999997</v>
      </c>
      <c r="Y127" s="51"/>
      <c r="Z127" s="52"/>
      <c r="AA127" s="58">
        <f t="shared" si="32"/>
        <v>7112437</v>
      </c>
      <c r="AB127" s="17">
        <f t="shared" si="33"/>
        <v>3286.8399999999997</v>
      </c>
      <c r="AC127" s="101"/>
      <c r="AD127" s="555">
        <f t="shared" si="37"/>
        <v>42020783</v>
      </c>
      <c r="AE127" s="632">
        <f t="shared" si="38"/>
        <v>11416.45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>
        <v>28215553</v>
      </c>
      <c r="F128" s="44">
        <v>6876.82</v>
      </c>
      <c r="G128" s="51"/>
      <c r="H128" s="52"/>
      <c r="I128" s="58">
        <v>13105444</v>
      </c>
      <c r="J128" s="17">
        <v>4618.09</v>
      </c>
      <c r="K128" s="101"/>
      <c r="L128" s="35"/>
      <c r="M128" s="36"/>
      <c r="N128" s="43">
        <v>21762933</v>
      </c>
      <c r="O128" s="44">
        <v>4501.6000000000004</v>
      </c>
      <c r="P128" s="51"/>
      <c r="Q128" s="52"/>
      <c r="R128" s="58">
        <v>6157059</v>
      </c>
      <c r="S128" s="17">
        <v>708.43</v>
      </c>
      <c r="T128" s="101"/>
      <c r="U128" s="35"/>
      <c r="V128" s="36"/>
      <c r="W128" s="43">
        <f t="shared" si="30"/>
        <v>6452620</v>
      </c>
      <c r="X128" s="44">
        <f t="shared" si="31"/>
        <v>2375.2199999999993</v>
      </c>
      <c r="Y128" s="51"/>
      <c r="Z128" s="52"/>
      <c r="AA128" s="58">
        <f t="shared" si="32"/>
        <v>6948385</v>
      </c>
      <c r="AB128" s="17">
        <f t="shared" si="33"/>
        <v>3909.6600000000003</v>
      </c>
      <c r="AC128" s="101"/>
      <c r="AD128" s="555">
        <f t="shared" si="37"/>
        <v>41320997</v>
      </c>
      <c r="AE128" s="632">
        <f t="shared" si="38"/>
        <v>11494.91</v>
      </c>
    </row>
    <row r="129" spans="1:31" collapsed="1">
      <c r="A129" s="104"/>
      <c r="B129" s="104" t="s">
        <v>16</v>
      </c>
      <c r="C129" s="105"/>
      <c r="D129" s="106"/>
      <c r="E129" s="107">
        <f t="shared" ref="E129:AB129" si="39">SUBTOTAL(9,E130:E160)</f>
        <v>796396532</v>
      </c>
      <c r="F129" s="108">
        <f t="shared" si="39"/>
        <v>206786.54000000004</v>
      </c>
      <c r="G129" s="109"/>
      <c r="H129" s="110"/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>
        <f t="shared" si="39"/>
        <v>579917316</v>
      </c>
      <c r="O129" s="108">
        <f t="shared" si="39"/>
        <v>122478.54000000001</v>
      </c>
      <c r="P129" s="109"/>
      <c r="Q129" s="110"/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>
        <f t="shared" si="39"/>
        <v>216479216</v>
      </c>
      <c r="X129" s="108">
        <f t="shared" si="39"/>
        <v>84308.000000000015</v>
      </c>
      <c r="Y129" s="109"/>
      <c r="Z129" s="110"/>
      <c r="AA129" s="111">
        <f t="shared" si="39"/>
        <v>244439295</v>
      </c>
      <c r="AB129" s="14">
        <f t="shared" si="39"/>
        <v>153462.91000000003</v>
      </c>
      <c r="AC129" s="103"/>
      <c r="AD129" s="555"/>
      <c r="AE129" s="632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>
        <v>22726652</v>
      </c>
      <c r="F130" s="44">
        <v>5896.44</v>
      </c>
      <c r="G130" s="51"/>
      <c r="H130" s="52"/>
      <c r="I130" s="58">
        <v>14687335</v>
      </c>
      <c r="J130" s="17">
        <v>5375.45</v>
      </c>
      <c r="K130" s="101"/>
      <c r="L130" s="35"/>
      <c r="M130" s="36"/>
      <c r="N130" s="43">
        <v>16786776</v>
      </c>
      <c r="O130" s="44">
        <v>3797.29</v>
      </c>
      <c r="P130" s="51"/>
      <c r="Q130" s="52"/>
      <c r="R130" s="58">
        <v>5233724</v>
      </c>
      <c r="S130" s="17">
        <v>652.98</v>
      </c>
      <c r="T130" s="101"/>
      <c r="U130" s="35"/>
      <c r="V130" s="36"/>
      <c r="W130" s="43">
        <f t="shared" si="30"/>
        <v>5939876</v>
      </c>
      <c r="X130" s="44">
        <f t="shared" si="31"/>
        <v>2099.1499999999996</v>
      </c>
      <c r="Y130" s="51"/>
      <c r="Z130" s="52"/>
      <c r="AA130" s="58">
        <f t="shared" si="32"/>
        <v>9453611</v>
      </c>
      <c r="AB130" s="17">
        <f t="shared" si="33"/>
        <v>4722.4699999999993</v>
      </c>
      <c r="AC130" s="101"/>
      <c r="AD130" s="555">
        <f t="shared" si="37"/>
        <v>37413987</v>
      </c>
      <c r="AE130" s="632">
        <f t="shared" si="38"/>
        <v>11271.89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>
        <v>20638779</v>
      </c>
      <c r="F131" s="44">
        <v>6267.69</v>
      </c>
      <c r="G131" s="51"/>
      <c r="H131" s="52"/>
      <c r="I131" s="58">
        <v>15016765</v>
      </c>
      <c r="J131" s="17">
        <v>6625.81</v>
      </c>
      <c r="K131" s="101"/>
      <c r="L131" s="35"/>
      <c r="M131" s="36"/>
      <c r="N131" s="43">
        <v>15760635</v>
      </c>
      <c r="O131" s="44">
        <v>4462.3599999999997</v>
      </c>
      <c r="P131" s="51"/>
      <c r="Q131" s="52"/>
      <c r="R131" s="58">
        <v>4955285</v>
      </c>
      <c r="S131" s="17">
        <v>881.96</v>
      </c>
      <c r="T131" s="101"/>
      <c r="U131" s="35"/>
      <c r="V131" s="36"/>
      <c r="W131" s="43">
        <f t="shared" si="30"/>
        <v>4878144</v>
      </c>
      <c r="X131" s="44">
        <f t="shared" si="31"/>
        <v>1805.33</v>
      </c>
      <c r="Y131" s="51"/>
      <c r="Z131" s="52"/>
      <c r="AA131" s="58">
        <f t="shared" si="32"/>
        <v>10061480</v>
      </c>
      <c r="AB131" s="17">
        <f t="shared" si="33"/>
        <v>5743.85</v>
      </c>
      <c r="AC131" s="101"/>
      <c r="AD131" s="555">
        <f t="shared" si="37"/>
        <v>35655544</v>
      </c>
      <c r="AE131" s="632">
        <f t="shared" si="38"/>
        <v>12893.5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>
        <v>20559860</v>
      </c>
      <c r="F132" s="44">
        <v>5572.34</v>
      </c>
      <c r="G132" s="51"/>
      <c r="H132" s="52"/>
      <c r="I132" s="58">
        <v>15847363</v>
      </c>
      <c r="J132" s="17">
        <v>7883.05</v>
      </c>
      <c r="K132" s="101"/>
      <c r="L132" s="35"/>
      <c r="M132" s="36"/>
      <c r="N132" s="43">
        <v>15789594</v>
      </c>
      <c r="O132" s="44">
        <v>3731.41</v>
      </c>
      <c r="P132" s="51"/>
      <c r="Q132" s="52"/>
      <c r="R132" s="58">
        <v>5087081</v>
      </c>
      <c r="S132" s="17">
        <v>735.25</v>
      </c>
      <c r="T132" s="101"/>
      <c r="U132" s="35"/>
      <c r="V132" s="36"/>
      <c r="W132" s="43">
        <f t="shared" si="30"/>
        <v>4770266</v>
      </c>
      <c r="X132" s="44">
        <f t="shared" si="31"/>
        <v>1840.9300000000003</v>
      </c>
      <c r="Y132" s="51"/>
      <c r="Z132" s="52"/>
      <c r="AA132" s="58">
        <f t="shared" si="32"/>
        <v>10760282</v>
      </c>
      <c r="AB132" s="17">
        <f t="shared" si="33"/>
        <v>7147.8</v>
      </c>
      <c r="AC132" s="101"/>
      <c r="AD132" s="555">
        <f t="shared" si="37"/>
        <v>36407223</v>
      </c>
      <c r="AE132" s="632">
        <f t="shared" si="38"/>
        <v>13455.39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>
        <v>25745750</v>
      </c>
      <c r="F133" s="44">
        <v>6218.19</v>
      </c>
      <c r="G133" s="51"/>
      <c r="H133" s="52"/>
      <c r="I133" s="58">
        <v>15534523</v>
      </c>
      <c r="J133" s="17">
        <v>6874.28</v>
      </c>
      <c r="K133" s="101"/>
      <c r="L133" s="35"/>
      <c r="M133" s="36"/>
      <c r="N133" s="43">
        <v>19875675</v>
      </c>
      <c r="O133" s="44">
        <v>4096.1499999999996</v>
      </c>
      <c r="P133" s="51"/>
      <c r="Q133" s="52"/>
      <c r="R133" s="58">
        <v>6026154</v>
      </c>
      <c r="S133" s="17">
        <v>833.71</v>
      </c>
      <c r="T133" s="101"/>
      <c r="U133" s="35"/>
      <c r="V133" s="36"/>
      <c r="W133" s="43">
        <f t="shared" si="30"/>
        <v>5870075</v>
      </c>
      <c r="X133" s="44">
        <f t="shared" si="31"/>
        <v>2122.04</v>
      </c>
      <c r="Y133" s="51"/>
      <c r="Z133" s="52"/>
      <c r="AA133" s="58">
        <f t="shared" si="32"/>
        <v>9508369</v>
      </c>
      <c r="AB133" s="17">
        <f t="shared" si="33"/>
        <v>6040.57</v>
      </c>
      <c r="AC133" s="101"/>
      <c r="AD133" s="555">
        <f t="shared" si="37"/>
        <v>41280273</v>
      </c>
      <c r="AE133" s="632">
        <f t="shared" si="38"/>
        <v>13092.47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>
        <v>27901413</v>
      </c>
      <c r="F134" s="44">
        <v>6454.04</v>
      </c>
      <c r="G134" s="51"/>
      <c r="H134" s="52"/>
      <c r="I134" s="58">
        <v>17249462</v>
      </c>
      <c r="J134" s="17">
        <v>6884.86</v>
      </c>
      <c r="K134" s="101"/>
      <c r="L134" s="35"/>
      <c r="M134" s="36"/>
      <c r="N134" s="43">
        <v>20493831</v>
      </c>
      <c r="O134" s="44">
        <v>3904.53</v>
      </c>
      <c r="P134" s="51"/>
      <c r="Q134" s="52"/>
      <c r="R134" s="58">
        <v>6913208</v>
      </c>
      <c r="S134" s="17">
        <v>920.8</v>
      </c>
      <c r="T134" s="101"/>
      <c r="U134" s="35"/>
      <c r="V134" s="36"/>
      <c r="W134" s="43">
        <f t="shared" si="30"/>
        <v>7407582</v>
      </c>
      <c r="X134" s="44">
        <f t="shared" si="31"/>
        <v>2549.5099999999998</v>
      </c>
      <c r="Y134" s="51"/>
      <c r="Z134" s="52"/>
      <c r="AA134" s="58">
        <f t="shared" si="32"/>
        <v>10336254</v>
      </c>
      <c r="AB134" s="17">
        <f t="shared" si="33"/>
        <v>5964.0599999999995</v>
      </c>
      <c r="AC134" s="101"/>
      <c r="AD134" s="555">
        <f t="shared" si="37"/>
        <v>45150875</v>
      </c>
      <c r="AE134" s="632">
        <f t="shared" si="38"/>
        <v>13338.9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>
        <v>22819950</v>
      </c>
      <c r="F135" s="44">
        <v>5761.83</v>
      </c>
      <c r="G135" s="51"/>
      <c r="H135" s="52"/>
      <c r="I135" s="58">
        <v>15547650</v>
      </c>
      <c r="J135" s="17">
        <v>6369.72</v>
      </c>
      <c r="K135" s="101"/>
      <c r="L135" s="35"/>
      <c r="M135" s="36"/>
      <c r="N135" s="43">
        <v>15446233</v>
      </c>
      <c r="O135" s="44">
        <v>3084.18</v>
      </c>
      <c r="P135" s="51"/>
      <c r="Q135" s="52"/>
      <c r="R135" s="58">
        <v>5637621</v>
      </c>
      <c r="S135" s="17">
        <v>778.59</v>
      </c>
      <c r="T135" s="101"/>
      <c r="U135" s="35"/>
      <c r="V135" s="36"/>
      <c r="W135" s="43">
        <f t="shared" si="30"/>
        <v>7373717</v>
      </c>
      <c r="X135" s="44">
        <f t="shared" si="31"/>
        <v>2677.65</v>
      </c>
      <c r="Y135" s="51"/>
      <c r="Z135" s="52"/>
      <c r="AA135" s="58">
        <f t="shared" si="32"/>
        <v>9910029</v>
      </c>
      <c r="AB135" s="17">
        <f t="shared" si="33"/>
        <v>5591.13</v>
      </c>
      <c r="AC135" s="101"/>
      <c r="AD135" s="555">
        <f t="shared" si="37"/>
        <v>38367600</v>
      </c>
      <c r="AE135" s="632">
        <f t="shared" si="38"/>
        <v>12131.55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>
        <v>20403072</v>
      </c>
      <c r="F136" s="44">
        <v>5710.88</v>
      </c>
      <c r="G136" s="51"/>
      <c r="H136" s="52"/>
      <c r="I136" s="58">
        <v>15697044</v>
      </c>
      <c r="J136" s="17">
        <v>7799.41</v>
      </c>
      <c r="K136" s="101"/>
      <c r="L136" s="35"/>
      <c r="M136" s="36"/>
      <c r="N136" s="43">
        <v>14862402</v>
      </c>
      <c r="O136" s="44">
        <v>3511.36</v>
      </c>
      <c r="P136" s="51"/>
      <c r="Q136" s="52"/>
      <c r="R136" s="58">
        <v>5017453</v>
      </c>
      <c r="S136" s="17">
        <v>806.73</v>
      </c>
      <c r="T136" s="101"/>
      <c r="U136" s="35"/>
      <c r="V136" s="36"/>
      <c r="W136" s="43">
        <f t="shared" si="30"/>
        <v>5540670</v>
      </c>
      <c r="X136" s="44">
        <f t="shared" si="31"/>
        <v>2199.52</v>
      </c>
      <c r="Y136" s="51"/>
      <c r="Z136" s="52"/>
      <c r="AA136" s="58">
        <f t="shared" si="32"/>
        <v>10679591</v>
      </c>
      <c r="AB136" s="17">
        <f t="shared" si="33"/>
        <v>6992.68</v>
      </c>
      <c r="AC136" s="101"/>
      <c r="AD136" s="555">
        <f t="shared" si="37"/>
        <v>36100116</v>
      </c>
      <c r="AE136" s="632">
        <f t="shared" si="38"/>
        <v>13510.29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>
        <v>21493689</v>
      </c>
      <c r="F137" s="44">
        <v>5857.72</v>
      </c>
      <c r="G137" s="51"/>
      <c r="H137" s="52"/>
      <c r="I137" s="58">
        <v>17494092</v>
      </c>
      <c r="J137" s="17">
        <v>8270.9500000000007</v>
      </c>
      <c r="K137" s="101"/>
      <c r="L137" s="35"/>
      <c r="M137" s="36"/>
      <c r="N137" s="43">
        <v>16013922</v>
      </c>
      <c r="O137" s="44">
        <v>3617.49</v>
      </c>
      <c r="P137" s="51"/>
      <c r="Q137" s="52"/>
      <c r="R137" s="58">
        <v>5185654</v>
      </c>
      <c r="S137" s="17">
        <v>782.41</v>
      </c>
      <c r="T137" s="101"/>
      <c r="U137" s="35"/>
      <c r="V137" s="36"/>
      <c r="W137" s="43">
        <f t="shared" si="30"/>
        <v>5479767</v>
      </c>
      <c r="X137" s="44">
        <f t="shared" si="31"/>
        <v>2240.2300000000005</v>
      </c>
      <c r="Y137" s="51"/>
      <c r="Z137" s="52"/>
      <c r="AA137" s="58">
        <f t="shared" si="32"/>
        <v>12308438</v>
      </c>
      <c r="AB137" s="17">
        <f t="shared" si="33"/>
        <v>7488.5400000000009</v>
      </c>
      <c r="AC137" s="101"/>
      <c r="AD137" s="555">
        <f t="shared" si="37"/>
        <v>38987781</v>
      </c>
      <c r="AE137" s="632">
        <f t="shared" si="38"/>
        <v>14128.670000000002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>
        <v>21598372</v>
      </c>
      <c r="F138" s="44">
        <v>5541.48</v>
      </c>
      <c r="G138" s="51"/>
      <c r="H138" s="52"/>
      <c r="I138" s="58">
        <v>17851428</v>
      </c>
      <c r="J138" s="17">
        <v>8200.1</v>
      </c>
      <c r="K138" s="101"/>
      <c r="L138" s="35"/>
      <c r="M138" s="36"/>
      <c r="N138" s="43">
        <v>16127221</v>
      </c>
      <c r="O138" s="44">
        <v>3503.13</v>
      </c>
      <c r="P138" s="51"/>
      <c r="Q138" s="52"/>
      <c r="R138" s="58">
        <v>5337721</v>
      </c>
      <c r="S138" s="17">
        <v>806.03</v>
      </c>
      <c r="T138" s="101"/>
      <c r="U138" s="35"/>
      <c r="V138" s="36"/>
      <c r="W138" s="43">
        <f t="shared" si="30"/>
        <v>5471151</v>
      </c>
      <c r="X138" s="44">
        <f t="shared" si="31"/>
        <v>2038.3499999999995</v>
      </c>
      <c r="Y138" s="51"/>
      <c r="Z138" s="52"/>
      <c r="AA138" s="58">
        <f t="shared" si="32"/>
        <v>12513707</v>
      </c>
      <c r="AB138" s="17">
        <f t="shared" si="33"/>
        <v>7394.0700000000006</v>
      </c>
      <c r="AC138" s="101"/>
      <c r="AD138" s="555">
        <f t="shared" si="37"/>
        <v>39449800</v>
      </c>
      <c r="AE138" s="632">
        <f t="shared" si="38"/>
        <v>13741.58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>
        <v>21383389</v>
      </c>
      <c r="F139" s="44">
        <v>5338.54</v>
      </c>
      <c r="G139" s="51"/>
      <c r="H139" s="52"/>
      <c r="I139" s="58">
        <v>16774848</v>
      </c>
      <c r="J139" s="17">
        <v>6861.78</v>
      </c>
      <c r="K139" s="101"/>
      <c r="L139" s="35"/>
      <c r="M139" s="36"/>
      <c r="N139" s="43">
        <v>16302614</v>
      </c>
      <c r="O139" s="44">
        <v>3440.53</v>
      </c>
      <c r="P139" s="51"/>
      <c r="Q139" s="52"/>
      <c r="R139" s="58">
        <v>5348488</v>
      </c>
      <c r="S139" s="17">
        <v>807.01</v>
      </c>
      <c r="T139" s="101"/>
      <c r="U139" s="35"/>
      <c r="V139" s="36"/>
      <c r="W139" s="43">
        <f t="shared" ref="W139:W204" si="40">E139-N139</f>
        <v>5080775</v>
      </c>
      <c r="X139" s="44">
        <f t="shared" ref="X139:X204" si="41">F139-O139</f>
        <v>1898.0099999999998</v>
      </c>
      <c r="Y139" s="51"/>
      <c r="Z139" s="52"/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555">
        <f t="shared" si="37"/>
        <v>38158237</v>
      </c>
      <c r="AE139" s="632">
        <f t="shared" si="38"/>
        <v>12200.32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>
        <v>25025748</v>
      </c>
      <c r="F140" s="44">
        <v>5738.86</v>
      </c>
      <c r="G140" s="51"/>
      <c r="H140" s="52"/>
      <c r="I140" s="58">
        <v>15723754</v>
      </c>
      <c r="J140" s="17">
        <v>6520.78</v>
      </c>
      <c r="K140" s="101"/>
      <c r="L140" s="35"/>
      <c r="M140" s="36"/>
      <c r="N140" s="43">
        <v>19862398</v>
      </c>
      <c r="O140" s="44">
        <v>3796.92</v>
      </c>
      <c r="P140" s="51"/>
      <c r="Q140" s="52"/>
      <c r="R140" s="58">
        <v>5393364</v>
      </c>
      <c r="S140" s="17">
        <v>685.61</v>
      </c>
      <c r="T140" s="101"/>
      <c r="U140" s="35"/>
      <c r="V140" s="36"/>
      <c r="W140" s="43">
        <f t="shared" si="40"/>
        <v>5163350</v>
      </c>
      <c r="X140" s="44">
        <f t="shared" si="41"/>
        <v>1941.9399999999996</v>
      </c>
      <c r="Y140" s="51"/>
      <c r="Z140" s="52"/>
      <c r="AA140" s="58">
        <f t="shared" si="42"/>
        <v>10330390</v>
      </c>
      <c r="AB140" s="17">
        <f t="shared" si="43"/>
        <v>5835.17</v>
      </c>
      <c r="AC140" s="101"/>
      <c r="AD140" s="555">
        <f t="shared" si="37"/>
        <v>40749502</v>
      </c>
      <c r="AE140" s="632">
        <f t="shared" si="38"/>
        <v>12259.64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>
        <v>26922901</v>
      </c>
      <c r="F141" s="44">
        <v>6038.92</v>
      </c>
      <c r="G141" s="51"/>
      <c r="H141" s="52"/>
      <c r="I141" s="58">
        <v>15383435</v>
      </c>
      <c r="J141" s="17">
        <v>6063.71</v>
      </c>
      <c r="K141" s="101"/>
      <c r="L141" s="35"/>
      <c r="M141" s="36"/>
      <c r="N141" s="43">
        <v>20658588</v>
      </c>
      <c r="O141" s="44">
        <v>3664.42</v>
      </c>
      <c r="P141" s="51"/>
      <c r="Q141" s="52"/>
      <c r="R141" s="58">
        <v>5622595</v>
      </c>
      <c r="S141" s="17">
        <v>664.65</v>
      </c>
      <c r="T141" s="101"/>
      <c r="U141" s="35"/>
      <c r="V141" s="36"/>
      <c r="W141" s="43">
        <f t="shared" si="40"/>
        <v>6264313</v>
      </c>
      <c r="X141" s="44">
        <f t="shared" si="41"/>
        <v>2374.5</v>
      </c>
      <c r="Y141" s="51"/>
      <c r="Z141" s="52"/>
      <c r="AA141" s="58">
        <f t="shared" si="42"/>
        <v>9760840</v>
      </c>
      <c r="AB141" s="17">
        <f t="shared" si="43"/>
        <v>5399.06</v>
      </c>
      <c r="AC141" s="101"/>
      <c r="AD141" s="555">
        <f t="shared" si="37"/>
        <v>42306336</v>
      </c>
      <c r="AE141" s="632">
        <f t="shared" si="38"/>
        <v>12102.630000000001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>
        <v>21880071</v>
      </c>
      <c r="F142" s="44">
        <v>5378.72</v>
      </c>
      <c r="G142" s="51"/>
      <c r="H142" s="52"/>
      <c r="I142" s="58">
        <v>16757881</v>
      </c>
      <c r="J142" s="17">
        <v>7879.12</v>
      </c>
      <c r="K142" s="101"/>
      <c r="L142" s="35"/>
      <c r="M142" s="36"/>
      <c r="N142" s="43">
        <v>15243367</v>
      </c>
      <c r="O142" s="44">
        <v>2781.92</v>
      </c>
      <c r="P142" s="51"/>
      <c r="Q142" s="52"/>
      <c r="R142" s="58">
        <v>5351356</v>
      </c>
      <c r="S142" s="17">
        <v>681.89</v>
      </c>
      <c r="T142" s="101"/>
      <c r="U142" s="35"/>
      <c r="V142" s="36"/>
      <c r="W142" s="43">
        <f t="shared" si="40"/>
        <v>6636704</v>
      </c>
      <c r="X142" s="44">
        <f t="shared" si="41"/>
        <v>2596.8000000000002</v>
      </c>
      <c r="Y142" s="51"/>
      <c r="Z142" s="52"/>
      <c r="AA142" s="58">
        <f t="shared" si="42"/>
        <v>11406525</v>
      </c>
      <c r="AB142" s="17">
        <f t="shared" si="43"/>
        <v>7197.23</v>
      </c>
      <c r="AC142" s="101"/>
      <c r="AD142" s="555">
        <f t="shared" si="37"/>
        <v>38637952</v>
      </c>
      <c r="AE142" s="632">
        <f t="shared" si="38"/>
        <v>13257.84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>
        <v>22969040</v>
      </c>
      <c r="F143" s="44">
        <v>6431.16</v>
      </c>
      <c r="G143" s="51"/>
      <c r="H143" s="52"/>
      <c r="I143" s="58">
        <v>15138297</v>
      </c>
      <c r="J143" s="17">
        <v>7387.57</v>
      </c>
      <c r="K143" s="101"/>
      <c r="L143" s="35"/>
      <c r="M143" s="36"/>
      <c r="N143" s="43">
        <v>15198561</v>
      </c>
      <c r="O143" s="44">
        <v>3079.39</v>
      </c>
      <c r="P143" s="51"/>
      <c r="Q143" s="52"/>
      <c r="R143" s="58">
        <v>5230144</v>
      </c>
      <c r="S143" s="17">
        <v>756.62</v>
      </c>
      <c r="T143" s="101"/>
      <c r="U143" s="35"/>
      <c r="V143" s="36"/>
      <c r="W143" s="43">
        <f t="shared" si="40"/>
        <v>7770479</v>
      </c>
      <c r="X143" s="44">
        <f t="shared" si="41"/>
        <v>3351.77</v>
      </c>
      <c r="Y143" s="51"/>
      <c r="Z143" s="52"/>
      <c r="AA143" s="58">
        <f t="shared" si="42"/>
        <v>9908153</v>
      </c>
      <c r="AB143" s="17">
        <f t="shared" si="43"/>
        <v>6630.95</v>
      </c>
      <c r="AC143" s="101"/>
      <c r="AD143" s="555">
        <f t="shared" si="37"/>
        <v>38107337</v>
      </c>
      <c r="AE143" s="632">
        <f t="shared" si="38"/>
        <v>13818.73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>
        <v>30766970</v>
      </c>
      <c r="F144" s="44">
        <v>7048.04</v>
      </c>
      <c r="G144" s="51"/>
      <c r="H144" s="52"/>
      <c r="I144" s="58">
        <v>12675762</v>
      </c>
      <c r="J144" s="17">
        <v>3857.39</v>
      </c>
      <c r="K144" s="101"/>
      <c r="L144" s="35"/>
      <c r="M144" s="36"/>
      <c r="N144" s="43">
        <v>16755711</v>
      </c>
      <c r="O144" s="44">
        <v>3083.29</v>
      </c>
      <c r="P144" s="51"/>
      <c r="Q144" s="52"/>
      <c r="R144" s="58">
        <v>5204587</v>
      </c>
      <c r="S144" s="17">
        <v>693.93</v>
      </c>
      <c r="T144" s="101"/>
      <c r="U144" s="35"/>
      <c r="V144" s="36"/>
      <c r="W144" s="43">
        <f t="shared" si="40"/>
        <v>14011259</v>
      </c>
      <c r="X144" s="44">
        <f t="shared" si="41"/>
        <v>3964.75</v>
      </c>
      <c r="Y144" s="51"/>
      <c r="Z144" s="52"/>
      <c r="AA144" s="58">
        <f t="shared" si="42"/>
        <v>7471175</v>
      </c>
      <c r="AB144" s="17">
        <f t="shared" si="43"/>
        <v>3163.46</v>
      </c>
      <c r="AC144" s="101"/>
      <c r="AD144" s="555">
        <f t="shared" si="37"/>
        <v>43442732</v>
      </c>
      <c r="AE144" s="632">
        <f t="shared" si="38"/>
        <v>10905.43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>
        <v>28440727</v>
      </c>
      <c r="F145" s="44">
        <v>7707.85</v>
      </c>
      <c r="G145" s="51"/>
      <c r="H145" s="52"/>
      <c r="I145" s="58">
        <v>11847053</v>
      </c>
      <c r="J145" s="17">
        <v>5143.8500000000004</v>
      </c>
      <c r="K145" s="101"/>
      <c r="L145" s="35"/>
      <c r="M145" s="36"/>
      <c r="N145" s="43">
        <v>17936811</v>
      </c>
      <c r="O145" s="44">
        <v>3489</v>
      </c>
      <c r="P145" s="51"/>
      <c r="Q145" s="52"/>
      <c r="R145" s="58">
        <v>5117668</v>
      </c>
      <c r="S145" s="17">
        <v>743.4</v>
      </c>
      <c r="T145" s="101"/>
      <c r="U145" s="35"/>
      <c r="V145" s="36"/>
      <c r="W145" s="43">
        <f t="shared" si="40"/>
        <v>10503916</v>
      </c>
      <c r="X145" s="44">
        <f t="shared" si="41"/>
        <v>4218.8500000000004</v>
      </c>
      <c r="Y145" s="51"/>
      <c r="Z145" s="52"/>
      <c r="AA145" s="58">
        <f t="shared" si="42"/>
        <v>6729385</v>
      </c>
      <c r="AB145" s="17">
        <f t="shared" si="43"/>
        <v>4400.4500000000007</v>
      </c>
      <c r="AC145" s="101"/>
      <c r="AD145" s="555">
        <f t="shared" si="37"/>
        <v>40287780</v>
      </c>
      <c r="AE145" s="632">
        <f t="shared" si="38"/>
        <v>12851.7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>
        <v>27067078</v>
      </c>
      <c r="F146" s="44">
        <v>6601.37</v>
      </c>
      <c r="G146" s="51"/>
      <c r="H146" s="52"/>
      <c r="I146" s="58">
        <v>10980105</v>
      </c>
      <c r="J146" s="17">
        <v>4135.49</v>
      </c>
      <c r="K146" s="101"/>
      <c r="L146" s="35"/>
      <c r="M146" s="36"/>
      <c r="N146" s="43">
        <v>19151446</v>
      </c>
      <c r="O146" s="44">
        <v>3495.95</v>
      </c>
      <c r="P146" s="51"/>
      <c r="Q146" s="52"/>
      <c r="R146" s="58">
        <v>4729252</v>
      </c>
      <c r="S146" s="17">
        <v>651.88</v>
      </c>
      <c r="T146" s="101"/>
      <c r="U146" s="35"/>
      <c r="V146" s="36"/>
      <c r="W146" s="43">
        <f t="shared" si="40"/>
        <v>7915632</v>
      </c>
      <c r="X146" s="44">
        <f t="shared" si="41"/>
        <v>3105.42</v>
      </c>
      <c r="Y146" s="51"/>
      <c r="Z146" s="52"/>
      <c r="AA146" s="58">
        <f t="shared" si="42"/>
        <v>6250853</v>
      </c>
      <c r="AB146" s="17">
        <f t="shared" si="43"/>
        <v>3483.6099999999997</v>
      </c>
      <c r="AC146" s="101"/>
      <c r="AD146" s="555">
        <f t="shared" si="37"/>
        <v>38047183</v>
      </c>
      <c r="AE146" s="632">
        <f t="shared" si="38"/>
        <v>10736.86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>
        <v>29349841</v>
      </c>
      <c r="F147" s="44">
        <v>6767.74</v>
      </c>
      <c r="G147" s="51"/>
      <c r="H147" s="52"/>
      <c r="I147" s="58">
        <v>12086936</v>
      </c>
      <c r="J147" s="17">
        <v>5100.26</v>
      </c>
      <c r="K147" s="101"/>
      <c r="L147" s="35"/>
      <c r="M147" s="36"/>
      <c r="N147" s="43">
        <v>21863744</v>
      </c>
      <c r="O147" s="44">
        <v>3817.04</v>
      </c>
      <c r="P147" s="51"/>
      <c r="Q147" s="52"/>
      <c r="R147" s="58">
        <v>4909664</v>
      </c>
      <c r="S147" s="17">
        <v>670.95</v>
      </c>
      <c r="T147" s="101"/>
      <c r="U147" s="35"/>
      <c r="V147" s="36"/>
      <c r="W147" s="43">
        <f t="shared" si="40"/>
        <v>7486097</v>
      </c>
      <c r="X147" s="44">
        <f t="shared" si="41"/>
        <v>2950.7</v>
      </c>
      <c r="Y147" s="51"/>
      <c r="Z147" s="52"/>
      <c r="AA147" s="58">
        <f t="shared" si="42"/>
        <v>7177272</v>
      </c>
      <c r="AB147" s="17">
        <f t="shared" si="43"/>
        <v>4429.3100000000004</v>
      </c>
      <c r="AC147" s="101"/>
      <c r="AD147" s="555">
        <f t="shared" si="37"/>
        <v>41436777</v>
      </c>
      <c r="AE147" s="632">
        <f t="shared" si="38"/>
        <v>11868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>
        <v>29766840</v>
      </c>
      <c r="F148" s="44">
        <v>6898.39</v>
      </c>
      <c r="G148" s="51"/>
      <c r="H148" s="52"/>
      <c r="I148" s="58">
        <v>14177910</v>
      </c>
      <c r="J148" s="17">
        <v>6150.73</v>
      </c>
      <c r="K148" s="101"/>
      <c r="L148" s="35"/>
      <c r="M148" s="36"/>
      <c r="N148" s="43">
        <v>22399539</v>
      </c>
      <c r="O148" s="44">
        <v>4000.66</v>
      </c>
      <c r="P148" s="51"/>
      <c r="Q148" s="52"/>
      <c r="R148" s="58">
        <v>4792503</v>
      </c>
      <c r="S148" s="17">
        <v>645.54</v>
      </c>
      <c r="T148" s="101"/>
      <c r="U148" s="35"/>
      <c r="V148" s="36"/>
      <c r="W148" s="43">
        <f t="shared" si="40"/>
        <v>7367301</v>
      </c>
      <c r="X148" s="44">
        <f t="shared" si="41"/>
        <v>2897.7300000000005</v>
      </c>
      <c r="Y148" s="51"/>
      <c r="Z148" s="52"/>
      <c r="AA148" s="58">
        <f t="shared" si="42"/>
        <v>9385407</v>
      </c>
      <c r="AB148" s="17">
        <f t="shared" si="43"/>
        <v>5505.19</v>
      </c>
      <c r="AC148" s="101"/>
      <c r="AD148" s="555">
        <f t="shared" si="37"/>
        <v>43944750</v>
      </c>
      <c r="AE148" s="632">
        <f t="shared" si="38"/>
        <v>13049.119999999999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>
        <v>26109945</v>
      </c>
      <c r="F149" s="44">
        <v>6829.38</v>
      </c>
      <c r="G149" s="51"/>
      <c r="H149" s="52"/>
      <c r="I149" s="58">
        <v>12304505</v>
      </c>
      <c r="J149" s="17">
        <v>5304.38</v>
      </c>
      <c r="K149" s="101"/>
      <c r="L149" s="35"/>
      <c r="M149" s="36"/>
      <c r="N149" s="43">
        <v>18387285</v>
      </c>
      <c r="O149" s="44">
        <v>4025.63</v>
      </c>
      <c r="P149" s="51"/>
      <c r="Q149" s="52"/>
      <c r="R149" s="58">
        <v>4507071</v>
      </c>
      <c r="S149" s="17">
        <v>582.70000000000005</v>
      </c>
      <c r="T149" s="101"/>
      <c r="U149" s="35"/>
      <c r="V149" s="36"/>
      <c r="W149" s="43">
        <f t="shared" si="40"/>
        <v>7722660</v>
      </c>
      <c r="X149" s="44">
        <f t="shared" si="41"/>
        <v>2803.75</v>
      </c>
      <c r="Y149" s="51"/>
      <c r="Z149" s="52"/>
      <c r="AA149" s="58">
        <f t="shared" si="42"/>
        <v>7797434</v>
      </c>
      <c r="AB149" s="17">
        <f t="shared" si="43"/>
        <v>4721.68</v>
      </c>
      <c r="AC149" s="101"/>
      <c r="AD149" s="555">
        <f t="shared" si="37"/>
        <v>38414450</v>
      </c>
      <c r="AE149" s="632">
        <f t="shared" si="38"/>
        <v>12133.76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>
        <v>25659625</v>
      </c>
      <c r="F150" s="44">
        <v>7239.86</v>
      </c>
      <c r="G150" s="51"/>
      <c r="H150" s="52"/>
      <c r="I150" s="58">
        <v>10131757</v>
      </c>
      <c r="J150" s="17">
        <v>4957.29</v>
      </c>
      <c r="K150" s="101"/>
      <c r="L150" s="35"/>
      <c r="M150" s="36"/>
      <c r="N150" s="43">
        <v>18049608</v>
      </c>
      <c r="O150" s="44">
        <v>4224.7</v>
      </c>
      <c r="P150" s="51"/>
      <c r="Q150" s="52"/>
      <c r="R150" s="58">
        <v>4385246</v>
      </c>
      <c r="S150" s="17">
        <v>727.13</v>
      </c>
      <c r="T150" s="101"/>
      <c r="U150" s="35"/>
      <c r="V150" s="36"/>
      <c r="W150" s="43">
        <f t="shared" si="40"/>
        <v>7610017</v>
      </c>
      <c r="X150" s="44">
        <f t="shared" si="41"/>
        <v>3015.16</v>
      </c>
      <c r="Y150" s="51"/>
      <c r="Z150" s="52"/>
      <c r="AA150" s="58">
        <f t="shared" si="42"/>
        <v>5746511</v>
      </c>
      <c r="AB150" s="17">
        <f t="shared" si="43"/>
        <v>4230.16</v>
      </c>
      <c r="AC150" s="101"/>
      <c r="AD150" s="555">
        <f t="shared" si="37"/>
        <v>35791382</v>
      </c>
      <c r="AE150" s="632">
        <f t="shared" si="38"/>
        <v>12197.15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>
        <v>26205896</v>
      </c>
      <c r="F151" s="44">
        <v>7398.26</v>
      </c>
      <c r="G151" s="51"/>
      <c r="H151" s="52"/>
      <c r="I151" s="58">
        <v>9498038</v>
      </c>
      <c r="J151" s="17">
        <v>4744.18</v>
      </c>
      <c r="K151" s="101"/>
      <c r="L151" s="35"/>
      <c r="M151" s="36"/>
      <c r="N151" s="43">
        <v>18679555</v>
      </c>
      <c r="O151" s="44">
        <v>4378.6400000000003</v>
      </c>
      <c r="P151" s="51"/>
      <c r="Q151" s="52"/>
      <c r="R151" s="58">
        <v>4481674</v>
      </c>
      <c r="S151" s="17">
        <v>734.47</v>
      </c>
      <c r="T151" s="101"/>
      <c r="U151" s="35"/>
      <c r="V151" s="36"/>
      <c r="W151" s="43">
        <f t="shared" si="40"/>
        <v>7526341</v>
      </c>
      <c r="X151" s="44">
        <f t="shared" si="41"/>
        <v>3019.62</v>
      </c>
      <c r="Y151" s="51"/>
      <c r="Z151" s="52"/>
      <c r="AA151" s="58">
        <f t="shared" si="42"/>
        <v>5016364</v>
      </c>
      <c r="AB151" s="17">
        <f t="shared" si="43"/>
        <v>4009.71</v>
      </c>
      <c r="AC151" s="101"/>
      <c r="AD151" s="555">
        <f t="shared" si="37"/>
        <v>35703934</v>
      </c>
      <c r="AE151" s="632">
        <f t="shared" si="38"/>
        <v>12142.44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>
        <v>26123982</v>
      </c>
      <c r="F152" s="44">
        <v>7023.92</v>
      </c>
      <c r="G152" s="51"/>
      <c r="H152" s="52"/>
      <c r="I152" s="58">
        <v>9561561</v>
      </c>
      <c r="J152" s="17">
        <v>5176.8500000000004</v>
      </c>
      <c r="K152" s="101"/>
      <c r="L152" s="35"/>
      <c r="M152" s="36"/>
      <c r="N152" s="43">
        <v>18984138</v>
      </c>
      <c r="O152" s="44">
        <v>4105.88</v>
      </c>
      <c r="P152" s="51"/>
      <c r="Q152" s="52"/>
      <c r="R152" s="58">
        <v>4505415</v>
      </c>
      <c r="S152" s="17">
        <v>715.79</v>
      </c>
      <c r="T152" s="101"/>
      <c r="U152" s="35"/>
      <c r="V152" s="36"/>
      <c r="W152" s="43">
        <f t="shared" si="40"/>
        <v>7139844</v>
      </c>
      <c r="X152" s="44">
        <f t="shared" si="41"/>
        <v>2918.04</v>
      </c>
      <c r="Y152" s="51"/>
      <c r="Z152" s="52"/>
      <c r="AA152" s="58">
        <f t="shared" si="42"/>
        <v>5056146</v>
      </c>
      <c r="AB152" s="17">
        <f t="shared" si="43"/>
        <v>4461.0600000000004</v>
      </c>
      <c r="AC152" s="101"/>
      <c r="AD152" s="555">
        <f t="shared" si="37"/>
        <v>35685543</v>
      </c>
      <c r="AE152" s="632">
        <f t="shared" si="38"/>
        <v>12200.77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>
        <v>25212571</v>
      </c>
      <c r="F153" s="44">
        <v>8208.9699999999993</v>
      </c>
      <c r="G153" s="51"/>
      <c r="H153" s="52"/>
      <c r="I153" s="58">
        <v>9789183</v>
      </c>
      <c r="J153" s="17">
        <v>5571.41</v>
      </c>
      <c r="K153" s="101"/>
      <c r="L153" s="35"/>
      <c r="M153" s="36"/>
      <c r="N153" s="43">
        <v>19556134</v>
      </c>
      <c r="O153" s="44">
        <v>5790.72</v>
      </c>
      <c r="P153" s="51"/>
      <c r="Q153" s="52"/>
      <c r="R153" s="58">
        <v>4414516</v>
      </c>
      <c r="S153" s="17">
        <v>904.31</v>
      </c>
      <c r="T153" s="101"/>
      <c r="U153" s="35"/>
      <c r="V153" s="36"/>
      <c r="W153" s="43">
        <f t="shared" si="40"/>
        <v>5656437</v>
      </c>
      <c r="X153" s="44">
        <f t="shared" si="41"/>
        <v>2418.2499999999991</v>
      </c>
      <c r="Y153" s="51"/>
      <c r="Z153" s="52"/>
      <c r="AA153" s="58">
        <f t="shared" si="42"/>
        <v>5374667</v>
      </c>
      <c r="AB153" s="17">
        <f t="shared" si="43"/>
        <v>4667.1000000000004</v>
      </c>
      <c r="AC153" s="101"/>
      <c r="AD153" s="555">
        <f t="shared" si="37"/>
        <v>35001754</v>
      </c>
      <c r="AE153" s="632">
        <f t="shared" si="38"/>
        <v>13780.38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>
        <v>26621018</v>
      </c>
      <c r="F154" s="44">
        <v>6990.37</v>
      </c>
      <c r="G154" s="51"/>
      <c r="H154" s="52"/>
      <c r="I154" s="58">
        <v>10298219</v>
      </c>
      <c r="J154" s="17">
        <v>5506.67</v>
      </c>
      <c r="K154" s="101"/>
      <c r="L154" s="35"/>
      <c r="M154" s="36"/>
      <c r="N154" s="43">
        <v>20847265</v>
      </c>
      <c r="O154" s="44">
        <v>4547.97</v>
      </c>
      <c r="P154" s="51"/>
      <c r="Q154" s="52"/>
      <c r="R154" s="58">
        <v>4456939</v>
      </c>
      <c r="S154" s="17">
        <v>704.22</v>
      </c>
      <c r="T154" s="101"/>
      <c r="U154" s="35"/>
      <c r="V154" s="36"/>
      <c r="W154" s="43">
        <f t="shared" si="40"/>
        <v>5773753</v>
      </c>
      <c r="X154" s="44">
        <f t="shared" si="41"/>
        <v>2442.3999999999996</v>
      </c>
      <c r="Y154" s="51"/>
      <c r="Z154" s="52"/>
      <c r="AA154" s="58">
        <f t="shared" si="42"/>
        <v>5841280</v>
      </c>
      <c r="AB154" s="17">
        <f t="shared" si="43"/>
        <v>4802.45</v>
      </c>
      <c r="AC154" s="101"/>
      <c r="AD154" s="555">
        <f t="shared" si="37"/>
        <v>36919237</v>
      </c>
      <c r="AE154" s="632">
        <f t="shared" si="38"/>
        <v>12497.04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>
        <v>28458581</v>
      </c>
      <c r="F155" s="44">
        <v>7764.26</v>
      </c>
      <c r="G155" s="51"/>
      <c r="H155" s="52"/>
      <c r="I155" s="58">
        <v>10808074</v>
      </c>
      <c r="J155" s="17">
        <v>5194.51</v>
      </c>
      <c r="K155" s="101"/>
      <c r="L155" s="35"/>
      <c r="M155" s="36"/>
      <c r="N155" s="43">
        <v>22061284</v>
      </c>
      <c r="O155" s="44">
        <v>5168.84</v>
      </c>
      <c r="P155" s="51"/>
      <c r="Q155" s="52"/>
      <c r="R155" s="58">
        <v>4586114</v>
      </c>
      <c r="S155" s="17">
        <v>710.09</v>
      </c>
      <c r="T155" s="101"/>
      <c r="U155" s="35"/>
      <c r="V155" s="36"/>
      <c r="W155" s="43">
        <f t="shared" si="40"/>
        <v>6397297</v>
      </c>
      <c r="X155" s="44">
        <f t="shared" si="41"/>
        <v>2595.42</v>
      </c>
      <c r="Y155" s="51"/>
      <c r="Z155" s="52"/>
      <c r="AA155" s="58">
        <f t="shared" si="42"/>
        <v>6221960</v>
      </c>
      <c r="AB155" s="17">
        <f t="shared" si="43"/>
        <v>4484.42</v>
      </c>
      <c r="AC155" s="101"/>
      <c r="AD155" s="555">
        <f t="shared" si="37"/>
        <v>39266655</v>
      </c>
      <c r="AE155" s="632">
        <f t="shared" si="38"/>
        <v>12958.77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>
        <v>27292966</v>
      </c>
      <c r="F156" s="44">
        <v>7337.7</v>
      </c>
      <c r="G156" s="51"/>
      <c r="H156" s="52"/>
      <c r="I156" s="58">
        <v>9008983</v>
      </c>
      <c r="J156" s="17">
        <v>3781</v>
      </c>
      <c r="K156" s="101"/>
      <c r="L156" s="35"/>
      <c r="M156" s="36"/>
      <c r="N156" s="43">
        <v>20526780</v>
      </c>
      <c r="O156" s="44">
        <v>4652.03</v>
      </c>
      <c r="P156" s="51"/>
      <c r="Q156" s="52"/>
      <c r="R156" s="58">
        <v>4551727</v>
      </c>
      <c r="S156" s="17">
        <v>646.82000000000005</v>
      </c>
      <c r="T156" s="101"/>
      <c r="U156" s="35"/>
      <c r="V156" s="36"/>
      <c r="W156" s="43">
        <f t="shared" si="40"/>
        <v>6766186</v>
      </c>
      <c r="X156" s="44">
        <f t="shared" si="41"/>
        <v>2685.67</v>
      </c>
      <c r="Y156" s="51"/>
      <c r="Z156" s="52"/>
      <c r="AA156" s="58">
        <f t="shared" si="42"/>
        <v>4457256</v>
      </c>
      <c r="AB156" s="17">
        <f t="shared" si="43"/>
        <v>3134.18</v>
      </c>
      <c r="AC156" s="101"/>
      <c r="AD156" s="555">
        <f t="shared" si="37"/>
        <v>36301949</v>
      </c>
      <c r="AE156" s="632">
        <f t="shared" si="38"/>
        <v>11118.7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>
        <v>28857007</v>
      </c>
      <c r="F157" s="44">
        <v>7941.03</v>
      </c>
      <c r="G157" s="51"/>
      <c r="H157" s="52"/>
      <c r="I157" s="58">
        <v>8263240</v>
      </c>
      <c r="J157" s="17">
        <v>3205.07</v>
      </c>
      <c r="K157" s="101"/>
      <c r="L157" s="35"/>
      <c r="M157" s="36"/>
      <c r="N157" s="43">
        <v>20946713</v>
      </c>
      <c r="O157" s="44">
        <v>4571.3100000000004</v>
      </c>
      <c r="P157" s="51"/>
      <c r="Q157" s="52"/>
      <c r="R157" s="58">
        <v>4744748</v>
      </c>
      <c r="S157" s="17">
        <v>685.43</v>
      </c>
      <c r="T157" s="101"/>
      <c r="U157" s="35"/>
      <c r="V157" s="36"/>
      <c r="W157" s="43">
        <f t="shared" si="40"/>
        <v>7910294</v>
      </c>
      <c r="X157" s="44">
        <f t="shared" si="41"/>
        <v>3369.7199999999993</v>
      </c>
      <c r="Y157" s="51"/>
      <c r="Z157" s="52"/>
      <c r="AA157" s="58">
        <f t="shared" si="42"/>
        <v>3518492</v>
      </c>
      <c r="AB157" s="17">
        <f t="shared" si="43"/>
        <v>2519.6400000000003</v>
      </c>
      <c r="AC157" s="101"/>
      <c r="AD157" s="555">
        <f t="shared" si="37"/>
        <v>37120247</v>
      </c>
      <c r="AE157" s="632">
        <f t="shared" si="38"/>
        <v>11146.1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>
        <v>29613524</v>
      </c>
      <c r="F158" s="44">
        <v>7969.37</v>
      </c>
      <c r="G158" s="51"/>
      <c r="H158" s="52"/>
      <c r="I158" s="58">
        <v>8632228</v>
      </c>
      <c r="J158" s="17">
        <v>3155.55</v>
      </c>
      <c r="K158" s="101"/>
      <c r="L158" s="35"/>
      <c r="M158" s="36"/>
      <c r="N158" s="43">
        <v>21473488</v>
      </c>
      <c r="O158" s="44">
        <v>4357.38</v>
      </c>
      <c r="P158" s="51"/>
      <c r="Q158" s="52"/>
      <c r="R158" s="58">
        <v>5242899</v>
      </c>
      <c r="S158" s="17">
        <v>703.91</v>
      </c>
      <c r="T158" s="101"/>
      <c r="U158" s="35"/>
      <c r="V158" s="36"/>
      <c r="W158" s="43">
        <f t="shared" si="40"/>
        <v>8140036</v>
      </c>
      <c r="X158" s="44">
        <f t="shared" si="41"/>
        <v>3611.99</v>
      </c>
      <c r="Y158" s="51"/>
      <c r="Z158" s="52"/>
      <c r="AA158" s="58">
        <f t="shared" si="42"/>
        <v>3389329</v>
      </c>
      <c r="AB158" s="17">
        <f t="shared" si="43"/>
        <v>2451.6400000000003</v>
      </c>
      <c r="AC158" s="101"/>
      <c r="AD158" s="555">
        <f t="shared" si="37"/>
        <v>38245752</v>
      </c>
      <c r="AE158" s="632">
        <f t="shared" si="38"/>
        <v>11124.92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>
        <v>29499019</v>
      </c>
      <c r="F159" s="44">
        <v>7786.16</v>
      </c>
      <c r="G159" s="51"/>
      <c r="H159" s="52"/>
      <c r="I159" s="58">
        <v>8648503</v>
      </c>
      <c r="J159" s="17">
        <v>3341.76</v>
      </c>
      <c r="K159" s="101"/>
      <c r="L159" s="35"/>
      <c r="M159" s="36"/>
      <c r="N159" s="43">
        <v>21874637</v>
      </c>
      <c r="O159" s="44">
        <v>4387.57</v>
      </c>
      <c r="P159" s="51"/>
      <c r="Q159" s="52"/>
      <c r="R159" s="58">
        <v>4916192</v>
      </c>
      <c r="S159" s="17">
        <v>645.87</v>
      </c>
      <c r="T159" s="101"/>
      <c r="U159" s="35"/>
      <c r="V159" s="36"/>
      <c r="W159" s="43">
        <f t="shared" si="40"/>
        <v>7624382</v>
      </c>
      <c r="X159" s="44">
        <f t="shared" si="41"/>
        <v>3398.59</v>
      </c>
      <c r="Y159" s="51"/>
      <c r="Z159" s="52"/>
      <c r="AA159" s="58">
        <f t="shared" si="42"/>
        <v>3732311</v>
      </c>
      <c r="AB159" s="17">
        <f t="shared" si="43"/>
        <v>2695.8900000000003</v>
      </c>
      <c r="AC159" s="101"/>
      <c r="AD159" s="555">
        <f t="shared" si="37"/>
        <v>38147522</v>
      </c>
      <c r="AE159" s="632">
        <f t="shared" si="38"/>
        <v>11127.92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>
        <v>29282256</v>
      </c>
      <c r="F160" s="44">
        <v>7067.06</v>
      </c>
      <c r="G160" s="51"/>
      <c r="H160" s="52"/>
      <c r="I160" s="58">
        <v>7782925</v>
      </c>
      <c r="J160" s="17">
        <v>2704.98</v>
      </c>
      <c r="K160" s="101"/>
      <c r="L160" s="35"/>
      <c r="M160" s="36"/>
      <c r="N160" s="43">
        <v>22001361</v>
      </c>
      <c r="O160" s="44">
        <v>3910.85</v>
      </c>
      <c r="P160" s="51"/>
      <c r="Q160" s="52"/>
      <c r="R160" s="58">
        <v>4873501</v>
      </c>
      <c r="S160" s="17">
        <v>604.37</v>
      </c>
      <c r="T160" s="101"/>
      <c r="U160" s="35"/>
      <c r="V160" s="36"/>
      <c r="W160" s="43">
        <f t="shared" si="40"/>
        <v>7280895</v>
      </c>
      <c r="X160" s="44">
        <f t="shared" si="41"/>
        <v>3156.2100000000005</v>
      </c>
      <c r="Y160" s="51"/>
      <c r="Z160" s="52"/>
      <c r="AA160" s="58">
        <f t="shared" si="42"/>
        <v>2909424</v>
      </c>
      <c r="AB160" s="17">
        <f t="shared" si="43"/>
        <v>2100.61</v>
      </c>
      <c r="AC160" s="101"/>
      <c r="AD160" s="555">
        <f t="shared" si="37"/>
        <v>37065181</v>
      </c>
      <c r="AE160" s="632">
        <f t="shared" si="38"/>
        <v>9772.0400000000009</v>
      </c>
    </row>
    <row r="161" spans="1:31" collapsed="1">
      <c r="A161" s="104"/>
      <c r="B161" s="104" t="s">
        <v>17</v>
      </c>
      <c r="C161" s="105"/>
      <c r="D161" s="106"/>
      <c r="E161" s="107">
        <f t="shared" ref="E161:AB161" si="45">SUBTOTAL(9,E162:E191)</f>
        <v>0</v>
      </c>
      <c r="F161" s="108">
        <f t="shared" si="45"/>
        <v>0</v>
      </c>
      <c r="G161" s="109"/>
      <c r="H161" s="110"/>
      <c r="I161" s="111">
        <f t="shared" si="45"/>
        <v>0</v>
      </c>
      <c r="J161" s="14">
        <f t="shared" si="45"/>
        <v>0</v>
      </c>
      <c r="K161" s="103"/>
      <c r="L161" s="105"/>
      <c r="M161" s="106"/>
      <c r="N161" s="107">
        <f t="shared" si="45"/>
        <v>0</v>
      </c>
      <c r="O161" s="108">
        <f t="shared" si="45"/>
        <v>0</v>
      </c>
      <c r="P161" s="109"/>
      <c r="Q161" s="110"/>
      <c r="R161" s="111">
        <f t="shared" si="45"/>
        <v>0</v>
      </c>
      <c r="S161" s="14">
        <f t="shared" si="45"/>
        <v>0</v>
      </c>
      <c r="T161" s="103"/>
      <c r="U161" s="105"/>
      <c r="V161" s="106"/>
      <c r="W161" s="107">
        <f t="shared" si="45"/>
        <v>0</v>
      </c>
      <c r="X161" s="108">
        <f t="shared" si="45"/>
        <v>0</v>
      </c>
      <c r="Y161" s="109"/>
      <c r="Z161" s="110"/>
      <c r="AA161" s="111">
        <f t="shared" si="45"/>
        <v>0</v>
      </c>
      <c r="AB161" s="14">
        <f t="shared" si="45"/>
        <v>0</v>
      </c>
      <c r="AC161" s="103"/>
      <c r="AD161" s="555"/>
      <c r="AE161" s="632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/>
      <c r="H162" s="52"/>
      <c r="I162" s="58"/>
      <c r="J162" s="17"/>
      <c r="K162" s="101"/>
      <c r="L162" s="35"/>
      <c r="M162" s="36"/>
      <c r="N162" s="43"/>
      <c r="O162" s="44"/>
      <c r="P162" s="51"/>
      <c r="Q162" s="52"/>
      <c r="R162" s="58"/>
      <c r="S162" s="17"/>
      <c r="T162" s="101"/>
      <c r="U162" s="35"/>
      <c r="V162" s="36"/>
      <c r="W162" s="43">
        <f t="shared" si="40"/>
        <v>0</v>
      </c>
      <c r="X162" s="44">
        <f t="shared" si="41"/>
        <v>0</v>
      </c>
      <c r="Y162" s="51"/>
      <c r="Z162" s="52"/>
      <c r="AA162" s="58">
        <f t="shared" si="42"/>
        <v>0</v>
      </c>
      <c r="AB162" s="17">
        <f t="shared" si="43"/>
        <v>0</v>
      </c>
      <c r="AC162" s="101"/>
      <c r="AD162" s="555">
        <f t="shared" ref="AD162:AD225" si="46">SUM(C162,E162,G162,I162)</f>
        <v>0</v>
      </c>
      <c r="AE162" s="632">
        <f t="shared" ref="AE162:AE225" si="47">SUM(D162,F162,H162,J162)</f>
        <v>0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/>
      <c r="H163" s="52"/>
      <c r="I163" s="58"/>
      <c r="J163" s="17"/>
      <c r="K163" s="101"/>
      <c r="L163" s="35"/>
      <c r="M163" s="36"/>
      <c r="N163" s="43"/>
      <c r="O163" s="44"/>
      <c r="P163" s="51"/>
      <c r="Q163" s="52"/>
      <c r="R163" s="58"/>
      <c r="S163" s="17"/>
      <c r="T163" s="101"/>
      <c r="U163" s="35"/>
      <c r="V163" s="36"/>
      <c r="W163" s="43">
        <f t="shared" si="40"/>
        <v>0</v>
      </c>
      <c r="X163" s="44">
        <f t="shared" si="41"/>
        <v>0</v>
      </c>
      <c r="Y163" s="51"/>
      <c r="Z163" s="52"/>
      <c r="AA163" s="58">
        <f t="shared" si="42"/>
        <v>0</v>
      </c>
      <c r="AB163" s="17">
        <f t="shared" si="43"/>
        <v>0</v>
      </c>
      <c r="AC163" s="101"/>
      <c r="AD163" s="555">
        <f t="shared" si="46"/>
        <v>0</v>
      </c>
      <c r="AE163" s="632">
        <f t="shared" si="47"/>
        <v>0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/>
      <c r="H164" s="52"/>
      <c r="I164" s="58"/>
      <c r="J164" s="17"/>
      <c r="K164" s="101"/>
      <c r="L164" s="35"/>
      <c r="M164" s="36"/>
      <c r="N164" s="43"/>
      <c r="O164" s="44"/>
      <c r="P164" s="51"/>
      <c r="Q164" s="52"/>
      <c r="R164" s="58"/>
      <c r="S164" s="17"/>
      <c r="T164" s="101"/>
      <c r="U164" s="35"/>
      <c r="V164" s="36"/>
      <c r="W164" s="43">
        <f t="shared" si="40"/>
        <v>0</v>
      </c>
      <c r="X164" s="44">
        <f t="shared" si="41"/>
        <v>0</v>
      </c>
      <c r="Y164" s="51"/>
      <c r="Z164" s="52"/>
      <c r="AA164" s="58">
        <f t="shared" si="42"/>
        <v>0</v>
      </c>
      <c r="AB164" s="17">
        <f t="shared" si="43"/>
        <v>0</v>
      </c>
      <c r="AC164" s="101"/>
      <c r="AD164" s="555">
        <f t="shared" si="46"/>
        <v>0</v>
      </c>
      <c r="AE164" s="632">
        <f t="shared" si="47"/>
        <v>0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/>
      <c r="H165" s="52"/>
      <c r="I165" s="58"/>
      <c r="J165" s="17"/>
      <c r="K165" s="101"/>
      <c r="L165" s="35"/>
      <c r="M165" s="36"/>
      <c r="N165" s="43"/>
      <c r="O165" s="44"/>
      <c r="P165" s="51"/>
      <c r="Q165" s="52"/>
      <c r="R165" s="58"/>
      <c r="S165" s="17"/>
      <c r="T165" s="101"/>
      <c r="U165" s="35"/>
      <c r="V165" s="36"/>
      <c r="W165" s="43">
        <f t="shared" si="40"/>
        <v>0</v>
      </c>
      <c r="X165" s="44">
        <f t="shared" si="41"/>
        <v>0</v>
      </c>
      <c r="Y165" s="51"/>
      <c r="Z165" s="52"/>
      <c r="AA165" s="58">
        <f t="shared" si="42"/>
        <v>0</v>
      </c>
      <c r="AB165" s="17">
        <f t="shared" si="43"/>
        <v>0</v>
      </c>
      <c r="AC165" s="101"/>
      <c r="AD165" s="555">
        <f t="shared" si="46"/>
        <v>0</v>
      </c>
      <c r="AE165" s="632">
        <f t="shared" si="47"/>
        <v>0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/>
      <c r="H166" s="52"/>
      <c r="I166" s="58"/>
      <c r="J166" s="17"/>
      <c r="K166" s="101"/>
      <c r="L166" s="35"/>
      <c r="M166" s="36"/>
      <c r="N166" s="43"/>
      <c r="O166" s="44"/>
      <c r="P166" s="51"/>
      <c r="Q166" s="52"/>
      <c r="R166" s="58"/>
      <c r="S166" s="17"/>
      <c r="T166" s="101"/>
      <c r="U166" s="35"/>
      <c r="V166" s="36"/>
      <c r="W166" s="43">
        <f t="shared" si="40"/>
        <v>0</v>
      </c>
      <c r="X166" s="44">
        <f t="shared" si="41"/>
        <v>0</v>
      </c>
      <c r="Y166" s="51"/>
      <c r="Z166" s="52"/>
      <c r="AA166" s="58">
        <f t="shared" si="42"/>
        <v>0</v>
      </c>
      <c r="AB166" s="17">
        <f t="shared" si="43"/>
        <v>0</v>
      </c>
      <c r="AC166" s="101"/>
      <c r="AD166" s="555">
        <f t="shared" si="46"/>
        <v>0</v>
      </c>
      <c r="AE166" s="632">
        <f t="shared" si="47"/>
        <v>0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/>
      <c r="H167" s="52"/>
      <c r="I167" s="58"/>
      <c r="J167" s="17"/>
      <c r="K167" s="101"/>
      <c r="L167" s="35"/>
      <c r="M167" s="36"/>
      <c r="N167" s="43"/>
      <c r="O167" s="44"/>
      <c r="P167" s="51"/>
      <c r="Q167" s="52"/>
      <c r="R167" s="58"/>
      <c r="S167" s="17"/>
      <c r="T167" s="101"/>
      <c r="U167" s="35"/>
      <c r="V167" s="36"/>
      <c r="W167" s="43">
        <f t="shared" si="40"/>
        <v>0</v>
      </c>
      <c r="X167" s="44">
        <f t="shared" si="41"/>
        <v>0</v>
      </c>
      <c r="Y167" s="51"/>
      <c r="Z167" s="52"/>
      <c r="AA167" s="58">
        <f t="shared" si="42"/>
        <v>0</v>
      </c>
      <c r="AB167" s="17">
        <f t="shared" si="43"/>
        <v>0</v>
      </c>
      <c r="AC167" s="101"/>
      <c r="AD167" s="555">
        <f t="shared" si="46"/>
        <v>0</v>
      </c>
      <c r="AE167" s="632">
        <f t="shared" si="47"/>
        <v>0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/>
      <c r="H168" s="52"/>
      <c r="I168" s="58"/>
      <c r="J168" s="17"/>
      <c r="K168" s="101"/>
      <c r="L168" s="35"/>
      <c r="M168" s="36"/>
      <c r="N168" s="43"/>
      <c r="O168" s="44"/>
      <c r="P168" s="51"/>
      <c r="Q168" s="52"/>
      <c r="R168" s="58"/>
      <c r="S168" s="17"/>
      <c r="T168" s="101"/>
      <c r="U168" s="35"/>
      <c r="V168" s="36"/>
      <c r="W168" s="43">
        <f t="shared" si="40"/>
        <v>0</v>
      </c>
      <c r="X168" s="44">
        <f t="shared" si="41"/>
        <v>0</v>
      </c>
      <c r="Y168" s="51"/>
      <c r="Z168" s="52"/>
      <c r="AA168" s="58">
        <f t="shared" si="42"/>
        <v>0</v>
      </c>
      <c r="AB168" s="17">
        <f t="shared" si="43"/>
        <v>0</v>
      </c>
      <c r="AC168" s="101"/>
      <c r="AD168" s="555">
        <f t="shared" si="46"/>
        <v>0</v>
      </c>
      <c r="AE168" s="632">
        <f t="shared" si="47"/>
        <v>0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/>
      <c r="H169" s="52"/>
      <c r="I169" s="58"/>
      <c r="J169" s="17"/>
      <c r="K169" s="101"/>
      <c r="L169" s="35"/>
      <c r="M169" s="36"/>
      <c r="N169" s="43"/>
      <c r="O169" s="44"/>
      <c r="P169" s="51"/>
      <c r="Q169" s="52"/>
      <c r="R169" s="58"/>
      <c r="S169" s="17"/>
      <c r="T169" s="101"/>
      <c r="U169" s="35"/>
      <c r="V169" s="36"/>
      <c r="W169" s="43">
        <f t="shared" si="40"/>
        <v>0</v>
      </c>
      <c r="X169" s="44">
        <f t="shared" si="41"/>
        <v>0</v>
      </c>
      <c r="Y169" s="51"/>
      <c r="Z169" s="52"/>
      <c r="AA169" s="58">
        <f t="shared" si="42"/>
        <v>0</v>
      </c>
      <c r="AB169" s="17">
        <f t="shared" si="43"/>
        <v>0</v>
      </c>
      <c r="AC169" s="101"/>
      <c r="AD169" s="555">
        <f t="shared" si="46"/>
        <v>0</v>
      </c>
      <c r="AE169" s="632">
        <f t="shared" si="47"/>
        <v>0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/>
      <c r="H170" s="52"/>
      <c r="I170" s="58"/>
      <c r="J170" s="17"/>
      <c r="K170" s="101"/>
      <c r="L170" s="35"/>
      <c r="M170" s="36"/>
      <c r="N170" s="43"/>
      <c r="O170" s="44"/>
      <c r="P170" s="51"/>
      <c r="Q170" s="52"/>
      <c r="R170" s="58"/>
      <c r="S170" s="17"/>
      <c r="T170" s="101"/>
      <c r="U170" s="35"/>
      <c r="V170" s="36"/>
      <c r="W170" s="43">
        <f t="shared" si="40"/>
        <v>0</v>
      </c>
      <c r="X170" s="44">
        <f t="shared" si="41"/>
        <v>0</v>
      </c>
      <c r="Y170" s="51"/>
      <c r="Z170" s="52"/>
      <c r="AA170" s="58">
        <f t="shared" si="42"/>
        <v>0</v>
      </c>
      <c r="AB170" s="17">
        <f t="shared" si="43"/>
        <v>0</v>
      </c>
      <c r="AC170" s="101"/>
      <c r="AD170" s="555">
        <f t="shared" si="46"/>
        <v>0</v>
      </c>
      <c r="AE170" s="632">
        <f t="shared" si="47"/>
        <v>0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/>
      <c r="H171" s="52"/>
      <c r="I171" s="58"/>
      <c r="J171" s="17"/>
      <c r="K171" s="101"/>
      <c r="L171" s="35"/>
      <c r="M171" s="36"/>
      <c r="N171" s="43"/>
      <c r="O171" s="44"/>
      <c r="P171" s="51"/>
      <c r="Q171" s="52"/>
      <c r="R171" s="58"/>
      <c r="S171" s="17"/>
      <c r="T171" s="101"/>
      <c r="U171" s="35"/>
      <c r="V171" s="36"/>
      <c r="W171" s="43">
        <f t="shared" si="40"/>
        <v>0</v>
      </c>
      <c r="X171" s="44">
        <f t="shared" si="41"/>
        <v>0</v>
      </c>
      <c r="Y171" s="51"/>
      <c r="Z171" s="52"/>
      <c r="AA171" s="58">
        <f t="shared" si="42"/>
        <v>0</v>
      </c>
      <c r="AB171" s="17">
        <f t="shared" si="43"/>
        <v>0</v>
      </c>
      <c r="AC171" s="101"/>
      <c r="AD171" s="555">
        <f t="shared" si="46"/>
        <v>0</v>
      </c>
      <c r="AE171" s="632">
        <f t="shared" si="47"/>
        <v>0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/>
      <c r="H172" s="52"/>
      <c r="I172" s="58"/>
      <c r="J172" s="17"/>
      <c r="K172" s="101"/>
      <c r="L172" s="35"/>
      <c r="M172" s="36"/>
      <c r="N172" s="43"/>
      <c r="O172" s="44"/>
      <c r="P172" s="51"/>
      <c r="Q172" s="52"/>
      <c r="R172" s="58"/>
      <c r="S172" s="17"/>
      <c r="T172" s="101"/>
      <c r="U172" s="35"/>
      <c r="V172" s="36"/>
      <c r="W172" s="43">
        <f t="shared" si="40"/>
        <v>0</v>
      </c>
      <c r="X172" s="44">
        <f t="shared" si="41"/>
        <v>0</v>
      </c>
      <c r="Y172" s="51"/>
      <c r="Z172" s="52"/>
      <c r="AA172" s="58">
        <f t="shared" si="42"/>
        <v>0</v>
      </c>
      <c r="AB172" s="17">
        <f t="shared" si="43"/>
        <v>0</v>
      </c>
      <c r="AC172" s="101"/>
      <c r="AD172" s="555">
        <f t="shared" si="46"/>
        <v>0</v>
      </c>
      <c r="AE172" s="632">
        <f t="shared" si="47"/>
        <v>0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/>
      <c r="H173" s="52"/>
      <c r="I173" s="58"/>
      <c r="J173" s="17"/>
      <c r="K173" s="101"/>
      <c r="L173" s="35"/>
      <c r="M173" s="36"/>
      <c r="N173" s="43"/>
      <c r="O173" s="44"/>
      <c r="P173" s="51"/>
      <c r="Q173" s="52"/>
      <c r="R173" s="58"/>
      <c r="S173" s="17"/>
      <c r="T173" s="101"/>
      <c r="U173" s="35"/>
      <c r="V173" s="36"/>
      <c r="W173" s="43">
        <f t="shared" si="40"/>
        <v>0</v>
      </c>
      <c r="X173" s="44">
        <f t="shared" si="41"/>
        <v>0</v>
      </c>
      <c r="Y173" s="51"/>
      <c r="Z173" s="52"/>
      <c r="AA173" s="58">
        <f t="shared" si="42"/>
        <v>0</v>
      </c>
      <c r="AB173" s="17">
        <f t="shared" si="43"/>
        <v>0</v>
      </c>
      <c r="AC173" s="101"/>
      <c r="AD173" s="555">
        <f t="shared" si="46"/>
        <v>0</v>
      </c>
      <c r="AE173" s="632">
        <f t="shared" si="47"/>
        <v>0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/>
      <c r="H174" s="52"/>
      <c r="I174" s="58"/>
      <c r="J174" s="17"/>
      <c r="K174" s="101"/>
      <c r="L174" s="35"/>
      <c r="M174" s="36"/>
      <c r="N174" s="43"/>
      <c r="O174" s="44"/>
      <c r="P174" s="51"/>
      <c r="Q174" s="52"/>
      <c r="R174" s="58"/>
      <c r="S174" s="17"/>
      <c r="T174" s="101"/>
      <c r="U174" s="35"/>
      <c r="V174" s="36"/>
      <c r="W174" s="43">
        <f t="shared" si="40"/>
        <v>0</v>
      </c>
      <c r="X174" s="44">
        <f t="shared" si="41"/>
        <v>0</v>
      </c>
      <c r="Y174" s="51"/>
      <c r="Z174" s="52"/>
      <c r="AA174" s="58">
        <f t="shared" si="42"/>
        <v>0</v>
      </c>
      <c r="AB174" s="17">
        <f t="shared" si="43"/>
        <v>0</v>
      </c>
      <c r="AC174" s="101"/>
      <c r="AD174" s="555">
        <f t="shared" si="46"/>
        <v>0</v>
      </c>
      <c r="AE174" s="632">
        <f t="shared" si="47"/>
        <v>0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/>
      <c r="H175" s="52"/>
      <c r="I175" s="58"/>
      <c r="J175" s="17"/>
      <c r="K175" s="101"/>
      <c r="L175" s="35"/>
      <c r="M175" s="36"/>
      <c r="N175" s="43"/>
      <c r="O175" s="44"/>
      <c r="P175" s="51"/>
      <c r="Q175" s="52"/>
      <c r="R175" s="58"/>
      <c r="S175" s="17"/>
      <c r="T175" s="101"/>
      <c r="U175" s="35"/>
      <c r="V175" s="36"/>
      <c r="W175" s="43">
        <f t="shared" si="40"/>
        <v>0</v>
      </c>
      <c r="X175" s="44">
        <f t="shared" si="41"/>
        <v>0</v>
      </c>
      <c r="Y175" s="51"/>
      <c r="Z175" s="52"/>
      <c r="AA175" s="58">
        <f t="shared" si="42"/>
        <v>0</v>
      </c>
      <c r="AB175" s="17">
        <f t="shared" si="43"/>
        <v>0</v>
      </c>
      <c r="AC175" s="101"/>
      <c r="AD175" s="555">
        <f t="shared" si="46"/>
        <v>0</v>
      </c>
      <c r="AE175" s="632">
        <f t="shared" si="47"/>
        <v>0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/>
      <c r="H176" s="52"/>
      <c r="I176" s="58"/>
      <c r="J176" s="17"/>
      <c r="K176" s="101"/>
      <c r="L176" s="35"/>
      <c r="M176" s="36"/>
      <c r="N176" s="43"/>
      <c r="O176" s="44"/>
      <c r="P176" s="51"/>
      <c r="Q176" s="52"/>
      <c r="R176" s="58"/>
      <c r="S176" s="17"/>
      <c r="T176" s="101"/>
      <c r="U176" s="35"/>
      <c r="V176" s="36"/>
      <c r="W176" s="43">
        <f t="shared" si="40"/>
        <v>0</v>
      </c>
      <c r="X176" s="44">
        <f t="shared" si="41"/>
        <v>0</v>
      </c>
      <c r="Y176" s="51"/>
      <c r="Z176" s="52"/>
      <c r="AA176" s="58">
        <f t="shared" si="42"/>
        <v>0</v>
      </c>
      <c r="AB176" s="17">
        <f t="shared" si="43"/>
        <v>0</v>
      </c>
      <c r="AC176" s="101"/>
      <c r="AD176" s="555">
        <f t="shared" si="46"/>
        <v>0</v>
      </c>
      <c r="AE176" s="632">
        <f t="shared" si="47"/>
        <v>0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/>
      <c r="H177" s="52"/>
      <c r="I177" s="58"/>
      <c r="J177" s="17"/>
      <c r="K177" s="101"/>
      <c r="L177" s="35"/>
      <c r="M177" s="36"/>
      <c r="N177" s="43"/>
      <c r="O177" s="44"/>
      <c r="P177" s="51"/>
      <c r="Q177" s="52"/>
      <c r="R177" s="58"/>
      <c r="S177" s="17"/>
      <c r="T177" s="101"/>
      <c r="U177" s="35"/>
      <c r="V177" s="36"/>
      <c r="W177" s="43">
        <f t="shared" si="40"/>
        <v>0</v>
      </c>
      <c r="X177" s="44">
        <f t="shared" si="41"/>
        <v>0</v>
      </c>
      <c r="Y177" s="51"/>
      <c r="Z177" s="52"/>
      <c r="AA177" s="58">
        <f t="shared" si="42"/>
        <v>0</v>
      </c>
      <c r="AB177" s="17">
        <f t="shared" si="43"/>
        <v>0</v>
      </c>
      <c r="AC177" s="101"/>
      <c r="AD177" s="555">
        <f t="shared" si="46"/>
        <v>0</v>
      </c>
      <c r="AE177" s="632">
        <f t="shared" si="47"/>
        <v>0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/>
      <c r="H178" s="52"/>
      <c r="I178" s="58"/>
      <c r="J178" s="17"/>
      <c r="K178" s="101"/>
      <c r="L178" s="35"/>
      <c r="M178" s="36"/>
      <c r="N178" s="43"/>
      <c r="O178" s="44"/>
      <c r="P178" s="51"/>
      <c r="Q178" s="52"/>
      <c r="R178" s="58"/>
      <c r="S178" s="17"/>
      <c r="T178" s="101"/>
      <c r="U178" s="35"/>
      <c r="V178" s="36"/>
      <c r="W178" s="43">
        <f t="shared" si="40"/>
        <v>0</v>
      </c>
      <c r="X178" s="44">
        <f t="shared" si="41"/>
        <v>0</v>
      </c>
      <c r="Y178" s="51"/>
      <c r="Z178" s="52"/>
      <c r="AA178" s="58">
        <f t="shared" si="42"/>
        <v>0</v>
      </c>
      <c r="AB178" s="17">
        <f t="shared" si="43"/>
        <v>0</v>
      </c>
      <c r="AC178" s="101"/>
      <c r="AD178" s="555">
        <f t="shared" si="46"/>
        <v>0</v>
      </c>
      <c r="AE178" s="632">
        <f t="shared" si="47"/>
        <v>0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/>
      <c r="H179" s="52"/>
      <c r="I179" s="58"/>
      <c r="J179" s="17"/>
      <c r="K179" s="101"/>
      <c r="L179" s="35"/>
      <c r="M179" s="36"/>
      <c r="N179" s="43"/>
      <c r="O179" s="44"/>
      <c r="P179" s="51"/>
      <c r="Q179" s="52"/>
      <c r="R179" s="58"/>
      <c r="S179" s="17"/>
      <c r="T179" s="101"/>
      <c r="U179" s="35"/>
      <c r="V179" s="36"/>
      <c r="W179" s="43">
        <f t="shared" si="40"/>
        <v>0</v>
      </c>
      <c r="X179" s="44">
        <f t="shared" si="41"/>
        <v>0</v>
      </c>
      <c r="Y179" s="51"/>
      <c r="Z179" s="52"/>
      <c r="AA179" s="58">
        <f t="shared" si="42"/>
        <v>0</v>
      </c>
      <c r="AB179" s="17">
        <f t="shared" si="43"/>
        <v>0</v>
      </c>
      <c r="AC179" s="101"/>
      <c r="AD179" s="555">
        <f t="shared" si="46"/>
        <v>0</v>
      </c>
      <c r="AE179" s="632">
        <f t="shared" si="47"/>
        <v>0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/>
      <c r="H180" s="52"/>
      <c r="I180" s="58"/>
      <c r="J180" s="17"/>
      <c r="K180" s="101"/>
      <c r="L180" s="35"/>
      <c r="M180" s="36"/>
      <c r="N180" s="43"/>
      <c r="O180" s="44"/>
      <c r="P180" s="51"/>
      <c r="Q180" s="52"/>
      <c r="R180" s="58"/>
      <c r="S180" s="17"/>
      <c r="T180" s="101"/>
      <c r="U180" s="35"/>
      <c r="V180" s="36"/>
      <c r="W180" s="43">
        <f t="shared" si="40"/>
        <v>0</v>
      </c>
      <c r="X180" s="44">
        <f t="shared" si="41"/>
        <v>0</v>
      </c>
      <c r="Y180" s="51"/>
      <c r="Z180" s="52"/>
      <c r="AA180" s="58">
        <f t="shared" si="42"/>
        <v>0</v>
      </c>
      <c r="AB180" s="17">
        <f t="shared" si="43"/>
        <v>0</v>
      </c>
      <c r="AC180" s="101"/>
      <c r="AD180" s="555">
        <f t="shared" si="46"/>
        <v>0</v>
      </c>
      <c r="AE180" s="632">
        <f t="shared" si="47"/>
        <v>0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/>
      <c r="H181" s="52"/>
      <c r="I181" s="58"/>
      <c r="J181" s="17"/>
      <c r="K181" s="101"/>
      <c r="L181" s="35"/>
      <c r="M181" s="36"/>
      <c r="N181" s="43"/>
      <c r="O181" s="44"/>
      <c r="P181" s="51"/>
      <c r="Q181" s="52"/>
      <c r="R181" s="58"/>
      <c r="S181" s="17"/>
      <c r="T181" s="101"/>
      <c r="U181" s="35"/>
      <c r="V181" s="36"/>
      <c r="W181" s="43">
        <f t="shared" si="40"/>
        <v>0</v>
      </c>
      <c r="X181" s="44">
        <f t="shared" si="41"/>
        <v>0</v>
      </c>
      <c r="Y181" s="51"/>
      <c r="Z181" s="52"/>
      <c r="AA181" s="58">
        <f t="shared" si="42"/>
        <v>0</v>
      </c>
      <c r="AB181" s="17">
        <f t="shared" si="43"/>
        <v>0</v>
      </c>
      <c r="AC181" s="101"/>
      <c r="AD181" s="555">
        <f t="shared" si="46"/>
        <v>0</v>
      </c>
      <c r="AE181" s="632">
        <f t="shared" si="47"/>
        <v>0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/>
      <c r="H182" s="52"/>
      <c r="I182" s="58"/>
      <c r="J182" s="17"/>
      <c r="K182" s="101"/>
      <c r="L182" s="35"/>
      <c r="M182" s="36"/>
      <c r="N182" s="43"/>
      <c r="O182" s="44"/>
      <c r="P182" s="51"/>
      <c r="Q182" s="52"/>
      <c r="R182" s="58"/>
      <c r="S182" s="17"/>
      <c r="T182" s="101"/>
      <c r="U182" s="35"/>
      <c r="V182" s="36"/>
      <c r="W182" s="43">
        <f t="shared" si="40"/>
        <v>0</v>
      </c>
      <c r="X182" s="44">
        <f t="shared" si="41"/>
        <v>0</v>
      </c>
      <c r="Y182" s="51"/>
      <c r="Z182" s="52"/>
      <c r="AA182" s="58">
        <f t="shared" si="42"/>
        <v>0</v>
      </c>
      <c r="AB182" s="17">
        <f t="shared" si="43"/>
        <v>0</v>
      </c>
      <c r="AC182" s="101"/>
      <c r="AD182" s="555">
        <f t="shared" si="46"/>
        <v>0</v>
      </c>
      <c r="AE182" s="632">
        <f t="shared" si="47"/>
        <v>0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/>
      <c r="H183" s="52"/>
      <c r="I183" s="58"/>
      <c r="J183" s="17"/>
      <c r="K183" s="101"/>
      <c r="L183" s="35"/>
      <c r="M183" s="36"/>
      <c r="N183" s="43"/>
      <c r="O183" s="44"/>
      <c r="P183" s="51"/>
      <c r="Q183" s="52"/>
      <c r="R183" s="58"/>
      <c r="S183" s="17"/>
      <c r="T183" s="101"/>
      <c r="U183" s="35"/>
      <c r="V183" s="36"/>
      <c r="W183" s="43">
        <f t="shared" si="40"/>
        <v>0</v>
      </c>
      <c r="X183" s="44">
        <f t="shared" si="41"/>
        <v>0</v>
      </c>
      <c r="Y183" s="51"/>
      <c r="Z183" s="52"/>
      <c r="AA183" s="58">
        <f t="shared" si="42"/>
        <v>0</v>
      </c>
      <c r="AB183" s="17">
        <f t="shared" si="43"/>
        <v>0</v>
      </c>
      <c r="AC183" s="101"/>
      <c r="AD183" s="555">
        <f t="shared" si="46"/>
        <v>0</v>
      </c>
      <c r="AE183" s="632">
        <f t="shared" si="47"/>
        <v>0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/>
      <c r="H184" s="52"/>
      <c r="I184" s="58"/>
      <c r="J184" s="17"/>
      <c r="K184" s="101"/>
      <c r="L184" s="35"/>
      <c r="M184" s="36"/>
      <c r="N184" s="43"/>
      <c r="O184" s="44"/>
      <c r="P184" s="51"/>
      <c r="Q184" s="52"/>
      <c r="R184" s="58"/>
      <c r="S184" s="17"/>
      <c r="T184" s="101"/>
      <c r="U184" s="35"/>
      <c r="V184" s="36"/>
      <c r="W184" s="43">
        <f t="shared" si="40"/>
        <v>0</v>
      </c>
      <c r="X184" s="44">
        <f t="shared" si="41"/>
        <v>0</v>
      </c>
      <c r="Y184" s="51"/>
      <c r="Z184" s="52"/>
      <c r="AA184" s="58">
        <f t="shared" si="42"/>
        <v>0</v>
      </c>
      <c r="AB184" s="17">
        <f t="shared" si="43"/>
        <v>0</v>
      </c>
      <c r="AC184" s="101"/>
      <c r="AD184" s="555">
        <f t="shared" si="46"/>
        <v>0</v>
      </c>
      <c r="AE184" s="632">
        <f t="shared" si="47"/>
        <v>0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/>
      <c r="H185" s="52"/>
      <c r="I185" s="58"/>
      <c r="J185" s="17"/>
      <c r="K185" s="101"/>
      <c r="L185" s="35"/>
      <c r="M185" s="36"/>
      <c r="N185" s="43"/>
      <c r="O185" s="44"/>
      <c r="P185" s="51"/>
      <c r="Q185" s="52"/>
      <c r="R185" s="58"/>
      <c r="S185" s="17"/>
      <c r="T185" s="101"/>
      <c r="U185" s="35"/>
      <c r="V185" s="36"/>
      <c r="W185" s="43">
        <f t="shared" si="40"/>
        <v>0</v>
      </c>
      <c r="X185" s="44">
        <f t="shared" si="41"/>
        <v>0</v>
      </c>
      <c r="Y185" s="51"/>
      <c r="Z185" s="52"/>
      <c r="AA185" s="58">
        <f t="shared" si="42"/>
        <v>0</v>
      </c>
      <c r="AB185" s="17">
        <f t="shared" si="43"/>
        <v>0</v>
      </c>
      <c r="AC185" s="101"/>
      <c r="AD185" s="555">
        <f t="shared" si="46"/>
        <v>0</v>
      </c>
      <c r="AE185" s="632">
        <f t="shared" si="47"/>
        <v>0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/>
      <c r="H186" s="52"/>
      <c r="I186" s="58"/>
      <c r="J186" s="17"/>
      <c r="K186" s="101"/>
      <c r="L186" s="35"/>
      <c r="M186" s="36"/>
      <c r="N186" s="43"/>
      <c r="O186" s="44"/>
      <c r="P186" s="51"/>
      <c r="Q186" s="52"/>
      <c r="R186" s="58"/>
      <c r="S186" s="17"/>
      <c r="T186" s="101"/>
      <c r="U186" s="35"/>
      <c r="V186" s="36"/>
      <c r="W186" s="43">
        <f t="shared" si="40"/>
        <v>0</v>
      </c>
      <c r="X186" s="44">
        <f t="shared" si="41"/>
        <v>0</v>
      </c>
      <c r="Y186" s="51"/>
      <c r="Z186" s="52"/>
      <c r="AA186" s="58">
        <f t="shared" si="42"/>
        <v>0</v>
      </c>
      <c r="AB186" s="17">
        <f t="shared" si="43"/>
        <v>0</v>
      </c>
      <c r="AC186" s="101"/>
      <c r="AD186" s="555">
        <f t="shared" si="46"/>
        <v>0</v>
      </c>
      <c r="AE186" s="632">
        <f t="shared" si="47"/>
        <v>0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/>
      <c r="H187" s="52"/>
      <c r="I187" s="58"/>
      <c r="J187" s="17"/>
      <c r="K187" s="101"/>
      <c r="L187" s="35"/>
      <c r="M187" s="36"/>
      <c r="N187" s="43"/>
      <c r="O187" s="44"/>
      <c r="P187" s="51"/>
      <c r="Q187" s="52"/>
      <c r="R187" s="58"/>
      <c r="S187" s="17"/>
      <c r="T187" s="101"/>
      <c r="U187" s="35"/>
      <c r="V187" s="36"/>
      <c r="W187" s="43">
        <f t="shared" si="40"/>
        <v>0</v>
      </c>
      <c r="X187" s="44">
        <f t="shared" si="41"/>
        <v>0</v>
      </c>
      <c r="Y187" s="51"/>
      <c r="Z187" s="52"/>
      <c r="AA187" s="58">
        <f t="shared" si="42"/>
        <v>0</v>
      </c>
      <c r="AB187" s="17">
        <f t="shared" si="43"/>
        <v>0</v>
      </c>
      <c r="AC187" s="101"/>
      <c r="AD187" s="555">
        <f t="shared" si="46"/>
        <v>0</v>
      </c>
      <c r="AE187" s="632">
        <f t="shared" si="47"/>
        <v>0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/>
      <c r="H188" s="52"/>
      <c r="I188" s="58"/>
      <c r="J188" s="17"/>
      <c r="K188" s="101"/>
      <c r="L188" s="35"/>
      <c r="M188" s="36"/>
      <c r="N188" s="43"/>
      <c r="O188" s="44"/>
      <c r="P188" s="51"/>
      <c r="Q188" s="52"/>
      <c r="R188" s="58"/>
      <c r="S188" s="17"/>
      <c r="T188" s="101"/>
      <c r="U188" s="35"/>
      <c r="V188" s="36"/>
      <c r="W188" s="43">
        <f t="shared" si="40"/>
        <v>0</v>
      </c>
      <c r="X188" s="44">
        <f t="shared" si="41"/>
        <v>0</v>
      </c>
      <c r="Y188" s="51"/>
      <c r="Z188" s="52"/>
      <c r="AA188" s="58">
        <f t="shared" si="42"/>
        <v>0</v>
      </c>
      <c r="AB188" s="17">
        <f t="shared" si="43"/>
        <v>0</v>
      </c>
      <c r="AC188" s="101"/>
      <c r="AD188" s="555">
        <f t="shared" si="46"/>
        <v>0</v>
      </c>
      <c r="AE188" s="632">
        <f t="shared" si="47"/>
        <v>0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/>
      <c r="H189" s="52"/>
      <c r="I189" s="58"/>
      <c r="J189" s="17"/>
      <c r="K189" s="101"/>
      <c r="L189" s="35"/>
      <c r="M189" s="36"/>
      <c r="N189" s="43"/>
      <c r="O189" s="44"/>
      <c r="P189" s="51"/>
      <c r="Q189" s="52"/>
      <c r="R189" s="58"/>
      <c r="S189" s="17"/>
      <c r="T189" s="101"/>
      <c r="U189" s="35"/>
      <c r="V189" s="36"/>
      <c r="W189" s="43">
        <f t="shared" si="40"/>
        <v>0</v>
      </c>
      <c r="X189" s="44">
        <f t="shared" si="41"/>
        <v>0</v>
      </c>
      <c r="Y189" s="51"/>
      <c r="Z189" s="52"/>
      <c r="AA189" s="58">
        <f t="shared" si="42"/>
        <v>0</v>
      </c>
      <c r="AB189" s="17">
        <f t="shared" si="43"/>
        <v>0</v>
      </c>
      <c r="AC189" s="101"/>
      <c r="AD189" s="555">
        <f t="shared" si="46"/>
        <v>0</v>
      </c>
      <c r="AE189" s="632">
        <f t="shared" si="47"/>
        <v>0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/>
      <c r="H190" s="52"/>
      <c r="I190" s="58"/>
      <c r="J190" s="17"/>
      <c r="K190" s="101"/>
      <c r="L190" s="35"/>
      <c r="M190" s="36"/>
      <c r="N190" s="43"/>
      <c r="O190" s="44"/>
      <c r="P190" s="51"/>
      <c r="Q190" s="52"/>
      <c r="R190" s="58"/>
      <c r="S190" s="17"/>
      <c r="T190" s="101"/>
      <c r="U190" s="35"/>
      <c r="V190" s="36"/>
      <c r="W190" s="43">
        <f t="shared" si="40"/>
        <v>0</v>
      </c>
      <c r="X190" s="44">
        <f t="shared" si="41"/>
        <v>0</v>
      </c>
      <c r="Y190" s="51"/>
      <c r="Z190" s="52"/>
      <c r="AA190" s="58">
        <f t="shared" si="42"/>
        <v>0</v>
      </c>
      <c r="AB190" s="17">
        <f t="shared" si="43"/>
        <v>0</v>
      </c>
      <c r="AC190" s="101"/>
      <c r="AD190" s="555">
        <f t="shared" si="46"/>
        <v>0</v>
      </c>
      <c r="AE190" s="632">
        <f t="shared" si="47"/>
        <v>0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/>
      <c r="H191" s="52"/>
      <c r="I191" s="58"/>
      <c r="J191" s="17"/>
      <c r="K191" s="101"/>
      <c r="L191" s="35"/>
      <c r="M191" s="36"/>
      <c r="N191" s="43"/>
      <c r="O191" s="44"/>
      <c r="P191" s="51"/>
      <c r="Q191" s="52"/>
      <c r="R191" s="58"/>
      <c r="S191" s="17"/>
      <c r="T191" s="101"/>
      <c r="U191" s="35"/>
      <c r="V191" s="36"/>
      <c r="W191" s="43">
        <f t="shared" si="40"/>
        <v>0</v>
      </c>
      <c r="X191" s="44">
        <f t="shared" si="41"/>
        <v>0</v>
      </c>
      <c r="Y191" s="51"/>
      <c r="Z191" s="52"/>
      <c r="AA191" s="58">
        <f t="shared" si="42"/>
        <v>0</v>
      </c>
      <c r="AB191" s="17">
        <f t="shared" si="43"/>
        <v>0</v>
      </c>
      <c r="AC191" s="101"/>
      <c r="AD191" s="555">
        <f t="shared" si="46"/>
        <v>0</v>
      </c>
      <c r="AE191" s="632">
        <f t="shared" si="47"/>
        <v>0</v>
      </c>
    </row>
    <row r="192" spans="1:31" collapsed="1">
      <c r="A192" s="104"/>
      <c r="B192" s="104" t="s">
        <v>18</v>
      </c>
      <c r="C192" s="105"/>
      <c r="D192" s="106"/>
      <c r="E192" s="107">
        <f t="shared" ref="E192:AB192" si="48">SUBTOTAL(9,E193:E223)</f>
        <v>0</v>
      </c>
      <c r="F192" s="108">
        <f t="shared" si="48"/>
        <v>0</v>
      </c>
      <c r="G192" s="109"/>
      <c r="H192" s="110"/>
      <c r="I192" s="111">
        <f t="shared" si="48"/>
        <v>0</v>
      </c>
      <c r="J192" s="14">
        <f t="shared" si="48"/>
        <v>0</v>
      </c>
      <c r="K192" s="103"/>
      <c r="L192" s="105"/>
      <c r="M192" s="106"/>
      <c r="N192" s="107">
        <f t="shared" si="48"/>
        <v>0</v>
      </c>
      <c r="O192" s="108">
        <f t="shared" si="48"/>
        <v>0</v>
      </c>
      <c r="P192" s="109"/>
      <c r="Q192" s="110"/>
      <c r="R192" s="111">
        <f t="shared" si="48"/>
        <v>0</v>
      </c>
      <c r="S192" s="14">
        <f t="shared" si="48"/>
        <v>0</v>
      </c>
      <c r="T192" s="103"/>
      <c r="U192" s="105"/>
      <c r="V192" s="106"/>
      <c r="W192" s="107">
        <f t="shared" si="48"/>
        <v>0</v>
      </c>
      <c r="X192" s="108">
        <f t="shared" si="48"/>
        <v>0</v>
      </c>
      <c r="Y192" s="109"/>
      <c r="Z192" s="110"/>
      <c r="AA192" s="111">
        <f t="shared" si="48"/>
        <v>0</v>
      </c>
      <c r="AB192" s="14">
        <f t="shared" si="48"/>
        <v>0</v>
      </c>
      <c r="AC192" s="103"/>
      <c r="AD192" s="555"/>
      <c r="AE192" s="632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/>
      <c r="H193" s="52"/>
      <c r="I193" s="58"/>
      <c r="J193" s="17"/>
      <c r="K193" s="101"/>
      <c r="L193" s="35"/>
      <c r="M193" s="36"/>
      <c r="N193" s="43"/>
      <c r="O193" s="44"/>
      <c r="P193" s="51"/>
      <c r="Q193" s="52"/>
      <c r="R193" s="58"/>
      <c r="S193" s="17"/>
      <c r="T193" s="101"/>
      <c r="U193" s="35"/>
      <c r="V193" s="36"/>
      <c r="W193" s="43">
        <f t="shared" si="40"/>
        <v>0</v>
      </c>
      <c r="X193" s="44">
        <f t="shared" si="41"/>
        <v>0</v>
      </c>
      <c r="Y193" s="51"/>
      <c r="Z193" s="52"/>
      <c r="AA193" s="58">
        <f t="shared" si="42"/>
        <v>0</v>
      </c>
      <c r="AB193" s="17">
        <f t="shared" si="43"/>
        <v>0</v>
      </c>
      <c r="AC193" s="101"/>
      <c r="AD193" s="555">
        <f t="shared" si="46"/>
        <v>0</v>
      </c>
      <c r="AE193" s="632">
        <f t="shared" si="47"/>
        <v>0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/>
      <c r="H194" s="52"/>
      <c r="I194" s="58"/>
      <c r="J194" s="17"/>
      <c r="K194" s="101"/>
      <c r="L194" s="35"/>
      <c r="M194" s="36"/>
      <c r="N194" s="43"/>
      <c r="O194" s="44"/>
      <c r="P194" s="51"/>
      <c r="Q194" s="52"/>
      <c r="R194" s="58"/>
      <c r="S194" s="17"/>
      <c r="T194" s="101"/>
      <c r="U194" s="35"/>
      <c r="V194" s="36"/>
      <c r="W194" s="43">
        <f t="shared" si="40"/>
        <v>0</v>
      </c>
      <c r="X194" s="44">
        <f t="shared" si="41"/>
        <v>0</v>
      </c>
      <c r="Y194" s="51"/>
      <c r="Z194" s="52"/>
      <c r="AA194" s="58">
        <f t="shared" si="42"/>
        <v>0</v>
      </c>
      <c r="AB194" s="17">
        <f t="shared" si="43"/>
        <v>0</v>
      </c>
      <c r="AC194" s="101"/>
      <c r="AD194" s="555">
        <f t="shared" si="46"/>
        <v>0</v>
      </c>
      <c r="AE194" s="632">
        <f t="shared" si="47"/>
        <v>0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/>
      <c r="V195" s="36"/>
      <c r="W195" s="43">
        <f t="shared" si="40"/>
        <v>0</v>
      </c>
      <c r="X195" s="44">
        <f t="shared" si="41"/>
        <v>0</v>
      </c>
      <c r="Y195" s="51"/>
      <c r="Z195" s="52"/>
      <c r="AA195" s="58">
        <f t="shared" si="42"/>
        <v>0</v>
      </c>
      <c r="AB195" s="17">
        <f t="shared" si="43"/>
        <v>0</v>
      </c>
      <c r="AC195" s="101"/>
      <c r="AD195" s="555">
        <f t="shared" si="46"/>
        <v>0</v>
      </c>
      <c r="AE195" s="632">
        <f t="shared" si="47"/>
        <v>0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/>
      <c r="V196" s="36"/>
      <c r="W196" s="43">
        <f t="shared" si="40"/>
        <v>0</v>
      </c>
      <c r="X196" s="44">
        <f t="shared" si="41"/>
        <v>0</v>
      </c>
      <c r="Y196" s="51"/>
      <c r="Z196" s="52"/>
      <c r="AA196" s="58">
        <f t="shared" si="42"/>
        <v>0</v>
      </c>
      <c r="AB196" s="17">
        <f t="shared" si="43"/>
        <v>0</v>
      </c>
      <c r="AC196" s="101"/>
      <c r="AD196" s="555">
        <f t="shared" si="46"/>
        <v>0</v>
      </c>
      <c r="AE196" s="632">
        <f t="shared" si="47"/>
        <v>0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/>
      <c r="V197" s="36"/>
      <c r="W197" s="43">
        <f t="shared" si="40"/>
        <v>0</v>
      </c>
      <c r="X197" s="44">
        <f t="shared" si="41"/>
        <v>0</v>
      </c>
      <c r="Y197" s="51"/>
      <c r="Z197" s="52"/>
      <c r="AA197" s="58">
        <f t="shared" si="42"/>
        <v>0</v>
      </c>
      <c r="AB197" s="17">
        <f t="shared" si="43"/>
        <v>0</v>
      </c>
      <c r="AC197" s="101"/>
      <c r="AD197" s="555">
        <f t="shared" si="46"/>
        <v>0</v>
      </c>
      <c r="AE197" s="632">
        <f t="shared" si="47"/>
        <v>0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/>
      <c r="V198" s="36"/>
      <c r="W198" s="43">
        <f t="shared" si="40"/>
        <v>0</v>
      </c>
      <c r="X198" s="44">
        <f t="shared" si="41"/>
        <v>0</v>
      </c>
      <c r="Y198" s="51"/>
      <c r="Z198" s="52"/>
      <c r="AA198" s="58">
        <f t="shared" si="42"/>
        <v>0</v>
      </c>
      <c r="AB198" s="17">
        <f t="shared" si="43"/>
        <v>0</v>
      </c>
      <c r="AC198" s="101"/>
      <c r="AD198" s="555">
        <f t="shared" si="46"/>
        <v>0</v>
      </c>
      <c r="AE198" s="632">
        <f t="shared" si="47"/>
        <v>0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/>
      <c r="V199" s="36"/>
      <c r="W199" s="43">
        <f t="shared" si="40"/>
        <v>0</v>
      </c>
      <c r="X199" s="44">
        <f t="shared" si="41"/>
        <v>0</v>
      </c>
      <c r="Y199" s="51"/>
      <c r="Z199" s="52"/>
      <c r="AA199" s="58">
        <f t="shared" si="42"/>
        <v>0</v>
      </c>
      <c r="AB199" s="17">
        <f t="shared" si="43"/>
        <v>0</v>
      </c>
      <c r="AC199" s="101"/>
      <c r="AD199" s="555">
        <f t="shared" si="46"/>
        <v>0</v>
      </c>
      <c r="AE199" s="632">
        <f t="shared" si="47"/>
        <v>0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/>
      <c r="V200" s="36"/>
      <c r="W200" s="43">
        <f t="shared" si="40"/>
        <v>0</v>
      </c>
      <c r="X200" s="44">
        <f t="shared" si="41"/>
        <v>0</v>
      </c>
      <c r="Y200" s="51"/>
      <c r="Z200" s="52"/>
      <c r="AA200" s="58">
        <f t="shared" si="42"/>
        <v>0</v>
      </c>
      <c r="AB200" s="17">
        <f t="shared" si="43"/>
        <v>0</v>
      </c>
      <c r="AC200" s="101"/>
      <c r="AD200" s="555">
        <f t="shared" si="46"/>
        <v>0</v>
      </c>
      <c r="AE200" s="632">
        <f t="shared" si="47"/>
        <v>0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/>
      <c r="V201" s="36"/>
      <c r="W201" s="43">
        <f t="shared" si="40"/>
        <v>0</v>
      </c>
      <c r="X201" s="44">
        <f t="shared" si="41"/>
        <v>0</v>
      </c>
      <c r="Y201" s="51"/>
      <c r="Z201" s="52"/>
      <c r="AA201" s="58">
        <f t="shared" si="42"/>
        <v>0</v>
      </c>
      <c r="AB201" s="17">
        <f t="shared" si="43"/>
        <v>0</v>
      </c>
      <c r="AC201" s="101"/>
      <c r="AD201" s="555">
        <f t="shared" si="46"/>
        <v>0</v>
      </c>
      <c r="AE201" s="632">
        <f t="shared" si="47"/>
        <v>0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/>
      <c r="V202" s="36"/>
      <c r="W202" s="43">
        <f t="shared" si="40"/>
        <v>0</v>
      </c>
      <c r="X202" s="44">
        <f t="shared" si="41"/>
        <v>0</v>
      </c>
      <c r="Y202" s="51"/>
      <c r="Z202" s="52"/>
      <c r="AA202" s="58">
        <f t="shared" si="42"/>
        <v>0</v>
      </c>
      <c r="AB202" s="17">
        <f t="shared" si="43"/>
        <v>0</v>
      </c>
      <c r="AC202" s="101"/>
      <c r="AD202" s="555">
        <f t="shared" si="46"/>
        <v>0</v>
      </c>
      <c r="AE202" s="632">
        <f t="shared" si="47"/>
        <v>0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/>
      <c r="V203" s="36"/>
      <c r="W203" s="43">
        <f t="shared" si="40"/>
        <v>0</v>
      </c>
      <c r="X203" s="44">
        <f t="shared" si="41"/>
        <v>0</v>
      </c>
      <c r="Y203" s="51"/>
      <c r="Z203" s="52"/>
      <c r="AA203" s="58">
        <f t="shared" si="42"/>
        <v>0</v>
      </c>
      <c r="AB203" s="17">
        <f t="shared" si="43"/>
        <v>0</v>
      </c>
      <c r="AC203" s="101"/>
      <c r="AD203" s="555">
        <f t="shared" si="46"/>
        <v>0</v>
      </c>
      <c r="AE203" s="632">
        <f t="shared" si="47"/>
        <v>0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/>
      <c r="V204" s="36"/>
      <c r="W204" s="43">
        <f t="shared" si="40"/>
        <v>0</v>
      </c>
      <c r="X204" s="44">
        <f t="shared" si="41"/>
        <v>0</v>
      </c>
      <c r="Y204" s="51"/>
      <c r="Z204" s="52"/>
      <c r="AA204" s="58">
        <f t="shared" si="42"/>
        <v>0</v>
      </c>
      <c r="AB204" s="17">
        <f t="shared" si="43"/>
        <v>0</v>
      </c>
      <c r="AC204" s="101"/>
      <c r="AD204" s="555">
        <f t="shared" si="46"/>
        <v>0</v>
      </c>
      <c r="AE204" s="632">
        <f t="shared" si="47"/>
        <v>0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/>
      <c r="V205" s="36"/>
      <c r="W205" s="43">
        <f t="shared" ref="W205:W270" si="49">E205-N205</f>
        <v>0</v>
      </c>
      <c r="X205" s="44">
        <f t="shared" ref="X205:X270" si="50">F205-O205</f>
        <v>0</v>
      </c>
      <c r="Y205" s="51"/>
      <c r="Z205" s="52"/>
      <c r="AA205" s="58">
        <f t="shared" ref="AA205:AA270" si="51">I205-R205</f>
        <v>0</v>
      </c>
      <c r="AB205" s="17">
        <f t="shared" ref="AB205:AB270" si="52">J205-S205</f>
        <v>0</v>
      </c>
      <c r="AC205" s="101"/>
      <c r="AD205" s="555">
        <f t="shared" si="46"/>
        <v>0</v>
      </c>
      <c r="AE205" s="632">
        <f t="shared" si="47"/>
        <v>0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/>
      <c r="V206" s="36"/>
      <c r="W206" s="43">
        <f t="shared" si="49"/>
        <v>0</v>
      </c>
      <c r="X206" s="44">
        <f t="shared" si="50"/>
        <v>0</v>
      </c>
      <c r="Y206" s="51"/>
      <c r="Z206" s="52"/>
      <c r="AA206" s="58">
        <f t="shared" si="51"/>
        <v>0</v>
      </c>
      <c r="AB206" s="17">
        <f t="shared" si="52"/>
        <v>0</v>
      </c>
      <c r="AC206" s="101"/>
      <c r="AD206" s="555">
        <f t="shared" si="46"/>
        <v>0</v>
      </c>
      <c r="AE206" s="632">
        <f t="shared" si="47"/>
        <v>0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/>
      <c r="V207" s="36"/>
      <c r="W207" s="43">
        <f t="shared" si="49"/>
        <v>0</v>
      </c>
      <c r="X207" s="44">
        <f t="shared" si="50"/>
        <v>0</v>
      </c>
      <c r="Y207" s="51"/>
      <c r="Z207" s="52"/>
      <c r="AA207" s="58">
        <f t="shared" si="51"/>
        <v>0</v>
      </c>
      <c r="AB207" s="17">
        <f t="shared" si="52"/>
        <v>0</v>
      </c>
      <c r="AC207" s="101"/>
      <c r="AD207" s="555">
        <f t="shared" si="46"/>
        <v>0</v>
      </c>
      <c r="AE207" s="632">
        <f t="shared" si="47"/>
        <v>0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/>
      <c r="V208" s="36"/>
      <c r="W208" s="43">
        <f t="shared" si="49"/>
        <v>0</v>
      </c>
      <c r="X208" s="44">
        <f t="shared" si="50"/>
        <v>0</v>
      </c>
      <c r="Y208" s="51"/>
      <c r="Z208" s="52"/>
      <c r="AA208" s="58">
        <f t="shared" si="51"/>
        <v>0</v>
      </c>
      <c r="AB208" s="17">
        <f t="shared" si="52"/>
        <v>0</v>
      </c>
      <c r="AC208" s="101"/>
      <c r="AD208" s="555">
        <f t="shared" si="46"/>
        <v>0</v>
      </c>
      <c r="AE208" s="632">
        <f t="shared" si="47"/>
        <v>0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/>
      <c r="V209" s="36"/>
      <c r="W209" s="43">
        <f t="shared" si="49"/>
        <v>0</v>
      </c>
      <c r="X209" s="44">
        <f t="shared" si="50"/>
        <v>0</v>
      </c>
      <c r="Y209" s="51"/>
      <c r="Z209" s="52"/>
      <c r="AA209" s="58">
        <f t="shared" si="51"/>
        <v>0</v>
      </c>
      <c r="AB209" s="17">
        <f t="shared" si="52"/>
        <v>0</v>
      </c>
      <c r="AC209" s="101"/>
      <c r="AD209" s="555">
        <f t="shared" si="46"/>
        <v>0</v>
      </c>
      <c r="AE209" s="632">
        <f t="shared" si="47"/>
        <v>0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/>
      <c r="V210" s="36"/>
      <c r="W210" s="43">
        <f t="shared" si="49"/>
        <v>0</v>
      </c>
      <c r="X210" s="44">
        <f t="shared" si="50"/>
        <v>0</v>
      </c>
      <c r="Y210" s="51"/>
      <c r="Z210" s="52"/>
      <c r="AA210" s="58">
        <f t="shared" si="51"/>
        <v>0</v>
      </c>
      <c r="AB210" s="17">
        <f t="shared" si="52"/>
        <v>0</v>
      </c>
      <c r="AC210" s="101"/>
      <c r="AD210" s="555">
        <f t="shared" si="46"/>
        <v>0</v>
      </c>
      <c r="AE210" s="632">
        <f t="shared" si="47"/>
        <v>0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/>
      <c r="V211" s="36"/>
      <c r="W211" s="43">
        <f t="shared" si="49"/>
        <v>0</v>
      </c>
      <c r="X211" s="44">
        <f t="shared" si="50"/>
        <v>0</v>
      </c>
      <c r="Y211" s="51"/>
      <c r="Z211" s="52"/>
      <c r="AA211" s="58">
        <f t="shared" si="51"/>
        <v>0</v>
      </c>
      <c r="AB211" s="17">
        <f t="shared" si="52"/>
        <v>0</v>
      </c>
      <c r="AC211" s="101"/>
      <c r="AD211" s="555">
        <f t="shared" si="46"/>
        <v>0</v>
      </c>
      <c r="AE211" s="632">
        <f t="shared" si="47"/>
        <v>0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/>
      <c r="V212" s="36"/>
      <c r="W212" s="43">
        <f t="shared" si="49"/>
        <v>0</v>
      </c>
      <c r="X212" s="44">
        <f t="shared" si="50"/>
        <v>0</v>
      </c>
      <c r="Y212" s="51"/>
      <c r="Z212" s="52"/>
      <c r="AA212" s="58">
        <f t="shared" si="51"/>
        <v>0</v>
      </c>
      <c r="AB212" s="17">
        <f t="shared" si="52"/>
        <v>0</v>
      </c>
      <c r="AC212" s="101"/>
      <c r="AD212" s="555">
        <f t="shared" si="46"/>
        <v>0</v>
      </c>
      <c r="AE212" s="632">
        <f t="shared" si="47"/>
        <v>0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/>
      <c r="V213" s="36"/>
      <c r="W213" s="43">
        <f t="shared" si="49"/>
        <v>0</v>
      </c>
      <c r="X213" s="44">
        <f t="shared" si="50"/>
        <v>0</v>
      </c>
      <c r="Y213" s="51"/>
      <c r="Z213" s="52"/>
      <c r="AA213" s="58">
        <f t="shared" si="51"/>
        <v>0</v>
      </c>
      <c r="AB213" s="17">
        <f t="shared" si="52"/>
        <v>0</v>
      </c>
      <c r="AC213" s="101"/>
      <c r="AD213" s="555">
        <f t="shared" si="46"/>
        <v>0</v>
      </c>
      <c r="AE213" s="632">
        <f t="shared" si="47"/>
        <v>0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/>
      <c r="V214" s="36"/>
      <c r="W214" s="43">
        <f t="shared" si="49"/>
        <v>0</v>
      </c>
      <c r="X214" s="44">
        <f t="shared" si="50"/>
        <v>0</v>
      </c>
      <c r="Y214" s="51"/>
      <c r="Z214" s="52"/>
      <c r="AA214" s="58">
        <f t="shared" si="51"/>
        <v>0</v>
      </c>
      <c r="AB214" s="17">
        <f t="shared" si="52"/>
        <v>0</v>
      </c>
      <c r="AC214" s="101"/>
      <c r="AD214" s="555">
        <f t="shared" si="46"/>
        <v>0</v>
      </c>
      <c r="AE214" s="632">
        <f t="shared" si="47"/>
        <v>0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/>
      <c r="V215" s="36"/>
      <c r="W215" s="43">
        <f t="shared" si="49"/>
        <v>0</v>
      </c>
      <c r="X215" s="44">
        <f t="shared" si="50"/>
        <v>0</v>
      </c>
      <c r="Y215" s="51"/>
      <c r="Z215" s="52"/>
      <c r="AA215" s="58">
        <f t="shared" si="51"/>
        <v>0</v>
      </c>
      <c r="AB215" s="17">
        <f t="shared" si="52"/>
        <v>0</v>
      </c>
      <c r="AC215" s="101"/>
      <c r="AD215" s="555">
        <f t="shared" si="46"/>
        <v>0</v>
      </c>
      <c r="AE215" s="632">
        <f t="shared" si="47"/>
        <v>0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/>
      <c r="V216" s="36"/>
      <c r="W216" s="43">
        <f t="shared" si="49"/>
        <v>0</v>
      </c>
      <c r="X216" s="44">
        <f t="shared" si="50"/>
        <v>0</v>
      </c>
      <c r="Y216" s="51"/>
      <c r="Z216" s="52"/>
      <c r="AA216" s="58">
        <f t="shared" si="51"/>
        <v>0</v>
      </c>
      <c r="AB216" s="17">
        <f t="shared" si="52"/>
        <v>0</v>
      </c>
      <c r="AC216" s="101"/>
      <c r="AD216" s="555">
        <f t="shared" si="46"/>
        <v>0</v>
      </c>
      <c r="AE216" s="632">
        <f t="shared" si="47"/>
        <v>0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/>
      <c r="V217" s="36"/>
      <c r="W217" s="43">
        <f t="shared" si="49"/>
        <v>0</v>
      </c>
      <c r="X217" s="44">
        <f t="shared" si="50"/>
        <v>0</v>
      </c>
      <c r="Y217" s="51"/>
      <c r="Z217" s="52"/>
      <c r="AA217" s="58">
        <f t="shared" si="51"/>
        <v>0</v>
      </c>
      <c r="AB217" s="17">
        <f t="shared" si="52"/>
        <v>0</v>
      </c>
      <c r="AC217" s="101"/>
      <c r="AD217" s="555">
        <f t="shared" si="46"/>
        <v>0</v>
      </c>
      <c r="AE217" s="632">
        <f t="shared" si="47"/>
        <v>0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/>
      <c r="V218" s="36"/>
      <c r="W218" s="43">
        <f t="shared" si="49"/>
        <v>0</v>
      </c>
      <c r="X218" s="44">
        <f t="shared" si="50"/>
        <v>0</v>
      </c>
      <c r="Y218" s="51"/>
      <c r="Z218" s="52"/>
      <c r="AA218" s="58">
        <f t="shared" si="51"/>
        <v>0</v>
      </c>
      <c r="AB218" s="17">
        <f t="shared" si="52"/>
        <v>0</v>
      </c>
      <c r="AC218" s="101"/>
      <c r="AD218" s="555">
        <f t="shared" si="46"/>
        <v>0</v>
      </c>
      <c r="AE218" s="632">
        <f t="shared" si="47"/>
        <v>0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/>
      <c r="V219" s="36"/>
      <c r="W219" s="43">
        <f t="shared" si="49"/>
        <v>0</v>
      </c>
      <c r="X219" s="44">
        <f t="shared" si="50"/>
        <v>0</v>
      </c>
      <c r="Y219" s="51"/>
      <c r="Z219" s="52"/>
      <c r="AA219" s="58">
        <f t="shared" si="51"/>
        <v>0</v>
      </c>
      <c r="AB219" s="17">
        <f t="shared" si="52"/>
        <v>0</v>
      </c>
      <c r="AC219" s="101"/>
      <c r="AD219" s="555">
        <f t="shared" si="46"/>
        <v>0</v>
      </c>
      <c r="AE219" s="632">
        <f t="shared" si="47"/>
        <v>0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/>
      <c r="V220" s="36"/>
      <c r="W220" s="43">
        <f t="shared" si="49"/>
        <v>0</v>
      </c>
      <c r="X220" s="44">
        <f t="shared" si="50"/>
        <v>0</v>
      </c>
      <c r="Y220" s="51"/>
      <c r="Z220" s="52"/>
      <c r="AA220" s="58">
        <f t="shared" si="51"/>
        <v>0</v>
      </c>
      <c r="AB220" s="17">
        <f t="shared" si="52"/>
        <v>0</v>
      </c>
      <c r="AC220" s="101"/>
      <c r="AD220" s="555">
        <f t="shared" si="46"/>
        <v>0</v>
      </c>
      <c r="AE220" s="632">
        <f t="shared" si="47"/>
        <v>0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/>
      <c r="V221" s="36"/>
      <c r="W221" s="43">
        <f t="shared" si="49"/>
        <v>0</v>
      </c>
      <c r="X221" s="44">
        <f t="shared" si="50"/>
        <v>0</v>
      </c>
      <c r="Y221" s="51"/>
      <c r="Z221" s="52"/>
      <c r="AA221" s="58">
        <f t="shared" si="51"/>
        <v>0</v>
      </c>
      <c r="AB221" s="17">
        <f t="shared" si="52"/>
        <v>0</v>
      </c>
      <c r="AC221" s="101"/>
      <c r="AD221" s="555">
        <f t="shared" si="46"/>
        <v>0</v>
      </c>
      <c r="AE221" s="632">
        <f t="shared" si="47"/>
        <v>0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/>
      <c r="V222" s="36"/>
      <c r="W222" s="43">
        <f t="shared" si="49"/>
        <v>0</v>
      </c>
      <c r="X222" s="44">
        <f t="shared" si="50"/>
        <v>0</v>
      </c>
      <c r="Y222" s="51"/>
      <c r="Z222" s="52"/>
      <c r="AA222" s="58">
        <f t="shared" si="51"/>
        <v>0</v>
      </c>
      <c r="AB222" s="17">
        <f t="shared" si="52"/>
        <v>0</v>
      </c>
      <c r="AC222" s="101"/>
      <c r="AD222" s="555">
        <f t="shared" si="46"/>
        <v>0</v>
      </c>
      <c r="AE222" s="632">
        <f t="shared" si="47"/>
        <v>0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/>
      <c r="V223" s="36"/>
      <c r="W223" s="43">
        <f t="shared" si="49"/>
        <v>0</v>
      </c>
      <c r="X223" s="44">
        <f t="shared" si="50"/>
        <v>0</v>
      </c>
      <c r="Y223" s="51"/>
      <c r="Z223" s="52"/>
      <c r="AA223" s="58">
        <f t="shared" si="51"/>
        <v>0</v>
      </c>
      <c r="AB223" s="17">
        <f t="shared" si="52"/>
        <v>0</v>
      </c>
      <c r="AC223" s="101"/>
      <c r="AD223" s="555">
        <f t="shared" si="46"/>
        <v>0</v>
      </c>
      <c r="AE223" s="632">
        <f t="shared" si="47"/>
        <v>0</v>
      </c>
    </row>
    <row r="224" spans="1:31" collapsed="1">
      <c r="A224" s="104"/>
      <c r="B224" s="104" t="s">
        <v>19</v>
      </c>
      <c r="C224" s="105"/>
      <c r="D224" s="106"/>
      <c r="E224" s="107">
        <f t="shared" ref="E224" si="53">SUBTOTAL(9,E225:E255)</f>
        <v>0</v>
      </c>
      <c r="F224" s="108">
        <f t="shared" ref="F224" si="54">SUBTOTAL(9,F225:F255)</f>
        <v>0</v>
      </c>
      <c r="G224" s="109"/>
      <c r="H224" s="110"/>
      <c r="I224" s="111">
        <f t="shared" ref="I224" si="55">SUBTOTAL(9,I225:I255)</f>
        <v>0</v>
      </c>
      <c r="J224" s="14">
        <f t="shared" ref="J224" si="56">SUBTOTAL(9,J225:J255)</f>
        <v>0</v>
      </c>
      <c r="K224" s="103"/>
      <c r="L224" s="105"/>
      <c r="M224" s="106"/>
      <c r="N224" s="107">
        <f t="shared" ref="N224" si="57">SUBTOTAL(9,N225:N255)</f>
        <v>0</v>
      </c>
      <c r="O224" s="108">
        <f t="shared" ref="O224" si="58">SUBTOTAL(9,O225:O255)</f>
        <v>0</v>
      </c>
      <c r="P224" s="109"/>
      <c r="Q224" s="110"/>
      <c r="R224" s="111">
        <f t="shared" ref="R224" si="59">SUBTOTAL(9,R225:R255)</f>
        <v>0</v>
      </c>
      <c r="S224" s="14">
        <f t="shared" ref="S224" si="60">SUBTOTAL(9,S225:S255)</f>
        <v>0</v>
      </c>
      <c r="T224" s="103"/>
      <c r="U224" s="105"/>
      <c r="V224" s="106"/>
      <c r="W224" s="107">
        <f t="shared" ref="W224" si="61">SUBTOTAL(9,W225:W255)</f>
        <v>0</v>
      </c>
      <c r="X224" s="108">
        <f t="shared" ref="X224" si="62">SUBTOTAL(9,X225:X255)</f>
        <v>0</v>
      </c>
      <c r="Y224" s="109"/>
      <c r="Z224" s="110"/>
      <c r="AA224" s="111">
        <f t="shared" ref="AA224" si="63">SUBTOTAL(9,AA225:AA255)</f>
        <v>0</v>
      </c>
      <c r="AB224" s="14">
        <f t="shared" ref="AB224" si="64">SUBTOTAL(9,AB225:AB255)</f>
        <v>0</v>
      </c>
      <c r="AC224" s="103"/>
      <c r="AD224" s="555"/>
      <c r="AE224" s="632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/>
      <c r="V225" s="36"/>
      <c r="W225" s="43">
        <f t="shared" si="49"/>
        <v>0</v>
      </c>
      <c r="X225" s="44">
        <f t="shared" si="50"/>
        <v>0</v>
      </c>
      <c r="Y225" s="51"/>
      <c r="Z225" s="52"/>
      <c r="AA225" s="58">
        <f t="shared" si="51"/>
        <v>0</v>
      </c>
      <c r="AB225" s="17">
        <f t="shared" si="52"/>
        <v>0</v>
      </c>
      <c r="AC225" s="101"/>
      <c r="AD225" s="555">
        <f t="shared" si="46"/>
        <v>0</v>
      </c>
      <c r="AE225" s="632">
        <f t="shared" si="47"/>
        <v>0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/>
      <c r="V226" s="36"/>
      <c r="W226" s="43">
        <f t="shared" si="49"/>
        <v>0</v>
      </c>
      <c r="X226" s="44">
        <f t="shared" si="50"/>
        <v>0</v>
      </c>
      <c r="Y226" s="51"/>
      <c r="Z226" s="52"/>
      <c r="AA226" s="58">
        <f t="shared" si="51"/>
        <v>0</v>
      </c>
      <c r="AB226" s="17">
        <f t="shared" si="52"/>
        <v>0</v>
      </c>
      <c r="AC226" s="101"/>
      <c r="AD226" s="555">
        <f t="shared" ref="AD226:AD289" si="66">SUM(C226,E226,G226,I226)</f>
        <v>0</v>
      </c>
      <c r="AE226" s="632">
        <f t="shared" ref="AE226:AE289" si="67">SUM(D226,F226,H226,J226)</f>
        <v>0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/>
      <c r="V227" s="36"/>
      <c r="W227" s="43">
        <f t="shared" si="49"/>
        <v>0</v>
      </c>
      <c r="X227" s="44">
        <f t="shared" si="50"/>
        <v>0</v>
      </c>
      <c r="Y227" s="51"/>
      <c r="Z227" s="52"/>
      <c r="AA227" s="58">
        <f t="shared" si="51"/>
        <v>0</v>
      </c>
      <c r="AB227" s="17">
        <f t="shared" si="52"/>
        <v>0</v>
      </c>
      <c r="AC227" s="101"/>
      <c r="AD227" s="555">
        <f t="shared" si="66"/>
        <v>0</v>
      </c>
      <c r="AE227" s="632">
        <f t="shared" si="67"/>
        <v>0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/>
      <c r="V228" s="36"/>
      <c r="W228" s="43">
        <f t="shared" si="49"/>
        <v>0</v>
      </c>
      <c r="X228" s="44">
        <f t="shared" si="50"/>
        <v>0</v>
      </c>
      <c r="Y228" s="51"/>
      <c r="Z228" s="52"/>
      <c r="AA228" s="58">
        <f t="shared" si="51"/>
        <v>0</v>
      </c>
      <c r="AB228" s="17">
        <f t="shared" si="52"/>
        <v>0</v>
      </c>
      <c r="AC228" s="101"/>
      <c r="AD228" s="555">
        <f t="shared" si="66"/>
        <v>0</v>
      </c>
      <c r="AE228" s="632">
        <f t="shared" si="67"/>
        <v>0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/>
      <c r="V229" s="36"/>
      <c r="W229" s="43">
        <f t="shared" si="49"/>
        <v>0</v>
      </c>
      <c r="X229" s="44">
        <f t="shared" si="50"/>
        <v>0</v>
      </c>
      <c r="Y229" s="51"/>
      <c r="Z229" s="52"/>
      <c r="AA229" s="58">
        <f t="shared" si="51"/>
        <v>0</v>
      </c>
      <c r="AB229" s="17">
        <f t="shared" si="52"/>
        <v>0</v>
      </c>
      <c r="AC229" s="101"/>
      <c r="AD229" s="555">
        <f t="shared" si="66"/>
        <v>0</v>
      </c>
      <c r="AE229" s="632">
        <f t="shared" si="67"/>
        <v>0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/>
      <c r="V230" s="36"/>
      <c r="W230" s="43">
        <f t="shared" si="49"/>
        <v>0</v>
      </c>
      <c r="X230" s="44">
        <f t="shared" si="50"/>
        <v>0</v>
      </c>
      <c r="Y230" s="51"/>
      <c r="Z230" s="52"/>
      <c r="AA230" s="58">
        <f t="shared" si="51"/>
        <v>0</v>
      </c>
      <c r="AB230" s="17">
        <f t="shared" si="52"/>
        <v>0</v>
      </c>
      <c r="AC230" s="101"/>
      <c r="AD230" s="555">
        <f t="shared" si="66"/>
        <v>0</v>
      </c>
      <c r="AE230" s="632">
        <f t="shared" si="67"/>
        <v>0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/>
      <c r="V231" s="36"/>
      <c r="W231" s="43">
        <f t="shared" si="49"/>
        <v>0</v>
      </c>
      <c r="X231" s="44">
        <f t="shared" si="50"/>
        <v>0</v>
      </c>
      <c r="Y231" s="51"/>
      <c r="Z231" s="52"/>
      <c r="AA231" s="58">
        <f t="shared" si="51"/>
        <v>0</v>
      </c>
      <c r="AB231" s="17">
        <f t="shared" si="52"/>
        <v>0</v>
      </c>
      <c r="AC231" s="101"/>
      <c r="AD231" s="555">
        <f t="shared" si="66"/>
        <v>0</v>
      </c>
      <c r="AE231" s="632">
        <f t="shared" si="67"/>
        <v>0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/>
      <c r="V232" s="36"/>
      <c r="W232" s="43">
        <f t="shared" si="49"/>
        <v>0</v>
      </c>
      <c r="X232" s="44">
        <f t="shared" si="50"/>
        <v>0</v>
      </c>
      <c r="Y232" s="51"/>
      <c r="Z232" s="52"/>
      <c r="AA232" s="58">
        <f t="shared" si="51"/>
        <v>0</v>
      </c>
      <c r="AB232" s="17">
        <f t="shared" si="52"/>
        <v>0</v>
      </c>
      <c r="AC232" s="101"/>
      <c r="AD232" s="555">
        <f t="shared" si="66"/>
        <v>0</v>
      </c>
      <c r="AE232" s="632">
        <f t="shared" si="67"/>
        <v>0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/>
      <c r="V233" s="36"/>
      <c r="W233" s="43">
        <f t="shared" si="49"/>
        <v>0</v>
      </c>
      <c r="X233" s="44">
        <f t="shared" si="50"/>
        <v>0</v>
      </c>
      <c r="Y233" s="51"/>
      <c r="Z233" s="52"/>
      <c r="AA233" s="58">
        <f t="shared" si="51"/>
        <v>0</v>
      </c>
      <c r="AB233" s="17">
        <f t="shared" si="52"/>
        <v>0</v>
      </c>
      <c r="AC233" s="101"/>
      <c r="AD233" s="555">
        <f t="shared" si="66"/>
        <v>0</v>
      </c>
      <c r="AE233" s="632">
        <f t="shared" si="67"/>
        <v>0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/>
      <c r="V234" s="36"/>
      <c r="W234" s="43">
        <f t="shared" si="49"/>
        <v>0</v>
      </c>
      <c r="X234" s="44">
        <f t="shared" si="50"/>
        <v>0</v>
      </c>
      <c r="Y234" s="51"/>
      <c r="Z234" s="52"/>
      <c r="AA234" s="58">
        <f t="shared" si="51"/>
        <v>0</v>
      </c>
      <c r="AB234" s="17">
        <f t="shared" si="52"/>
        <v>0</v>
      </c>
      <c r="AC234" s="101"/>
      <c r="AD234" s="555">
        <f t="shared" si="66"/>
        <v>0</v>
      </c>
      <c r="AE234" s="632">
        <f t="shared" si="67"/>
        <v>0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>
        <f t="shared" si="49"/>
        <v>0</v>
      </c>
      <c r="X235" s="44">
        <f t="shared" si="50"/>
        <v>0</v>
      </c>
      <c r="Y235" s="51"/>
      <c r="Z235" s="52"/>
      <c r="AA235" s="58">
        <f t="shared" si="51"/>
        <v>0</v>
      </c>
      <c r="AB235" s="17">
        <f t="shared" si="52"/>
        <v>0</v>
      </c>
      <c r="AC235" s="101"/>
      <c r="AD235" s="555">
        <f t="shared" si="66"/>
        <v>0</v>
      </c>
      <c r="AE235" s="632">
        <f t="shared" si="67"/>
        <v>0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>
        <f t="shared" si="49"/>
        <v>0</v>
      </c>
      <c r="X236" s="44">
        <f t="shared" si="50"/>
        <v>0</v>
      </c>
      <c r="Y236" s="51"/>
      <c r="Z236" s="52"/>
      <c r="AA236" s="58">
        <f t="shared" si="51"/>
        <v>0</v>
      </c>
      <c r="AB236" s="17">
        <f t="shared" si="52"/>
        <v>0</v>
      </c>
      <c r="AC236" s="101"/>
      <c r="AD236" s="555">
        <f t="shared" si="66"/>
        <v>0</v>
      </c>
      <c r="AE236" s="632">
        <f t="shared" si="67"/>
        <v>0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>
        <f t="shared" si="49"/>
        <v>0</v>
      </c>
      <c r="X237" s="44">
        <f t="shared" si="50"/>
        <v>0</v>
      </c>
      <c r="Y237" s="51"/>
      <c r="Z237" s="52"/>
      <c r="AA237" s="58">
        <f t="shared" si="51"/>
        <v>0</v>
      </c>
      <c r="AB237" s="17">
        <f t="shared" si="52"/>
        <v>0</v>
      </c>
      <c r="AC237" s="101"/>
      <c r="AD237" s="555">
        <f t="shared" si="66"/>
        <v>0</v>
      </c>
      <c r="AE237" s="632">
        <f t="shared" si="67"/>
        <v>0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>
        <f t="shared" si="49"/>
        <v>0</v>
      </c>
      <c r="X238" s="44">
        <f t="shared" si="50"/>
        <v>0</v>
      </c>
      <c r="Y238" s="51"/>
      <c r="Z238" s="52"/>
      <c r="AA238" s="58">
        <f t="shared" si="51"/>
        <v>0</v>
      </c>
      <c r="AB238" s="17">
        <f t="shared" si="52"/>
        <v>0</v>
      </c>
      <c r="AC238" s="101"/>
      <c r="AD238" s="555">
        <f t="shared" si="66"/>
        <v>0</v>
      </c>
      <c r="AE238" s="632">
        <f t="shared" si="67"/>
        <v>0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>
        <f t="shared" si="49"/>
        <v>0</v>
      </c>
      <c r="X239" s="44">
        <f t="shared" si="50"/>
        <v>0</v>
      </c>
      <c r="Y239" s="51"/>
      <c r="Z239" s="52"/>
      <c r="AA239" s="58">
        <f t="shared" si="51"/>
        <v>0</v>
      </c>
      <c r="AB239" s="17">
        <f t="shared" si="52"/>
        <v>0</v>
      </c>
      <c r="AC239" s="101"/>
      <c r="AD239" s="555">
        <f t="shared" si="66"/>
        <v>0</v>
      </c>
      <c r="AE239" s="632">
        <f t="shared" si="67"/>
        <v>0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>
        <f t="shared" si="49"/>
        <v>0</v>
      </c>
      <c r="X240" s="44">
        <f t="shared" si="50"/>
        <v>0</v>
      </c>
      <c r="Y240" s="51"/>
      <c r="Z240" s="52"/>
      <c r="AA240" s="58">
        <f t="shared" si="51"/>
        <v>0</v>
      </c>
      <c r="AB240" s="17">
        <f t="shared" si="52"/>
        <v>0</v>
      </c>
      <c r="AC240" s="101"/>
      <c r="AD240" s="555">
        <f t="shared" si="66"/>
        <v>0</v>
      </c>
      <c r="AE240" s="632">
        <f t="shared" si="67"/>
        <v>0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>
        <f t="shared" si="49"/>
        <v>0</v>
      </c>
      <c r="X241" s="44">
        <f t="shared" si="50"/>
        <v>0</v>
      </c>
      <c r="Y241" s="51"/>
      <c r="Z241" s="52"/>
      <c r="AA241" s="58">
        <f t="shared" si="51"/>
        <v>0</v>
      </c>
      <c r="AB241" s="17">
        <f t="shared" si="52"/>
        <v>0</v>
      </c>
      <c r="AC241" s="101"/>
      <c r="AD241" s="555">
        <f t="shared" si="66"/>
        <v>0</v>
      </c>
      <c r="AE241" s="632">
        <f t="shared" si="67"/>
        <v>0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>
        <f t="shared" si="49"/>
        <v>0</v>
      </c>
      <c r="X242" s="44">
        <f t="shared" si="50"/>
        <v>0</v>
      </c>
      <c r="Y242" s="51"/>
      <c r="Z242" s="52"/>
      <c r="AA242" s="58">
        <f t="shared" si="51"/>
        <v>0</v>
      </c>
      <c r="AB242" s="17">
        <f t="shared" si="52"/>
        <v>0</v>
      </c>
      <c r="AC242" s="101"/>
      <c r="AD242" s="555">
        <f t="shared" si="66"/>
        <v>0</v>
      </c>
      <c r="AE242" s="632">
        <f t="shared" si="67"/>
        <v>0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>
        <f t="shared" si="49"/>
        <v>0</v>
      </c>
      <c r="X243" s="44">
        <f t="shared" si="50"/>
        <v>0</v>
      </c>
      <c r="Y243" s="51"/>
      <c r="Z243" s="52"/>
      <c r="AA243" s="58">
        <f t="shared" si="51"/>
        <v>0</v>
      </c>
      <c r="AB243" s="17">
        <f t="shared" si="52"/>
        <v>0</v>
      </c>
      <c r="AC243" s="101"/>
      <c r="AD243" s="555">
        <f t="shared" si="66"/>
        <v>0</v>
      </c>
      <c r="AE243" s="632">
        <f t="shared" si="67"/>
        <v>0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>
        <f t="shared" si="49"/>
        <v>0</v>
      </c>
      <c r="X244" s="44">
        <f t="shared" si="50"/>
        <v>0</v>
      </c>
      <c r="Y244" s="51"/>
      <c r="Z244" s="52"/>
      <c r="AA244" s="58">
        <f t="shared" si="51"/>
        <v>0</v>
      </c>
      <c r="AB244" s="17">
        <f t="shared" si="52"/>
        <v>0</v>
      </c>
      <c r="AC244" s="101"/>
      <c r="AD244" s="555">
        <f t="shared" si="66"/>
        <v>0</v>
      </c>
      <c r="AE244" s="632">
        <f t="shared" si="67"/>
        <v>0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>
        <f t="shared" si="49"/>
        <v>0</v>
      </c>
      <c r="X245" s="44">
        <f t="shared" si="50"/>
        <v>0</v>
      </c>
      <c r="Y245" s="51"/>
      <c r="Z245" s="52"/>
      <c r="AA245" s="58">
        <f t="shared" si="51"/>
        <v>0</v>
      </c>
      <c r="AB245" s="17">
        <f t="shared" si="52"/>
        <v>0</v>
      </c>
      <c r="AC245" s="101"/>
      <c r="AD245" s="555">
        <f t="shared" si="66"/>
        <v>0</v>
      </c>
      <c r="AE245" s="632">
        <f t="shared" si="67"/>
        <v>0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>
        <f t="shared" si="49"/>
        <v>0</v>
      </c>
      <c r="X246" s="44">
        <f t="shared" si="50"/>
        <v>0</v>
      </c>
      <c r="Y246" s="51"/>
      <c r="Z246" s="52"/>
      <c r="AA246" s="58">
        <f t="shared" si="51"/>
        <v>0</v>
      </c>
      <c r="AB246" s="17">
        <f t="shared" si="52"/>
        <v>0</v>
      </c>
      <c r="AC246" s="101"/>
      <c r="AD246" s="555">
        <f t="shared" si="66"/>
        <v>0</v>
      </c>
      <c r="AE246" s="632">
        <f t="shared" si="67"/>
        <v>0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>
        <f t="shared" si="49"/>
        <v>0</v>
      </c>
      <c r="X247" s="44">
        <f t="shared" si="50"/>
        <v>0</v>
      </c>
      <c r="Y247" s="51"/>
      <c r="Z247" s="52"/>
      <c r="AA247" s="58">
        <f t="shared" si="51"/>
        <v>0</v>
      </c>
      <c r="AB247" s="17">
        <f t="shared" si="52"/>
        <v>0</v>
      </c>
      <c r="AC247" s="101"/>
      <c r="AD247" s="555">
        <f t="shared" si="66"/>
        <v>0</v>
      </c>
      <c r="AE247" s="632">
        <f t="shared" si="67"/>
        <v>0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>
        <f t="shared" si="49"/>
        <v>0</v>
      </c>
      <c r="X248" s="44">
        <f t="shared" si="50"/>
        <v>0</v>
      </c>
      <c r="Y248" s="51"/>
      <c r="Z248" s="52"/>
      <c r="AA248" s="58">
        <f t="shared" si="51"/>
        <v>0</v>
      </c>
      <c r="AB248" s="17">
        <f t="shared" si="52"/>
        <v>0</v>
      </c>
      <c r="AC248" s="101"/>
      <c r="AD248" s="555">
        <f t="shared" si="66"/>
        <v>0</v>
      </c>
      <c r="AE248" s="632">
        <f t="shared" si="67"/>
        <v>0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>
        <f t="shared" si="49"/>
        <v>0</v>
      </c>
      <c r="X249" s="44">
        <f t="shared" si="50"/>
        <v>0</v>
      </c>
      <c r="Y249" s="51"/>
      <c r="Z249" s="52"/>
      <c r="AA249" s="58">
        <f t="shared" si="51"/>
        <v>0</v>
      </c>
      <c r="AB249" s="17">
        <f t="shared" si="52"/>
        <v>0</v>
      </c>
      <c r="AC249" s="101"/>
      <c r="AD249" s="555">
        <f t="shared" si="66"/>
        <v>0</v>
      </c>
      <c r="AE249" s="632">
        <f t="shared" si="67"/>
        <v>0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>
        <f t="shared" si="49"/>
        <v>0</v>
      </c>
      <c r="X250" s="44">
        <f t="shared" si="50"/>
        <v>0</v>
      </c>
      <c r="Y250" s="51"/>
      <c r="Z250" s="52"/>
      <c r="AA250" s="58">
        <f t="shared" si="51"/>
        <v>0</v>
      </c>
      <c r="AB250" s="17">
        <f t="shared" si="52"/>
        <v>0</v>
      </c>
      <c r="AC250" s="101"/>
      <c r="AD250" s="555">
        <f t="shared" si="66"/>
        <v>0</v>
      </c>
      <c r="AE250" s="632">
        <f t="shared" si="67"/>
        <v>0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>
        <f t="shared" si="49"/>
        <v>0</v>
      </c>
      <c r="X251" s="44">
        <f t="shared" si="50"/>
        <v>0</v>
      </c>
      <c r="Y251" s="51"/>
      <c r="Z251" s="52"/>
      <c r="AA251" s="58">
        <f t="shared" si="51"/>
        <v>0</v>
      </c>
      <c r="AB251" s="17">
        <f t="shared" si="52"/>
        <v>0</v>
      </c>
      <c r="AC251" s="101"/>
      <c r="AD251" s="555">
        <f t="shared" si="66"/>
        <v>0</v>
      </c>
      <c r="AE251" s="632">
        <f t="shared" si="67"/>
        <v>0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>
        <f t="shared" si="49"/>
        <v>0</v>
      </c>
      <c r="X252" s="44">
        <f t="shared" si="50"/>
        <v>0</v>
      </c>
      <c r="Y252" s="51"/>
      <c r="Z252" s="52"/>
      <c r="AA252" s="58">
        <f t="shared" si="51"/>
        <v>0</v>
      </c>
      <c r="AB252" s="17">
        <f t="shared" si="52"/>
        <v>0</v>
      </c>
      <c r="AC252" s="101"/>
      <c r="AD252" s="555">
        <f t="shared" si="66"/>
        <v>0</v>
      </c>
      <c r="AE252" s="632">
        <f t="shared" si="67"/>
        <v>0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>
        <f t="shared" si="49"/>
        <v>0</v>
      </c>
      <c r="X253" s="44">
        <f t="shared" si="50"/>
        <v>0</v>
      </c>
      <c r="Y253" s="51"/>
      <c r="Z253" s="52"/>
      <c r="AA253" s="58">
        <f t="shared" si="51"/>
        <v>0</v>
      </c>
      <c r="AB253" s="17">
        <f t="shared" si="52"/>
        <v>0</v>
      </c>
      <c r="AC253" s="101"/>
      <c r="AD253" s="555">
        <f t="shared" si="66"/>
        <v>0</v>
      </c>
      <c r="AE253" s="632">
        <f t="shared" si="67"/>
        <v>0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>
        <f t="shared" si="49"/>
        <v>0</v>
      </c>
      <c r="X254" s="44">
        <f t="shared" si="50"/>
        <v>0</v>
      </c>
      <c r="Y254" s="51"/>
      <c r="Z254" s="52"/>
      <c r="AA254" s="58">
        <f t="shared" si="51"/>
        <v>0</v>
      </c>
      <c r="AB254" s="17">
        <f t="shared" si="52"/>
        <v>0</v>
      </c>
      <c r="AC254" s="101"/>
      <c r="AD254" s="555">
        <f t="shared" si="66"/>
        <v>0</v>
      </c>
      <c r="AE254" s="632">
        <f t="shared" si="67"/>
        <v>0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>
        <f t="shared" si="49"/>
        <v>0</v>
      </c>
      <c r="X255" s="44">
        <f t="shared" si="50"/>
        <v>0</v>
      </c>
      <c r="Y255" s="51"/>
      <c r="Z255" s="52"/>
      <c r="AA255" s="58">
        <f t="shared" si="51"/>
        <v>0</v>
      </c>
      <c r="AB255" s="17">
        <f t="shared" si="52"/>
        <v>0</v>
      </c>
      <c r="AC255" s="101"/>
      <c r="AD255" s="555">
        <f t="shared" si="66"/>
        <v>0</v>
      </c>
      <c r="AE255" s="632">
        <f t="shared" si="67"/>
        <v>0</v>
      </c>
    </row>
    <row r="256" spans="1:31" collapsed="1">
      <c r="A256" s="104"/>
      <c r="B256" s="104" t="s">
        <v>20</v>
      </c>
      <c r="C256" s="105"/>
      <c r="D256" s="106"/>
      <c r="E256" s="107">
        <f t="shared" ref="E256:AB256" si="68">SUBTOTAL(9,E257:E286)</f>
        <v>0</v>
      </c>
      <c r="F256" s="108">
        <f t="shared" si="68"/>
        <v>0</v>
      </c>
      <c r="G256" s="109"/>
      <c r="H256" s="110"/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>
        <f t="shared" si="68"/>
        <v>0</v>
      </c>
      <c r="O256" s="108">
        <f t="shared" si="68"/>
        <v>0</v>
      </c>
      <c r="P256" s="109"/>
      <c r="Q256" s="110"/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>
        <f t="shared" si="68"/>
        <v>0</v>
      </c>
      <c r="X256" s="108">
        <f t="shared" si="68"/>
        <v>0</v>
      </c>
      <c r="Y256" s="109"/>
      <c r="Z256" s="110"/>
      <c r="AA256" s="111">
        <f t="shared" si="68"/>
        <v>0</v>
      </c>
      <c r="AB256" s="14">
        <f t="shared" si="68"/>
        <v>0</v>
      </c>
      <c r="AC256" s="103"/>
      <c r="AD256" s="555"/>
      <c r="AE256" s="632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>
        <f t="shared" si="49"/>
        <v>0</v>
      </c>
      <c r="X257" s="44">
        <f t="shared" si="50"/>
        <v>0</v>
      </c>
      <c r="Y257" s="51"/>
      <c r="Z257" s="52"/>
      <c r="AA257" s="58">
        <f t="shared" si="51"/>
        <v>0</v>
      </c>
      <c r="AB257" s="17">
        <f t="shared" si="52"/>
        <v>0</v>
      </c>
      <c r="AC257" s="101"/>
      <c r="AD257" s="555">
        <f t="shared" si="66"/>
        <v>0</v>
      </c>
      <c r="AE257" s="632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>
        <f t="shared" si="49"/>
        <v>0</v>
      </c>
      <c r="X258" s="44">
        <f t="shared" si="50"/>
        <v>0</v>
      </c>
      <c r="Y258" s="51"/>
      <c r="Z258" s="52"/>
      <c r="AA258" s="58">
        <f t="shared" si="51"/>
        <v>0</v>
      </c>
      <c r="AB258" s="17">
        <f t="shared" si="52"/>
        <v>0</v>
      </c>
      <c r="AC258" s="101"/>
      <c r="AD258" s="555">
        <f t="shared" si="66"/>
        <v>0</v>
      </c>
      <c r="AE258" s="632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>
        <f t="shared" si="49"/>
        <v>0</v>
      </c>
      <c r="X259" s="44">
        <f t="shared" si="50"/>
        <v>0</v>
      </c>
      <c r="Y259" s="51"/>
      <c r="Z259" s="52"/>
      <c r="AA259" s="58">
        <f t="shared" si="51"/>
        <v>0</v>
      </c>
      <c r="AB259" s="17">
        <f t="shared" si="52"/>
        <v>0</v>
      </c>
      <c r="AC259" s="101"/>
      <c r="AD259" s="555">
        <f t="shared" si="66"/>
        <v>0</v>
      </c>
      <c r="AE259" s="632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>
        <f t="shared" si="49"/>
        <v>0</v>
      </c>
      <c r="X260" s="44">
        <f t="shared" si="50"/>
        <v>0</v>
      </c>
      <c r="Y260" s="51"/>
      <c r="Z260" s="52"/>
      <c r="AA260" s="58">
        <f t="shared" si="51"/>
        <v>0</v>
      </c>
      <c r="AB260" s="17">
        <f t="shared" si="52"/>
        <v>0</v>
      </c>
      <c r="AC260" s="101"/>
      <c r="AD260" s="555">
        <f t="shared" si="66"/>
        <v>0</v>
      </c>
      <c r="AE260" s="632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>
        <f t="shared" si="49"/>
        <v>0</v>
      </c>
      <c r="X261" s="44">
        <f t="shared" si="50"/>
        <v>0</v>
      </c>
      <c r="Y261" s="51"/>
      <c r="Z261" s="52"/>
      <c r="AA261" s="58">
        <f t="shared" si="51"/>
        <v>0</v>
      </c>
      <c r="AB261" s="17">
        <f t="shared" si="52"/>
        <v>0</v>
      </c>
      <c r="AC261" s="101"/>
      <c r="AD261" s="555">
        <f t="shared" si="66"/>
        <v>0</v>
      </c>
      <c r="AE261" s="632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>
        <f t="shared" si="49"/>
        <v>0</v>
      </c>
      <c r="X262" s="44">
        <f t="shared" si="50"/>
        <v>0</v>
      </c>
      <c r="Y262" s="51"/>
      <c r="Z262" s="52"/>
      <c r="AA262" s="58">
        <f t="shared" si="51"/>
        <v>0</v>
      </c>
      <c r="AB262" s="17">
        <f t="shared" si="52"/>
        <v>0</v>
      </c>
      <c r="AC262" s="101"/>
      <c r="AD262" s="555">
        <f t="shared" si="66"/>
        <v>0</v>
      </c>
      <c r="AE262" s="632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>
        <f t="shared" si="49"/>
        <v>0</v>
      </c>
      <c r="X263" s="44">
        <f t="shared" si="50"/>
        <v>0</v>
      </c>
      <c r="Y263" s="51"/>
      <c r="Z263" s="52"/>
      <c r="AA263" s="58">
        <f t="shared" si="51"/>
        <v>0</v>
      </c>
      <c r="AB263" s="17">
        <f t="shared" si="52"/>
        <v>0</v>
      </c>
      <c r="AC263" s="101"/>
      <c r="AD263" s="555">
        <f t="shared" si="66"/>
        <v>0</v>
      </c>
      <c r="AE263" s="632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>
        <f t="shared" si="49"/>
        <v>0</v>
      </c>
      <c r="X264" s="44">
        <f t="shared" si="50"/>
        <v>0</v>
      </c>
      <c r="Y264" s="51"/>
      <c r="Z264" s="52"/>
      <c r="AA264" s="58">
        <f t="shared" si="51"/>
        <v>0</v>
      </c>
      <c r="AB264" s="17">
        <f t="shared" si="52"/>
        <v>0</v>
      </c>
      <c r="AC264" s="101"/>
      <c r="AD264" s="555">
        <f t="shared" si="66"/>
        <v>0</v>
      </c>
      <c r="AE264" s="632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>
        <f t="shared" si="49"/>
        <v>0</v>
      </c>
      <c r="X265" s="44">
        <f t="shared" si="50"/>
        <v>0</v>
      </c>
      <c r="Y265" s="51"/>
      <c r="Z265" s="52"/>
      <c r="AA265" s="58">
        <f t="shared" si="51"/>
        <v>0</v>
      </c>
      <c r="AB265" s="17">
        <f t="shared" si="52"/>
        <v>0</v>
      </c>
      <c r="AC265" s="101"/>
      <c r="AD265" s="555">
        <f t="shared" si="66"/>
        <v>0</v>
      </c>
      <c r="AE265" s="632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>
        <f t="shared" si="49"/>
        <v>0</v>
      </c>
      <c r="X266" s="44">
        <f t="shared" si="50"/>
        <v>0</v>
      </c>
      <c r="Y266" s="51"/>
      <c r="Z266" s="52"/>
      <c r="AA266" s="58">
        <f t="shared" si="51"/>
        <v>0</v>
      </c>
      <c r="AB266" s="17">
        <f t="shared" si="52"/>
        <v>0</v>
      </c>
      <c r="AC266" s="101"/>
      <c r="AD266" s="555">
        <f t="shared" si="66"/>
        <v>0</v>
      </c>
      <c r="AE266" s="632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>
        <f t="shared" si="49"/>
        <v>0</v>
      </c>
      <c r="X267" s="44">
        <f t="shared" si="50"/>
        <v>0</v>
      </c>
      <c r="Y267" s="51"/>
      <c r="Z267" s="52"/>
      <c r="AA267" s="58">
        <f t="shared" si="51"/>
        <v>0</v>
      </c>
      <c r="AB267" s="17">
        <f t="shared" si="52"/>
        <v>0</v>
      </c>
      <c r="AC267" s="101"/>
      <c r="AD267" s="555">
        <f t="shared" si="66"/>
        <v>0</v>
      </c>
      <c r="AE267" s="632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>
        <f t="shared" si="49"/>
        <v>0</v>
      </c>
      <c r="X268" s="44">
        <f t="shared" si="50"/>
        <v>0</v>
      </c>
      <c r="Y268" s="51"/>
      <c r="Z268" s="52"/>
      <c r="AA268" s="58">
        <f t="shared" si="51"/>
        <v>0</v>
      </c>
      <c r="AB268" s="17">
        <f t="shared" si="52"/>
        <v>0</v>
      </c>
      <c r="AC268" s="101"/>
      <c r="AD268" s="555">
        <f t="shared" si="66"/>
        <v>0</v>
      </c>
      <c r="AE268" s="632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>
        <f t="shared" si="49"/>
        <v>0</v>
      </c>
      <c r="X269" s="44">
        <f t="shared" si="50"/>
        <v>0</v>
      </c>
      <c r="Y269" s="51"/>
      <c r="Z269" s="52"/>
      <c r="AA269" s="58">
        <f t="shared" si="51"/>
        <v>0</v>
      </c>
      <c r="AB269" s="17">
        <f t="shared" si="52"/>
        <v>0</v>
      </c>
      <c r="AC269" s="101"/>
      <c r="AD269" s="555">
        <f t="shared" si="66"/>
        <v>0</v>
      </c>
      <c r="AE269" s="632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>
        <f t="shared" si="49"/>
        <v>0</v>
      </c>
      <c r="X270" s="44">
        <f t="shared" si="50"/>
        <v>0</v>
      </c>
      <c r="Y270" s="51"/>
      <c r="Z270" s="52"/>
      <c r="AA270" s="58">
        <f t="shared" si="51"/>
        <v>0</v>
      </c>
      <c r="AB270" s="17">
        <f t="shared" si="52"/>
        <v>0</v>
      </c>
      <c r="AC270" s="101"/>
      <c r="AD270" s="555">
        <f t="shared" si="66"/>
        <v>0</v>
      </c>
      <c r="AE270" s="632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>
        <f t="shared" ref="W271:W336" si="69">E271-N271</f>
        <v>0</v>
      </c>
      <c r="X271" s="44">
        <f t="shared" ref="X271:X336" si="70">F271-O271</f>
        <v>0</v>
      </c>
      <c r="Y271" s="51"/>
      <c r="Z271" s="52"/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555">
        <f t="shared" si="66"/>
        <v>0</v>
      </c>
      <c r="AE271" s="632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>
        <f t="shared" si="69"/>
        <v>0</v>
      </c>
      <c r="X272" s="44">
        <f t="shared" si="70"/>
        <v>0</v>
      </c>
      <c r="Y272" s="51"/>
      <c r="Z272" s="52"/>
      <c r="AA272" s="58">
        <f t="shared" si="71"/>
        <v>0</v>
      </c>
      <c r="AB272" s="17">
        <f t="shared" si="72"/>
        <v>0</v>
      </c>
      <c r="AC272" s="101"/>
      <c r="AD272" s="555">
        <f t="shared" si="66"/>
        <v>0</v>
      </c>
      <c r="AE272" s="632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>
        <f t="shared" si="69"/>
        <v>0</v>
      </c>
      <c r="X273" s="44">
        <f t="shared" si="70"/>
        <v>0</v>
      </c>
      <c r="Y273" s="51"/>
      <c r="Z273" s="52"/>
      <c r="AA273" s="58">
        <f t="shared" si="71"/>
        <v>0</v>
      </c>
      <c r="AB273" s="17">
        <f t="shared" si="72"/>
        <v>0</v>
      </c>
      <c r="AC273" s="101"/>
      <c r="AD273" s="555">
        <f t="shared" si="66"/>
        <v>0</v>
      </c>
      <c r="AE273" s="632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>
        <f t="shared" si="69"/>
        <v>0</v>
      </c>
      <c r="X274" s="44">
        <f t="shared" si="70"/>
        <v>0</v>
      </c>
      <c r="Y274" s="51"/>
      <c r="Z274" s="52"/>
      <c r="AA274" s="58">
        <f t="shared" si="71"/>
        <v>0</v>
      </c>
      <c r="AB274" s="17">
        <f t="shared" si="72"/>
        <v>0</v>
      </c>
      <c r="AC274" s="101"/>
      <c r="AD274" s="555">
        <f t="shared" si="66"/>
        <v>0</v>
      </c>
      <c r="AE274" s="632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>
        <f t="shared" si="69"/>
        <v>0</v>
      </c>
      <c r="X275" s="44">
        <f t="shared" si="70"/>
        <v>0</v>
      </c>
      <c r="Y275" s="51"/>
      <c r="Z275" s="52"/>
      <c r="AA275" s="58">
        <f t="shared" si="71"/>
        <v>0</v>
      </c>
      <c r="AB275" s="17">
        <f t="shared" si="72"/>
        <v>0</v>
      </c>
      <c r="AC275" s="101"/>
      <c r="AD275" s="555">
        <f t="shared" si="66"/>
        <v>0</v>
      </c>
      <c r="AE275" s="632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>
        <f t="shared" si="69"/>
        <v>0</v>
      </c>
      <c r="X276" s="44">
        <f t="shared" si="70"/>
        <v>0</v>
      </c>
      <c r="Y276" s="51"/>
      <c r="Z276" s="52"/>
      <c r="AA276" s="58">
        <f t="shared" si="71"/>
        <v>0</v>
      </c>
      <c r="AB276" s="17">
        <f t="shared" si="72"/>
        <v>0</v>
      </c>
      <c r="AC276" s="101"/>
      <c r="AD276" s="555">
        <f t="shared" si="66"/>
        <v>0</v>
      </c>
      <c r="AE276" s="632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>
        <f t="shared" si="69"/>
        <v>0</v>
      </c>
      <c r="X277" s="44">
        <f t="shared" si="70"/>
        <v>0</v>
      </c>
      <c r="Y277" s="51"/>
      <c r="Z277" s="52"/>
      <c r="AA277" s="58">
        <f t="shared" si="71"/>
        <v>0</v>
      </c>
      <c r="AB277" s="17">
        <f t="shared" si="72"/>
        <v>0</v>
      </c>
      <c r="AC277" s="101"/>
      <c r="AD277" s="555">
        <f t="shared" si="66"/>
        <v>0</v>
      </c>
      <c r="AE277" s="632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>
        <f t="shared" si="69"/>
        <v>0</v>
      </c>
      <c r="X278" s="44">
        <f t="shared" si="70"/>
        <v>0</v>
      </c>
      <c r="Y278" s="51"/>
      <c r="Z278" s="52"/>
      <c r="AA278" s="58">
        <f t="shared" si="71"/>
        <v>0</v>
      </c>
      <c r="AB278" s="17">
        <f t="shared" si="72"/>
        <v>0</v>
      </c>
      <c r="AC278" s="101"/>
      <c r="AD278" s="555">
        <f t="shared" si="66"/>
        <v>0</v>
      </c>
      <c r="AE278" s="632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>
        <f t="shared" si="69"/>
        <v>0</v>
      </c>
      <c r="X279" s="44">
        <f t="shared" si="70"/>
        <v>0</v>
      </c>
      <c r="Y279" s="51"/>
      <c r="Z279" s="52"/>
      <c r="AA279" s="58">
        <f t="shared" si="71"/>
        <v>0</v>
      </c>
      <c r="AB279" s="17">
        <f t="shared" si="72"/>
        <v>0</v>
      </c>
      <c r="AC279" s="101"/>
      <c r="AD279" s="555">
        <f t="shared" si="66"/>
        <v>0</v>
      </c>
      <c r="AE279" s="632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>
        <f t="shared" si="69"/>
        <v>0</v>
      </c>
      <c r="X280" s="44">
        <f t="shared" si="70"/>
        <v>0</v>
      </c>
      <c r="Y280" s="51"/>
      <c r="Z280" s="52"/>
      <c r="AA280" s="58">
        <f t="shared" si="71"/>
        <v>0</v>
      </c>
      <c r="AB280" s="17">
        <f t="shared" si="72"/>
        <v>0</v>
      </c>
      <c r="AC280" s="101"/>
      <c r="AD280" s="555">
        <f t="shared" si="66"/>
        <v>0</v>
      </c>
      <c r="AE280" s="632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>
        <f t="shared" si="69"/>
        <v>0</v>
      </c>
      <c r="X281" s="44">
        <f t="shared" si="70"/>
        <v>0</v>
      </c>
      <c r="Y281" s="51"/>
      <c r="Z281" s="52"/>
      <c r="AA281" s="58">
        <f t="shared" si="71"/>
        <v>0</v>
      </c>
      <c r="AB281" s="17">
        <f t="shared" si="72"/>
        <v>0</v>
      </c>
      <c r="AC281" s="101"/>
      <c r="AD281" s="555">
        <f t="shared" si="66"/>
        <v>0</v>
      </c>
      <c r="AE281" s="632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>
        <f t="shared" si="69"/>
        <v>0</v>
      </c>
      <c r="X282" s="44">
        <f t="shared" si="70"/>
        <v>0</v>
      </c>
      <c r="Y282" s="51"/>
      <c r="Z282" s="52"/>
      <c r="AA282" s="58">
        <f t="shared" si="71"/>
        <v>0</v>
      </c>
      <c r="AB282" s="17">
        <f t="shared" si="72"/>
        <v>0</v>
      </c>
      <c r="AC282" s="101"/>
      <c r="AD282" s="555">
        <f t="shared" si="66"/>
        <v>0</v>
      </c>
      <c r="AE282" s="632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>
        <f t="shared" si="69"/>
        <v>0</v>
      </c>
      <c r="X283" s="44">
        <f t="shared" si="70"/>
        <v>0</v>
      </c>
      <c r="Y283" s="51"/>
      <c r="Z283" s="52"/>
      <c r="AA283" s="58">
        <f t="shared" si="71"/>
        <v>0</v>
      </c>
      <c r="AB283" s="17">
        <f t="shared" si="72"/>
        <v>0</v>
      </c>
      <c r="AC283" s="101"/>
      <c r="AD283" s="555">
        <f t="shared" si="66"/>
        <v>0</v>
      </c>
      <c r="AE283" s="632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>
        <f t="shared" si="69"/>
        <v>0</v>
      </c>
      <c r="X284" s="44">
        <f t="shared" si="70"/>
        <v>0</v>
      </c>
      <c r="Y284" s="51"/>
      <c r="Z284" s="52"/>
      <c r="AA284" s="58">
        <f t="shared" si="71"/>
        <v>0</v>
      </c>
      <c r="AB284" s="17">
        <f t="shared" si="72"/>
        <v>0</v>
      </c>
      <c r="AC284" s="101"/>
      <c r="AD284" s="555">
        <f t="shared" si="66"/>
        <v>0</v>
      </c>
      <c r="AE284" s="632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>
        <f t="shared" si="69"/>
        <v>0</v>
      </c>
      <c r="X285" s="44">
        <f t="shared" si="70"/>
        <v>0</v>
      </c>
      <c r="Y285" s="51"/>
      <c r="Z285" s="52"/>
      <c r="AA285" s="58">
        <f t="shared" si="71"/>
        <v>0</v>
      </c>
      <c r="AB285" s="17">
        <f t="shared" si="72"/>
        <v>0</v>
      </c>
      <c r="AC285" s="101"/>
      <c r="AD285" s="555">
        <f t="shared" si="66"/>
        <v>0</v>
      </c>
      <c r="AE285" s="632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>
        <f t="shared" si="69"/>
        <v>0</v>
      </c>
      <c r="X286" s="44">
        <f t="shared" si="70"/>
        <v>0</v>
      </c>
      <c r="Y286" s="51"/>
      <c r="Z286" s="52"/>
      <c r="AA286" s="58">
        <f t="shared" si="71"/>
        <v>0</v>
      </c>
      <c r="AB286" s="17">
        <f t="shared" si="72"/>
        <v>0</v>
      </c>
      <c r="AC286" s="101"/>
      <c r="AD286" s="555">
        <f t="shared" si="66"/>
        <v>0</v>
      </c>
      <c r="AE286" s="632">
        <f t="shared" si="67"/>
        <v>0</v>
      </c>
    </row>
    <row r="287" spans="1:31" collapsed="1">
      <c r="A287" s="104"/>
      <c r="B287" s="104" t="s">
        <v>21</v>
      </c>
      <c r="C287" s="105"/>
      <c r="D287" s="106"/>
      <c r="E287" s="107">
        <f t="shared" ref="E287:AB287" si="73">SUBTOTAL(9,E288:E318)</f>
        <v>0</v>
      </c>
      <c r="F287" s="108">
        <f t="shared" si="73"/>
        <v>0</v>
      </c>
      <c r="G287" s="109"/>
      <c r="H287" s="110"/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>
        <f t="shared" si="73"/>
        <v>0</v>
      </c>
      <c r="O287" s="108">
        <f t="shared" si="73"/>
        <v>0</v>
      </c>
      <c r="P287" s="109"/>
      <c r="Q287" s="110"/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>
        <f t="shared" si="73"/>
        <v>0</v>
      </c>
      <c r="X287" s="108">
        <f t="shared" si="73"/>
        <v>0</v>
      </c>
      <c r="Y287" s="109"/>
      <c r="Z287" s="110"/>
      <c r="AA287" s="111">
        <f t="shared" si="73"/>
        <v>0</v>
      </c>
      <c r="AB287" s="14">
        <f t="shared" si="73"/>
        <v>0</v>
      </c>
      <c r="AC287" s="103"/>
      <c r="AD287" s="555"/>
      <c r="AE287" s="632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>
        <f t="shared" si="69"/>
        <v>0</v>
      </c>
      <c r="X288" s="44">
        <f t="shared" si="70"/>
        <v>0</v>
      </c>
      <c r="Y288" s="51"/>
      <c r="Z288" s="52"/>
      <c r="AA288" s="58">
        <f t="shared" si="71"/>
        <v>0</v>
      </c>
      <c r="AB288" s="17">
        <f t="shared" si="72"/>
        <v>0</v>
      </c>
      <c r="AC288" s="101"/>
      <c r="AD288" s="555">
        <f t="shared" si="66"/>
        <v>0</v>
      </c>
      <c r="AE288" s="632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>
        <f t="shared" si="69"/>
        <v>0</v>
      </c>
      <c r="X289" s="44">
        <f t="shared" si="70"/>
        <v>0</v>
      </c>
      <c r="Y289" s="51"/>
      <c r="Z289" s="52"/>
      <c r="AA289" s="58">
        <f t="shared" si="71"/>
        <v>0</v>
      </c>
      <c r="AB289" s="17">
        <f t="shared" si="72"/>
        <v>0</v>
      </c>
      <c r="AC289" s="101"/>
      <c r="AD289" s="555">
        <f t="shared" si="66"/>
        <v>0</v>
      </c>
      <c r="AE289" s="632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>
        <f t="shared" si="69"/>
        <v>0</v>
      </c>
      <c r="X290" s="44">
        <f t="shared" si="70"/>
        <v>0</v>
      </c>
      <c r="Y290" s="51"/>
      <c r="Z290" s="52"/>
      <c r="AA290" s="58">
        <f t="shared" si="71"/>
        <v>0</v>
      </c>
      <c r="AB290" s="17">
        <f t="shared" si="72"/>
        <v>0</v>
      </c>
      <c r="AC290" s="101"/>
      <c r="AD290" s="555">
        <f t="shared" ref="AD290:AD349" si="74">SUM(C290,E290,G290,I290)</f>
        <v>0</v>
      </c>
      <c r="AE290" s="632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>
        <f t="shared" si="69"/>
        <v>0</v>
      </c>
      <c r="X291" s="44">
        <f t="shared" si="70"/>
        <v>0</v>
      </c>
      <c r="Y291" s="51"/>
      <c r="Z291" s="52"/>
      <c r="AA291" s="58">
        <f t="shared" si="71"/>
        <v>0</v>
      </c>
      <c r="AB291" s="17">
        <f t="shared" si="72"/>
        <v>0</v>
      </c>
      <c r="AC291" s="101"/>
      <c r="AD291" s="555">
        <f t="shared" si="74"/>
        <v>0</v>
      </c>
      <c r="AE291" s="632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>
        <f t="shared" si="69"/>
        <v>0</v>
      </c>
      <c r="X292" s="44">
        <f t="shared" si="70"/>
        <v>0</v>
      </c>
      <c r="Y292" s="51"/>
      <c r="Z292" s="52"/>
      <c r="AA292" s="58">
        <f t="shared" si="71"/>
        <v>0</v>
      </c>
      <c r="AB292" s="17">
        <f t="shared" si="72"/>
        <v>0</v>
      </c>
      <c r="AC292" s="101"/>
      <c r="AD292" s="555">
        <f t="shared" si="74"/>
        <v>0</v>
      </c>
      <c r="AE292" s="632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>
        <f t="shared" si="69"/>
        <v>0</v>
      </c>
      <c r="X293" s="44">
        <f t="shared" si="70"/>
        <v>0</v>
      </c>
      <c r="Y293" s="51"/>
      <c r="Z293" s="52"/>
      <c r="AA293" s="58">
        <f t="shared" si="71"/>
        <v>0</v>
      </c>
      <c r="AB293" s="17">
        <f t="shared" si="72"/>
        <v>0</v>
      </c>
      <c r="AC293" s="101"/>
      <c r="AD293" s="555">
        <f t="shared" si="74"/>
        <v>0</v>
      </c>
      <c r="AE293" s="632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>
        <f t="shared" si="69"/>
        <v>0</v>
      </c>
      <c r="X294" s="44">
        <f t="shared" si="70"/>
        <v>0</v>
      </c>
      <c r="Y294" s="51"/>
      <c r="Z294" s="52"/>
      <c r="AA294" s="58">
        <f t="shared" si="71"/>
        <v>0</v>
      </c>
      <c r="AB294" s="17">
        <f t="shared" si="72"/>
        <v>0</v>
      </c>
      <c r="AC294" s="101"/>
      <c r="AD294" s="555">
        <f t="shared" si="74"/>
        <v>0</v>
      </c>
      <c r="AE294" s="632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>
        <f t="shared" si="69"/>
        <v>0</v>
      </c>
      <c r="X295" s="44">
        <f t="shared" si="70"/>
        <v>0</v>
      </c>
      <c r="Y295" s="51"/>
      <c r="Z295" s="52"/>
      <c r="AA295" s="58">
        <f t="shared" si="71"/>
        <v>0</v>
      </c>
      <c r="AB295" s="17">
        <f t="shared" si="72"/>
        <v>0</v>
      </c>
      <c r="AC295" s="101"/>
      <c r="AD295" s="555">
        <f t="shared" si="74"/>
        <v>0</v>
      </c>
      <c r="AE295" s="632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>
        <f t="shared" si="69"/>
        <v>0</v>
      </c>
      <c r="X296" s="44">
        <f t="shared" si="70"/>
        <v>0</v>
      </c>
      <c r="Y296" s="51"/>
      <c r="Z296" s="52"/>
      <c r="AA296" s="58">
        <f t="shared" si="71"/>
        <v>0</v>
      </c>
      <c r="AB296" s="17">
        <f t="shared" si="72"/>
        <v>0</v>
      </c>
      <c r="AC296" s="101"/>
      <c r="AD296" s="555">
        <f t="shared" si="74"/>
        <v>0</v>
      </c>
      <c r="AE296" s="632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>
        <f t="shared" si="69"/>
        <v>0</v>
      </c>
      <c r="X297" s="44">
        <f t="shared" si="70"/>
        <v>0</v>
      </c>
      <c r="Y297" s="51"/>
      <c r="Z297" s="52"/>
      <c r="AA297" s="58">
        <f t="shared" si="71"/>
        <v>0</v>
      </c>
      <c r="AB297" s="17">
        <f t="shared" si="72"/>
        <v>0</v>
      </c>
      <c r="AC297" s="101"/>
      <c r="AD297" s="555">
        <f t="shared" si="74"/>
        <v>0</v>
      </c>
      <c r="AE297" s="632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>
        <f t="shared" si="69"/>
        <v>0</v>
      </c>
      <c r="X298" s="44">
        <f t="shared" si="70"/>
        <v>0</v>
      </c>
      <c r="Y298" s="51"/>
      <c r="Z298" s="52"/>
      <c r="AA298" s="58">
        <f t="shared" si="71"/>
        <v>0</v>
      </c>
      <c r="AB298" s="17">
        <f t="shared" si="72"/>
        <v>0</v>
      </c>
      <c r="AC298" s="101"/>
      <c r="AD298" s="555">
        <f t="shared" si="74"/>
        <v>0</v>
      </c>
      <c r="AE298" s="632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>
        <f t="shared" si="69"/>
        <v>0</v>
      </c>
      <c r="X299" s="44">
        <f t="shared" si="70"/>
        <v>0</v>
      </c>
      <c r="Y299" s="51"/>
      <c r="Z299" s="52"/>
      <c r="AA299" s="58">
        <f t="shared" si="71"/>
        <v>0</v>
      </c>
      <c r="AB299" s="17">
        <f t="shared" si="72"/>
        <v>0</v>
      </c>
      <c r="AC299" s="101"/>
      <c r="AD299" s="555">
        <f t="shared" si="74"/>
        <v>0</v>
      </c>
      <c r="AE299" s="632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>
        <f t="shared" si="69"/>
        <v>0</v>
      </c>
      <c r="X300" s="44">
        <f t="shared" si="70"/>
        <v>0</v>
      </c>
      <c r="Y300" s="51"/>
      <c r="Z300" s="52"/>
      <c r="AA300" s="58">
        <f t="shared" si="71"/>
        <v>0</v>
      </c>
      <c r="AB300" s="17">
        <f t="shared" si="72"/>
        <v>0</v>
      </c>
      <c r="AC300" s="101"/>
      <c r="AD300" s="555">
        <f t="shared" si="74"/>
        <v>0</v>
      </c>
      <c r="AE300" s="632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>
        <f t="shared" si="69"/>
        <v>0</v>
      </c>
      <c r="X301" s="44">
        <f t="shared" si="70"/>
        <v>0</v>
      </c>
      <c r="Y301" s="51"/>
      <c r="Z301" s="52"/>
      <c r="AA301" s="58">
        <f t="shared" si="71"/>
        <v>0</v>
      </c>
      <c r="AB301" s="17">
        <f t="shared" si="72"/>
        <v>0</v>
      </c>
      <c r="AC301" s="101"/>
      <c r="AD301" s="555">
        <f t="shared" si="74"/>
        <v>0</v>
      </c>
      <c r="AE301" s="632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>
        <f t="shared" si="69"/>
        <v>0</v>
      </c>
      <c r="X302" s="44">
        <f t="shared" si="70"/>
        <v>0</v>
      </c>
      <c r="Y302" s="51"/>
      <c r="Z302" s="52"/>
      <c r="AA302" s="58">
        <f t="shared" si="71"/>
        <v>0</v>
      </c>
      <c r="AB302" s="17">
        <f t="shared" si="72"/>
        <v>0</v>
      </c>
      <c r="AC302" s="101"/>
      <c r="AD302" s="555">
        <f t="shared" si="74"/>
        <v>0</v>
      </c>
      <c r="AE302" s="632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>
        <f t="shared" si="69"/>
        <v>0</v>
      </c>
      <c r="X303" s="44">
        <f t="shared" si="70"/>
        <v>0</v>
      </c>
      <c r="Y303" s="51"/>
      <c r="Z303" s="52"/>
      <c r="AA303" s="58">
        <f t="shared" si="71"/>
        <v>0</v>
      </c>
      <c r="AB303" s="17">
        <f t="shared" si="72"/>
        <v>0</v>
      </c>
      <c r="AC303" s="101"/>
      <c r="AD303" s="555">
        <f t="shared" si="74"/>
        <v>0</v>
      </c>
      <c r="AE303" s="632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>
        <f t="shared" si="69"/>
        <v>0</v>
      </c>
      <c r="X304" s="44">
        <f t="shared" si="70"/>
        <v>0</v>
      </c>
      <c r="Y304" s="51"/>
      <c r="Z304" s="52"/>
      <c r="AA304" s="58">
        <f t="shared" si="71"/>
        <v>0</v>
      </c>
      <c r="AB304" s="17">
        <f t="shared" si="72"/>
        <v>0</v>
      </c>
      <c r="AC304" s="101"/>
      <c r="AD304" s="555">
        <f t="shared" si="74"/>
        <v>0</v>
      </c>
      <c r="AE304" s="632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>
        <f t="shared" si="69"/>
        <v>0</v>
      </c>
      <c r="X305" s="44">
        <f t="shared" si="70"/>
        <v>0</v>
      </c>
      <c r="Y305" s="51"/>
      <c r="Z305" s="52"/>
      <c r="AA305" s="58">
        <f t="shared" si="71"/>
        <v>0</v>
      </c>
      <c r="AB305" s="17">
        <f t="shared" si="72"/>
        <v>0</v>
      </c>
      <c r="AC305" s="101"/>
      <c r="AD305" s="555">
        <f t="shared" si="74"/>
        <v>0</v>
      </c>
      <c r="AE305" s="632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>
        <f t="shared" si="69"/>
        <v>0</v>
      </c>
      <c r="X306" s="44">
        <f t="shared" si="70"/>
        <v>0</v>
      </c>
      <c r="Y306" s="51"/>
      <c r="Z306" s="52"/>
      <c r="AA306" s="58">
        <f t="shared" si="71"/>
        <v>0</v>
      </c>
      <c r="AB306" s="17">
        <f t="shared" si="72"/>
        <v>0</v>
      </c>
      <c r="AC306" s="101"/>
      <c r="AD306" s="555">
        <f t="shared" si="74"/>
        <v>0</v>
      </c>
      <c r="AE306" s="632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>
        <f t="shared" si="69"/>
        <v>0</v>
      </c>
      <c r="X307" s="44">
        <f t="shared" si="70"/>
        <v>0</v>
      </c>
      <c r="Y307" s="51"/>
      <c r="Z307" s="52"/>
      <c r="AA307" s="58">
        <f t="shared" si="71"/>
        <v>0</v>
      </c>
      <c r="AB307" s="17">
        <f t="shared" si="72"/>
        <v>0</v>
      </c>
      <c r="AC307" s="101"/>
      <c r="AD307" s="555">
        <f t="shared" si="74"/>
        <v>0</v>
      </c>
      <c r="AE307" s="632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>
        <f t="shared" si="69"/>
        <v>0</v>
      </c>
      <c r="X308" s="44">
        <f t="shared" si="70"/>
        <v>0</v>
      </c>
      <c r="Y308" s="51"/>
      <c r="Z308" s="52"/>
      <c r="AA308" s="58">
        <f t="shared" si="71"/>
        <v>0</v>
      </c>
      <c r="AB308" s="17">
        <f t="shared" si="72"/>
        <v>0</v>
      </c>
      <c r="AC308" s="101"/>
      <c r="AD308" s="555">
        <f t="shared" si="74"/>
        <v>0</v>
      </c>
      <c r="AE308" s="632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>
        <f t="shared" si="69"/>
        <v>0</v>
      </c>
      <c r="X309" s="44">
        <f t="shared" si="70"/>
        <v>0</v>
      </c>
      <c r="Y309" s="51"/>
      <c r="Z309" s="52"/>
      <c r="AA309" s="58">
        <f t="shared" si="71"/>
        <v>0</v>
      </c>
      <c r="AB309" s="17">
        <f t="shared" si="72"/>
        <v>0</v>
      </c>
      <c r="AC309" s="101"/>
      <c r="AD309" s="555">
        <f t="shared" si="74"/>
        <v>0</v>
      </c>
      <c r="AE309" s="632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>
        <f t="shared" si="69"/>
        <v>0</v>
      </c>
      <c r="X310" s="44">
        <f t="shared" si="70"/>
        <v>0</v>
      </c>
      <c r="Y310" s="51"/>
      <c r="Z310" s="52"/>
      <c r="AA310" s="58">
        <f t="shared" si="71"/>
        <v>0</v>
      </c>
      <c r="AB310" s="17">
        <f t="shared" si="72"/>
        <v>0</v>
      </c>
      <c r="AC310" s="101"/>
      <c r="AD310" s="555">
        <f t="shared" si="74"/>
        <v>0</v>
      </c>
      <c r="AE310" s="632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>
        <f t="shared" si="69"/>
        <v>0</v>
      </c>
      <c r="X311" s="44">
        <f t="shared" si="70"/>
        <v>0</v>
      </c>
      <c r="Y311" s="51"/>
      <c r="Z311" s="52"/>
      <c r="AA311" s="58">
        <f t="shared" si="71"/>
        <v>0</v>
      </c>
      <c r="AB311" s="17">
        <f t="shared" si="72"/>
        <v>0</v>
      </c>
      <c r="AC311" s="101"/>
      <c r="AD311" s="555">
        <f t="shared" si="74"/>
        <v>0</v>
      </c>
      <c r="AE311" s="632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>
        <f t="shared" si="69"/>
        <v>0</v>
      </c>
      <c r="X312" s="44">
        <f t="shared" si="70"/>
        <v>0</v>
      </c>
      <c r="Y312" s="51"/>
      <c r="Z312" s="52"/>
      <c r="AA312" s="58">
        <f t="shared" si="71"/>
        <v>0</v>
      </c>
      <c r="AB312" s="17">
        <f t="shared" si="72"/>
        <v>0</v>
      </c>
      <c r="AC312" s="101"/>
      <c r="AD312" s="555">
        <f t="shared" si="74"/>
        <v>0</v>
      </c>
      <c r="AE312" s="632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>
        <f t="shared" si="69"/>
        <v>0</v>
      </c>
      <c r="X313" s="44">
        <f t="shared" si="70"/>
        <v>0</v>
      </c>
      <c r="Y313" s="51"/>
      <c r="Z313" s="52"/>
      <c r="AA313" s="58">
        <f t="shared" si="71"/>
        <v>0</v>
      </c>
      <c r="AB313" s="17">
        <f t="shared" si="72"/>
        <v>0</v>
      </c>
      <c r="AC313" s="101"/>
      <c r="AD313" s="555">
        <f t="shared" si="74"/>
        <v>0</v>
      </c>
      <c r="AE313" s="632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>
        <f t="shared" si="69"/>
        <v>0</v>
      </c>
      <c r="X314" s="44">
        <f t="shared" si="70"/>
        <v>0</v>
      </c>
      <c r="Y314" s="51"/>
      <c r="Z314" s="52"/>
      <c r="AA314" s="58">
        <f t="shared" si="71"/>
        <v>0</v>
      </c>
      <c r="AB314" s="17">
        <f t="shared" si="72"/>
        <v>0</v>
      </c>
      <c r="AC314" s="101"/>
      <c r="AD314" s="555">
        <f t="shared" si="74"/>
        <v>0</v>
      </c>
      <c r="AE314" s="632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>
        <f t="shared" si="69"/>
        <v>0</v>
      </c>
      <c r="X315" s="44">
        <f t="shared" si="70"/>
        <v>0</v>
      </c>
      <c r="Y315" s="51"/>
      <c r="Z315" s="52"/>
      <c r="AA315" s="58">
        <f t="shared" si="71"/>
        <v>0</v>
      </c>
      <c r="AB315" s="17">
        <f t="shared" si="72"/>
        <v>0</v>
      </c>
      <c r="AC315" s="101"/>
      <c r="AD315" s="555">
        <f t="shared" si="74"/>
        <v>0</v>
      </c>
      <c r="AE315" s="632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>
        <f t="shared" si="69"/>
        <v>0</v>
      </c>
      <c r="X316" s="44">
        <f t="shared" si="70"/>
        <v>0</v>
      </c>
      <c r="Y316" s="51"/>
      <c r="Z316" s="52"/>
      <c r="AA316" s="58">
        <f t="shared" si="71"/>
        <v>0</v>
      </c>
      <c r="AB316" s="17">
        <f t="shared" si="72"/>
        <v>0</v>
      </c>
      <c r="AC316" s="101"/>
      <c r="AD316" s="555">
        <f t="shared" si="74"/>
        <v>0</v>
      </c>
      <c r="AE316" s="632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>
        <f t="shared" si="69"/>
        <v>0</v>
      </c>
      <c r="X317" s="44">
        <f t="shared" si="70"/>
        <v>0</v>
      </c>
      <c r="Y317" s="51"/>
      <c r="Z317" s="52"/>
      <c r="AA317" s="58">
        <f t="shared" si="71"/>
        <v>0</v>
      </c>
      <c r="AB317" s="17">
        <f t="shared" si="72"/>
        <v>0</v>
      </c>
      <c r="AC317" s="101"/>
      <c r="AD317" s="555">
        <f t="shared" si="74"/>
        <v>0</v>
      </c>
      <c r="AE317" s="632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>
        <f t="shared" si="69"/>
        <v>0</v>
      </c>
      <c r="X318" s="44">
        <f t="shared" si="70"/>
        <v>0</v>
      </c>
      <c r="Y318" s="51"/>
      <c r="Z318" s="52"/>
      <c r="AA318" s="58">
        <f t="shared" si="71"/>
        <v>0</v>
      </c>
      <c r="AB318" s="17">
        <f t="shared" si="72"/>
        <v>0</v>
      </c>
      <c r="AC318" s="101"/>
      <c r="AD318" s="555">
        <f t="shared" si="74"/>
        <v>0</v>
      </c>
      <c r="AE318" s="632">
        <f t="shared" si="75"/>
        <v>0</v>
      </c>
    </row>
    <row r="319" spans="1:31" collapsed="1">
      <c r="A319" s="104"/>
      <c r="B319" s="104" t="s">
        <v>22</v>
      </c>
      <c r="C319" s="105"/>
      <c r="D319" s="106"/>
      <c r="E319" s="107">
        <f t="shared" ref="E319:AB319" si="77">SUBTOTAL(9,E320:E349)</f>
        <v>0</v>
      </c>
      <c r="F319" s="108">
        <f t="shared" si="77"/>
        <v>0</v>
      </c>
      <c r="G319" s="109"/>
      <c r="H319" s="110"/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>
        <f t="shared" si="77"/>
        <v>0</v>
      </c>
      <c r="O319" s="108">
        <f t="shared" si="77"/>
        <v>0</v>
      </c>
      <c r="P319" s="109"/>
      <c r="Q319" s="110"/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>
        <f t="shared" si="77"/>
        <v>0</v>
      </c>
      <c r="X319" s="108">
        <f t="shared" si="77"/>
        <v>0</v>
      </c>
      <c r="Y319" s="109"/>
      <c r="Z319" s="110"/>
      <c r="AA319" s="111">
        <f t="shared" si="77"/>
        <v>0</v>
      </c>
      <c r="AB319" s="14">
        <f t="shared" si="77"/>
        <v>0</v>
      </c>
      <c r="AC319" s="103"/>
      <c r="AD319" s="555"/>
      <c r="AE319" s="632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>
        <f t="shared" si="69"/>
        <v>0</v>
      </c>
      <c r="X320" s="44">
        <f t="shared" si="70"/>
        <v>0</v>
      </c>
      <c r="Y320" s="51"/>
      <c r="Z320" s="52"/>
      <c r="AA320" s="58">
        <f t="shared" si="71"/>
        <v>0</v>
      </c>
      <c r="AB320" s="17">
        <f t="shared" si="72"/>
        <v>0</v>
      </c>
      <c r="AC320" s="101"/>
      <c r="AD320" s="555">
        <f t="shared" si="74"/>
        <v>0</v>
      </c>
      <c r="AE320" s="632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>
        <f t="shared" si="69"/>
        <v>0</v>
      </c>
      <c r="X321" s="44">
        <f t="shared" si="70"/>
        <v>0</v>
      </c>
      <c r="Y321" s="51"/>
      <c r="Z321" s="52"/>
      <c r="AA321" s="58">
        <f t="shared" si="71"/>
        <v>0</v>
      </c>
      <c r="AB321" s="17">
        <f t="shared" si="72"/>
        <v>0</v>
      </c>
      <c r="AC321" s="101"/>
      <c r="AD321" s="555">
        <f t="shared" si="74"/>
        <v>0</v>
      </c>
      <c r="AE321" s="632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>
        <f t="shared" si="69"/>
        <v>0</v>
      </c>
      <c r="X322" s="44">
        <f t="shared" si="70"/>
        <v>0</v>
      </c>
      <c r="Y322" s="51"/>
      <c r="Z322" s="52"/>
      <c r="AA322" s="58">
        <f t="shared" si="71"/>
        <v>0</v>
      </c>
      <c r="AB322" s="17">
        <f t="shared" si="72"/>
        <v>0</v>
      </c>
      <c r="AC322" s="101"/>
      <c r="AD322" s="555">
        <f t="shared" si="74"/>
        <v>0</v>
      </c>
      <c r="AE322" s="632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>
        <f t="shared" si="69"/>
        <v>0</v>
      </c>
      <c r="X323" s="44">
        <f t="shared" si="70"/>
        <v>0</v>
      </c>
      <c r="Y323" s="51"/>
      <c r="Z323" s="52"/>
      <c r="AA323" s="58">
        <f t="shared" si="71"/>
        <v>0</v>
      </c>
      <c r="AB323" s="17">
        <f t="shared" si="72"/>
        <v>0</v>
      </c>
      <c r="AC323" s="101"/>
      <c r="AD323" s="555">
        <f t="shared" si="74"/>
        <v>0</v>
      </c>
      <c r="AE323" s="632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>
        <f t="shared" si="69"/>
        <v>0</v>
      </c>
      <c r="X324" s="44">
        <f t="shared" si="70"/>
        <v>0</v>
      </c>
      <c r="Y324" s="51"/>
      <c r="Z324" s="52"/>
      <c r="AA324" s="58">
        <f t="shared" si="71"/>
        <v>0</v>
      </c>
      <c r="AB324" s="17">
        <f t="shared" si="72"/>
        <v>0</v>
      </c>
      <c r="AC324" s="101"/>
      <c r="AD324" s="555">
        <f t="shared" si="74"/>
        <v>0</v>
      </c>
      <c r="AE324" s="632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>
        <f t="shared" si="69"/>
        <v>0</v>
      </c>
      <c r="X325" s="44">
        <f t="shared" si="70"/>
        <v>0</v>
      </c>
      <c r="Y325" s="51"/>
      <c r="Z325" s="52"/>
      <c r="AA325" s="58">
        <f t="shared" si="71"/>
        <v>0</v>
      </c>
      <c r="AB325" s="17">
        <f t="shared" si="72"/>
        <v>0</v>
      </c>
      <c r="AC325" s="101"/>
      <c r="AD325" s="555">
        <f t="shared" si="74"/>
        <v>0</v>
      </c>
      <c r="AE325" s="632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>
        <f t="shared" si="69"/>
        <v>0</v>
      </c>
      <c r="X326" s="44">
        <f t="shared" si="70"/>
        <v>0</v>
      </c>
      <c r="Y326" s="51"/>
      <c r="Z326" s="52"/>
      <c r="AA326" s="58">
        <f t="shared" si="71"/>
        <v>0</v>
      </c>
      <c r="AB326" s="17">
        <f t="shared" si="72"/>
        <v>0</v>
      </c>
      <c r="AC326" s="101"/>
      <c r="AD326" s="555">
        <f t="shared" si="74"/>
        <v>0</v>
      </c>
      <c r="AE326" s="632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>
        <f t="shared" si="69"/>
        <v>0</v>
      </c>
      <c r="X327" s="44">
        <f t="shared" si="70"/>
        <v>0</v>
      </c>
      <c r="Y327" s="51"/>
      <c r="Z327" s="52"/>
      <c r="AA327" s="58">
        <f t="shared" si="71"/>
        <v>0</v>
      </c>
      <c r="AB327" s="17">
        <f t="shared" si="72"/>
        <v>0</v>
      </c>
      <c r="AC327" s="101"/>
      <c r="AD327" s="555">
        <f t="shared" si="74"/>
        <v>0</v>
      </c>
      <c r="AE327" s="632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>
        <f t="shared" si="69"/>
        <v>0</v>
      </c>
      <c r="X328" s="44">
        <f t="shared" si="70"/>
        <v>0</v>
      </c>
      <c r="Y328" s="51"/>
      <c r="Z328" s="52"/>
      <c r="AA328" s="58">
        <f t="shared" si="71"/>
        <v>0</v>
      </c>
      <c r="AB328" s="17">
        <f t="shared" si="72"/>
        <v>0</v>
      </c>
      <c r="AC328" s="101"/>
      <c r="AD328" s="555">
        <f t="shared" si="74"/>
        <v>0</v>
      </c>
      <c r="AE328" s="632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>
        <f t="shared" si="69"/>
        <v>0</v>
      </c>
      <c r="X329" s="44">
        <f t="shared" si="70"/>
        <v>0</v>
      </c>
      <c r="Y329" s="51"/>
      <c r="Z329" s="52"/>
      <c r="AA329" s="58">
        <f t="shared" si="71"/>
        <v>0</v>
      </c>
      <c r="AB329" s="17">
        <f t="shared" si="72"/>
        <v>0</v>
      </c>
      <c r="AC329" s="101"/>
      <c r="AD329" s="555">
        <f t="shared" si="74"/>
        <v>0</v>
      </c>
      <c r="AE329" s="632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>
        <f t="shared" si="69"/>
        <v>0</v>
      </c>
      <c r="X330" s="44">
        <f t="shared" si="70"/>
        <v>0</v>
      </c>
      <c r="Y330" s="51"/>
      <c r="Z330" s="52"/>
      <c r="AA330" s="58">
        <f t="shared" si="71"/>
        <v>0</v>
      </c>
      <c r="AB330" s="17">
        <f t="shared" si="72"/>
        <v>0</v>
      </c>
      <c r="AC330" s="101"/>
      <c r="AD330" s="555">
        <f t="shared" si="74"/>
        <v>0</v>
      </c>
      <c r="AE330" s="632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>
        <f t="shared" si="69"/>
        <v>0</v>
      </c>
      <c r="X331" s="44">
        <f t="shared" si="70"/>
        <v>0</v>
      </c>
      <c r="Y331" s="51"/>
      <c r="Z331" s="52"/>
      <c r="AA331" s="58">
        <f t="shared" si="71"/>
        <v>0</v>
      </c>
      <c r="AB331" s="17">
        <f t="shared" si="72"/>
        <v>0</v>
      </c>
      <c r="AC331" s="101"/>
      <c r="AD331" s="555">
        <f t="shared" si="74"/>
        <v>0</v>
      </c>
      <c r="AE331" s="632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>
        <f t="shared" si="69"/>
        <v>0</v>
      </c>
      <c r="X332" s="44">
        <f t="shared" si="70"/>
        <v>0</v>
      </c>
      <c r="Y332" s="51"/>
      <c r="Z332" s="52"/>
      <c r="AA332" s="58">
        <f t="shared" si="71"/>
        <v>0</v>
      </c>
      <c r="AB332" s="17">
        <f t="shared" si="72"/>
        <v>0</v>
      </c>
      <c r="AC332" s="101"/>
      <c r="AD332" s="555">
        <f t="shared" si="74"/>
        <v>0</v>
      </c>
      <c r="AE332" s="632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>
        <f t="shared" si="69"/>
        <v>0</v>
      </c>
      <c r="X333" s="44">
        <f t="shared" si="70"/>
        <v>0</v>
      </c>
      <c r="Y333" s="51"/>
      <c r="Z333" s="52"/>
      <c r="AA333" s="58">
        <f t="shared" si="71"/>
        <v>0</v>
      </c>
      <c r="AB333" s="17">
        <f t="shared" si="72"/>
        <v>0</v>
      </c>
      <c r="AC333" s="101"/>
      <c r="AD333" s="555">
        <f t="shared" si="74"/>
        <v>0</v>
      </c>
      <c r="AE333" s="632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>
        <f t="shared" si="69"/>
        <v>0</v>
      </c>
      <c r="X334" s="44">
        <f t="shared" si="70"/>
        <v>0</v>
      </c>
      <c r="Y334" s="51"/>
      <c r="Z334" s="52"/>
      <c r="AA334" s="58">
        <f t="shared" si="71"/>
        <v>0</v>
      </c>
      <c r="AB334" s="17">
        <f t="shared" si="72"/>
        <v>0</v>
      </c>
      <c r="AC334" s="101"/>
      <c r="AD334" s="555">
        <f t="shared" si="74"/>
        <v>0</v>
      </c>
      <c r="AE334" s="632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>
        <f t="shared" si="69"/>
        <v>0</v>
      </c>
      <c r="X335" s="44">
        <f t="shared" si="70"/>
        <v>0</v>
      </c>
      <c r="Y335" s="51"/>
      <c r="Z335" s="52"/>
      <c r="AA335" s="58">
        <f t="shared" si="71"/>
        <v>0</v>
      </c>
      <c r="AB335" s="17">
        <f t="shared" si="72"/>
        <v>0</v>
      </c>
      <c r="AC335" s="101"/>
      <c r="AD335" s="555">
        <f t="shared" si="74"/>
        <v>0</v>
      </c>
      <c r="AE335" s="632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>
        <f t="shared" si="69"/>
        <v>0</v>
      </c>
      <c r="X336" s="44">
        <f t="shared" si="70"/>
        <v>0</v>
      </c>
      <c r="Y336" s="51"/>
      <c r="Z336" s="52"/>
      <c r="AA336" s="58">
        <f t="shared" si="71"/>
        <v>0</v>
      </c>
      <c r="AB336" s="17">
        <f t="shared" si="72"/>
        <v>0</v>
      </c>
      <c r="AC336" s="101"/>
      <c r="AD336" s="555">
        <f t="shared" si="74"/>
        <v>0</v>
      </c>
      <c r="AE336" s="632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>
        <f t="shared" ref="W337:W381" si="78">E337-N337</f>
        <v>0</v>
      </c>
      <c r="X337" s="44">
        <f t="shared" ref="X337:X381" si="79">F337-O337</f>
        <v>0</v>
      </c>
      <c r="Y337" s="51"/>
      <c r="Z337" s="52"/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555">
        <f t="shared" si="74"/>
        <v>0</v>
      </c>
      <c r="AE337" s="632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>
        <f t="shared" si="78"/>
        <v>0</v>
      </c>
      <c r="X338" s="44">
        <f t="shared" si="79"/>
        <v>0</v>
      </c>
      <c r="Y338" s="51"/>
      <c r="Z338" s="52"/>
      <c r="AA338" s="58">
        <f t="shared" si="80"/>
        <v>0</v>
      </c>
      <c r="AB338" s="17">
        <f t="shared" si="81"/>
        <v>0</v>
      </c>
      <c r="AC338" s="101"/>
      <c r="AD338" s="555">
        <f t="shared" si="74"/>
        <v>0</v>
      </c>
      <c r="AE338" s="632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>
        <f t="shared" si="78"/>
        <v>0</v>
      </c>
      <c r="X339" s="44">
        <f t="shared" si="79"/>
        <v>0</v>
      </c>
      <c r="Y339" s="51"/>
      <c r="Z339" s="52"/>
      <c r="AA339" s="58">
        <f t="shared" si="80"/>
        <v>0</v>
      </c>
      <c r="AB339" s="17">
        <f t="shared" si="81"/>
        <v>0</v>
      </c>
      <c r="AC339" s="101"/>
      <c r="AD339" s="555">
        <f t="shared" si="74"/>
        <v>0</v>
      </c>
      <c r="AE339" s="632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>
        <f t="shared" si="78"/>
        <v>0</v>
      </c>
      <c r="X340" s="44">
        <f t="shared" si="79"/>
        <v>0</v>
      </c>
      <c r="Y340" s="51"/>
      <c r="Z340" s="52"/>
      <c r="AA340" s="58">
        <f t="shared" si="80"/>
        <v>0</v>
      </c>
      <c r="AB340" s="17">
        <f t="shared" si="81"/>
        <v>0</v>
      </c>
      <c r="AC340" s="101"/>
      <c r="AD340" s="555">
        <f t="shared" si="74"/>
        <v>0</v>
      </c>
      <c r="AE340" s="632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>
        <f t="shared" si="78"/>
        <v>0</v>
      </c>
      <c r="X341" s="44">
        <f t="shared" si="79"/>
        <v>0</v>
      </c>
      <c r="Y341" s="51"/>
      <c r="Z341" s="52"/>
      <c r="AA341" s="58">
        <f t="shared" si="80"/>
        <v>0</v>
      </c>
      <c r="AB341" s="17">
        <f t="shared" si="81"/>
        <v>0</v>
      </c>
      <c r="AC341" s="101"/>
      <c r="AD341" s="555">
        <f t="shared" si="74"/>
        <v>0</v>
      </c>
      <c r="AE341" s="632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>
        <f t="shared" si="78"/>
        <v>0</v>
      </c>
      <c r="X342" s="44">
        <f t="shared" si="79"/>
        <v>0</v>
      </c>
      <c r="Y342" s="51"/>
      <c r="Z342" s="52"/>
      <c r="AA342" s="58">
        <f t="shared" si="80"/>
        <v>0</v>
      </c>
      <c r="AB342" s="17">
        <f t="shared" si="81"/>
        <v>0</v>
      </c>
      <c r="AC342" s="101"/>
      <c r="AD342" s="555">
        <f t="shared" si="74"/>
        <v>0</v>
      </c>
      <c r="AE342" s="632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>
        <f t="shared" si="78"/>
        <v>0</v>
      </c>
      <c r="X343" s="44">
        <f t="shared" si="79"/>
        <v>0</v>
      </c>
      <c r="Y343" s="51"/>
      <c r="Z343" s="52"/>
      <c r="AA343" s="58">
        <f t="shared" si="80"/>
        <v>0</v>
      </c>
      <c r="AB343" s="17">
        <f t="shared" si="81"/>
        <v>0</v>
      </c>
      <c r="AC343" s="101"/>
      <c r="AD343" s="555">
        <f t="shared" si="74"/>
        <v>0</v>
      </c>
      <c r="AE343" s="632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>
        <f t="shared" si="78"/>
        <v>0</v>
      </c>
      <c r="X344" s="44">
        <f t="shared" si="79"/>
        <v>0</v>
      </c>
      <c r="Y344" s="51"/>
      <c r="Z344" s="52"/>
      <c r="AA344" s="58">
        <f t="shared" si="80"/>
        <v>0</v>
      </c>
      <c r="AB344" s="17">
        <f t="shared" si="81"/>
        <v>0</v>
      </c>
      <c r="AC344" s="101"/>
      <c r="AD344" s="555">
        <f t="shared" si="74"/>
        <v>0</v>
      </c>
      <c r="AE344" s="632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>
        <f t="shared" si="78"/>
        <v>0</v>
      </c>
      <c r="X345" s="44">
        <f t="shared" si="79"/>
        <v>0</v>
      </c>
      <c r="Y345" s="51"/>
      <c r="Z345" s="52"/>
      <c r="AA345" s="58">
        <f t="shared" si="80"/>
        <v>0</v>
      </c>
      <c r="AB345" s="17">
        <f t="shared" si="81"/>
        <v>0</v>
      </c>
      <c r="AC345" s="101"/>
      <c r="AD345" s="555">
        <f t="shared" si="74"/>
        <v>0</v>
      </c>
      <c r="AE345" s="632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>
        <f t="shared" si="78"/>
        <v>0</v>
      </c>
      <c r="X346" s="44">
        <f t="shared" si="79"/>
        <v>0</v>
      </c>
      <c r="Y346" s="51"/>
      <c r="Z346" s="52"/>
      <c r="AA346" s="58">
        <f t="shared" si="80"/>
        <v>0</v>
      </c>
      <c r="AB346" s="17">
        <f t="shared" si="81"/>
        <v>0</v>
      </c>
      <c r="AC346" s="101"/>
      <c r="AD346" s="555">
        <f t="shared" si="74"/>
        <v>0</v>
      </c>
      <c r="AE346" s="632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>
        <f t="shared" si="78"/>
        <v>0</v>
      </c>
      <c r="X347" s="44">
        <f t="shared" si="79"/>
        <v>0</v>
      </c>
      <c r="Y347" s="51"/>
      <c r="Z347" s="52"/>
      <c r="AA347" s="58">
        <f t="shared" si="80"/>
        <v>0</v>
      </c>
      <c r="AB347" s="17">
        <f t="shared" si="81"/>
        <v>0</v>
      </c>
      <c r="AC347" s="101"/>
      <c r="AD347" s="555">
        <f t="shared" si="74"/>
        <v>0</v>
      </c>
      <c r="AE347" s="632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>
        <f t="shared" si="78"/>
        <v>0</v>
      </c>
      <c r="X348" s="44">
        <f t="shared" si="79"/>
        <v>0</v>
      </c>
      <c r="Y348" s="51"/>
      <c r="Z348" s="52"/>
      <c r="AA348" s="58">
        <f t="shared" si="80"/>
        <v>0</v>
      </c>
      <c r="AB348" s="17">
        <f t="shared" si="81"/>
        <v>0</v>
      </c>
      <c r="AC348" s="101"/>
      <c r="AD348" s="555">
        <f t="shared" si="74"/>
        <v>0</v>
      </c>
      <c r="AE348" s="632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>
        <f t="shared" si="78"/>
        <v>0</v>
      </c>
      <c r="X349" s="44">
        <f t="shared" si="79"/>
        <v>0</v>
      </c>
      <c r="Y349" s="51"/>
      <c r="Z349" s="52"/>
      <c r="AA349" s="58">
        <f t="shared" si="80"/>
        <v>0</v>
      </c>
      <c r="AB349" s="17">
        <f t="shared" si="81"/>
        <v>0</v>
      </c>
      <c r="AC349" s="101"/>
      <c r="AD349" s="555">
        <f t="shared" si="74"/>
        <v>0</v>
      </c>
      <c r="AE349" s="632">
        <f t="shared" si="75"/>
        <v>0</v>
      </c>
    </row>
    <row r="350" spans="1:31" collapsed="1">
      <c r="A350" s="104"/>
      <c r="B350" s="104" t="s">
        <v>23</v>
      </c>
      <c r="C350" s="105"/>
      <c r="D350" s="106"/>
      <c r="E350" s="107">
        <f t="shared" ref="E350:AB350" si="82">SUBTOTAL(9,E351:E381)</f>
        <v>0</v>
      </c>
      <c r="F350" s="108">
        <f t="shared" si="82"/>
        <v>0</v>
      </c>
      <c r="G350" s="109"/>
      <c r="H350" s="110"/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>
        <f t="shared" si="82"/>
        <v>0</v>
      </c>
      <c r="O350" s="108">
        <f t="shared" si="82"/>
        <v>0</v>
      </c>
      <c r="P350" s="109"/>
      <c r="Q350" s="110"/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>
        <f t="shared" si="82"/>
        <v>0</v>
      </c>
      <c r="X350" s="108">
        <f t="shared" si="82"/>
        <v>0</v>
      </c>
      <c r="Y350" s="109"/>
      <c r="Z350" s="110"/>
      <c r="AA350" s="111">
        <f t="shared" si="82"/>
        <v>0</v>
      </c>
      <c r="AB350" s="14">
        <f t="shared" si="82"/>
        <v>0</v>
      </c>
      <c r="AC350" s="103"/>
      <c r="AD350" s="555"/>
      <c r="AE350" s="632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>
        <f t="shared" si="78"/>
        <v>0</v>
      </c>
      <c r="X351" s="44">
        <f t="shared" si="79"/>
        <v>0</v>
      </c>
      <c r="Y351" s="51"/>
      <c r="Z351" s="52"/>
      <c r="AA351" s="58">
        <f t="shared" si="80"/>
        <v>0</v>
      </c>
      <c r="AB351" s="17">
        <f t="shared" si="81"/>
        <v>0</v>
      </c>
      <c r="AC351" s="103"/>
      <c r="AD351" s="555"/>
      <c r="AE351" s="632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>
        <f t="shared" si="78"/>
        <v>0</v>
      </c>
      <c r="X352" s="44">
        <f t="shared" si="79"/>
        <v>0</v>
      </c>
      <c r="Y352" s="51"/>
      <c r="Z352" s="52"/>
      <c r="AA352" s="58">
        <f t="shared" si="80"/>
        <v>0</v>
      </c>
      <c r="AB352" s="17">
        <f t="shared" si="81"/>
        <v>0</v>
      </c>
      <c r="AC352" s="103"/>
      <c r="AD352" s="555"/>
      <c r="AE352" s="632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>
        <f t="shared" si="78"/>
        <v>0</v>
      </c>
      <c r="X353" s="44">
        <f t="shared" si="79"/>
        <v>0</v>
      </c>
      <c r="Y353" s="51"/>
      <c r="Z353" s="52"/>
      <c r="AA353" s="58">
        <f t="shared" si="80"/>
        <v>0</v>
      </c>
      <c r="AB353" s="17">
        <f t="shared" si="81"/>
        <v>0</v>
      </c>
      <c r="AC353" s="103"/>
      <c r="AD353" s="555"/>
      <c r="AE353" s="632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>
        <f t="shared" si="78"/>
        <v>0</v>
      </c>
      <c r="X354" s="44">
        <f t="shared" si="79"/>
        <v>0</v>
      </c>
      <c r="Y354" s="51"/>
      <c r="Z354" s="52"/>
      <c r="AA354" s="58">
        <f t="shared" si="80"/>
        <v>0</v>
      </c>
      <c r="AB354" s="17">
        <f t="shared" si="81"/>
        <v>0</v>
      </c>
      <c r="AC354" s="103"/>
      <c r="AD354" s="555"/>
      <c r="AE354" s="632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>
        <f t="shared" si="78"/>
        <v>0</v>
      </c>
      <c r="X355" s="44">
        <f t="shared" si="79"/>
        <v>0</v>
      </c>
      <c r="Y355" s="51"/>
      <c r="Z355" s="52"/>
      <c r="AA355" s="58">
        <f t="shared" si="80"/>
        <v>0</v>
      </c>
      <c r="AB355" s="17">
        <f t="shared" si="81"/>
        <v>0</v>
      </c>
      <c r="AC355" s="103"/>
      <c r="AD355" s="555"/>
      <c r="AE355" s="632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>
        <f t="shared" si="78"/>
        <v>0</v>
      </c>
      <c r="X356" s="44">
        <f t="shared" si="79"/>
        <v>0</v>
      </c>
      <c r="Y356" s="51"/>
      <c r="Z356" s="52"/>
      <c r="AA356" s="58">
        <f t="shared" si="80"/>
        <v>0</v>
      </c>
      <c r="AB356" s="17">
        <f t="shared" si="81"/>
        <v>0</v>
      </c>
      <c r="AC356" s="103"/>
      <c r="AD356" s="555"/>
      <c r="AE356" s="632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>
        <f t="shared" si="78"/>
        <v>0</v>
      </c>
      <c r="X357" s="44">
        <f t="shared" si="79"/>
        <v>0</v>
      </c>
      <c r="Y357" s="51"/>
      <c r="Z357" s="52"/>
      <c r="AA357" s="58">
        <f t="shared" si="80"/>
        <v>0</v>
      </c>
      <c r="AB357" s="17">
        <f t="shared" si="81"/>
        <v>0</v>
      </c>
      <c r="AC357" s="103"/>
      <c r="AD357" s="555"/>
      <c r="AE357" s="632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>
        <f t="shared" si="78"/>
        <v>0</v>
      </c>
      <c r="X358" s="44">
        <f t="shared" si="79"/>
        <v>0</v>
      </c>
      <c r="Y358" s="51"/>
      <c r="Z358" s="52"/>
      <c r="AA358" s="58">
        <f t="shared" si="80"/>
        <v>0</v>
      </c>
      <c r="AB358" s="17">
        <f t="shared" si="81"/>
        <v>0</v>
      </c>
      <c r="AC358" s="103"/>
      <c r="AD358" s="555"/>
      <c r="AE358" s="632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>
        <f t="shared" si="78"/>
        <v>0</v>
      </c>
      <c r="X359" s="44">
        <f t="shared" si="79"/>
        <v>0</v>
      </c>
      <c r="Y359" s="51"/>
      <c r="Z359" s="52"/>
      <c r="AA359" s="58">
        <f t="shared" si="80"/>
        <v>0</v>
      </c>
      <c r="AB359" s="17">
        <f t="shared" si="81"/>
        <v>0</v>
      </c>
      <c r="AC359" s="103"/>
      <c r="AD359" s="555"/>
      <c r="AE359" s="632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>
        <f t="shared" si="78"/>
        <v>0</v>
      </c>
      <c r="X360" s="44">
        <f t="shared" si="79"/>
        <v>0</v>
      </c>
      <c r="Y360" s="51"/>
      <c r="Z360" s="52"/>
      <c r="AA360" s="58">
        <f t="shared" si="80"/>
        <v>0</v>
      </c>
      <c r="AB360" s="17">
        <f t="shared" si="81"/>
        <v>0</v>
      </c>
      <c r="AC360" s="103"/>
      <c r="AD360" s="555"/>
      <c r="AE360" s="632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>
        <f t="shared" si="78"/>
        <v>0</v>
      </c>
      <c r="X361" s="44">
        <f t="shared" si="79"/>
        <v>0</v>
      </c>
      <c r="Y361" s="51"/>
      <c r="Z361" s="52"/>
      <c r="AA361" s="58">
        <f t="shared" si="80"/>
        <v>0</v>
      </c>
      <c r="AB361" s="17">
        <f t="shared" si="81"/>
        <v>0</v>
      </c>
      <c r="AC361" s="103"/>
      <c r="AD361" s="555"/>
      <c r="AE361" s="632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>
        <f t="shared" si="78"/>
        <v>0</v>
      </c>
      <c r="X362" s="44">
        <f t="shared" si="79"/>
        <v>0</v>
      </c>
      <c r="Y362" s="51"/>
      <c r="Z362" s="52"/>
      <c r="AA362" s="58">
        <f t="shared" si="80"/>
        <v>0</v>
      </c>
      <c r="AB362" s="17">
        <f t="shared" si="81"/>
        <v>0</v>
      </c>
      <c r="AC362" s="103"/>
      <c r="AD362" s="555"/>
      <c r="AE362" s="632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>
        <f t="shared" si="78"/>
        <v>0</v>
      </c>
      <c r="X363" s="44">
        <f t="shared" si="79"/>
        <v>0</v>
      </c>
      <c r="Y363" s="51"/>
      <c r="Z363" s="52"/>
      <c r="AA363" s="58">
        <f t="shared" si="80"/>
        <v>0</v>
      </c>
      <c r="AB363" s="17">
        <f t="shared" si="81"/>
        <v>0</v>
      </c>
      <c r="AC363" s="103"/>
      <c r="AD363" s="555"/>
      <c r="AE363" s="632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>
        <f t="shared" si="78"/>
        <v>0</v>
      </c>
      <c r="X364" s="44">
        <f t="shared" si="79"/>
        <v>0</v>
      </c>
      <c r="Y364" s="51"/>
      <c r="Z364" s="52"/>
      <c r="AA364" s="58">
        <f t="shared" si="80"/>
        <v>0</v>
      </c>
      <c r="AB364" s="17">
        <f t="shared" si="81"/>
        <v>0</v>
      </c>
      <c r="AC364" s="103"/>
      <c r="AD364" s="555"/>
      <c r="AE364" s="632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>
        <f t="shared" si="78"/>
        <v>0</v>
      </c>
      <c r="X365" s="44">
        <f t="shared" si="79"/>
        <v>0</v>
      </c>
      <c r="Y365" s="51"/>
      <c r="Z365" s="52"/>
      <c r="AA365" s="58">
        <f t="shared" si="80"/>
        <v>0</v>
      </c>
      <c r="AB365" s="17">
        <f t="shared" si="81"/>
        <v>0</v>
      </c>
      <c r="AC365" s="103"/>
      <c r="AD365" s="555"/>
      <c r="AE365" s="632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>
        <f t="shared" si="78"/>
        <v>0</v>
      </c>
      <c r="X366" s="44">
        <f t="shared" si="79"/>
        <v>0</v>
      </c>
      <c r="Y366" s="51"/>
      <c r="Z366" s="52"/>
      <c r="AA366" s="58">
        <f t="shared" si="80"/>
        <v>0</v>
      </c>
      <c r="AB366" s="17">
        <f t="shared" si="81"/>
        <v>0</v>
      </c>
      <c r="AC366" s="103"/>
      <c r="AD366" s="555"/>
      <c r="AE366" s="632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>
        <f t="shared" si="78"/>
        <v>0</v>
      </c>
      <c r="X367" s="44">
        <f t="shared" si="79"/>
        <v>0</v>
      </c>
      <c r="Y367" s="51"/>
      <c r="Z367" s="52"/>
      <c r="AA367" s="58">
        <f t="shared" si="80"/>
        <v>0</v>
      </c>
      <c r="AB367" s="17">
        <f t="shared" si="81"/>
        <v>0</v>
      </c>
      <c r="AC367" s="103"/>
      <c r="AD367" s="555"/>
      <c r="AE367" s="632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>
        <f t="shared" si="78"/>
        <v>0</v>
      </c>
      <c r="X368" s="44">
        <f t="shared" si="79"/>
        <v>0</v>
      </c>
      <c r="Y368" s="51"/>
      <c r="Z368" s="52"/>
      <c r="AA368" s="58">
        <f t="shared" si="80"/>
        <v>0</v>
      </c>
      <c r="AB368" s="17">
        <f t="shared" si="81"/>
        <v>0</v>
      </c>
      <c r="AC368" s="103"/>
      <c r="AD368" s="555"/>
      <c r="AE368" s="632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>
        <f t="shared" si="78"/>
        <v>0</v>
      </c>
      <c r="X369" s="44">
        <f t="shared" si="79"/>
        <v>0</v>
      </c>
      <c r="Y369" s="51"/>
      <c r="Z369" s="52"/>
      <c r="AA369" s="58">
        <f t="shared" si="80"/>
        <v>0</v>
      </c>
      <c r="AB369" s="17">
        <f t="shared" si="81"/>
        <v>0</v>
      </c>
      <c r="AC369" s="103"/>
      <c r="AD369" s="555"/>
      <c r="AE369" s="632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>
        <f t="shared" si="78"/>
        <v>0</v>
      </c>
      <c r="X370" s="44">
        <f t="shared" si="79"/>
        <v>0</v>
      </c>
      <c r="Y370" s="51"/>
      <c r="Z370" s="52"/>
      <c r="AA370" s="58">
        <f t="shared" si="80"/>
        <v>0</v>
      </c>
      <c r="AB370" s="17">
        <f t="shared" si="81"/>
        <v>0</v>
      </c>
      <c r="AC370" s="103"/>
      <c r="AD370" s="555"/>
      <c r="AE370" s="632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>
        <f t="shared" si="78"/>
        <v>0</v>
      </c>
      <c r="X371" s="44">
        <f t="shared" si="79"/>
        <v>0</v>
      </c>
      <c r="Y371" s="51"/>
      <c r="Z371" s="52"/>
      <c r="AA371" s="58">
        <f t="shared" si="80"/>
        <v>0</v>
      </c>
      <c r="AB371" s="17">
        <f t="shared" si="81"/>
        <v>0</v>
      </c>
      <c r="AC371" s="103"/>
      <c r="AD371" s="555"/>
      <c r="AE371" s="632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>
        <f t="shared" si="78"/>
        <v>0</v>
      </c>
      <c r="X372" s="44">
        <f t="shared" si="79"/>
        <v>0</v>
      </c>
      <c r="Y372" s="51"/>
      <c r="Z372" s="52"/>
      <c r="AA372" s="58">
        <f t="shared" si="80"/>
        <v>0</v>
      </c>
      <c r="AB372" s="17">
        <f t="shared" si="81"/>
        <v>0</v>
      </c>
      <c r="AC372" s="103"/>
      <c r="AD372" s="555"/>
      <c r="AE372" s="632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>
        <f t="shared" si="78"/>
        <v>0</v>
      </c>
      <c r="X373" s="44">
        <f t="shared" si="79"/>
        <v>0</v>
      </c>
      <c r="Y373" s="51"/>
      <c r="Z373" s="52"/>
      <c r="AA373" s="58">
        <f t="shared" si="80"/>
        <v>0</v>
      </c>
      <c r="AB373" s="17">
        <f t="shared" si="81"/>
        <v>0</v>
      </c>
      <c r="AC373" s="103"/>
      <c r="AD373" s="555"/>
      <c r="AE373" s="632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>
        <f t="shared" si="78"/>
        <v>0</v>
      </c>
      <c r="X374" s="44">
        <f t="shared" si="79"/>
        <v>0</v>
      </c>
      <c r="Y374" s="51"/>
      <c r="Z374" s="52"/>
      <c r="AA374" s="58">
        <f t="shared" si="80"/>
        <v>0</v>
      </c>
      <c r="AB374" s="17">
        <f t="shared" si="81"/>
        <v>0</v>
      </c>
      <c r="AC374" s="103"/>
      <c r="AD374" s="555"/>
      <c r="AE374" s="632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>
        <f t="shared" si="78"/>
        <v>0</v>
      </c>
      <c r="X375" s="44">
        <f t="shared" si="79"/>
        <v>0</v>
      </c>
      <c r="Y375" s="51"/>
      <c r="Z375" s="52"/>
      <c r="AA375" s="58">
        <f t="shared" si="80"/>
        <v>0</v>
      </c>
      <c r="AB375" s="17">
        <f t="shared" si="81"/>
        <v>0</v>
      </c>
      <c r="AC375" s="103"/>
      <c r="AD375" s="555"/>
      <c r="AE375" s="632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>
        <f t="shared" si="78"/>
        <v>0</v>
      </c>
      <c r="X376" s="44">
        <f t="shared" si="79"/>
        <v>0</v>
      </c>
      <c r="Y376" s="51"/>
      <c r="Z376" s="52"/>
      <c r="AA376" s="58">
        <f t="shared" si="80"/>
        <v>0</v>
      </c>
      <c r="AB376" s="17">
        <f t="shared" si="81"/>
        <v>0</v>
      </c>
      <c r="AC376" s="103"/>
      <c r="AD376" s="555"/>
      <c r="AE376" s="632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>
        <f t="shared" si="78"/>
        <v>0</v>
      </c>
      <c r="X377" s="44">
        <f t="shared" si="79"/>
        <v>0</v>
      </c>
      <c r="Y377" s="51"/>
      <c r="Z377" s="52"/>
      <c r="AA377" s="58">
        <f t="shared" si="80"/>
        <v>0</v>
      </c>
      <c r="AB377" s="17">
        <f t="shared" si="81"/>
        <v>0</v>
      </c>
      <c r="AC377" s="103"/>
      <c r="AD377" s="555"/>
      <c r="AE377" s="632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>
        <f t="shared" si="78"/>
        <v>0</v>
      </c>
      <c r="X378" s="44">
        <f t="shared" si="79"/>
        <v>0</v>
      </c>
      <c r="Y378" s="51"/>
      <c r="Z378" s="52"/>
      <c r="AA378" s="58">
        <f t="shared" si="80"/>
        <v>0</v>
      </c>
      <c r="AB378" s="17">
        <f t="shared" si="81"/>
        <v>0</v>
      </c>
      <c r="AC378" s="103"/>
      <c r="AD378" s="555"/>
      <c r="AE378" s="632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>
        <f t="shared" si="78"/>
        <v>0</v>
      </c>
      <c r="X379" s="44">
        <f t="shared" si="79"/>
        <v>0</v>
      </c>
      <c r="Y379" s="51"/>
      <c r="Z379" s="52"/>
      <c r="AA379" s="58">
        <f t="shared" si="80"/>
        <v>0</v>
      </c>
      <c r="AB379" s="17">
        <f t="shared" si="81"/>
        <v>0</v>
      </c>
      <c r="AC379" s="103"/>
      <c r="AD379" s="555"/>
      <c r="AE379" s="632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>
        <f t="shared" si="78"/>
        <v>0</v>
      </c>
      <c r="X380" s="44">
        <f t="shared" si="79"/>
        <v>0</v>
      </c>
      <c r="Y380" s="51"/>
      <c r="Z380" s="52"/>
      <c r="AA380" s="58">
        <f t="shared" si="80"/>
        <v>0</v>
      </c>
      <c r="AB380" s="17">
        <f t="shared" si="81"/>
        <v>0</v>
      </c>
      <c r="AC380" s="103"/>
      <c r="AD380" s="555"/>
      <c r="AE380" s="632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>
        <f t="shared" si="78"/>
        <v>0</v>
      </c>
      <c r="X381" s="44">
        <f t="shared" si="79"/>
        <v>0</v>
      </c>
      <c r="Y381" s="51"/>
      <c r="Z381" s="52"/>
      <c r="AA381" s="58">
        <f t="shared" si="80"/>
        <v>0</v>
      </c>
      <c r="AB381" s="17">
        <f t="shared" si="81"/>
        <v>0</v>
      </c>
      <c r="AC381" s="103"/>
      <c r="AD381" s="555"/>
      <c r="AE381" s="632"/>
    </row>
    <row r="382" spans="1:31" collapsed="1">
      <c r="K382" s="103"/>
      <c r="T382" s="103"/>
      <c r="AC382" s="103"/>
    </row>
    <row r="383" spans="1:31">
      <c r="A383" s="102" t="s">
        <v>82</v>
      </c>
      <c r="C383" s="848"/>
      <c r="D383" s="848"/>
      <c r="E383" s="845" t="s">
        <v>1</v>
      </c>
      <c r="F383" s="845"/>
      <c r="G383" s="846"/>
      <c r="H383" s="846"/>
      <c r="I383" s="847" t="s">
        <v>2</v>
      </c>
      <c r="J383" s="847"/>
      <c r="K383" s="103"/>
      <c r="L383" s="848"/>
      <c r="M383" s="848"/>
      <c r="N383" s="845" t="s">
        <v>1</v>
      </c>
      <c r="O383" s="845"/>
      <c r="P383" s="846"/>
      <c r="Q383" s="846"/>
      <c r="R383" s="847" t="s">
        <v>2</v>
      </c>
      <c r="S383" s="847"/>
      <c r="T383" s="103"/>
      <c r="U383" s="848"/>
      <c r="V383" s="848"/>
      <c r="W383" s="845" t="s">
        <v>1</v>
      </c>
      <c r="X383" s="845"/>
      <c r="Y383" s="846"/>
      <c r="Z383" s="846"/>
      <c r="AA383" s="847" t="s">
        <v>2</v>
      </c>
      <c r="AB383" s="847"/>
      <c r="AC383" s="103"/>
    </row>
    <row r="384" spans="1:31">
      <c r="C384" s="1"/>
      <c r="D384" s="1"/>
      <c r="E384" s="2" t="s">
        <v>81</v>
      </c>
      <c r="F384" s="2" t="s">
        <v>26</v>
      </c>
      <c r="G384" s="3"/>
      <c r="H384" s="3"/>
      <c r="I384" s="4" t="s">
        <v>81</v>
      </c>
      <c r="J384" s="4" t="s">
        <v>26</v>
      </c>
      <c r="K384" s="103"/>
      <c r="L384" s="1"/>
      <c r="M384" s="1"/>
      <c r="N384" s="2" t="s">
        <v>81</v>
      </c>
      <c r="O384" s="2" t="s">
        <v>26</v>
      </c>
      <c r="P384" s="3"/>
      <c r="Q384" s="3"/>
      <c r="R384" s="4" t="s">
        <v>81</v>
      </c>
      <c r="S384" s="4" t="s">
        <v>26</v>
      </c>
      <c r="T384" s="103"/>
      <c r="U384" s="1"/>
      <c r="V384" s="1"/>
      <c r="W384" s="2" t="s">
        <v>81</v>
      </c>
      <c r="X384" s="2" t="s">
        <v>26</v>
      </c>
      <c r="Y384" s="3"/>
      <c r="Z384" s="3"/>
      <c r="AA384" s="4" t="s">
        <v>81</v>
      </c>
      <c r="AB384" s="4" t="s">
        <v>26</v>
      </c>
      <c r="AC384" s="103"/>
    </row>
    <row r="385" spans="1:29">
      <c r="B385" s="552" t="s">
        <v>12</v>
      </c>
      <c r="C385" s="539"/>
      <c r="D385" s="540"/>
      <c r="E385" s="541">
        <f>'VN_YouTube Performance'!G66</f>
        <v>569674736.83402956</v>
      </c>
      <c r="F385" s="542">
        <f>'VN_YouTube Performance'!G6</f>
        <v>712243496</v>
      </c>
      <c r="G385" s="543"/>
      <c r="H385" s="544"/>
      <c r="I385" s="545">
        <f>'VN_YouTube Performance'!K66</f>
        <v>81382105.262004226</v>
      </c>
      <c r="J385" s="545">
        <f>'VN_YouTube Performance'!K6</f>
        <v>125989099</v>
      </c>
      <c r="K385" s="103"/>
      <c r="L385" s="539"/>
      <c r="M385" s="540"/>
      <c r="N385" s="541">
        <f>'VN_YouTube Performance'!R66</f>
        <v>537203276.83448982</v>
      </c>
      <c r="O385" s="542">
        <f>'VN_YouTube Performance'!R6</f>
        <v>600131253</v>
      </c>
      <c r="P385" s="543"/>
      <c r="Q385" s="544"/>
      <c r="R385" s="545">
        <f>'VN_YouTube Performance'!V66</f>
        <v>72023163.156873748</v>
      </c>
      <c r="S385" s="545">
        <f>'VN_YouTube Performance'!V6</f>
        <v>100691266</v>
      </c>
      <c r="T385" s="103"/>
      <c r="U385" s="539"/>
      <c r="V385" s="540"/>
      <c r="W385" s="541">
        <f>'VN_YouTube Performance'!AC66</f>
        <v>32471459.999539733</v>
      </c>
      <c r="X385" s="542">
        <f>'VN_YouTube Performance'!AC6</f>
        <v>112112243</v>
      </c>
      <c r="Y385" s="543"/>
      <c r="Z385" s="544"/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13</v>
      </c>
      <c r="C386" s="539"/>
      <c r="D386" s="540"/>
      <c r="E386" s="541">
        <f>'VN_YouTube Performance'!G67</f>
        <v>508439589.17777473</v>
      </c>
      <c r="F386" s="542">
        <f>'VN_YouTube Performance'!G7</f>
        <v>640353919</v>
      </c>
      <c r="G386" s="543"/>
      <c r="H386" s="544"/>
      <c r="I386" s="545">
        <f>'VN_YouTube Performance'!K67</f>
        <v>72634227.025396392</v>
      </c>
      <c r="J386" s="545">
        <f>'VN_YouTube Performance'!K7</f>
        <v>100703382</v>
      </c>
      <c r="K386" s="103"/>
      <c r="L386" s="539"/>
      <c r="M386" s="540"/>
      <c r="N386" s="541">
        <f>'VN_YouTube Performance'!R67</f>
        <v>479458532.59464157</v>
      </c>
      <c r="O386" s="542">
        <f>'VN_YouTube Performance'!R7</f>
        <v>559835027</v>
      </c>
      <c r="P386" s="543"/>
      <c r="Q386" s="544"/>
      <c r="R386" s="545">
        <f>'VN_YouTube Performance'!V67</f>
        <v>64281290.917475805</v>
      </c>
      <c r="S386" s="545">
        <f>'VN_YouTube Performance'!V7</f>
        <v>87725110</v>
      </c>
      <c r="T386" s="103"/>
      <c r="U386" s="539"/>
      <c r="V386" s="540"/>
      <c r="W386" s="541">
        <f>'VN_YouTube Performance'!AC67</f>
        <v>28981056.583133161</v>
      </c>
      <c r="X386" s="542">
        <f>'VN_YouTube Performance'!AC7</f>
        <v>80518892</v>
      </c>
      <c r="Y386" s="543"/>
      <c r="Z386" s="544"/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14</v>
      </c>
      <c r="C387" s="539"/>
      <c r="D387" s="540"/>
      <c r="E387" s="541">
        <f>'VN_YouTube Performance'!G68</f>
        <v>627519177.87771106</v>
      </c>
      <c r="F387" s="542">
        <f>'VN_YouTube Performance'!G8</f>
        <v>663392460</v>
      </c>
      <c r="G387" s="543"/>
      <c r="H387" s="544"/>
      <c r="I387" s="545">
        <f>'VN_YouTube Performance'!K68</f>
        <v>89645596.839673027</v>
      </c>
      <c r="J387" s="545">
        <f>'VN_YouTube Performance'!K8</f>
        <v>169816435</v>
      </c>
      <c r="K387" s="103"/>
      <c r="L387" s="539"/>
      <c r="M387" s="540"/>
      <c r="N387" s="541">
        <f>'VN_YouTube Performance'!R68</f>
        <v>591750584.73868155</v>
      </c>
      <c r="O387" s="542">
        <f>'VN_YouTube Performance'!R8</f>
        <v>551862891</v>
      </c>
      <c r="P387" s="543"/>
      <c r="Q387" s="544"/>
      <c r="R387" s="545">
        <f>'VN_YouTube Performance'!V68</f>
        <v>79336353.203110635</v>
      </c>
      <c r="S387" s="545">
        <f>'VN_YouTube Performance'!V8</f>
        <v>153626660</v>
      </c>
      <c r="T387" s="103"/>
      <c r="U387" s="539"/>
      <c r="V387" s="540"/>
      <c r="W387" s="541">
        <f>'VN_YouTube Performance'!AC68</f>
        <v>35768593.139029503</v>
      </c>
      <c r="X387" s="542">
        <f>'VN_YouTube Performance'!AC8</f>
        <v>111529569</v>
      </c>
      <c r="Y387" s="543"/>
      <c r="Z387" s="544"/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15</v>
      </c>
      <c r="C388" s="539"/>
      <c r="D388" s="540"/>
      <c r="E388" s="541">
        <f>'VN_YouTube Performance'!G69</f>
        <v>658895895.71846128</v>
      </c>
      <c r="F388" s="542">
        <f>'VN_YouTube Performance'!G9</f>
        <v>693831478</v>
      </c>
      <c r="G388" s="543"/>
      <c r="H388" s="544"/>
      <c r="I388" s="545">
        <f>'VN_YouTube Performance'!K69</f>
        <v>94127985.102637336</v>
      </c>
      <c r="J388" s="545">
        <f>'VN_YouTube Performance'!K9</f>
        <v>358703577</v>
      </c>
      <c r="K388" s="103"/>
      <c r="L388" s="539"/>
      <c r="M388" s="540"/>
      <c r="N388" s="541">
        <f>'VN_YouTube Performance'!R69</f>
        <v>621338829.66250896</v>
      </c>
      <c r="O388" s="542">
        <f>'VN_YouTube Performance'!R9</f>
        <v>547962867</v>
      </c>
      <c r="P388" s="543"/>
      <c r="Q388" s="544"/>
      <c r="R388" s="545">
        <f>'VN_YouTube Performance'!V69</f>
        <v>83303266.815834045</v>
      </c>
      <c r="S388" s="545">
        <f>'VN_YouTube Performance'!V9</f>
        <v>184714554</v>
      </c>
      <c r="T388" s="103"/>
      <c r="U388" s="539"/>
      <c r="V388" s="540"/>
      <c r="W388" s="541">
        <f>'VN_YouTube Performance'!AC69</f>
        <v>37557066.055952311</v>
      </c>
      <c r="X388" s="542">
        <f>'VN_YouTube Performance'!AC9</f>
        <v>145868611</v>
      </c>
      <c r="Y388" s="543"/>
      <c r="Z388" s="544"/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16</v>
      </c>
      <c r="C389" s="539"/>
      <c r="D389" s="540"/>
      <c r="E389" s="541">
        <f>'VN_YouTube Performance'!G70</f>
        <v>713830067.76421547</v>
      </c>
      <c r="F389" s="542">
        <f>'VN_YouTube Performance'!G10</f>
        <v>796396532</v>
      </c>
      <c r="G389" s="543"/>
      <c r="H389" s="544"/>
      <c r="I389" s="545">
        <f>'VN_YouTube Performance'!K70</f>
        <v>101975723.96631651</v>
      </c>
      <c r="J389" s="545">
        <f>'VN_YouTube Performance'!K10</f>
        <v>401198859</v>
      </c>
      <c r="K389" s="103"/>
      <c r="L389" s="539"/>
      <c r="M389" s="540"/>
      <c r="N389" s="541">
        <f>'VN_YouTube Performance'!R70</f>
        <v>673141753.9016552</v>
      </c>
      <c r="O389" s="542">
        <f>'VN_YouTube Performance'!R10</f>
        <v>579917316</v>
      </c>
      <c r="P389" s="543"/>
      <c r="Q389" s="544"/>
      <c r="R389" s="545">
        <f>'VN_YouTube Performance'!V70</f>
        <v>90248515.710190102</v>
      </c>
      <c r="S389" s="545">
        <f>'VN_YouTube Performance'!V10</f>
        <v>156759564</v>
      </c>
      <c r="T389" s="103"/>
      <c r="U389" s="539"/>
      <c r="V389" s="540"/>
      <c r="W389" s="541">
        <f>'VN_YouTube Performance'!AC70</f>
        <v>40688313.862560272</v>
      </c>
      <c r="X389" s="542">
        <f>'VN_YouTube Performance'!AC10</f>
        <v>216479216</v>
      </c>
      <c r="Y389" s="543"/>
      <c r="Z389" s="544"/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17</v>
      </c>
      <c r="C390" s="539"/>
      <c r="D390" s="540"/>
      <c r="E390" s="541">
        <f>'VN_YouTube Performance'!G71</f>
        <v>700547432.74220216</v>
      </c>
      <c r="F390" s="542">
        <f>'VN_YouTube Performance'!G11</f>
        <v>0</v>
      </c>
      <c r="G390" s="543"/>
      <c r="H390" s="544"/>
      <c r="I390" s="545">
        <f>'VN_YouTube Performance'!K71</f>
        <v>100078204.67745745</v>
      </c>
      <c r="J390" s="545">
        <f>'VN_YouTube Performance'!K11</f>
        <v>0</v>
      </c>
      <c r="K390" s="103"/>
      <c r="L390" s="539"/>
      <c r="M390" s="540"/>
      <c r="N390" s="541">
        <f>'VN_YouTube Performance'!R71</f>
        <v>660616229.07589662</v>
      </c>
      <c r="O390" s="542">
        <f>'VN_YouTube Performance'!R11</f>
        <v>0</v>
      </c>
      <c r="P390" s="543"/>
      <c r="Q390" s="544"/>
      <c r="R390" s="545">
        <f>'VN_YouTube Performance'!V71</f>
        <v>88569211.139549851</v>
      </c>
      <c r="S390" s="545">
        <f>'VN_YouTube Performance'!V11</f>
        <v>0</v>
      </c>
      <c r="T390" s="103"/>
      <c r="U390" s="539"/>
      <c r="V390" s="540"/>
      <c r="W390" s="541">
        <f>'VN_YouTube Performance'!AC71</f>
        <v>39931203.666305542</v>
      </c>
      <c r="X390" s="542">
        <f>'VN_YouTube Performance'!AC11</f>
        <v>0</v>
      </c>
      <c r="Y390" s="543"/>
      <c r="Z390" s="544"/>
      <c r="AA390" s="545">
        <f>'VN_YouTube Performance'!AG71</f>
        <v>11508993.5379076</v>
      </c>
      <c r="AB390" s="545">
        <f>'VN_YouTube Performance'!AG11</f>
        <v>0</v>
      </c>
      <c r="AC390" s="103"/>
    </row>
    <row r="391" spans="1:29">
      <c r="B391" s="552" t="s">
        <v>18</v>
      </c>
      <c r="C391" s="539"/>
      <c r="D391" s="540"/>
      <c r="E391" s="541">
        <f>'VN_YouTube Performance'!G72</f>
        <v>756363432.58724153</v>
      </c>
      <c r="F391" s="542">
        <f>'VN_YouTube Performance'!G12</f>
        <v>0</v>
      </c>
      <c r="G391" s="543"/>
      <c r="H391" s="544"/>
      <c r="I391" s="545">
        <f>'VN_YouTube Performance'!K72</f>
        <v>108051918.94103451</v>
      </c>
      <c r="J391" s="545">
        <f>'VN_YouTube Performance'!K12</f>
        <v>0</v>
      </c>
      <c r="K391" s="103"/>
      <c r="L391" s="539"/>
      <c r="M391" s="540"/>
      <c r="N391" s="541">
        <f>'VN_YouTube Performance'!R72</f>
        <v>713250716.92976868</v>
      </c>
      <c r="O391" s="542">
        <f>'VN_YouTube Performance'!R12</f>
        <v>0</v>
      </c>
      <c r="P391" s="543"/>
      <c r="Q391" s="544"/>
      <c r="R391" s="545">
        <f>'VN_YouTube Performance'!V72</f>
        <v>95625948.26281555</v>
      </c>
      <c r="S391" s="545">
        <f>'VN_YouTube Performance'!V12</f>
        <v>0</v>
      </c>
      <c r="T391" s="103"/>
      <c r="U391" s="539"/>
      <c r="V391" s="540"/>
      <c r="W391" s="541">
        <f>'VN_YouTube Performance'!AC72</f>
        <v>43112715.657472849</v>
      </c>
      <c r="X391" s="542">
        <f>'VN_YouTube Performance'!AC12</f>
        <v>0</v>
      </c>
      <c r="Y391" s="543"/>
      <c r="Z391" s="544"/>
      <c r="AA391" s="545">
        <f>'VN_YouTube Performance'!AG72</f>
        <v>12425970.678218961</v>
      </c>
      <c r="AB391" s="545">
        <f>'VN_YouTube Performance'!AG12</f>
        <v>0</v>
      </c>
      <c r="AC391" s="103"/>
    </row>
    <row r="392" spans="1:29">
      <c r="B392" s="552" t="s">
        <v>19</v>
      </c>
      <c r="C392" s="539"/>
      <c r="D392" s="540"/>
      <c r="E392" s="541">
        <f>'VN_YouTube Performance'!G73</f>
        <v>749302914.2797215</v>
      </c>
      <c r="F392" s="542">
        <f>'VN_YouTube Performance'!G13</f>
        <v>0</v>
      </c>
      <c r="G392" s="543"/>
      <c r="H392" s="544"/>
      <c r="I392" s="545">
        <f>'VN_YouTube Performance'!K73</f>
        <v>107043273.46853167</v>
      </c>
      <c r="J392" s="545">
        <f>'VN_YouTube Performance'!K13</f>
        <v>0</v>
      </c>
      <c r="K392" s="103"/>
      <c r="L392" s="539"/>
      <c r="M392" s="540"/>
      <c r="N392" s="541">
        <f>'VN_YouTube Performance'!R73</f>
        <v>706592648.16577733</v>
      </c>
      <c r="O392" s="542">
        <f>'VN_YouTube Performance'!R13</f>
        <v>0</v>
      </c>
      <c r="P392" s="543"/>
      <c r="Q392" s="544"/>
      <c r="R392" s="545">
        <f>'VN_YouTube Performance'!V73</f>
        <v>94733297.019650534</v>
      </c>
      <c r="S392" s="545">
        <f>'VN_YouTube Performance'!V13</f>
        <v>0</v>
      </c>
      <c r="T392" s="103"/>
      <c r="U392" s="539"/>
      <c r="V392" s="540"/>
      <c r="W392" s="541">
        <f>'VN_YouTube Performance'!AC73</f>
        <v>42710266.113944173</v>
      </c>
      <c r="X392" s="542">
        <f>'VN_YouTube Performance'!AC13</f>
        <v>0</v>
      </c>
      <c r="Y392" s="543"/>
      <c r="Z392" s="544"/>
      <c r="AA392" s="545">
        <f>'VN_YouTube Performance'!AG73</f>
        <v>12309976.448881134</v>
      </c>
      <c r="AB392" s="545">
        <f>'VN_YouTube Performance'!AG13</f>
        <v>0</v>
      </c>
      <c r="AC392" s="103"/>
    </row>
    <row r="393" spans="1:29">
      <c r="B393" s="552" t="s">
        <v>20</v>
      </c>
      <c r="C393" s="539"/>
      <c r="D393" s="540"/>
      <c r="E393" s="541">
        <f>'VN_YouTube Performance'!G74</f>
        <v>790556961.82225585</v>
      </c>
      <c r="F393" s="542">
        <f>'VN_YouTube Performance'!G14</f>
        <v>0</v>
      </c>
      <c r="G393" s="543"/>
      <c r="H393" s="544"/>
      <c r="I393" s="545">
        <f>'VN_YouTube Performance'!K74</f>
        <v>112936708.83175085</v>
      </c>
      <c r="J393" s="545">
        <f>'VN_YouTube Performance'!K14</f>
        <v>0</v>
      </c>
      <c r="K393" s="103"/>
      <c r="L393" s="539"/>
      <c r="M393" s="540"/>
      <c r="N393" s="541">
        <f>'VN_YouTube Performance'!R74</f>
        <v>745495214.99838722</v>
      </c>
      <c r="O393" s="542">
        <f>'VN_YouTube Performance'!R14</f>
        <v>0</v>
      </c>
      <c r="P393" s="543"/>
      <c r="Q393" s="544"/>
      <c r="R393" s="545">
        <f>'VN_YouTube Performance'!V74</f>
        <v>99948987.31609951</v>
      </c>
      <c r="S393" s="545">
        <f>'VN_YouTube Performance'!V14</f>
        <v>0</v>
      </c>
      <c r="T393" s="103"/>
      <c r="U393" s="539"/>
      <c r="V393" s="540"/>
      <c r="W393" s="541">
        <f>'VN_YouTube Performance'!AC74</f>
        <v>45061746.823868632</v>
      </c>
      <c r="X393" s="542">
        <f>'VN_YouTube Performance'!AC14</f>
        <v>0</v>
      </c>
      <c r="Y393" s="543"/>
      <c r="Z393" s="544"/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21</v>
      </c>
      <c r="C394" s="539"/>
      <c r="D394" s="540"/>
      <c r="E394" s="541">
        <f>'VN_YouTube Performance'!G75</f>
        <v>848257957.42272496</v>
      </c>
      <c r="F394" s="542">
        <f>'VN_YouTube Performance'!G15</f>
        <v>0</v>
      </c>
      <c r="G394" s="543"/>
      <c r="H394" s="544"/>
      <c r="I394" s="545">
        <f>'VN_YouTube Performance'!K75</f>
        <v>121179708.20324643</v>
      </c>
      <c r="J394" s="545">
        <f>'VN_YouTube Performance'!K15</f>
        <v>0</v>
      </c>
      <c r="K394" s="103"/>
      <c r="L394" s="539"/>
      <c r="M394" s="540"/>
      <c r="N394" s="541">
        <f>'VN_YouTube Performance'!R75</f>
        <v>799907253.84962964</v>
      </c>
      <c r="O394" s="542">
        <f>'VN_YouTube Performance'!R15</f>
        <v>0</v>
      </c>
      <c r="P394" s="543"/>
      <c r="Q394" s="544"/>
      <c r="R394" s="545">
        <f>'VN_YouTube Performance'!V75</f>
        <v>107244041.75987309</v>
      </c>
      <c r="S394" s="545">
        <f>'VN_YouTube Performance'!V15</f>
        <v>0</v>
      </c>
      <c r="T394" s="103"/>
      <c r="U394" s="539"/>
      <c r="V394" s="540"/>
      <c r="W394" s="541">
        <f>'VN_YouTube Performance'!AC75</f>
        <v>48350703.573095322</v>
      </c>
      <c r="X394" s="542">
        <f>'VN_YouTube Performance'!AC15</f>
        <v>0</v>
      </c>
      <c r="Y394" s="543"/>
      <c r="Z394" s="544"/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22</v>
      </c>
      <c r="C395" s="539"/>
      <c r="D395" s="540"/>
      <c r="E395" s="541">
        <f>'VN_YouTube Performance'!G76</f>
        <v>865704178.90948462</v>
      </c>
      <c r="F395" s="542">
        <f>'VN_YouTube Performance'!G16</f>
        <v>0</v>
      </c>
      <c r="G395" s="543"/>
      <c r="H395" s="544"/>
      <c r="I395" s="545">
        <f>'VN_YouTube Performance'!K76</f>
        <v>123672025.55849782</v>
      </c>
      <c r="J395" s="545">
        <f>'VN_YouTube Performance'!K16</f>
        <v>0</v>
      </c>
      <c r="K395" s="103"/>
      <c r="L395" s="539"/>
      <c r="M395" s="540"/>
      <c r="N395" s="541">
        <f>'VN_YouTube Performance'!R76</f>
        <v>816359040.71164393</v>
      </c>
      <c r="O395" s="542">
        <f>'VN_YouTube Performance'!R16</f>
        <v>0</v>
      </c>
      <c r="P395" s="543"/>
      <c r="Q395" s="544"/>
      <c r="R395" s="545">
        <f>'VN_YouTube Performance'!V76</f>
        <v>109449742.61927056</v>
      </c>
      <c r="S395" s="545">
        <f>'VN_YouTube Performance'!V16</f>
        <v>0</v>
      </c>
      <c r="T395" s="103"/>
      <c r="U395" s="539"/>
      <c r="V395" s="540"/>
      <c r="W395" s="541">
        <f>'VN_YouTube Performance'!AC76</f>
        <v>49345138.197840691</v>
      </c>
      <c r="X395" s="542">
        <f>'VN_YouTube Performance'!AC16</f>
        <v>0</v>
      </c>
      <c r="Y395" s="543"/>
      <c r="Z395" s="544"/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23</v>
      </c>
      <c r="C396" s="539"/>
      <c r="D396" s="540"/>
      <c r="E396" s="541">
        <f>'VN_YouTube Performance'!G77</f>
        <v>960907654.86417639</v>
      </c>
      <c r="F396" s="542">
        <f>'VN_YouTube Performance'!G17</f>
        <v>0</v>
      </c>
      <c r="G396" s="543"/>
      <c r="H396" s="544"/>
      <c r="I396" s="545">
        <f>'VN_YouTube Performance'!K77</f>
        <v>137272522.1234538</v>
      </c>
      <c r="J396" s="545">
        <f>'VN_YouTube Performance'!K17</f>
        <v>0</v>
      </c>
      <c r="K396" s="103"/>
      <c r="L396" s="539"/>
      <c r="M396" s="540"/>
      <c r="N396" s="541">
        <f>'VN_YouTube Performance'!R77</f>
        <v>906135918.53691828</v>
      </c>
      <c r="O396" s="542">
        <f>'VN_YouTube Performance'!R17</f>
        <v>0</v>
      </c>
      <c r="P396" s="543"/>
      <c r="Q396" s="544"/>
      <c r="R396" s="545">
        <f>'VN_YouTube Performance'!V77</f>
        <v>121486182.07925661</v>
      </c>
      <c r="S396" s="545">
        <f>'VN_YouTube Performance'!V17</f>
        <v>0</v>
      </c>
      <c r="T396" s="103"/>
      <c r="U396" s="539"/>
      <c r="V396" s="540"/>
      <c r="W396" s="541">
        <f>'VN_YouTube Performance'!AC77</f>
        <v>54771736.32725811</v>
      </c>
      <c r="X396" s="542">
        <f>'VN_YouTube Performance'!AC17</f>
        <v>0</v>
      </c>
      <c r="Y396" s="543"/>
      <c r="Z396" s="544"/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5</v>
      </c>
      <c r="C397" s="538"/>
      <c r="D397" s="538"/>
      <c r="E397" s="532">
        <f t="shared" ref="E397:J397" si="84">SUM(E385:E396)</f>
        <v>8750000000</v>
      </c>
      <c r="F397" s="532">
        <f t="shared" si="84"/>
        <v>3506217885</v>
      </c>
      <c r="G397" s="534"/>
      <c r="H397" s="534"/>
      <c r="I397" s="536">
        <f t="shared" si="84"/>
        <v>1250000000.0000002</v>
      </c>
      <c r="J397" s="536">
        <f t="shared" si="84"/>
        <v>1156411352</v>
      </c>
      <c r="K397" s="103"/>
      <c r="L397" s="538"/>
      <c r="M397" s="538"/>
      <c r="N397" s="532">
        <f t="shared" ref="L397:S397" si="85">SUM(N385:N396)</f>
        <v>8251249999.999999</v>
      </c>
      <c r="O397" s="532">
        <f t="shared" si="85"/>
        <v>2839709354</v>
      </c>
      <c r="P397" s="534"/>
      <c r="Q397" s="534"/>
      <c r="R397" s="536">
        <f t="shared" si="85"/>
        <v>1106250000</v>
      </c>
      <c r="S397" s="536">
        <f t="shared" si="85"/>
        <v>683517154</v>
      </c>
      <c r="T397" s="103"/>
      <c r="U397" s="538"/>
      <c r="V397" s="538"/>
      <c r="W397" s="532">
        <f t="shared" ref="U397:AB397" si="86">SUM(W385:W396)</f>
        <v>498750000.0000003</v>
      </c>
      <c r="X397" s="532">
        <f t="shared" si="86"/>
        <v>666508531</v>
      </c>
      <c r="Y397" s="534"/>
      <c r="Z397" s="534"/>
      <c r="AA397" s="536">
        <f t="shared" si="86"/>
        <v>143749999.99999997</v>
      </c>
      <c r="AB397" s="536">
        <f t="shared" si="86"/>
        <v>472894198</v>
      </c>
      <c r="AC397" s="103"/>
    </row>
    <row r="398" spans="1:29">
      <c r="K398" s="103"/>
      <c r="T398" s="103"/>
      <c r="AC398" s="103"/>
    </row>
    <row r="399" spans="1:29">
      <c r="A399" s="102" t="s">
        <v>83</v>
      </c>
      <c r="C399" s="848"/>
      <c r="D399" s="848"/>
      <c r="E399" s="845" t="s">
        <v>1</v>
      </c>
      <c r="F399" s="845"/>
      <c r="G399" s="846"/>
      <c r="H399" s="846"/>
      <c r="I399" s="847" t="s">
        <v>2</v>
      </c>
      <c r="J399" s="847"/>
      <c r="K399" s="103"/>
      <c r="L399" s="848"/>
      <c r="M399" s="848"/>
      <c r="N399" s="845" t="s">
        <v>1</v>
      </c>
      <c r="O399" s="845"/>
      <c r="P399" s="846"/>
      <c r="Q399" s="846"/>
      <c r="R399" s="847" t="s">
        <v>2</v>
      </c>
      <c r="S399" s="847"/>
      <c r="T399" s="103"/>
      <c r="U399" s="848"/>
      <c r="V399" s="848"/>
      <c r="W399" s="845" t="s">
        <v>1</v>
      </c>
      <c r="X399" s="845"/>
      <c r="Y399" s="846"/>
      <c r="Z399" s="846"/>
      <c r="AA399" s="847" t="s">
        <v>2</v>
      </c>
      <c r="AB399" s="847"/>
      <c r="AC399" s="103"/>
    </row>
    <row r="400" spans="1:29">
      <c r="C400" s="1"/>
      <c r="D400" s="1"/>
      <c r="E400" s="2" t="s">
        <v>81</v>
      </c>
      <c r="F400" s="2" t="s">
        <v>26</v>
      </c>
      <c r="G400" s="3"/>
      <c r="H400" s="3"/>
      <c r="I400" s="4" t="s">
        <v>81</v>
      </c>
      <c r="J400" s="4" t="s">
        <v>26</v>
      </c>
      <c r="K400" s="103"/>
      <c r="L400" s="1"/>
      <c r="M400" s="1"/>
      <c r="N400" s="2" t="s">
        <v>81</v>
      </c>
      <c r="O400" s="2" t="s">
        <v>26</v>
      </c>
      <c r="P400" s="3"/>
      <c r="Q400" s="3"/>
      <c r="R400" s="4" t="s">
        <v>81</v>
      </c>
      <c r="S400" s="4" t="s">
        <v>26</v>
      </c>
      <c r="T400" s="103"/>
      <c r="U400" s="1"/>
      <c r="V400" s="1"/>
      <c r="W400" s="2" t="s">
        <v>81</v>
      </c>
      <c r="X400" s="2" t="s">
        <v>26</v>
      </c>
      <c r="Y400" s="3"/>
      <c r="Z400" s="3"/>
      <c r="AA400" s="4" t="s">
        <v>81</v>
      </c>
      <c r="AB400" s="4" t="s">
        <v>26</v>
      </c>
      <c r="AC400" s="103"/>
    </row>
    <row r="401" spans="2:29">
      <c r="B401" s="552" t="s">
        <v>12</v>
      </c>
      <c r="C401" s="547"/>
      <c r="D401" s="547"/>
      <c r="E401" s="548">
        <f>'VN_YouTube Performance'!H66</f>
        <v>118464.40869439059</v>
      </c>
      <c r="F401" s="548">
        <f>'VN_YouTube Performance'!H6</f>
        <v>148369.26999999999</v>
      </c>
      <c r="G401" s="549"/>
      <c r="H401" s="549"/>
      <c r="I401" s="550">
        <f>'VN_YouTube Performance'!L66</f>
        <v>13623.456484334463</v>
      </c>
      <c r="J401" s="550">
        <f>'VN_YouTube Performance'!L6</f>
        <v>17239.806</v>
      </c>
      <c r="K401" s="103"/>
      <c r="L401" s="547"/>
      <c r="M401" s="547"/>
      <c r="N401" s="548">
        <f>'VN_YouTube Performance'!S66</f>
        <v>102246.79726097024</v>
      </c>
      <c r="O401" s="548">
        <f>'VN_YouTube Performance'!S6</f>
        <v>115656.79299999999</v>
      </c>
      <c r="P401" s="549"/>
      <c r="Q401" s="549"/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/>
      <c r="V401" s="547"/>
      <c r="W401" s="548">
        <f>'VN_YouTube Performance'!AD66</f>
        <v>16217.611433420345</v>
      </c>
      <c r="X401" s="548">
        <f>'VN_YouTube Performance'!AD6</f>
        <v>32712.477000000003</v>
      </c>
      <c r="Y401" s="549"/>
      <c r="Z401" s="549"/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13</v>
      </c>
      <c r="C402" s="547"/>
      <c r="D402" s="547"/>
      <c r="E402" s="548">
        <f>'VN_YouTube Performance'!H67</f>
        <v>105730.50092321732</v>
      </c>
      <c r="F402" s="548">
        <f>'VN_YouTube Performance'!H7</f>
        <v>118213.66</v>
      </c>
      <c r="G402" s="549"/>
      <c r="H402" s="549"/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/>
      <c r="M402" s="547"/>
      <c r="N402" s="548">
        <f>'VN_YouTube Performance'!S67</f>
        <v>91256.14360753505</v>
      </c>
      <c r="O402" s="548">
        <f>'VN_YouTube Performance'!S7</f>
        <v>94450.7</v>
      </c>
      <c r="P402" s="549"/>
      <c r="Q402" s="549"/>
      <c r="R402" s="550">
        <f>'VN_YouTube Performance'!W67</f>
        <v>5076.3977317919152</v>
      </c>
      <c r="S402" s="550">
        <f>'VN_YouTube Performance'!W7</f>
        <v>7885.42</v>
      </c>
      <c r="T402" s="103"/>
      <c r="U402" s="547"/>
      <c r="V402" s="547"/>
      <c r="W402" s="548">
        <f>'VN_YouTube Performance'!AD67</f>
        <v>14474.357315682268</v>
      </c>
      <c r="X402" s="548">
        <f>'VN_YouTube Performance'!AD7</f>
        <v>23762.960000000003</v>
      </c>
      <c r="Y402" s="549"/>
      <c r="Z402" s="549"/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14</v>
      </c>
      <c r="C403" s="547"/>
      <c r="D403" s="547"/>
      <c r="E403" s="548">
        <f>'VN_YouTube Performance'!H68</f>
        <v>130493.21576872235</v>
      </c>
      <c r="F403" s="548">
        <f>'VN_YouTube Performance'!H8</f>
        <v>168146.83</v>
      </c>
      <c r="G403" s="549"/>
      <c r="H403" s="549"/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/>
      <c r="M403" s="547"/>
      <c r="N403" s="548">
        <f>'VN_YouTube Performance'!S68</f>
        <v>112628.87751423339</v>
      </c>
      <c r="O403" s="548">
        <f>'VN_YouTube Performance'!S8</f>
        <v>125455.74999999999</v>
      </c>
      <c r="P403" s="549"/>
      <c r="Q403" s="549"/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/>
      <c r="V403" s="547"/>
      <c r="W403" s="548">
        <f>'VN_YouTube Performance'!AD68</f>
        <v>17864.338254488961</v>
      </c>
      <c r="X403" s="548">
        <f>'VN_YouTube Performance'!AD8</f>
        <v>42691.080000000009</v>
      </c>
      <c r="Y403" s="549"/>
      <c r="Z403" s="549"/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15</v>
      </c>
      <c r="C404" s="547"/>
      <c r="D404" s="547"/>
      <c r="E404" s="548">
        <f>'VN_YouTube Performance'!H69</f>
        <v>137018.03438088796</v>
      </c>
      <c r="F404" s="548">
        <f>'VN_YouTube Performance'!H9</f>
        <v>170290.55</v>
      </c>
      <c r="G404" s="549"/>
      <c r="H404" s="549"/>
      <c r="I404" s="550">
        <f>'VN_YouTube Performance'!L69</f>
        <v>15757.131188428062</v>
      </c>
      <c r="J404" s="550">
        <f>'VN_YouTube Performance'!L9</f>
        <v>121615.77</v>
      </c>
      <c r="K404" s="103"/>
      <c r="L404" s="547"/>
      <c r="M404" s="547"/>
      <c r="N404" s="548">
        <f>'VN_YouTube Performance'!S69</f>
        <v>118260.45760782727</v>
      </c>
      <c r="O404" s="548">
        <f>'VN_YouTube Performance'!S9</f>
        <v>116613.42000000001</v>
      </c>
      <c r="P404" s="549"/>
      <c r="Q404" s="549"/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/>
      <c r="V404" s="547"/>
      <c r="W404" s="548">
        <f>'VN_YouTube Performance'!AD69</f>
        <v>18757.576773060689</v>
      </c>
      <c r="X404" s="548">
        <f>'VN_YouTube Performance'!AD9</f>
        <v>53677.130000000005</v>
      </c>
      <c r="Y404" s="549"/>
      <c r="Z404" s="549"/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16</v>
      </c>
      <c r="C405" s="547"/>
      <c r="D405" s="547"/>
      <c r="E405" s="548">
        <f>'VN_YouTube Performance'!H70</f>
        <v>148441.64822180182</v>
      </c>
      <c r="F405" s="548">
        <f>'VN_YouTube Performance'!H10</f>
        <v>206786.54000000004</v>
      </c>
      <c r="G405" s="549"/>
      <c r="H405" s="549"/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/>
      <c r="M405" s="547"/>
      <c r="N405" s="548">
        <f>'VN_YouTube Performance'!S70</f>
        <v>128120.19473269457</v>
      </c>
      <c r="O405" s="548">
        <f>'VN_YouTube Performance'!S10</f>
        <v>122478.54000000001</v>
      </c>
      <c r="P405" s="549"/>
      <c r="Q405" s="549"/>
      <c r="R405" s="550">
        <f>'VN_YouTube Performance'!W70</f>
        <v>7127.0715617231754</v>
      </c>
      <c r="S405" s="550">
        <f>'VN_YouTube Performance'!W10</f>
        <v>22565.05</v>
      </c>
      <c r="T405" s="103"/>
      <c r="U405" s="547"/>
      <c r="V405" s="547"/>
      <c r="W405" s="548">
        <f>'VN_YouTube Performance'!AD70</f>
        <v>20321.453489107254</v>
      </c>
      <c r="X405" s="548">
        <f>'VN_YouTube Performance'!AD10</f>
        <v>84308.000000000015</v>
      </c>
      <c r="Y405" s="549"/>
      <c r="Z405" s="549"/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17</v>
      </c>
      <c r="C406" s="547"/>
      <c r="D406" s="547"/>
      <c r="E406" s="548">
        <f>'VN_YouTube Performance'!H71</f>
        <v>145679.5115110692</v>
      </c>
      <c r="F406" s="548">
        <f>'VN_YouTube Performance'!H11</f>
        <v>0</v>
      </c>
      <c r="G406" s="549"/>
      <c r="H406" s="549"/>
      <c r="I406" s="550">
        <f>'VN_YouTube Performance'!L71</f>
        <v>16753.20467643653</v>
      </c>
      <c r="J406" s="550">
        <f>'VN_YouTube Performance'!L11</f>
        <v>0</v>
      </c>
      <c r="K406" s="103"/>
      <c r="L406" s="547"/>
      <c r="M406" s="547"/>
      <c r="N406" s="548">
        <f>'VN_YouTube Performance'!S71</f>
        <v>125736.19066445214</v>
      </c>
      <c r="O406" s="548">
        <f>'VN_YouTube Performance'!S11</f>
        <v>0</v>
      </c>
      <c r="P406" s="549"/>
      <c r="Q406" s="549"/>
      <c r="R406" s="550">
        <f>'VN_YouTube Performance'!W71</f>
        <v>6994.454157938766</v>
      </c>
      <c r="S406" s="550">
        <f>'VN_YouTube Performance'!W11</f>
        <v>0</v>
      </c>
      <c r="T406" s="103"/>
      <c r="U406" s="547"/>
      <c r="V406" s="547"/>
      <c r="W406" s="548">
        <f>'VN_YouTube Performance'!AD71</f>
        <v>19943.320846617062</v>
      </c>
      <c r="X406" s="548">
        <f>'VN_YouTube Performance'!AD11</f>
        <v>0</v>
      </c>
      <c r="Y406" s="549"/>
      <c r="Z406" s="549"/>
      <c r="AA406" s="550">
        <f>'VN_YouTube Performance'!AH71</f>
        <v>9758.7505184977636</v>
      </c>
      <c r="AB406" s="550">
        <f>'VN_YouTube Performance'!AH11</f>
        <v>0</v>
      </c>
      <c r="AC406" s="103"/>
    </row>
    <row r="407" spans="2:29">
      <c r="B407" s="552" t="s">
        <v>18</v>
      </c>
      <c r="C407" s="547"/>
      <c r="D407" s="547"/>
      <c r="E407" s="548">
        <f>'VN_YouTube Performance'!H72</f>
        <v>157286.50228983568</v>
      </c>
      <c r="F407" s="548">
        <f>'VN_YouTube Performance'!H12</f>
        <v>0</v>
      </c>
      <c r="G407" s="549"/>
      <c r="H407" s="549"/>
      <c r="I407" s="550">
        <f>'VN_YouTube Performance'!L72</f>
        <v>18088.013464420492</v>
      </c>
      <c r="J407" s="550">
        <f>'VN_YouTube Performance'!L12</f>
        <v>0</v>
      </c>
      <c r="K407" s="103"/>
      <c r="L407" s="547"/>
      <c r="M407" s="547"/>
      <c r="N407" s="548">
        <f>'VN_YouTube Performance'!S72</f>
        <v>135754.20068152048</v>
      </c>
      <c r="O407" s="548">
        <f>'VN_YouTube Performance'!S12</f>
        <v>0</v>
      </c>
      <c r="P407" s="549"/>
      <c r="Q407" s="549"/>
      <c r="R407" s="550">
        <f>'VN_YouTube Performance'!W72</f>
        <v>7551.7361262238619</v>
      </c>
      <c r="S407" s="550">
        <f>'VN_YouTube Performance'!W12</f>
        <v>0</v>
      </c>
      <c r="T407" s="103"/>
      <c r="U407" s="547"/>
      <c r="V407" s="547"/>
      <c r="W407" s="548">
        <f>'VN_YouTube Performance'!AD72</f>
        <v>21532.301608315203</v>
      </c>
      <c r="X407" s="548">
        <f>'VN_YouTube Performance'!AD12</f>
        <v>0</v>
      </c>
      <c r="Y407" s="549"/>
      <c r="Z407" s="549"/>
      <c r="AA407" s="550">
        <f>'VN_YouTube Performance'!AH72</f>
        <v>10536.277338196629</v>
      </c>
      <c r="AB407" s="550">
        <f>'VN_YouTube Performance'!AH12</f>
        <v>0</v>
      </c>
      <c r="AC407" s="103"/>
    </row>
    <row r="408" spans="2:29">
      <c r="B408" s="552" t="s">
        <v>19</v>
      </c>
      <c r="C408" s="547"/>
      <c r="D408" s="547"/>
      <c r="E408" s="548">
        <f>'VN_YouTube Performance'!H73</f>
        <v>155818.26072619413</v>
      </c>
      <c r="F408" s="548">
        <f>'VN_YouTube Performance'!H13</f>
        <v>0</v>
      </c>
      <c r="G408" s="549"/>
      <c r="H408" s="549"/>
      <c r="I408" s="550">
        <f>'VN_YouTube Performance'!L73</f>
        <v>17919.165071293719</v>
      </c>
      <c r="J408" s="550">
        <f>'VN_YouTube Performance'!L13</f>
        <v>0</v>
      </c>
      <c r="K408" s="103"/>
      <c r="L408" s="547"/>
      <c r="M408" s="547"/>
      <c r="N408" s="548">
        <f>'VN_YouTube Performance'!S73</f>
        <v>134486.9593290982</v>
      </c>
      <c r="O408" s="548">
        <f>'VN_YouTube Performance'!S13</f>
        <v>0</v>
      </c>
      <c r="P408" s="549"/>
      <c r="Q408" s="549"/>
      <c r="R408" s="550">
        <f>'VN_YouTube Performance'!W73</f>
        <v>7481.2420107291746</v>
      </c>
      <c r="S408" s="550">
        <f>'VN_YouTube Performance'!W13</f>
        <v>0</v>
      </c>
      <c r="T408" s="103"/>
      <c r="U408" s="547"/>
      <c r="V408" s="547"/>
      <c r="W408" s="548">
        <f>'VN_YouTube Performance'!AD73</f>
        <v>21331.301397095929</v>
      </c>
      <c r="X408" s="548">
        <f>'VN_YouTube Performance'!AD13</f>
        <v>0</v>
      </c>
      <c r="Y408" s="549"/>
      <c r="Z408" s="549"/>
      <c r="AA408" s="550">
        <f>'VN_YouTube Performance'!AH73</f>
        <v>10437.923060564544</v>
      </c>
      <c r="AB408" s="550">
        <f>'VN_YouTube Performance'!AH13</f>
        <v>0</v>
      </c>
      <c r="AC408" s="103"/>
    </row>
    <row r="409" spans="2:29">
      <c r="B409" s="552" t="s">
        <v>20</v>
      </c>
      <c r="C409" s="547"/>
      <c r="D409" s="547"/>
      <c r="E409" s="548">
        <f>'VN_YouTube Performance'!H74</f>
        <v>164397.07953697184</v>
      </c>
      <c r="F409" s="548">
        <f>'VN_YouTube Performance'!H14</f>
        <v>0</v>
      </c>
      <c r="G409" s="549"/>
      <c r="H409" s="549"/>
      <c r="I409" s="550">
        <f>'VN_YouTube Performance'!L74</f>
        <v>18905.732818043078</v>
      </c>
      <c r="J409" s="550">
        <f>'VN_YouTube Performance'!L14</f>
        <v>0</v>
      </c>
      <c r="K409" s="103"/>
      <c r="L409" s="547"/>
      <c r="M409" s="547"/>
      <c r="N409" s="548">
        <f>'VN_YouTube Performance'!S74</f>
        <v>141891.34987433814</v>
      </c>
      <c r="O409" s="548">
        <f>'VN_YouTube Performance'!S14</f>
        <v>0</v>
      </c>
      <c r="P409" s="549"/>
      <c r="Q409" s="549"/>
      <c r="R409" s="550">
        <f>'VN_YouTube Performance'!W74</f>
        <v>7893.1335271054359</v>
      </c>
      <c r="S409" s="550">
        <f>'VN_YouTube Performance'!W14</f>
        <v>0</v>
      </c>
      <c r="T409" s="103"/>
      <c r="U409" s="547"/>
      <c r="V409" s="547"/>
      <c r="W409" s="548">
        <f>'VN_YouTube Performance'!AD74</f>
        <v>22505.729662633705</v>
      </c>
      <c r="X409" s="548">
        <f>'VN_YouTube Performance'!AD14</f>
        <v>0</v>
      </c>
      <c r="Y409" s="549"/>
      <c r="Z409" s="549"/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21</v>
      </c>
      <c r="C410" s="547"/>
      <c r="D410" s="547"/>
      <c r="E410" s="548">
        <f>'VN_YouTube Performance'!H75</f>
        <v>176396.05699360892</v>
      </c>
      <c r="F410" s="548">
        <f>'VN_YouTube Performance'!H15</f>
        <v>0</v>
      </c>
      <c r="G410" s="549"/>
      <c r="H410" s="549"/>
      <c r="I410" s="550">
        <f>'VN_YouTube Performance'!L75</f>
        <v>20285.620237721268</v>
      </c>
      <c r="J410" s="550">
        <f>'VN_YouTube Performance'!L15</f>
        <v>0</v>
      </c>
      <c r="K410" s="103"/>
      <c r="L410" s="547"/>
      <c r="M410" s="547"/>
      <c r="N410" s="548">
        <f>'VN_YouTube Performance'!S75</f>
        <v>152247.68414274041</v>
      </c>
      <c r="O410" s="548">
        <f>'VN_YouTube Performance'!S15</f>
        <v>0</v>
      </c>
      <c r="P410" s="549"/>
      <c r="Q410" s="549"/>
      <c r="R410" s="550">
        <f>'VN_YouTube Performance'!W75</f>
        <v>8469.2358004591733</v>
      </c>
      <c r="S410" s="550">
        <f>'VN_YouTube Performance'!W15</f>
        <v>0</v>
      </c>
      <c r="T410" s="103"/>
      <c r="U410" s="547"/>
      <c r="V410" s="547"/>
      <c r="W410" s="548">
        <f>'VN_YouTube Performance'!AD75</f>
        <v>24148.372850868502</v>
      </c>
      <c r="X410" s="548">
        <f>'VN_YouTube Performance'!AD15</f>
        <v>0</v>
      </c>
      <c r="Y410" s="549"/>
      <c r="Z410" s="549"/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22</v>
      </c>
      <c r="C411" s="547"/>
      <c r="D411" s="547"/>
      <c r="E411" s="548">
        <f>'VN_YouTube Performance'!H76</f>
        <v>180024.01550878966</v>
      </c>
      <c r="F411" s="548">
        <f>'VN_YouTube Performance'!H16</f>
        <v>0</v>
      </c>
      <c r="G411" s="549"/>
      <c r="H411" s="549"/>
      <c r="I411" s="550">
        <f>'VN_YouTube Performance'!L76</f>
        <v>20702.836982423396</v>
      </c>
      <c r="J411" s="550">
        <f>'VN_YouTube Performance'!L16</f>
        <v>0</v>
      </c>
      <c r="K411" s="103"/>
      <c r="L411" s="547"/>
      <c r="M411" s="547"/>
      <c r="N411" s="548">
        <f>'VN_YouTube Performance'!S76</f>
        <v>155378.98022450152</v>
      </c>
      <c r="O411" s="548">
        <f>'VN_YouTube Performance'!S16</f>
        <v>0</v>
      </c>
      <c r="P411" s="549"/>
      <c r="Q411" s="549"/>
      <c r="R411" s="550">
        <f>'VN_YouTube Performance'!W76</f>
        <v>8643.4235723573984</v>
      </c>
      <c r="S411" s="550">
        <f>'VN_YouTube Performance'!W16</f>
        <v>0</v>
      </c>
      <c r="T411" s="103"/>
      <c r="U411" s="547"/>
      <c r="V411" s="547"/>
      <c r="W411" s="548">
        <f>'VN_YouTube Performance'!AD76</f>
        <v>24645.03528428814</v>
      </c>
      <c r="X411" s="548">
        <f>'VN_YouTube Performance'!AD16</f>
        <v>0</v>
      </c>
      <c r="Y411" s="549"/>
      <c r="Z411" s="549"/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23</v>
      </c>
      <c r="C412" s="547"/>
      <c r="D412" s="547"/>
      <c r="E412" s="548">
        <f>'VN_YouTube Performance'!H77</f>
        <v>199821.66977603344</v>
      </c>
      <c r="F412" s="548">
        <f>'VN_YouTube Performance'!H17</f>
        <v>0</v>
      </c>
      <c r="G412" s="549"/>
      <c r="H412" s="549"/>
      <c r="I412" s="550">
        <f>'VN_YouTube Performance'!L77</f>
        <v>22979.575492953481</v>
      </c>
      <c r="J412" s="550">
        <f>'VN_YouTube Performance'!L17</f>
        <v>0</v>
      </c>
      <c r="K412" s="103"/>
      <c r="L412" s="547"/>
      <c r="M412" s="547"/>
      <c r="N412" s="548">
        <f>'VN_YouTube Performance'!S77</f>
        <v>172466.36338384115</v>
      </c>
      <c r="O412" s="548">
        <f>'VN_YouTube Performance'!S17</f>
        <v>0</v>
      </c>
      <c r="P412" s="549"/>
      <c r="Q412" s="549"/>
      <c r="R412" s="550">
        <f>'VN_YouTube Performance'!W77</f>
        <v>9593.9607053463151</v>
      </c>
      <c r="S412" s="550">
        <f>'VN_YouTube Performance'!W17</f>
        <v>0</v>
      </c>
      <c r="T412" s="103"/>
      <c r="U412" s="547"/>
      <c r="V412" s="547"/>
      <c r="W412" s="548">
        <f>'VN_YouTube Performance'!AD77</f>
        <v>27355.306392192288</v>
      </c>
      <c r="X412" s="548">
        <f>'VN_YouTube Performance'!AD17</f>
        <v>0</v>
      </c>
      <c r="Y412" s="549"/>
      <c r="Z412" s="549"/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5</v>
      </c>
      <c r="C413" s="546"/>
      <c r="D413" s="546"/>
      <c r="E413" s="533">
        <f t="shared" ref="E413:J413" si="87">SUM(E401:E412)</f>
        <v>1819570.9043315225</v>
      </c>
      <c r="F413" s="533">
        <f t="shared" si="87"/>
        <v>811806.85000000009</v>
      </c>
      <c r="G413" s="535"/>
      <c r="H413" s="535"/>
      <c r="I413" s="537">
        <f t="shared" si="87"/>
        <v>209251.41406201432</v>
      </c>
      <c r="J413" s="537">
        <f t="shared" si="87"/>
        <v>369306.91600000008</v>
      </c>
      <c r="K413" s="103"/>
      <c r="L413" s="546"/>
      <c r="M413" s="546"/>
      <c r="N413" s="533">
        <f t="shared" ref="L413:S413" si="88">SUM(N401:N412)</f>
        <v>1570474.1990237527</v>
      </c>
      <c r="O413" s="533">
        <f t="shared" si="88"/>
        <v>574655.20299999998</v>
      </c>
      <c r="P413" s="535"/>
      <c r="Q413" s="535"/>
      <c r="R413" s="537">
        <f t="shared" si="88"/>
        <v>87362.355525876323</v>
      </c>
      <c r="S413" s="537">
        <f t="shared" si="88"/>
        <v>81119.650999999998</v>
      </c>
      <c r="T413" s="103"/>
      <c r="U413" s="546"/>
      <c r="V413" s="546"/>
      <c r="W413" s="533">
        <f t="shared" ref="U413:AB413" si="89">SUM(W401:W412)</f>
        <v>249096.70530777035</v>
      </c>
      <c r="X413" s="533">
        <f t="shared" si="89"/>
        <v>237151.64700000006</v>
      </c>
      <c r="Y413" s="535"/>
      <c r="Z413" s="535"/>
      <c r="AA413" s="537">
        <f t="shared" si="89"/>
        <v>121889.05853613796</v>
      </c>
      <c r="AB413" s="537">
        <f t="shared" si="89"/>
        <v>288187.26500000001</v>
      </c>
      <c r="AC413" s="103"/>
    </row>
    <row r="414" spans="2:29">
      <c r="K414" s="103"/>
      <c r="T414" s="103"/>
      <c r="AC414" s="103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AD2:AE2"/>
    <mergeCell ref="AA2:AB2"/>
    <mergeCell ref="W383:X383"/>
    <mergeCell ref="W399:X399"/>
    <mergeCell ref="Y399:Z399"/>
    <mergeCell ref="AA399:AB399"/>
    <mergeCell ref="L383:M383"/>
    <mergeCell ref="N383:O383"/>
    <mergeCell ref="P383:Q383"/>
    <mergeCell ref="R383:S383"/>
    <mergeCell ref="U383:V38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129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35"/>
      <c r="D2" s="836"/>
      <c r="E2" s="839"/>
      <c r="F2" s="840"/>
      <c r="G2" s="841"/>
      <c r="H2" s="842"/>
      <c r="I2" s="101"/>
      <c r="J2" s="835"/>
      <c r="K2" s="836"/>
      <c r="L2" s="839"/>
      <c r="M2" s="840"/>
      <c r="N2" s="841"/>
      <c r="O2" s="842"/>
      <c r="P2" s="101"/>
      <c r="Q2" s="835"/>
      <c r="R2" s="836"/>
      <c r="S2" s="839"/>
      <c r="T2" s="840"/>
      <c r="U2" s="841"/>
      <c r="V2" s="842"/>
      <c r="W2" s="101"/>
      <c r="X2" s="843"/>
      <c r="Y2" s="844"/>
    </row>
    <row r="3" spans="1:28">
      <c r="A3" s="99"/>
      <c r="B3" s="99"/>
      <c r="C3" s="670"/>
      <c r="D3" s="670"/>
      <c r="E3" s="672"/>
      <c r="F3" s="672"/>
      <c r="G3" s="671"/>
      <c r="H3" s="671"/>
      <c r="I3" s="101"/>
      <c r="J3" s="670"/>
      <c r="K3" s="670"/>
      <c r="L3" s="672"/>
      <c r="M3" s="672"/>
      <c r="N3" s="671"/>
      <c r="O3" s="671"/>
      <c r="P3" s="101"/>
      <c r="Q3" s="670"/>
      <c r="R3" s="670"/>
      <c r="S3" s="672"/>
      <c r="T3" s="672"/>
      <c r="U3" s="671"/>
      <c r="V3" s="671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2"/>
      <c r="AA6" s="116"/>
      <c r="AB6" s="676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2"/>
      <c r="AA7" s="116"/>
      <c r="AB7" s="676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2"/>
      <c r="AA8" s="116"/>
      <c r="AB8" s="676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2"/>
      <c r="AA9" s="116"/>
      <c r="AB9" s="676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2"/>
      <c r="AA10" s="116"/>
      <c r="AB10" s="676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2"/>
      <c r="AA11" s="116"/>
      <c r="AB11" s="676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2"/>
      <c r="AA12" s="116"/>
      <c r="AB12" s="676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2"/>
      <c r="AA13" s="116"/>
      <c r="AB13" s="676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2"/>
      <c r="AA14" s="116"/>
      <c r="AB14" s="676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2"/>
      <c r="AA15" s="116"/>
      <c r="AB15" s="676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2"/>
      <c r="AA16" s="116"/>
      <c r="AB16" s="676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2"/>
      <c r="AA17" s="116"/>
      <c r="AB17" s="676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2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2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2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2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2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2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2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2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2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2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2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2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2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2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2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2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2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2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2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2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2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2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2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2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2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2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2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2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2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2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2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2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2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2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2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2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2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2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2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2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2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2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2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2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2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2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2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2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2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2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2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2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2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2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2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2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2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2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2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2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2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2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2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2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2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2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2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2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2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2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2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2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2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2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2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2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2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2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2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2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2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2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2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2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2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2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2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2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2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2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2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2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2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2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2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2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2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2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2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2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2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2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2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2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2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2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2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2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2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2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2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2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2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2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2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2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2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2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2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2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2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2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2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2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2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2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2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2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2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2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2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2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2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2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2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2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2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2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2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2"/>
    </row>
    <row r="162" spans="1:25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2"/>
    </row>
    <row r="163" spans="1:25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2"/>
    </row>
    <row r="164" spans="1:25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2"/>
    </row>
    <row r="165" spans="1:25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2"/>
    </row>
    <row r="166" spans="1:25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2"/>
    </row>
    <row r="167" spans="1:25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2"/>
    </row>
    <row r="168" spans="1:25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2"/>
    </row>
    <row r="169" spans="1:25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2"/>
    </row>
    <row r="170" spans="1:25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2"/>
    </row>
    <row r="171" spans="1:25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2"/>
    </row>
    <row r="172" spans="1:25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2"/>
    </row>
    <row r="173" spans="1:25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2"/>
    </row>
    <row r="174" spans="1:25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2"/>
    </row>
    <row r="175" spans="1:25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2"/>
    </row>
    <row r="176" spans="1:25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2"/>
    </row>
    <row r="177" spans="1:25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2"/>
    </row>
    <row r="178" spans="1:25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2"/>
    </row>
    <row r="179" spans="1:25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2"/>
    </row>
    <row r="180" spans="1:25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2"/>
    </row>
    <row r="181" spans="1:25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2"/>
    </row>
    <row r="182" spans="1:25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2"/>
    </row>
    <row r="183" spans="1:25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2"/>
    </row>
    <row r="184" spans="1:25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2"/>
    </row>
    <row r="185" spans="1:25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2"/>
    </row>
    <row r="186" spans="1:25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2"/>
    </row>
    <row r="187" spans="1:25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2"/>
    </row>
    <row r="188" spans="1:25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2"/>
    </row>
    <row r="189" spans="1:25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2"/>
    </row>
    <row r="190" spans="1:25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2"/>
    </row>
    <row r="191" spans="1:25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2"/>
    </row>
    <row r="192" spans="1:25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2"/>
    </row>
    <row r="193" spans="1:25" hidden="1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2"/>
    </row>
    <row r="194" spans="1:25" hidden="1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2"/>
    </row>
    <row r="195" spans="1:25" hidden="1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2"/>
    </row>
    <row r="196" spans="1:25" hidden="1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2"/>
    </row>
    <row r="197" spans="1:25" hidden="1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2"/>
    </row>
    <row r="198" spans="1:25" hidden="1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2"/>
    </row>
    <row r="199" spans="1:25" hidden="1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2"/>
    </row>
    <row r="200" spans="1:25" hidden="1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2"/>
    </row>
    <row r="201" spans="1:25" hidden="1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2"/>
    </row>
    <row r="202" spans="1:25" hidden="1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2"/>
    </row>
    <row r="203" spans="1:25" hidden="1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2"/>
    </row>
    <row r="204" spans="1:25" hidden="1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2"/>
    </row>
    <row r="205" spans="1:25" hidden="1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2"/>
    </row>
    <row r="206" spans="1:25" hidden="1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2"/>
    </row>
    <row r="207" spans="1:25" hidden="1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2"/>
    </row>
    <row r="208" spans="1:25" hidden="1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2"/>
    </row>
    <row r="209" spans="1:25" hidden="1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2"/>
    </row>
    <row r="210" spans="1:25" hidden="1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2"/>
    </row>
    <row r="211" spans="1:25" hidden="1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2"/>
    </row>
    <row r="212" spans="1:25" hidden="1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2"/>
    </row>
    <row r="213" spans="1:25" hidden="1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2"/>
    </row>
    <row r="214" spans="1:25" hidden="1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2"/>
    </row>
    <row r="215" spans="1:25" hidden="1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2"/>
    </row>
    <row r="216" spans="1:25" hidden="1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2"/>
    </row>
    <row r="217" spans="1:25" hidden="1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2"/>
    </row>
    <row r="218" spans="1:25" hidden="1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2"/>
    </row>
    <row r="219" spans="1:25" hidden="1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2"/>
    </row>
    <row r="220" spans="1:25" hidden="1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2"/>
    </row>
    <row r="221" spans="1:25" hidden="1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2"/>
    </row>
    <row r="222" spans="1:25" hidden="1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2"/>
    </row>
    <row r="223" spans="1:25" hidden="1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2"/>
    </row>
    <row r="224" spans="1:25" collapsed="1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2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2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2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2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2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2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2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2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2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2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2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2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2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2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2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2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2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2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2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2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2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2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2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2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2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2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2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2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2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2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2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2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2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2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2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2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2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2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2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2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2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2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2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2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2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2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2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2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2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2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2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2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2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2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2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2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2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2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2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2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2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2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2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2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2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2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2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2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2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2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2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2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2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2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2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2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2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2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2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2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2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2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2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2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2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2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2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2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2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2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2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2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2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2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2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2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2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2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2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2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2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2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2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2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2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2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2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2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2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2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2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2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2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2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2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2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2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2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2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2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2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2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2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2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2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2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2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2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2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2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2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2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2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2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2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2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2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2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2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2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2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2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2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2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2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2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2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2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2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2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2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2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2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2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2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2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2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2"/>
    </row>
    <row r="382" spans="1:25" collapsed="1">
      <c r="I382" s="103"/>
      <c r="P382" s="103"/>
      <c r="W382" s="103"/>
    </row>
    <row r="383" spans="1:25">
      <c r="A383" s="102"/>
      <c r="C383" s="848"/>
      <c r="D383" s="848"/>
      <c r="E383" s="846"/>
      <c r="F383" s="846"/>
      <c r="G383" s="847"/>
      <c r="H383" s="847"/>
      <c r="I383" s="103"/>
      <c r="J383" s="848"/>
      <c r="K383" s="848"/>
      <c r="L383" s="846"/>
      <c r="M383" s="846"/>
      <c r="N383" s="847"/>
      <c r="O383" s="847"/>
      <c r="P383" s="103"/>
      <c r="Q383" s="848"/>
      <c r="R383" s="848"/>
      <c r="S383" s="846"/>
      <c r="T383" s="846"/>
      <c r="U383" s="847"/>
      <c r="V383" s="847"/>
      <c r="W383" s="103"/>
    </row>
    <row r="384" spans="1:25">
      <c r="C384" s="670"/>
      <c r="D384" s="670"/>
      <c r="E384" s="672"/>
      <c r="F384" s="672"/>
      <c r="G384" s="671"/>
      <c r="H384" s="671"/>
      <c r="I384" s="103"/>
      <c r="J384" s="670"/>
      <c r="K384" s="670"/>
      <c r="L384" s="672"/>
      <c r="M384" s="672"/>
      <c r="N384" s="671"/>
      <c r="O384" s="671"/>
      <c r="P384" s="103"/>
      <c r="Q384" s="670"/>
      <c r="R384" s="670"/>
      <c r="S384" s="672"/>
      <c r="T384" s="672"/>
      <c r="U384" s="671"/>
      <c r="V384" s="671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48"/>
      <c r="D399" s="848"/>
      <c r="E399" s="846"/>
      <c r="F399" s="846"/>
      <c r="G399" s="847"/>
      <c r="H399" s="847"/>
      <c r="I399" s="103"/>
      <c r="J399" s="848"/>
      <c r="K399" s="848"/>
      <c r="L399" s="846"/>
      <c r="M399" s="846"/>
      <c r="N399" s="847"/>
      <c r="O399" s="847"/>
      <c r="P399" s="103"/>
      <c r="Q399" s="848"/>
      <c r="R399" s="848"/>
      <c r="S399" s="846"/>
      <c r="T399" s="846"/>
      <c r="U399" s="847"/>
      <c r="V399" s="847"/>
      <c r="W399" s="103"/>
    </row>
    <row r="400" spans="1:23">
      <c r="C400" s="670"/>
      <c r="D400" s="670"/>
      <c r="E400" s="672"/>
      <c r="F400" s="672"/>
      <c r="G400" s="671"/>
      <c r="H400" s="671"/>
      <c r="I400" s="103"/>
      <c r="J400" s="670"/>
      <c r="K400" s="670"/>
      <c r="L400" s="672"/>
      <c r="M400" s="672"/>
      <c r="N400" s="671"/>
      <c r="O400" s="671"/>
      <c r="P400" s="103"/>
      <c r="Q400" s="670"/>
      <c r="R400" s="670"/>
      <c r="S400" s="672"/>
      <c r="T400" s="672"/>
      <c r="U400" s="671"/>
      <c r="V400" s="671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2" t="s">
        <v>9</v>
      </c>
    </row>
    <row r="2" spans="2:22">
      <c r="E2" s="757">
        <v>42736</v>
      </c>
      <c r="F2" s="758">
        <v>42767</v>
      </c>
      <c r="G2" s="758">
        <v>42795</v>
      </c>
      <c r="H2" s="758">
        <v>42826</v>
      </c>
      <c r="I2" s="758">
        <v>42856</v>
      </c>
      <c r="J2" s="758">
        <v>42887</v>
      </c>
      <c r="K2" s="758">
        <v>42917</v>
      </c>
      <c r="L2" s="758">
        <v>42948</v>
      </c>
      <c r="M2" s="758">
        <v>42979</v>
      </c>
      <c r="N2" s="758">
        <v>43009</v>
      </c>
      <c r="O2" s="758">
        <v>43040</v>
      </c>
      <c r="P2" s="758">
        <v>43070</v>
      </c>
      <c r="Q2" s="758" t="s">
        <v>0</v>
      </c>
      <c r="S2" s="758" t="s">
        <v>131</v>
      </c>
      <c r="T2" s="758" t="s">
        <v>132</v>
      </c>
      <c r="U2" s="758" t="s">
        <v>133</v>
      </c>
      <c r="V2" s="758" t="s">
        <v>134</v>
      </c>
    </row>
    <row r="3" spans="2:22">
      <c r="B3" s="551" t="s">
        <v>128</v>
      </c>
      <c r="C3" s="751" t="s">
        <v>135</v>
      </c>
      <c r="D3" s="752"/>
      <c r="E3" s="759">
        <f>SUBTOTAL(9,E4:E7)</f>
        <v>49073.995618000001</v>
      </c>
      <c r="F3" s="760">
        <f t="shared" ref="F3:G3" si="0">SUBTOTAL(9,F4:F7)</f>
        <v>38869.381813</v>
      </c>
      <c r="G3" s="760">
        <f t="shared" si="0"/>
        <v>38573.476064000002</v>
      </c>
      <c r="H3" s="760">
        <f>SUBTOTAL(9,H4:H7)</f>
        <v>38733.002745000005</v>
      </c>
      <c r="I3" s="760">
        <f t="shared" ref="I3:J3" si="1">SUBTOTAL(9,I4:I7)</f>
        <v>46701.466194999994</v>
      </c>
      <c r="J3" s="760">
        <f t="shared" si="1"/>
        <v>55566.882366999984</v>
      </c>
      <c r="K3" s="760">
        <f>SUBTOTAL(9,K4:K7)</f>
        <v>58258.296115000005</v>
      </c>
      <c r="L3" s="760">
        <f t="shared" ref="L3:M3" si="2">SUBTOTAL(9,L4:L7)</f>
        <v>65192.39</v>
      </c>
      <c r="M3" s="760">
        <f t="shared" si="2"/>
        <v>86967.209999999992</v>
      </c>
      <c r="N3" s="760">
        <f>SUBTOTAL(9,N4:N7)</f>
        <v>134263.41</v>
      </c>
      <c r="O3" s="760">
        <f t="shared" ref="O3:Q3" si="3">SUBTOTAL(9,O4:O7)</f>
        <v>174099.45</v>
      </c>
      <c r="P3" s="760">
        <f t="shared" si="3"/>
        <v>321416.43966899998</v>
      </c>
      <c r="Q3" s="760">
        <f t="shared" si="3"/>
        <v>1107715.4005860002</v>
      </c>
      <c r="S3" s="760">
        <f t="shared" ref="S3:V3" si="4">SUBTOTAL(9,S4:S7)</f>
        <v>126516.853495</v>
      </c>
      <c r="T3" s="760">
        <f t="shared" si="4"/>
        <v>141001.35130699998</v>
      </c>
      <c r="U3" s="760">
        <f t="shared" si="4"/>
        <v>210417.89611499998</v>
      </c>
      <c r="V3" s="760">
        <f t="shared" si="4"/>
        <v>629779.29966899997</v>
      </c>
    </row>
    <row r="4" spans="2:22" hidden="1">
      <c r="C4" s="753"/>
      <c r="D4" s="754"/>
      <c r="E4" s="761"/>
      <c r="F4" s="762"/>
      <c r="G4" s="762"/>
      <c r="H4" s="762"/>
      <c r="I4" s="762"/>
      <c r="J4" s="762"/>
      <c r="K4" s="762"/>
      <c r="L4" s="762"/>
      <c r="M4" s="762"/>
      <c r="N4" s="762"/>
      <c r="O4" s="762"/>
      <c r="P4" s="762"/>
      <c r="Q4" s="763"/>
      <c r="R4" s="677"/>
      <c r="S4" s="762"/>
      <c r="T4" s="762"/>
      <c r="U4" s="762"/>
      <c r="V4" s="762"/>
    </row>
    <row r="5" spans="2:22" hidden="1">
      <c r="C5" s="753"/>
      <c r="D5" s="754"/>
      <c r="E5" s="761"/>
      <c r="F5" s="762"/>
      <c r="G5" s="762"/>
      <c r="H5" s="762"/>
      <c r="I5" s="762"/>
      <c r="J5" s="762"/>
      <c r="K5" s="762"/>
      <c r="L5" s="762"/>
      <c r="M5" s="762"/>
      <c r="N5" s="762"/>
      <c r="O5" s="762"/>
      <c r="P5" s="762"/>
      <c r="Q5" s="763"/>
      <c r="R5" s="677"/>
      <c r="S5" s="762"/>
      <c r="T5" s="762"/>
      <c r="U5" s="762"/>
      <c r="V5" s="762"/>
    </row>
    <row r="6" spans="2:22">
      <c r="C6" s="753" t="s">
        <v>147</v>
      </c>
      <c r="D6" s="754" t="s">
        <v>70</v>
      </c>
      <c r="E6" s="761">
        <v>41583.858553999999</v>
      </c>
      <c r="F6" s="762">
        <v>31054.077270999995</v>
      </c>
      <c r="G6" s="762">
        <v>30883.456900000005</v>
      </c>
      <c r="H6" s="762">
        <v>30516.760813000008</v>
      </c>
      <c r="I6" s="762">
        <v>37888.326292999991</v>
      </c>
      <c r="J6" s="762">
        <v>42816.381576999986</v>
      </c>
      <c r="K6" s="762">
        <v>47956.517338000005</v>
      </c>
      <c r="L6" s="762">
        <v>46660.800000000003</v>
      </c>
      <c r="M6" s="762">
        <v>75244.679999999993</v>
      </c>
      <c r="N6" s="762">
        <v>120032.73000000001</v>
      </c>
      <c r="O6" s="762">
        <v>151241.94</v>
      </c>
      <c r="P6" s="762">
        <v>302343.66956000001</v>
      </c>
      <c r="Q6" s="763">
        <f t="shared" ref="Q5:Q7" si="5">SUM(E6:P6)</f>
        <v>958223.19830600009</v>
      </c>
      <c r="R6" s="677"/>
      <c r="S6" s="762">
        <f t="shared" ref="S5:S7" si="6">SUM(E6:G6)</f>
        <v>103521.392725</v>
      </c>
      <c r="T6" s="762">
        <f t="shared" ref="T5:T7" si="7">SUM(H6:J6)</f>
        <v>111221.46868299998</v>
      </c>
      <c r="U6" s="762">
        <f t="shared" ref="U6:U7" si="8">SUM(K6:M6)</f>
        <v>169861.99733799999</v>
      </c>
      <c r="V6" s="762">
        <f t="shared" ref="V5:V7" si="9">SUM(N6:P6)</f>
        <v>573618.33955999999</v>
      </c>
    </row>
    <row r="7" spans="2:22">
      <c r="C7" s="755" t="s">
        <v>147</v>
      </c>
      <c r="D7" s="756" t="s">
        <v>71</v>
      </c>
      <c r="E7" s="764">
        <v>7490.1370640000005</v>
      </c>
      <c r="F7" s="765">
        <v>7815.3045420000035</v>
      </c>
      <c r="G7" s="765">
        <v>7690.0191639999994</v>
      </c>
      <c r="H7" s="766">
        <v>8216.241931999999</v>
      </c>
      <c r="I7" s="766">
        <v>8813.1399020000008</v>
      </c>
      <c r="J7" s="766">
        <v>12750.50079</v>
      </c>
      <c r="K7" s="766">
        <v>10301.778777</v>
      </c>
      <c r="L7" s="766">
        <v>18531.59</v>
      </c>
      <c r="M7" s="766">
        <v>11722.53</v>
      </c>
      <c r="N7" s="766">
        <v>14230.68</v>
      </c>
      <c r="O7" s="766">
        <v>22857.51</v>
      </c>
      <c r="P7" s="766">
        <v>19072.770109000001</v>
      </c>
      <c r="Q7" s="767">
        <f t="shared" si="5"/>
        <v>149492.20228</v>
      </c>
      <c r="R7" s="677"/>
      <c r="S7" s="766">
        <f t="shared" si="6"/>
        <v>22995.460770000005</v>
      </c>
      <c r="T7" s="766">
        <f t="shared" si="7"/>
        <v>29779.882623999998</v>
      </c>
      <c r="U7" s="766">
        <f t="shared" si="8"/>
        <v>40555.898777000002</v>
      </c>
      <c r="V7" s="766">
        <f t="shared" si="9"/>
        <v>56160.960109000007</v>
      </c>
    </row>
    <row r="8" spans="2:22">
      <c r="E8" s="810">
        <f>IF(MONTH(E2)&lt;='Current month'!$B$2,1,0)</f>
        <v>1</v>
      </c>
      <c r="F8" s="810">
        <f>IF(MONTH(F2)&lt;='Current month'!$B$2,1,0)</f>
        <v>1</v>
      </c>
      <c r="G8" s="810">
        <f>IF(MONTH(G2)&lt;='Current month'!$B$2,1,0)</f>
        <v>1</v>
      </c>
      <c r="H8" s="810">
        <f>IF(MONTH(H2)&lt;='Current month'!$B$2,1,0)</f>
        <v>1</v>
      </c>
      <c r="I8" s="810">
        <f>IF(MONTH(I2)&lt;='Current month'!$B$2,1,0)</f>
        <v>1</v>
      </c>
      <c r="J8" s="810">
        <f>IF(MONTH(J2)&lt;='Current month'!$B$2,1,0)</f>
        <v>0</v>
      </c>
      <c r="K8" s="810">
        <f>IF(MONTH(K2)&lt;='Current month'!$B$2,1,0)</f>
        <v>0</v>
      </c>
      <c r="L8" s="810">
        <f>IF(MONTH(L2)&lt;='Current month'!$B$2,1,0)</f>
        <v>0</v>
      </c>
      <c r="M8" s="810">
        <f>IF(MONTH(M2)&lt;='Current month'!$B$2,1,0)</f>
        <v>0</v>
      </c>
      <c r="N8" s="810">
        <f>IF(MONTH(N2)&lt;='Current month'!$B$2,1,0)</f>
        <v>0</v>
      </c>
      <c r="O8" s="810">
        <f>IF(MONTH(O2)&lt;='Current month'!$B$2,1,0)</f>
        <v>0</v>
      </c>
      <c r="P8" s="810">
        <f>IF(MONTH(P2)&lt;='Current month'!$B$2,1,0)</f>
        <v>0</v>
      </c>
    </row>
    <row r="9" spans="2:22" hidden="1">
      <c r="B9" s="551"/>
      <c r="C9" s="751"/>
      <c r="D9" s="752"/>
      <c r="E9" s="768"/>
      <c r="F9" s="768"/>
      <c r="G9" s="768"/>
      <c r="H9" s="768"/>
      <c r="I9" s="768"/>
      <c r="J9" s="768"/>
      <c r="K9" s="768"/>
      <c r="L9" s="768"/>
      <c r="M9" s="768"/>
      <c r="N9" s="768"/>
      <c r="O9" s="768"/>
      <c r="P9" s="768"/>
      <c r="Q9" s="768"/>
      <c r="S9" s="768"/>
      <c r="T9" s="768"/>
      <c r="U9" s="768"/>
      <c r="V9" s="768"/>
    </row>
    <row r="10" spans="2:22" s="677" customFormat="1" hidden="1">
      <c r="C10" s="755"/>
      <c r="D10" s="756"/>
      <c r="E10" s="801"/>
      <c r="F10" s="801"/>
      <c r="G10" s="801"/>
      <c r="H10" s="801"/>
      <c r="I10" s="801"/>
      <c r="J10" s="801"/>
      <c r="K10" s="801"/>
      <c r="L10" s="801"/>
      <c r="M10" s="801"/>
      <c r="N10" s="801"/>
      <c r="O10" s="801"/>
      <c r="P10" s="801"/>
      <c r="Q10" s="767"/>
      <c r="S10" s="766"/>
      <c r="T10" s="766"/>
      <c r="U10" s="766"/>
      <c r="V10" s="766"/>
    </row>
    <row r="11" spans="2:22" hidden="1"/>
    <row r="12" spans="2:22">
      <c r="B12" s="551"/>
      <c r="C12" s="751" t="s">
        <v>137</v>
      </c>
      <c r="D12" s="752"/>
      <c r="E12" s="768">
        <f>SUBTOTAL(9,E13:E16)</f>
        <v>0</v>
      </c>
      <c r="F12" s="768">
        <f t="shared" ref="F12:G12" si="10">SUBTOTAL(9,F13:F16)</f>
        <v>0</v>
      </c>
      <c r="G12" s="768">
        <f t="shared" si="10"/>
        <v>0</v>
      </c>
      <c r="H12" s="768">
        <f>SUBTOTAL(9,H13:H16)</f>
        <v>0</v>
      </c>
      <c r="I12" s="768">
        <f t="shared" ref="I12:J12" si="11">SUBTOTAL(9,I13:I16)</f>
        <v>0</v>
      </c>
      <c r="J12" s="768">
        <f t="shared" si="11"/>
        <v>0</v>
      </c>
      <c r="K12" s="768">
        <f>SUBTOTAL(9,K13:K16)</f>
        <v>0</v>
      </c>
      <c r="L12" s="768">
        <f t="shared" ref="L12:M12" si="12">SUBTOTAL(9,L13:L16)</f>
        <v>0</v>
      </c>
      <c r="M12" s="768">
        <f t="shared" si="12"/>
        <v>0</v>
      </c>
      <c r="N12" s="768">
        <f>SUBTOTAL(9,N13:N16)</f>
        <v>0</v>
      </c>
      <c r="O12" s="768">
        <f t="shared" ref="O12:Q12" si="13">SUBTOTAL(9,O13:O16)</f>
        <v>0</v>
      </c>
      <c r="P12" s="768">
        <f t="shared" si="13"/>
        <v>0</v>
      </c>
      <c r="Q12" s="768">
        <f t="shared" si="13"/>
        <v>0</v>
      </c>
      <c r="S12" s="768">
        <f t="shared" ref="S12:V12" si="14">SUBTOTAL(9,S13:S16)</f>
        <v>0</v>
      </c>
      <c r="T12" s="768">
        <f t="shared" si="14"/>
        <v>0</v>
      </c>
      <c r="U12" s="768">
        <f t="shared" si="14"/>
        <v>0</v>
      </c>
      <c r="V12" s="768">
        <f t="shared" si="14"/>
        <v>0</v>
      </c>
    </row>
    <row r="13" spans="2:22" hidden="1">
      <c r="C13" s="753"/>
      <c r="D13" s="754"/>
      <c r="E13" s="762"/>
      <c r="F13" s="762"/>
      <c r="G13" s="762"/>
      <c r="H13" s="762"/>
      <c r="I13" s="762"/>
      <c r="J13" s="762"/>
      <c r="K13" s="762"/>
      <c r="L13" s="762"/>
      <c r="M13" s="762"/>
      <c r="N13" s="762"/>
      <c r="O13" s="762"/>
      <c r="P13" s="762"/>
      <c r="Q13" s="763"/>
      <c r="R13" s="677"/>
      <c r="S13" s="762"/>
      <c r="T13" s="762"/>
      <c r="U13" s="762"/>
      <c r="V13" s="762"/>
    </row>
    <row r="14" spans="2:22" hidden="1">
      <c r="C14" s="753"/>
      <c r="D14" s="754"/>
      <c r="E14" s="762"/>
      <c r="F14" s="762"/>
      <c r="G14" s="762"/>
      <c r="H14" s="762"/>
      <c r="I14" s="762"/>
      <c r="J14" s="762"/>
      <c r="K14" s="762"/>
      <c r="L14" s="762"/>
      <c r="M14" s="762"/>
      <c r="N14" s="762"/>
      <c r="O14" s="762"/>
      <c r="P14" s="762"/>
      <c r="Q14" s="763"/>
      <c r="R14" s="677"/>
      <c r="S14" s="762"/>
      <c r="T14" s="762"/>
      <c r="U14" s="762"/>
      <c r="V14" s="762"/>
    </row>
    <row r="15" spans="2:22" s="817" customFormat="1">
      <c r="C15" s="755" t="s">
        <v>136</v>
      </c>
      <c r="D15" s="756" t="s">
        <v>70</v>
      </c>
      <c r="E15" s="765">
        <v>0</v>
      </c>
      <c r="F15" s="765">
        <v>0</v>
      </c>
      <c r="G15" s="765">
        <v>0</v>
      </c>
      <c r="H15" s="766">
        <v>0</v>
      </c>
      <c r="I15" s="766">
        <v>0</v>
      </c>
      <c r="J15" s="766">
        <v>0</v>
      </c>
      <c r="K15" s="766">
        <v>0</v>
      </c>
      <c r="L15" s="766">
        <v>0</v>
      </c>
      <c r="M15" s="766">
        <v>0</v>
      </c>
      <c r="N15" s="766">
        <v>0</v>
      </c>
      <c r="O15" s="766">
        <v>0</v>
      </c>
      <c r="P15" s="766">
        <v>0</v>
      </c>
      <c r="Q15" s="767">
        <f t="shared" ref="Q14:Q16" si="15">SUM(E15:P15)</f>
        <v>0</v>
      </c>
      <c r="R15" s="677"/>
      <c r="S15" s="766">
        <f t="shared" ref="S13:S16" si="16">SUM(E15:G15)</f>
        <v>0</v>
      </c>
      <c r="T15" s="766">
        <f t="shared" ref="T13:T16" si="17">SUM(H15:J15)</f>
        <v>0</v>
      </c>
      <c r="U15" s="766">
        <f t="shared" ref="U13:U16" si="18">SUM(K15:M15)</f>
        <v>0</v>
      </c>
      <c r="V15" s="766">
        <f t="shared" ref="V13:V16" si="19">SUM(N15:P15)</f>
        <v>0</v>
      </c>
    </row>
    <row r="16" spans="2:22" hidden="1">
      <c r="C16" s="755"/>
      <c r="D16" s="756"/>
      <c r="E16" s="765"/>
      <c r="F16" s="765"/>
      <c r="G16" s="765"/>
      <c r="H16" s="766"/>
      <c r="I16" s="766"/>
      <c r="J16" s="766"/>
      <c r="K16" s="766"/>
      <c r="L16" s="766"/>
      <c r="M16" s="766"/>
      <c r="N16" s="766"/>
      <c r="O16" s="766"/>
      <c r="P16" s="766"/>
      <c r="Q16" s="767"/>
      <c r="R16" s="677"/>
      <c r="S16" s="766"/>
      <c r="T16" s="766"/>
      <c r="U16" s="766"/>
      <c r="V16" s="766"/>
    </row>
    <row r="18" spans="1:22">
      <c r="B18" s="551"/>
      <c r="C18" s="751" t="s">
        <v>138</v>
      </c>
      <c r="D18" s="752"/>
      <c r="E18" s="768">
        <f>SUBTOTAL(9,E19:E19)</f>
        <v>0</v>
      </c>
      <c r="F18" s="768">
        <f t="shared" ref="F18:G18" si="20">SUBTOTAL(9,F19:F19)</f>
        <v>0</v>
      </c>
      <c r="G18" s="768">
        <f t="shared" si="20"/>
        <v>0</v>
      </c>
      <c r="H18" s="768">
        <f>SUBTOTAL(9,H19:H19)</f>
        <v>0</v>
      </c>
      <c r="I18" s="768">
        <f t="shared" ref="I18:J18" si="21">SUBTOTAL(9,I19:I19)</f>
        <v>0</v>
      </c>
      <c r="J18" s="768">
        <f t="shared" si="21"/>
        <v>0</v>
      </c>
      <c r="K18" s="768">
        <f>SUBTOTAL(9,K19:K19)</f>
        <v>0</v>
      </c>
      <c r="L18" s="768">
        <f t="shared" ref="L18:M18" si="22">SUBTOTAL(9,L19:L19)</f>
        <v>0</v>
      </c>
      <c r="M18" s="768">
        <f t="shared" si="22"/>
        <v>0</v>
      </c>
      <c r="N18" s="768">
        <f>SUBTOTAL(9,N19:N19)</f>
        <v>0</v>
      </c>
      <c r="O18" s="768">
        <f t="shared" ref="O18:Q18" si="23">SUBTOTAL(9,O19:O19)</f>
        <v>0</v>
      </c>
      <c r="P18" s="768">
        <f t="shared" si="23"/>
        <v>1186.74</v>
      </c>
      <c r="Q18" s="768">
        <f t="shared" si="23"/>
        <v>1186.74</v>
      </c>
      <c r="S18" s="768">
        <f t="shared" ref="S18:V18" si="24">SUBTOTAL(9,S19:S19)</f>
        <v>0</v>
      </c>
      <c r="T18" s="768">
        <f t="shared" si="24"/>
        <v>0</v>
      </c>
      <c r="U18" s="768">
        <f t="shared" si="24"/>
        <v>0</v>
      </c>
      <c r="V18" s="768">
        <f t="shared" si="24"/>
        <v>1186.74</v>
      </c>
    </row>
    <row r="19" spans="1:22" s="677" customFormat="1">
      <c r="C19" s="755" t="s">
        <v>136</v>
      </c>
      <c r="D19" s="756" t="s">
        <v>70</v>
      </c>
      <c r="E19" s="766">
        <v>0</v>
      </c>
      <c r="F19" s="766">
        <v>0</v>
      </c>
      <c r="G19" s="766">
        <v>0</v>
      </c>
      <c r="H19" s="766">
        <v>0</v>
      </c>
      <c r="I19" s="766">
        <v>0</v>
      </c>
      <c r="J19" s="766">
        <v>0</v>
      </c>
      <c r="K19" s="766">
        <v>0</v>
      </c>
      <c r="L19" s="766">
        <v>0</v>
      </c>
      <c r="M19" s="766">
        <v>0</v>
      </c>
      <c r="N19" s="766">
        <v>0</v>
      </c>
      <c r="O19" s="766">
        <v>0</v>
      </c>
      <c r="P19" s="766">
        <v>1186.74</v>
      </c>
      <c r="Q19" s="767">
        <f>SUM(E19:P19)</f>
        <v>1186.74</v>
      </c>
      <c r="S19" s="766">
        <f t="shared" ref="S19" si="25">SUM(E19:G19)</f>
        <v>0</v>
      </c>
      <c r="T19" s="766">
        <f>SUM(H19:J19)</f>
        <v>0</v>
      </c>
      <c r="U19" s="766">
        <f>SUM(K19:M19)</f>
        <v>0</v>
      </c>
      <c r="V19" s="766">
        <f>SUM(N19:P19)</f>
        <v>1186.74</v>
      </c>
    </row>
    <row r="21" spans="1:22">
      <c r="C21" s="678" t="s">
        <v>140</v>
      </c>
      <c r="D21" s="715"/>
      <c r="E21" s="684">
        <f>E18+E12+E9+E3</f>
        <v>49073.995618000001</v>
      </c>
      <c r="F21" s="684">
        <f t="shared" ref="F21:G21" si="26">F18+F12+F9+F3</f>
        <v>38869.381813</v>
      </c>
      <c r="G21" s="684">
        <f t="shared" si="26"/>
        <v>38573.476064000002</v>
      </c>
      <c r="H21" s="684">
        <f>H18+H12+H9+H3</f>
        <v>38733.002745000005</v>
      </c>
      <c r="I21" s="684">
        <f t="shared" ref="I21:J21" si="27">I18+I12+I9+I3</f>
        <v>46701.466194999994</v>
      </c>
      <c r="J21" s="684">
        <f t="shared" si="27"/>
        <v>55566.882366999984</v>
      </c>
      <c r="K21" s="684">
        <f>K18+K12+K9+K3</f>
        <v>58258.296115000005</v>
      </c>
      <c r="L21" s="684">
        <f t="shared" ref="L21:M21" si="28">L18+L12+L9+L3</f>
        <v>65192.39</v>
      </c>
      <c r="M21" s="684">
        <f t="shared" si="28"/>
        <v>86967.209999999992</v>
      </c>
      <c r="N21" s="684">
        <f>N18+N12+N9+N3</f>
        <v>134263.41</v>
      </c>
      <c r="O21" s="684">
        <f t="shared" ref="O21:Q21" si="29">O18+O12+O9+O3</f>
        <v>174099.45</v>
      </c>
      <c r="P21" s="684">
        <f t="shared" si="29"/>
        <v>322603.17966899998</v>
      </c>
      <c r="Q21" s="684">
        <f t="shared" si="29"/>
        <v>1108902.1405860002</v>
      </c>
      <c r="S21" s="684">
        <f t="shared" ref="S21:V21" si="30">S18+S12+S9+S3</f>
        <v>126516.853495</v>
      </c>
      <c r="T21" s="684">
        <f t="shared" si="30"/>
        <v>141001.35130699998</v>
      </c>
      <c r="U21" s="684">
        <f t="shared" si="30"/>
        <v>210417.89611499998</v>
      </c>
      <c r="V21" s="684">
        <f t="shared" si="30"/>
        <v>630966.03966899996</v>
      </c>
    </row>
    <row r="22" spans="1:22" hidden="1">
      <c r="C22" s="680"/>
      <c r="D22" s="719"/>
      <c r="E22" s="738"/>
      <c r="F22" s="738"/>
      <c r="G22" s="738"/>
      <c r="H22" s="738"/>
      <c r="I22" s="738"/>
      <c r="J22" s="738"/>
      <c r="K22" s="738"/>
      <c r="L22" s="738"/>
      <c r="M22" s="738"/>
      <c r="N22" s="738"/>
      <c r="O22" s="738"/>
      <c r="P22" s="738"/>
      <c r="Q22" s="739"/>
      <c r="S22" s="738"/>
      <c r="T22" s="738"/>
      <c r="U22" s="738"/>
      <c r="V22" s="738"/>
    </row>
    <row r="23" spans="1:22" hidden="1">
      <c r="C23" s="680"/>
      <c r="D23" s="719"/>
      <c r="E23" s="738"/>
      <c r="F23" s="738"/>
      <c r="G23" s="738"/>
      <c r="H23" s="738"/>
      <c r="I23" s="738"/>
      <c r="J23" s="738"/>
      <c r="K23" s="738"/>
      <c r="L23" s="738"/>
      <c r="M23" s="738"/>
      <c r="N23" s="738"/>
      <c r="O23" s="738"/>
      <c r="P23" s="738"/>
      <c r="Q23" s="739"/>
      <c r="S23" s="738"/>
      <c r="T23" s="738"/>
      <c r="U23" s="738"/>
      <c r="V23" s="738"/>
    </row>
    <row r="24" spans="1:22">
      <c r="C24" s="680" t="s">
        <v>136</v>
      </c>
      <c r="D24" s="719" t="s">
        <v>70</v>
      </c>
      <c r="E24" s="738">
        <f t="shared" ref="E22:P26" si="31">SUMIF($D$4:$D$19,$D24,E$4:E$19)</f>
        <v>41583.858553999999</v>
      </c>
      <c r="F24" s="738">
        <f t="shared" si="31"/>
        <v>31054.077270999995</v>
      </c>
      <c r="G24" s="738">
        <f t="shared" si="31"/>
        <v>30883.456900000005</v>
      </c>
      <c r="H24" s="738">
        <f t="shared" si="31"/>
        <v>30516.760813000008</v>
      </c>
      <c r="I24" s="738">
        <f t="shared" si="31"/>
        <v>37888.326292999991</v>
      </c>
      <c r="J24" s="738">
        <f t="shared" si="31"/>
        <v>42816.381576999986</v>
      </c>
      <c r="K24" s="738">
        <f t="shared" si="31"/>
        <v>47956.517338000005</v>
      </c>
      <c r="L24" s="738">
        <f t="shared" si="31"/>
        <v>46660.800000000003</v>
      </c>
      <c r="M24" s="738">
        <f t="shared" si="31"/>
        <v>75244.679999999993</v>
      </c>
      <c r="N24" s="738">
        <f t="shared" si="31"/>
        <v>120032.73000000001</v>
      </c>
      <c r="O24" s="738">
        <f t="shared" si="31"/>
        <v>151241.94</v>
      </c>
      <c r="P24" s="738">
        <f t="shared" si="31"/>
        <v>303530.40956</v>
      </c>
      <c r="Q24" s="739">
        <f t="shared" ref="Q23:Q26" si="32">SUM(E24:P24)</f>
        <v>959409.93830600008</v>
      </c>
      <c r="S24" s="738">
        <f t="shared" ref="S22:V26" si="33">SUMIF($D$4:$D$19,$D24,S$4:S$19)</f>
        <v>103521.392725</v>
      </c>
      <c r="T24" s="738">
        <f t="shared" si="33"/>
        <v>111221.46868299998</v>
      </c>
      <c r="U24" s="738">
        <f t="shared" si="33"/>
        <v>169861.99733799999</v>
      </c>
      <c r="V24" s="738">
        <f t="shared" si="33"/>
        <v>574805.07955999998</v>
      </c>
    </row>
    <row r="25" spans="1:22" s="817" customFormat="1">
      <c r="C25" s="682" t="s">
        <v>136</v>
      </c>
      <c r="D25" s="720" t="s">
        <v>71</v>
      </c>
      <c r="E25" s="740">
        <f t="shared" si="31"/>
        <v>7490.1370640000005</v>
      </c>
      <c r="F25" s="740">
        <f t="shared" si="31"/>
        <v>7815.3045420000035</v>
      </c>
      <c r="G25" s="740">
        <f t="shared" si="31"/>
        <v>7690.0191639999994</v>
      </c>
      <c r="H25" s="740">
        <f t="shared" si="31"/>
        <v>8216.241931999999</v>
      </c>
      <c r="I25" s="740">
        <f t="shared" si="31"/>
        <v>8813.1399020000008</v>
      </c>
      <c r="J25" s="740">
        <f t="shared" si="31"/>
        <v>12750.50079</v>
      </c>
      <c r="K25" s="740">
        <f t="shared" si="31"/>
        <v>10301.778777</v>
      </c>
      <c r="L25" s="740">
        <f t="shared" si="31"/>
        <v>18531.59</v>
      </c>
      <c r="M25" s="740">
        <f t="shared" si="31"/>
        <v>11722.53</v>
      </c>
      <c r="N25" s="740">
        <f t="shared" si="31"/>
        <v>14230.68</v>
      </c>
      <c r="O25" s="740">
        <f t="shared" si="31"/>
        <v>22857.51</v>
      </c>
      <c r="P25" s="740">
        <f t="shared" si="31"/>
        <v>19072.770109000001</v>
      </c>
      <c r="Q25" s="741">
        <f t="shared" si="32"/>
        <v>149492.20228</v>
      </c>
      <c r="S25" s="740">
        <f t="shared" si="33"/>
        <v>22995.460770000005</v>
      </c>
      <c r="T25" s="740">
        <f t="shared" si="33"/>
        <v>29779.882623999998</v>
      </c>
      <c r="U25" s="740">
        <f t="shared" si="33"/>
        <v>40555.898777000002</v>
      </c>
      <c r="V25" s="740">
        <f t="shared" si="33"/>
        <v>56160.960109000007</v>
      </c>
    </row>
    <row r="26" spans="1:22" hidden="1">
      <c r="C26" s="682"/>
      <c r="D26" s="72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1"/>
      <c r="S26" s="740"/>
      <c r="T26" s="740"/>
      <c r="U26" s="740"/>
      <c r="V26" s="740"/>
    </row>
    <row r="27" spans="1:22">
      <c r="C27" s="707"/>
      <c r="D27" s="708"/>
      <c r="E27" s="564"/>
      <c r="F27" s="564"/>
      <c r="G27" s="564"/>
      <c r="H27" s="564"/>
      <c r="I27" s="564"/>
      <c r="J27" s="564"/>
      <c r="K27" s="564"/>
      <c r="L27" s="564"/>
      <c r="M27" s="564"/>
      <c r="N27" s="564"/>
      <c r="O27" s="564"/>
      <c r="P27" s="564"/>
      <c r="Q27" s="709"/>
      <c r="S27" s="564"/>
      <c r="T27" s="564"/>
      <c r="U27" s="564"/>
      <c r="V27" s="564"/>
    </row>
    <row r="28" spans="1:22" ht="2.5499999999999998" customHeight="1">
      <c r="A28" s="710"/>
      <c r="B28" s="710"/>
      <c r="C28" s="711"/>
      <c r="D28" s="712"/>
      <c r="E28" s="713"/>
      <c r="F28" s="713"/>
      <c r="G28" s="713"/>
      <c r="H28" s="713"/>
      <c r="I28" s="713"/>
      <c r="J28" s="713"/>
      <c r="K28" s="713"/>
      <c r="L28" s="713"/>
      <c r="M28" s="713"/>
      <c r="N28" s="713"/>
      <c r="O28" s="713"/>
      <c r="P28" s="713"/>
      <c r="Q28" s="714"/>
      <c r="R28" s="710"/>
      <c r="S28" s="713"/>
      <c r="T28" s="713"/>
      <c r="U28" s="713"/>
      <c r="V28" s="713"/>
    </row>
    <row r="29" spans="1:22" hidden="1"/>
    <row r="30" spans="1:22" hidden="1">
      <c r="B30" s="551"/>
      <c r="C30" s="751"/>
      <c r="D30" s="752"/>
      <c r="E30" s="759"/>
      <c r="F30" s="760"/>
      <c r="G30" s="760"/>
      <c r="H30" s="760"/>
      <c r="I30" s="760"/>
      <c r="J30" s="760"/>
      <c r="K30" s="760"/>
      <c r="L30" s="760"/>
      <c r="M30" s="760"/>
      <c r="N30" s="760"/>
      <c r="O30" s="760"/>
      <c r="P30" s="760"/>
      <c r="Q30" s="760"/>
      <c r="S30" s="760"/>
      <c r="T30" s="760"/>
      <c r="U30" s="760"/>
      <c r="V30" s="760"/>
    </row>
    <row r="31" spans="1:22" hidden="1">
      <c r="C31" s="753"/>
      <c r="D31" s="754"/>
      <c r="E31" s="761"/>
      <c r="F31" s="762"/>
      <c r="G31" s="762"/>
      <c r="H31" s="762"/>
      <c r="I31" s="762"/>
      <c r="J31" s="762"/>
      <c r="K31" s="762"/>
      <c r="L31" s="762"/>
      <c r="M31" s="762"/>
      <c r="N31" s="762"/>
      <c r="O31" s="762"/>
      <c r="P31" s="762"/>
      <c r="Q31" s="763"/>
      <c r="R31" s="677"/>
      <c r="S31" s="762"/>
      <c r="T31" s="762"/>
      <c r="U31" s="762"/>
      <c r="V31" s="762"/>
    </row>
    <row r="32" spans="1:22" hidden="1">
      <c r="C32" s="753"/>
      <c r="D32" s="754"/>
      <c r="E32" s="761"/>
      <c r="F32" s="762"/>
      <c r="G32" s="762"/>
      <c r="H32" s="762"/>
      <c r="I32" s="762"/>
      <c r="J32" s="762"/>
      <c r="K32" s="762"/>
      <c r="L32" s="762"/>
      <c r="M32" s="762"/>
      <c r="N32" s="762"/>
      <c r="O32" s="762"/>
      <c r="P32" s="762"/>
      <c r="Q32" s="763"/>
      <c r="R32" s="677"/>
      <c r="S32" s="762"/>
      <c r="T32" s="762"/>
      <c r="U32" s="762"/>
      <c r="V32" s="762"/>
    </row>
    <row r="33" spans="2:22" hidden="1">
      <c r="C33" s="753"/>
      <c r="D33" s="754"/>
      <c r="E33" s="761"/>
      <c r="F33" s="762"/>
      <c r="G33" s="762"/>
      <c r="H33" s="762"/>
      <c r="I33" s="762"/>
      <c r="J33" s="762"/>
      <c r="K33" s="762"/>
      <c r="L33" s="762"/>
      <c r="M33" s="762"/>
      <c r="N33" s="762"/>
      <c r="O33" s="762"/>
      <c r="P33" s="762"/>
      <c r="Q33" s="763"/>
      <c r="R33" s="677"/>
      <c r="S33" s="762"/>
      <c r="T33" s="762"/>
      <c r="U33" s="762"/>
      <c r="V33" s="762"/>
    </row>
    <row r="34" spans="2:22" hidden="1">
      <c r="C34" s="755"/>
      <c r="D34" s="756"/>
      <c r="E34" s="764"/>
      <c r="F34" s="765"/>
      <c r="G34" s="765"/>
      <c r="H34" s="766"/>
      <c r="I34" s="766"/>
      <c r="J34" s="766"/>
      <c r="K34" s="766"/>
      <c r="L34" s="766"/>
      <c r="M34" s="766"/>
      <c r="N34" s="766"/>
      <c r="O34" s="766"/>
      <c r="P34" s="766"/>
      <c r="Q34" s="767"/>
      <c r="R34" s="677"/>
      <c r="S34" s="766"/>
      <c r="T34" s="766"/>
      <c r="U34" s="766"/>
      <c r="V34" s="766"/>
    </row>
    <row r="35" spans="2:22" hidden="1"/>
    <row r="36" spans="2:22" hidden="1">
      <c r="B36" s="551"/>
      <c r="C36" s="751"/>
      <c r="D36" s="752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8"/>
      <c r="P36" s="768"/>
      <c r="Q36" s="768"/>
      <c r="S36" s="768"/>
      <c r="T36" s="768"/>
      <c r="U36" s="768"/>
      <c r="V36" s="768"/>
    </row>
    <row r="37" spans="2:22" s="677" customFormat="1" hidden="1">
      <c r="C37" s="755"/>
      <c r="D37" s="756"/>
      <c r="E37" s="769"/>
      <c r="F37" s="769"/>
      <c r="G37" s="769"/>
      <c r="H37" s="766"/>
      <c r="I37" s="766"/>
      <c r="J37" s="766"/>
      <c r="K37" s="766"/>
      <c r="L37" s="766"/>
      <c r="M37" s="766"/>
      <c r="N37" s="766"/>
      <c r="O37" s="766"/>
      <c r="P37" s="766"/>
      <c r="Q37" s="767"/>
      <c r="S37" s="766"/>
      <c r="T37" s="766"/>
      <c r="U37" s="766"/>
      <c r="V37" s="766"/>
    </row>
    <row r="38" spans="2:22" hidden="1"/>
    <row r="39" spans="2:22" hidden="1">
      <c r="B39" s="551"/>
      <c r="C39" s="751"/>
      <c r="D39" s="752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8"/>
      <c r="P39" s="768"/>
      <c r="Q39" s="768"/>
      <c r="S39" s="768"/>
      <c r="T39" s="768"/>
      <c r="U39" s="768"/>
      <c r="V39" s="768"/>
    </row>
    <row r="40" spans="2:22" hidden="1">
      <c r="C40" s="753"/>
      <c r="D40" s="754"/>
      <c r="E40" s="762"/>
      <c r="F40" s="762"/>
      <c r="G40" s="762"/>
      <c r="H40" s="762"/>
      <c r="I40" s="762"/>
      <c r="J40" s="762"/>
      <c r="K40" s="762"/>
      <c r="L40" s="762"/>
      <c r="M40" s="762"/>
      <c r="N40" s="762"/>
      <c r="O40" s="762"/>
      <c r="P40" s="762"/>
      <c r="Q40" s="763"/>
      <c r="R40" s="677"/>
      <c r="S40" s="762"/>
      <c r="T40" s="762"/>
      <c r="U40" s="762"/>
      <c r="V40" s="762"/>
    </row>
    <row r="41" spans="2:22" hidden="1">
      <c r="C41" s="753"/>
      <c r="D41" s="754"/>
      <c r="E41" s="762"/>
      <c r="F41" s="762"/>
      <c r="G41" s="762"/>
      <c r="H41" s="762"/>
      <c r="I41" s="762"/>
      <c r="J41" s="762"/>
      <c r="K41" s="762"/>
      <c r="L41" s="762"/>
      <c r="M41" s="762"/>
      <c r="N41" s="762"/>
      <c r="O41" s="762"/>
      <c r="P41" s="762"/>
      <c r="Q41" s="763"/>
      <c r="R41" s="677"/>
      <c r="S41" s="762"/>
      <c r="T41" s="762"/>
      <c r="U41" s="762"/>
      <c r="V41" s="762"/>
    </row>
    <row r="42" spans="2:22" hidden="1">
      <c r="C42" s="753"/>
      <c r="D42" s="754"/>
      <c r="E42" s="762"/>
      <c r="F42" s="762"/>
      <c r="G42" s="762"/>
      <c r="H42" s="762"/>
      <c r="I42" s="762"/>
      <c r="J42" s="762"/>
      <c r="K42" s="762"/>
      <c r="L42" s="762"/>
      <c r="M42" s="762"/>
      <c r="N42" s="762"/>
      <c r="O42" s="762"/>
      <c r="P42" s="762"/>
      <c r="Q42" s="763"/>
      <c r="R42" s="677"/>
      <c r="S42" s="762"/>
      <c r="T42" s="762"/>
      <c r="U42" s="762"/>
      <c r="V42" s="762"/>
    </row>
    <row r="43" spans="2:22" hidden="1">
      <c r="C43" s="755"/>
      <c r="D43" s="756"/>
      <c r="E43" s="765"/>
      <c r="F43" s="765"/>
      <c r="G43" s="765"/>
      <c r="H43" s="766"/>
      <c r="I43" s="766"/>
      <c r="J43" s="766"/>
      <c r="K43" s="766"/>
      <c r="L43" s="766"/>
      <c r="M43" s="766"/>
      <c r="N43" s="766"/>
      <c r="O43" s="766"/>
      <c r="P43" s="766"/>
      <c r="Q43" s="767"/>
      <c r="R43" s="677"/>
      <c r="S43" s="766"/>
      <c r="T43" s="766"/>
      <c r="U43" s="766"/>
      <c r="V43" s="766"/>
    </row>
    <row r="44" spans="2:22" hidden="1"/>
    <row r="45" spans="2:22" hidden="1">
      <c r="B45" s="551"/>
      <c r="C45" s="751"/>
      <c r="D45" s="752"/>
      <c r="E45" s="768"/>
      <c r="F45" s="768"/>
      <c r="G45" s="768"/>
      <c r="H45" s="768"/>
      <c r="I45" s="768"/>
      <c r="J45" s="768"/>
      <c r="K45" s="768"/>
      <c r="L45" s="768"/>
      <c r="M45" s="768"/>
      <c r="N45" s="768"/>
      <c r="O45" s="768"/>
      <c r="P45" s="768"/>
      <c r="Q45" s="768"/>
      <c r="S45" s="768"/>
      <c r="T45" s="768"/>
      <c r="U45" s="768"/>
      <c r="V45" s="768"/>
    </row>
    <row r="46" spans="2:22" s="677" customFormat="1" hidden="1">
      <c r="C46" s="755"/>
      <c r="D46" s="756"/>
      <c r="E46" s="769"/>
      <c r="F46" s="769"/>
      <c r="G46" s="769"/>
      <c r="H46" s="766"/>
      <c r="I46" s="766"/>
      <c r="J46" s="766"/>
      <c r="K46" s="766"/>
      <c r="L46" s="766"/>
      <c r="M46" s="766"/>
      <c r="N46" s="766"/>
      <c r="O46" s="766"/>
      <c r="P46" s="766"/>
      <c r="Q46" s="767"/>
      <c r="S46" s="766"/>
      <c r="T46" s="766"/>
      <c r="U46" s="766"/>
      <c r="V46" s="766"/>
    </row>
    <row r="47" spans="2:22" hidden="1"/>
    <row r="48" spans="2:22" hidden="1">
      <c r="C48" s="678"/>
      <c r="D48" s="715"/>
      <c r="E48" s="684"/>
      <c r="F48" s="684"/>
      <c r="G48" s="684"/>
      <c r="H48" s="684"/>
      <c r="I48" s="684"/>
      <c r="J48" s="684"/>
      <c r="K48" s="684"/>
      <c r="L48" s="684"/>
      <c r="M48" s="684"/>
      <c r="N48" s="684"/>
      <c r="O48" s="684"/>
      <c r="P48" s="684"/>
      <c r="Q48" s="684"/>
      <c r="S48" s="684"/>
      <c r="T48" s="684"/>
      <c r="U48" s="684"/>
      <c r="V48" s="684"/>
    </row>
    <row r="49" spans="1:22" hidden="1">
      <c r="C49" s="680"/>
      <c r="D49" s="719"/>
      <c r="E49" s="738"/>
      <c r="F49" s="738"/>
      <c r="G49" s="738"/>
      <c r="H49" s="738"/>
      <c r="I49" s="738"/>
      <c r="J49" s="738"/>
      <c r="K49" s="738"/>
      <c r="L49" s="738"/>
      <c r="M49" s="738"/>
      <c r="N49" s="738"/>
      <c r="O49" s="738"/>
      <c r="P49" s="738"/>
      <c r="Q49" s="739"/>
      <c r="S49" s="738"/>
      <c r="T49" s="738"/>
      <c r="U49" s="738"/>
      <c r="V49" s="738"/>
    </row>
    <row r="50" spans="1:22" hidden="1">
      <c r="C50" s="680"/>
      <c r="D50" s="719"/>
      <c r="E50" s="738"/>
      <c r="F50" s="738"/>
      <c r="G50" s="738"/>
      <c r="H50" s="738"/>
      <c r="I50" s="738"/>
      <c r="J50" s="738"/>
      <c r="K50" s="738"/>
      <c r="L50" s="738"/>
      <c r="M50" s="738"/>
      <c r="N50" s="738"/>
      <c r="O50" s="738"/>
      <c r="P50" s="738"/>
      <c r="Q50" s="739"/>
      <c r="S50" s="738"/>
      <c r="T50" s="738"/>
      <c r="U50" s="738"/>
      <c r="V50" s="738"/>
    </row>
    <row r="51" spans="1:22" hidden="1">
      <c r="C51" s="680"/>
      <c r="D51" s="719"/>
      <c r="E51" s="738"/>
      <c r="F51" s="738"/>
      <c r="G51" s="738"/>
      <c r="H51" s="738"/>
      <c r="I51" s="738"/>
      <c r="J51" s="738"/>
      <c r="K51" s="738"/>
      <c r="L51" s="738"/>
      <c r="M51" s="738"/>
      <c r="N51" s="738"/>
      <c r="O51" s="738"/>
      <c r="P51" s="738"/>
      <c r="Q51" s="739"/>
      <c r="S51" s="738"/>
      <c r="T51" s="738"/>
      <c r="U51" s="738"/>
      <c r="V51" s="738"/>
    </row>
    <row r="52" spans="1:22" hidden="1">
      <c r="C52" s="680"/>
      <c r="D52" s="719"/>
      <c r="E52" s="738"/>
      <c r="F52" s="738"/>
      <c r="G52" s="738"/>
      <c r="H52" s="738"/>
      <c r="I52" s="738"/>
      <c r="J52" s="738"/>
      <c r="K52" s="738"/>
      <c r="L52" s="738"/>
      <c r="M52" s="738"/>
      <c r="N52" s="738"/>
      <c r="O52" s="738"/>
      <c r="P52" s="738"/>
      <c r="Q52" s="739"/>
      <c r="S52" s="738"/>
      <c r="T52" s="738"/>
      <c r="U52" s="738"/>
      <c r="V52" s="738"/>
    </row>
    <row r="53" spans="1:22" hidden="1">
      <c r="C53" s="682"/>
      <c r="D53" s="72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1"/>
      <c r="S53" s="740"/>
      <c r="T53" s="740"/>
      <c r="U53" s="740"/>
      <c r="V53" s="740"/>
    </row>
    <row r="54" spans="1:22" hidden="1"/>
    <row r="55" spans="1:22" ht="2.5499999999999998" hidden="1" customHeight="1">
      <c r="A55" s="710"/>
      <c r="B55" s="710"/>
      <c r="C55" s="711"/>
      <c r="D55" s="712"/>
      <c r="E55" s="713"/>
      <c r="F55" s="713"/>
      <c r="G55" s="713"/>
      <c r="H55" s="713"/>
      <c r="I55" s="713"/>
      <c r="J55" s="713"/>
      <c r="K55" s="713"/>
      <c r="L55" s="713"/>
      <c r="M55" s="713"/>
      <c r="N55" s="713"/>
      <c r="O55" s="713"/>
      <c r="P55" s="713"/>
      <c r="Q55" s="714"/>
      <c r="R55" s="710"/>
      <c r="S55" s="713"/>
      <c r="T55" s="713"/>
      <c r="U55" s="713"/>
      <c r="V55" s="713"/>
    </row>
    <row r="56" spans="1:22" hidden="1">
      <c r="B56" s="551"/>
    </row>
    <row r="57" spans="1:22" hidden="1">
      <c r="B57" s="100"/>
      <c r="C57" s="686"/>
      <c r="D57" s="687"/>
      <c r="E57" s="688"/>
      <c r="F57" s="688"/>
      <c r="G57" s="688"/>
      <c r="H57" s="688"/>
      <c r="I57" s="688"/>
      <c r="J57" s="688"/>
      <c r="K57" s="688"/>
      <c r="L57" s="688"/>
      <c r="M57" s="688"/>
      <c r="N57" s="688"/>
      <c r="O57" s="688"/>
      <c r="P57" s="688"/>
      <c r="Q57" s="688"/>
      <c r="S57" s="688"/>
      <c r="T57" s="688"/>
      <c r="U57" s="688"/>
      <c r="V57" s="688"/>
    </row>
    <row r="58" spans="1:22" hidden="1">
      <c r="C58" s="690"/>
      <c r="D58" s="691"/>
      <c r="E58" s="692"/>
      <c r="F58" s="692"/>
      <c r="G58" s="692"/>
      <c r="H58" s="692"/>
      <c r="I58" s="692"/>
      <c r="J58" s="692"/>
      <c r="K58" s="692"/>
      <c r="L58" s="692"/>
      <c r="M58" s="692"/>
      <c r="N58" s="692"/>
      <c r="O58" s="692"/>
      <c r="P58" s="692"/>
      <c r="Q58" s="703"/>
      <c r="S58" s="692"/>
      <c r="T58" s="692"/>
      <c r="U58" s="692"/>
      <c r="V58" s="692"/>
    </row>
    <row r="59" spans="1:22" hidden="1">
      <c r="C59" s="690"/>
      <c r="D59" s="691"/>
      <c r="E59" s="692"/>
      <c r="F59" s="692"/>
      <c r="G59" s="692"/>
      <c r="H59" s="692"/>
      <c r="I59" s="692"/>
      <c r="J59" s="692"/>
      <c r="K59" s="692"/>
      <c r="L59" s="692"/>
      <c r="M59" s="692"/>
      <c r="N59" s="692"/>
      <c r="O59" s="692"/>
      <c r="P59" s="692"/>
      <c r="Q59" s="703"/>
      <c r="S59" s="692"/>
      <c r="T59" s="692"/>
      <c r="U59" s="692"/>
      <c r="V59" s="692"/>
    </row>
    <row r="60" spans="1:22" hidden="1">
      <c r="C60" s="690"/>
      <c r="D60" s="691"/>
      <c r="E60" s="692"/>
      <c r="F60" s="692"/>
      <c r="G60" s="692"/>
      <c r="H60" s="692"/>
      <c r="I60" s="692"/>
      <c r="J60" s="692"/>
      <c r="K60" s="692"/>
      <c r="L60" s="692"/>
      <c r="M60" s="692"/>
      <c r="N60" s="692"/>
      <c r="O60" s="692"/>
      <c r="P60" s="692"/>
      <c r="Q60" s="703"/>
      <c r="S60" s="692"/>
      <c r="T60" s="692"/>
      <c r="U60" s="692"/>
      <c r="V60" s="692"/>
    </row>
    <row r="61" spans="1:22" hidden="1">
      <c r="C61" s="690"/>
      <c r="D61" s="691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703"/>
      <c r="S61" s="692"/>
      <c r="T61" s="692"/>
      <c r="U61" s="692"/>
      <c r="V61" s="692"/>
    </row>
    <row r="62" spans="1:22" hidden="1">
      <c r="C62" s="694"/>
      <c r="D62" s="695"/>
      <c r="E62" s="696"/>
      <c r="F62" s="696"/>
      <c r="G62" s="696"/>
      <c r="H62" s="696"/>
      <c r="I62" s="696"/>
      <c r="J62" s="696"/>
      <c r="K62" s="696"/>
      <c r="L62" s="696"/>
      <c r="M62" s="696"/>
      <c r="N62" s="696"/>
      <c r="O62" s="696"/>
      <c r="P62" s="696"/>
      <c r="Q62" s="704"/>
      <c r="S62" s="696"/>
      <c r="T62" s="696"/>
      <c r="U62" s="696"/>
      <c r="V62" s="696"/>
    </row>
    <row r="65" spans="5:16">
      <c r="E65" s="802"/>
      <c r="F65" s="802"/>
      <c r="G65" s="802"/>
      <c r="H65" s="802"/>
      <c r="I65" s="802"/>
      <c r="J65" s="802"/>
      <c r="K65" s="802"/>
      <c r="L65" s="802"/>
      <c r="M65" s="802"/>
      <c r="N65" s="802"/>
      <c r="O65" s="802"/>
      <c r="P65" s="802"/>
    </row>
  </sheetData>
  <pageMargins left="0.7" right="0.7" top="0.75" bottom="0.75" header="0.3" footer="0.3"/>
  <pageSetup orientation="portrait" r:id="rId1"/>
  <ignoredErrors>
    <ignoredError sqref="S6:V7 S12:V12 S15:V15 S17:V21 S24:V25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J3" sqref="AJ3"/>
    </sheetView>
  </sheetViews>
  <sheetFormatPr defaultColWidth="8.77734375" defaultRowHeight="14.4"/>
  <cols>
    <col min="1" max="1" width="2.44140625" style="569" customWidth="1"/>
    <col min="2" max="2" width="2.77734375" style="569" customWidth="1"/>
    <col min="3" max="3" width="14.44140625" style="569" customWidth="1"/>
    <col min="4" max="4" width="13" style="569" customWidth="1"/>
    <col min="5" max="17" width="13" style="569" hidden="1" customWidth="1"/>
    <col min="18" max="18" width="11.44140625" style="569" hidden="1" customWidth="1"/>
    <col min="19" max="19" width="9.109375" style="569" hidden="1" customWidth="1"/>
    <col min="20" max="32" width="13.77734375" style="569" hidden="1" customWidth="1"/>
    <col min="33" max="33" width="10.44140625" style="569" hidden="1" customWidth="1"/>
    <col min="34" max="35" width="8" style="569" hidden="1" customWidth="1"/>
    <col min="36" max="48" width="13.77734375" style="569" customWidth="1"/>
    <col min="49" max="51" width="10.44140625" style="569" customWidth="1"/>
    <col min="52" max="52" width="10.44140625" style="569" hidden="1" customWidth="1"/>
    <col min="53" max="53" width="9.44140625" style="569" hidden="1" customWidth="1"/>
    <col min="54" max="55" width="0" style="569" hidden="1" customWidth="1"/>
    <col min="56" max="67" width="13" style="571" hidden="1" customWidth="1"/>
    <col min="68" max="68" width="14.44140625" style="569" hidden="1" customWidth="1"/>
    <col min="69" max="69" width="8.109375" style="569" hidden="1" customWidth="1"/>
    <col min="70" max="70" width="7.109375" style="569" hidden="1" customWidth="1"/>
    <col min="71" max="71" width="14.109375" style="569" hidden="1" customWidth="1"/>
    <col min="72" max="72" width="8.77734375" style="569" hidden="1" customWidth="1"/>
    <col min="73" max="73" width="8.77734375" style="569"/>
    <col min="74" max="86" width="13.77734375" style="569" customWidth="1"/>
    <col min="87" max="88" width="10.44140625" style="569" customWidth="1"/>
    <col min="89" max="89" width="14.77734375" style="569" bestFit="1" customWidth="1"/>
    <col min="90" max="16384" width="8.77734375" style="569"/>
  </cols>
  <sheetData>
    <row r="1" spans="2:89" s="630" customFormat="1" ht="24" customHeight="1">
      <c r="AJ1" s="630" t="s">
        <v>120</v>
      </c>
      <c r="BD1" s="631"/>
      <c r="BE1" s="631"/>
      <c r="BF1" s="631"/>
      <c r="BG1" s="631"/>
      <c r="BH1" s="631"/>
      <c r="BI1" s="631"/>
      <c r="BJ1" s="631"/>
      <c r="BK1" s="631"/>
      <c r="BL1" s="631"/>
      <c r="BM1" s="631"/>
      <c r="BN1" s="631"/>
      <c r="BO1" s="631"/>
      <c r="BV1" s="630" t="s">
        <v>119</v>
      </c>
    </row>
    <row r="2" spans="2:89" s="572" customFormat="1" ht="100.8">
      <c r="D2" s="572" t="s">
        <v>92</v>
      </c>
      <c r="E2" s="573">
        <v>42005</v>
      </c>
      <c r="F2" s="573">
        <v>42036</v>
      </c>
      <c r="G2" s="573">
        <v>42064</v>
      </c>
      <c r="H2" s="573">
        <v>42095</v>
      </c>
      <c r="I2" s="573">
        <v>42125</v>
      </c>
      <c r="J2" s="573">
        <v>42156</v>
      </c>
      <c r="K2" s="573">
        <v>42186</v>
      </c>
      <c r="L2" s="573">
        <v>42217</v>
      </c>
      <c r="M2" s="573">
        <v>42248</v>
      </c>
      <c r="N2" s="573">
        <v>42278</v>
      </c>
      <c r="O2" s="573">
        <v>42309</v>
      </c>
      <c r="P2" s="573">
        <v>42339</v>
      </c>
      <c r="Q2" s="572" t="s">
        <v>93</v>
      </c>
      <c r="R2" s="572" t="s">
        <v>94</v>
      </c>
      <c r="S2" s="572" t="s">
        <v>95</v>
      </c>
      <c r="T2" s="573">
        <v>42370</v>
      </c>
      <c r="U2" s="573">
        <v>42401</v>
      </c>
      <c r="V2" s="573">
        <v>42430</v>
      </c>
      <c r="W2" s="573">
        <v>42461</v>
      </c>
      <c r="X2" s="573">
        <v>42491</v>
      </c>
      <c r="Y2" s="573">
        <v>42522</v>
      </c>
      <c r="Z2" s="573">
        <v>42552</v>
      </c>
      <c r="AA2" s="573">
        <v>42583</v>
      </c>
      <c r="AB2" s="573">
        <v>42614</v>
      </c>
      <c r="AC2" s="573">
        <v>42644</v>
      </c>
      <c r="AD2" s="573">
        <v>42675</v>
      </c>
      <c r="AE2" s="573">
        <v>42705</v>
      </c>
      <c r="AF2" s="573" t="s">
        <v>96</v>
      </c>
      <c r="AG2" s="572" t="s">
        <v>94</v>
      </c>
      <c r="AH2" s="572" t="s">
        <v>95</v>
      </c>
      <c r="AI2" s="572" t="s">
        <v>97</v>
      </c>
      <c r="AJ2" s="573">
        <v>42736</v>
      </c>
      <c r="AK2" s="573">
        <v>42767</v>
      </c>
      <c r="AL2" s="573">
        <v>42795</v>
      </c>
      <c r="AM2" s="573">
        <v>42826</v>
      </c>
      <c r="AN2" s="573">
        <v>42856</v>
      </c>
      <c r="AO2" s="573">
        <v>42887</v>
      </c>
      <c r="AP2" s="573">
        <v>42917</v>
      </c>
      <c r="AQ2" s="573">
        <v>42948</v>
      </c>
      <c r="AR2" s="573">
        <v>42979</v>
      </c>
      <c r="AS2" s="573">
        <v>43009</v>
      </c>
      <c r="AT2" s="573">
        <v>43040</v>
      </c>
      <c r="AU2" s="573">
        <v>43070</v>
      </c>
      <c r="AV2" s="573" t="s">
        <v>65</v>
      </c>
      <c r="AW2" s="572" t="s">
        <v>94</v>
      </c>
      <c r="AX2" s="572" t="s">
        <v>95</v>
      </c>
      <c r="AY2" s="572" t="s">
        <v>97</v>
      </c>
      <c r="BA2" s="572" t="s">
        <v>98</v>
      </c>
      <c r="BB2" s="572" t="s">
        <v>94</v>
      </c>
      <c r="BC2" s="572" t="s">
        <v>95</v>
      </c>
      <c r="BD2" s="574">
        <v>43101</v>
      </c>
      <c r="BE2" s="574">
        <v>43132</v>
      </c>
      <c r="BF2" s="574">
        <v>43160</v>
      </c>
      <c r="BG2" s="574">
        <v>43191</v>
      </c>
      <c r="BH2" s="574">
        <v>43221</v>
      </c>
      <c r="BI2" s="574">
        <v>43252</v>
      </c>
      <c r="BJ2" s="574">
        <v>43282</v>
      </c>
      <c r="BK2" s="574">
        <v>43313</v>
      </c>
      <c r="BL2" s="574">
        <v>43344</v>
      </c>
      <c r="BM2" s="574">
        <v>43374</v>
      </c>
      <c r="BN2" s="574">
        <v>43405</v>
      </c>
      <c r="BO2" s="574">
        <v>43435</v>
      </c>
      <c r="BP2" s="575" t="s">
        <v>44</v>
      </c>
      <c r="BQ2" s="572" t="s">
        <v>94</v>
      </c>
      <c r="BR2" s="572" t="s">
        <v>95</v>
      </c>
      <c r="BS2" s="572" t="s">
        <v>97</v>
      </c>
      <c r="BV2" s="628">
        <v>43101</v>
      </c>
      <c r="BW2" s="628">
        <v>43132</v>
      </c>
      <c r="BX2" s="628">
        <v>43160</v>
      </c>
      <c r="BY2" s="628">
        <v>43191</v>
      </c>
      <c r="BZ2" s="628">
        <v>43221</v>
      </c>
      <c r="CA2" s="628">
        <v>43252</v>
      </c>
      <c r="CB2" s="628">
        <v>43282</v>
      </c>
      <c r="CC2" s="628">
        <v>43313</v>
      </c>
      <c r="CD2" s="628">
        <v>43344</v>
      </c>
      <c r="CE2" s="628">
        <v>43374</v>
      </c>
      <c r="CF2" s="628">
        <v>43405</v>
      </c>
      <c r="CG2" s="628">
        <v>43435</v>
      </c>
      <c r="CH2" s="628" t="s">
        <v>64</v>
      </c>
      <c r="CI2" s="572" t="s">
        <v>94</v>
      </c>
      <c r="CJ2" s="572" t="s">
        <v>95</v>
      </c>
      <c r="CK2" s="572" t="s">
        <v>97</v>
      </c>
    </row>
    <row r="3" spans="2:89" s="572" customFormat="1">
      <c r="T3" s="576"/>
      <c r="U3" s="576"/>
      <c r="V3" s="576"/>
      <c r="W3" s="576"/>
      <c r="X3" s="576"/>
      <c r="Y3" s="576"/>
      <c r="Z3" s="576"/>
      <c r="AA3" s="576"/>
      <c r="AB3" s="576"/>
      <c r="AC3" s="576"/>
      <c r="AD3" s="576"/>
      <c r="AE3" s="576"/>
      <c r="AF3" s="573"/>
      <c r="AJ3" s="576">
        <f>AJ22/$AV$22</f>
        <v>4.5807721817537714E-2</v>
      </c>
      <c r="AK3" s="576">
        <f>AK22/$AV$22</f>
        <v>4.2851821217527522E-2</v>
      </c>
      <c r="AL3" s="576">
        <f t="shared" ref="AL3:AU3" si="0">AL22/$AV$22</f>
        <v>5.0561328415853188E-2</v>
      </c>
      <c r="AM3" s="576">
        <f t="shared" si="0"/>
        <v>6.0901616570796881E-2</v>
      </c>
      <c r="AN3" s="576">
        <f t="shared" si="0"/>
        <v>6.3510808818046438E-2</v>
      </c>
      <c r="AO3" s="576">
        <f t="shared" si="0"/>
        <v>6.4576816415202812E-2</v>
      </c>
      <c r="AP3" s="576">
        <f t="shared" si="0"/>
        <v>7.6152776728468444E-2</v>
      </c>
      <c r="AQ3" s="576">
        <f t="shared" si="0"/>
        <v>7.9265940505030691E-2</v>
      </c>
      <c r="AR3" s="576">
        <f t="shared" si="0"/>
        <v>9.4276238326268691E-2</v>
      </c>
      <c r="AS3" s="576">
        <f t="shared" si="0"/>
        <v>0.12210873276154278</v>
      </c>
      <c r="AT3" s="576">
        <f t="shared" si="0"/>
        <v>0.13342277263107868</v>
      </c>
      <c r="AU3" s="576">
        <f t="shared" si="0"/>
        <v>0.16656342579264616</v>
      </c>
      <c r="AV3" s="573"/>
      <c r="BD3" s="574"/>
      <c r="BE3" s="574"/>
      <c r="BF3" s="574"/>
      <c r="BG3" s="574"/>
      <c r="BH3" s="574"/>
      <c r="BI3" s="574"/>
      <c r="BJ3" s="574"/>
      <c r="BK3" s="574"/>
      <c r="BL3" s="574"/>
      <c r="BM3" s="574"/>
      <c r="BN3" s="574"/>
      <c r="BO3" s="574"/>
      <c r="BP3" s="575"/>
      <c r="BV3" s="576">
        <f>BV22/$CH$22</f>
        <v>0.17977680668843624</v>
      </c>
      <c r="BW3" s="576">
        <f t="shared" ref="BW3:CG3" si="1">BW22/$CH$22</f>
        <v>0.15893549826338035</v>
      </c>
      <c r="BX3" s="576">
        <f t="shared" si="1"/>
        <v>0.1786993673844198</v>
      </c>
      <c r="BY3" s="576">
        <f t="shared" si="1"/>
        <v>0.22573852680536435</v>
      </c>
      <c r="BZ3" s="576">
        <f t="shared" si="1"/>
        <v>0.25684980085839926</v>
      </c>
      <c r="CA3" s="576">
        <f t="shared" si="1"/>
        <v>0</v>
      </c>
      <c r="CB3" s="576">
        <f t="shared" si="1"/>
        <v>0</v>
      </c>
      <c r="CC3" s="576">
        <f t="shared" si="1"/>
        <v>0</v>
      </c>
      <c r="CD3" s="576">
        <f t="shared" si="1"/>
        <v>0</v>
      </c>
      <c r="CE3" s="576">
        <f t="shared" si="1"/>
        <v>0</v>
      </c>
      <c r="CF3" s="576">
        <f t="shared" si="1"/>
        <v>0</v>
      </c>
      <c r="CG3" s="576">
        <f t="shared" si="1"/>
        <v>0</v>
      </c>
      <c r="CH3" s="573"/>
    </row>
    <row r="4" spans="2:89" s="577" customFormat="1">
      <c r="B4" s="577" t="s">
        <v>99</v>
      </c>
      <c r="E4" s="578"/>
      <c r="F4" s="578"/>
      <c r="G4" s="578"/>
      <c r="H4" s="578"/>
      <c r="I4" s="578"/>
      <c r="J4" s="578"/>
      <c r="K4" s="578"/>
      <c r="L4" s="578"/>
      <c r="M4" s="578"/>
      <c r="N4" s="578"/>
      <c r="O4" s="578"/>
      <c r="P4" s="578"/>
      <c r="Q4" s="578"/>
      <c r="R4" s="579"/>
      <c r="S4" s="579" t="e">
        <f>(Q8+Q12)/Q22</f>
        <v>#DIV/0!</v>
      </c>
      <c r="T4" s="578"/>
      <c r="U4" s="578"/>
      <c r="V4" s="578"/>
      <c r="W4" s="578"/>
      <c r="X4" s="578"/>
      <c r="Y4" s="578"/>
      <c r="Z4" s="578"/>
      <c r="AA4" s="578"/>
      <c r="AB4" s="578"/>
      <c r="AC4" s="578"/>
      <c r="AD4" s="578"/>
      <c r="AE4" s="578"/>
      <c r="AF4" s="578"/>
      <c r="AH4" s="580">
        <f>SUM(AF8,AF12,AF16,AF20)/AF22</f>
        <v>5.3169215046272054E-2</v>
      </c>
      <c r="AJ4" s="578"/>
      <c r="AK4" s="578"/>
      <c r="AL4" s="578"/>
      <c r="AM4" s="578"/>
      <c r="AN4" s="578"/>
      <c r="AO4" s="578"/>
      <c r="AP4" s="578"/>
      <c r="AQ4" s="578"/>
      <c r="AR4" s="578"/>
      <c r="AS4" s="578"/>
      <c r="AT4" s="578"/>
      <c r="AU4" s="578"/>
      <c r="AV4" s="578"/>
      <c r="AX4" s="580">
        <f>SUM(AV8,AV12,AV16,AV20)/AV22</f>
        <v>8.7859988649166651E-2</v>
      </c>
      <c r="BD4" s="581"/>
      <c r="BE4" s="581"/>
      <c r="BF4" s="581"/>
      <c r="BG4" s="581"/>
      <c r="BH4" s="581"/>
      <c r="BI4" s="581"/>
      <c r="BJ4" s="581"/>
      <c r="BK4" s="581"/>
      <c r="BL4" s="581"/>
      <c r="BM4" s="581"/>
      <c r="BN4" s="581"/>
      <c r="BO4" s="581"/>
      <c r="BP4" s="578"/>
      <c r="BQ4" s="582"/>
      <c r="BR4" s="582"/>
      <c r="BS4" s="583">
        <f>SUM(BP8,BP12,BP16,BP20)/BP22</f>
        <v>2.0405195452031323E-2</v>
      </c>
      <c r="BT4" s="584"/>
      <c r="BU4" s="584"/>
      <c r="BV4" s="578"/>
      <c r="BW4" s="578"/>
      <c r="BX4" s="578"/>
      <c r="BY4" s="578"/>
      <c r="BZ4" s="578"/>
      <c r="CA4" s="578"/>
      <c r="CB4" s="578"/>
      <c r="CC4" s="578"/>
      <c r="CD4" s="578"/>
      <c r="CE4" s="578"/>
      <c r="CF4" s="578"/>
      <c r="CG4" s="578"/>
      <c r="CH4" s="578"/>
      <c r="CJ4" s="580">
        <f>SUM(CH8,CH12,CH16,CH20)/CH22</f>
        <v>0.24436914690928921</v>
      </c>
    </row>
    <row r="5" spans="2:89" s="577" customFormat="1">
      <c r="Q5" s="578"/>
      <c r="R5" s="579"/>
      <c r="S5" s="579"/>
      <c r="T5" s="578"/>
      <c r="U5" s="578"/>
      <c r="V5" s="578"/>
      <c r="W5" s="578"/>
      <c r="X5" s="578"/>
      <c r="Y5" s="578"/>
      <c r="Z5" s="578"/>
      <c r="AA5" s="578"/>
      <c r="AB5" s="578"/>
      <c r="AC5" s="578"/>
      <c r="AD5" s="578"/>
      <c r="AE5" s="578"/>
      <c r="AF5" s="578"/>
      <c r="AJ5" s="578"/>
      <c r="AK5" s="578"/>
      <c r="AL5" s="578"/>
      <c r="AM5" s="578"/>
      <c r="AN5" s="578"/>
      <c r="AO5" s="578"/>
      <c r="AP5" s="578"/>
      <c r="AQ5" s="578"/>
      <c r="AR5" s="578"/>
      <c r="AS5" s="578"/>
      <c r="AT5" s="578"/>
      <c r="AU5" s="578"/>
      <c r="AV5" s="578"/>
      <c r="BD5" s="581"/>
      <c r="BE5" s="581"/>
      <c r="BF5" s="581"/>
      <c r="BG5" s="581"/>
      <c r="BH5" s="581"/>
      <c r="BI5" s="581"/>
      <c r="BJ5" s="581"/>
      <c r="BK5" s="581"/>
      <c r="BL5" s="581"/>
      <c r="BM5" s="581"/>
      <c r="BN5" s="581"/>
      <c r="BO5" s="581"/>
      <c r="BP5" s="578"/>
      <c r="BQ5" s="582"/>
      <c r="BR5" s="582"/>
      <c r="BT5" s="584"/>
      <c r="BU5" s="584"/>
      <c r="BV5" s="578"/>
      <c r="BW5" s="578"/>
      <c r="BX5" s="578"/>
      <c r="BY5" s="578"/>
      <c r="BZ5" s="578"/>
      <c r="CA5" s="578"/>
      <c r="CB5" s="578"/>
      <c r="CC5" s="578"/>
      <c r="CD5" s="578"/>
      <c r="CE5" s="578"/>
      <c r="CF5" s="578"/>
      <c r="CG5" s="578"/>
      <c r="CH5" s="578"/>
    </row>
    <row r="6" spans="2:89" hidden="1">
      <c r="R6" s="585"/>
      <c r="S6" s="585"/>
      <c r="BD6" s="586"/>
      <c r="BE6" s="586"/>
      <c r="BF6" s="586"/>
      <c r="BG6" s="586"/>
      <c r="BH6" s="586"/>
      <c r="BI6" s="586"/>
      <c r="BJ6" s="586"/>
      <c r="BK6" s="586"/>
      <c r="BL6" s="586"/>
      <c r="BM6" s="586"/>
      <c r="BN6" s="586"/>
      <c r="BO6" s="586"/>
    </row>
    <row r="7" spans="2:89" s="587" customFormat="1" ht="13.2" hidden="1">
      <c r="E7" s="588"/>
      <c r="F7" s="588"/>
      <c r="G7" s="588"/>
      <c r="H7" s="588"/>
      <c r="I7" s="588"/>
      <c r="J7" s="588"/>
      <c r="K7" s="588"/>
      <c r="L7" s="588"/>
      <c r="M7" s="588"/>
      <c r="N7" s="588"/>
      <c r="O7" s="588"/>
      <c r="P7" s="588"/>
      <c r="Q7" s="588"/>
      <c r="R7" s="589"/>
      <c r="S7" s="589"/>
      <c r="T7" s="588"/>
      <c r="U7" s="588"/>
      <c r="V7" s="588"/>
      <c r="W7" s="588"/>
      <c r="X7" s="588"/>
      <c r="Y7" s="588"/>
      <c r="Z7" s="588"/>
      <c r="AA7" s="588"/>
      <c r="AB7" s="588"/>
      <c r="AC7" s="588"/>
      <c r="AD7" s="588"/>
      <c r="AE7" s="588"/>
      <c r="AF7" s="588"/>
      <c r="AG7" s="590"/>
      <c r="AH7" s="591"/>
      <c r="AI7" s="591"/>
      <c r="AJ7" s="588"/>
      <c r="AK7" s="588"/>
      <c r="AL7" s="588"/>
      <c r="AM7" s="588"/>
      <c r="AN7" s="588"/>
      <c r="AO7" s="588"/>
      <c r="AP7" s="588"/>
      <c r="AQ7" s="588"/>
      <c r="AR7" s="588"/>
      <c r="AS7" s="588"/>
      <c r="AT7" s="588"/>
      <c r="AU7" s="588"/>
      <c r="AV7" s="588"/>
      <c r="AW7" s="590"/>
      <c r="AX7" s="591"/>
      <c r="AY7" s="591"/>
      <c r="AZ7" s="591"/>
      <c r="BA7" s="590"/>
      <c r="BB7" s="592"/>
      <c r="BC7" s="592"/>
      <c r="BD7" s="593"/>
      <c r="BE7" s="593"/>
      <c r="BF7" s="593"/>
      <c r="BG7" s="593"/>
      <c r="BH7" s="593"/>
      <c r="BI7" s="593"/>
      <c r="BJ7" s="593"/>
      <c r="BK7" s="593"/>
      <c r="BL7" s="593"/>
      <c r="BM7" s="593"/>
      <c r="BN7" s="593"/>
      <c r="BO7" s="593"/>
      <c r="BP7" s="588"/>
      <c r="BQ7" s="590"/>
      <c r="BR7" s="591"/>
      <c r="BS7" s="591"/>
      <c r="BV7" s="588"/>
      <c r="BW7" s="588"/>
      <c r="BX7" s="588"/>
      <c r="BY7" s="588"/>
      <c r="BZ7" s="588"/>
      <c r="CA7" s="588"/>
      <c r="CB7" s="588"/>
      <c r="CC7" s="588"/>
      <c r="CD7" s="588"/>
      <c r="CE7" s="588"/>
      <c r="CF7" s="588"/>
      <c r="CG7" s="588"/>
      <c r="CH7" s="588"/>
      <c r="CI7" s="590"/>
      <c r="CJ7" s="591"/>
      <c r="CK7" s="591"/>
    </row>
    <row r="8" spans="2:89" s="587" customFormat="1" ht="13.2" hidden="1">
      <c r="E8" s="588"/>
      <c r="F8" s="588"/>
      <c r="G8" s="588"/>
      <c r="H8" s="588"/>
      <c r="I8" s="588"/>
      <c r="J8" s="588"/>
      <c r="K8" s="588"/>
      <c r="L8" s="588"/>
      <c r="M8" s="588"/>
      <c r="N8" s="588"/>
      <c r="O8" s="588"/>
      <c r="P8" s="588"/>
      <c r="Q8" s="588"/>
      <c r="R8" s="589"/>
      <c r="S8" s="589"/>
      <c r="T8" s="588"/>
      <c r="U8" s="588"/>
      <c r="V8" s="588"/>
      <c r="W8" s="588"/>
      <c r="X8" s="588"/>
      <c r="Y8" s="588"/>
      <c r="Z8" s="588"/>
      <c r="AA8" s="588"/>
      <c r="AB8" s="588"/>
      <c r="AC8" s="588"/>
      <c r="AD8" s="588"/>
      <c r="AE8" s="588"/>
      <c r="AF8" s="588"/>
      <c r="AG8" s="590"/>
      <c r="AH8" s="591"/>
      <c r="AI8" s="591"/>
      <c r="AJ8" s="588"/>
      <c r="AK8" s="588"/>
      <c r="AL8" s="588"/>
      <c r="AM8" s="588"/>
      <c r="AN8" s="588"/>
      <c r="AO8" s="588"/>
      <c r="AP8" s="588"/>
      <c r="AQ8" s="588"/>
      <c r="AR8" s="588"/>
      <c r="AS8" s="588"/>
      <c r="AT8" s="588"/>
      <c r="AU8" s="588"/>
      <c r="AV8" s="588"/>
      <c r="AW8" s="590"/>
      <c r="AX8" s="591"/>
      <c r="AY8" s="591"/>
      <c r="AZ8" s="591"/>
      <c r="BA8" s="590"/>
      <c r="BB8" s="592"/>
      <c r="BC8" s="592"/>
      <c r="BD8" s="593"/>
      <c r="BE8" s="593"/>
      <c r="BF8" s="593"/>
      <c r="BG8" s="593"/>
      <c r="BH8" s="593"/>
      <c r="BI8" s="593"/>
      <c r="BJ8" s="593"/>
      <c r="BK8" s="593"/>
      <c r="BL8" s="593"/>
      <c r="BM8" s="593"/>
      <c r="BN8" s="593"/>
      <c r="BO8" s="593"/>
      <c r="BP8" s="588"/>
      <c r="BQ8" s="590"/>
      <c r="BR8" s="591"/>
      <c r="BS8" s="591"/>
      <c r="BV8" s="588"/>
      <c r="BW8" s="588"/>
      <c r="BX8" s="588"/>
      <c r="BY8" s="588"/>
      <c r="BZ8" s="588"/>
      <c r="CA8" s="588"/>
      <c r="CB8" s="588"/>
      <c r="CC8" s="588"/>
      <c r="CD8" s="588"/>
      <c r="CE8" s="588"/>
      <c r="CF8" s="588"/>
      <c r="CG8" s="588"/>
      <c r="CH8" s="588"/>
      <c r="CI8" s="590"/>
      <c r="CJ8" s="591"/>
      <c r="CK8" s="591"/>
    </row>
    <row r="9" spans="2:89" s="577" customFormat="1" ht="13.2" hidden="1"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9"/>
      <c r="S9" s="579"/>
      <c r="T9" s="578"/>
      <c r="U9" s="578"/>
      <c r="V9" s="578"/>
      <c r="W9" s="578"/>
      <c r="X9" s="578"/>
      <c r="Y9" s="578"/>
      <c r="Z9" s="578"/>
      <c r="AA9" s="578"/>
      <c r="AB9" s="578"/>
      <c r="AC9" s="578"/>
      <c r="AD9" s="578"/>
      <c r="AE9" s="578"/>
      <c r="AF9" s="578"/>
      <c r="AG9" s="594"/>
      <c r="AI9" s="591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94"/>
      <c r="AY9" s="591"/>
      <c r="AZ9" s="591"/>
      <c r="BA9" s="594"/>
      <c r="BB9" s="595"/>
      <c r="BC9" s="595"/>
      <c r="BD9" s="581"/>
      <c r="BE9" s="581"/>
      <c r="BF9" s="581"/>
      <c r="BG9" s="581"/>
      <c r="BH9" s="581"/>
      <c r="BI9" s="581"/>
      <c r="BJ9" s="581"/>
      <c r="BK9" s="581"/>
      <c r="BL9" s="581"/>
      <c r="BM9" s="581"/>
      <c r="BN9" s="581"/>
      <c r="BO9" s="581"/>
      <c r="BP9" s="578"/>
      <c r="BQ9" s="594"/>
      <c r="BS9" s="591"/>
      <c r="BV9" s="578"/>
      <c r="BW9" s="578"/>
      <c r="BX9" s="578"/>
      <c r="BY9" s="578"/>
      <c r="BZ9" s="578"/>
      <c r="CA9" s="578"/>
      <c r="CB9" s="578"/>
      <c r="CC9" s="578"/>
      <c r="CD9" s="578"/>
      <c r="CE9" s="578"/>
      <c r="CF9" s="578"/>
      <c r="CG9" s="578"/>
      <c r="CH9" s="578"/>
      <c r="CI9" s="594"/>
      <c r="CK9" s="591"/>
    </row>
    <row r="10" spans="2:89" s="577" customFormat="1" hidden="1">
      <c r="C10" s="569"/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9"/>
      <c r="S10" s="579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96"/>
      <c r="AE10" s="596"/>
      <c r="AF10" s="578"/>
      <c r="AG10" s="594"/>
      <c r="AI10" s="584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94"/>
      <c r="AY10" s="584"/>
      <c r="AZ10" s="584"/>
      <c r="BA10" s="594"/>
      <c r="BB10" s="595"/>
      <c r="BC10" s="595"/>
      <c r="BD10" s="581"/>
      <c r="BE10" s="581"/>
      <c r="BF10" s="581"/>
      <c r="BG10" s="581"/>
      <c r="BH10" s="581"/>
      <c r="BI10" s="581"/>
      <c r="BJ10" s="581"/>
      <c r="BK10" s="581"/>
      <c r="BL10" s="581"/>
      <c r="BM10" s="581"/>
      <c r="BN10" s="581"/>
      <c r="BO10" s="581"/>
      <c r="BP10" s="578"/>
      <c r="BQ10" s="594"/>
      <c r="BS10" s="591"/>
      <c r="BV10" s="578"/>
      <c r="BW10" s="578"/>
      <c r="BX10" s="578"/>
      <c r="BY10" s="578"/>
      <c r="BZ10" s="578"/>
      <c r="CA10" s="578"/>
      <c r="CB10" s="578"/>
      <c r="CC10" s="578"/>
      <c r="CD10" s="578"/>
      <c r="CE10" s="578"/>
      <c r="CF10" s="578"/>
      <c r="CG10" s="578"/>
      <c r="CH10" s="578"/>
      <c r="CI10" s="594"/>
      <c r="CK10" s="584"/>
    </row>
    <row r="11" spans="2:89" s="587" customFormat="1" ht="13.2" hidden="1">
      <c r="E11" s="588"/>
      <c r="F11" s="588"/>
      <c r="G11" s="588"/>
      <c r="H11" s="588"/>
      <c r="I11" s="588"/>
      <c r="J11" s="588"/>
      <c r="K11" s="588"/>
      <c r="L11" s="588"/>
      <c r="M11" s="588"/>
      <c r="N11" s="588"/>
      <c r="O11" s="588"/>
      <c r="P11" s="588"/>
      <c r="Q11" s="588"/>
      <c r="R11" s="589"/>
      <c r="S11" s="589"/>
      <c r="T11" s="588"/>
      <c r="U11" s="588"/>
      <c r="V11" s="588"/>
      <c r="W11" s="588"/>
      <c r="X11" s="588"/>
      <c r="Y11" s="588"/>
      <c r="Z11" s="588"/>
      <c r="AA11" s="588"/>
      <c r="AB11" s="588"/>
      <c r="AC11" s="588"/>
      <c r="AD11" s="588"/>
      <c r="AE11" s="588"/>
      <c r="AF11" s="588"/>
      <c r="AG11" s="590"/>
      <c r="AH11" s="591"/>
      <c r="AI11" s="591"/>
      <c r="AJ11" s="588"/>
      <c r="AK11" s="588"/>
      <c r="AL11" s="588"/>
      <c r="AM11" s="588"/>
      <c r="AN11" s="588"/>
      <c r="AO11" s="588"/>
      <c r="AP11" s="588"/>
      <c r="AQ11" s="588"/>
      <c r="AR11" s="588"/>
      <c r="AS11" s="588"/>
      <c r="AT11" s="588"/>
      <c r="AU11" s="588"/>
      <c r="AV11" s="588"/>
      <c r="AW11" s="590"/>
      <c r="AX11" s="591"/>
      <c r="AY11" s="591"/>
      <c r="AZ11" s="591"/>
      <c r="BA11" s="590"/>
      <c r="BB11" s="592"/>
      <c r="BC11" s="592"/>
      <c r="BD11" s="593"/>
      <c r="BE11" s="593"/>
      <c r="BF11" s="593"/>
      <c r="BG11" s="593"/>
      <c r="BH11" s="593"/>
      <c r="BI11" s="593"/>
      <c r="BJ11" s="593"/>
      <c r="BK11" s="593"/>
      <c r="BL11" s="593"/>
      <c r="BM11" s="593"/>
      <c r="BN11" s="593"/>
      <c r="BO11" s="593"/>
      <c r="BP11" s="588"/>
      <c r="BQ11" s="590"/>
      <c r="BR11" s="591"/>
      <c r="BS11" s="591"/>
      <c r="BV11" s="588"/>
      <c r="BW11" s="588"/>
      <c r="BX11" s="588"/>
      <c r="BY11" s="588"/>
      <c r="BZ11" s="588"/>
      <c r="CA11" s="588"/>
      <c r="CB11" s="588"/>
      <c r="CC11" s="588"/>
      <c r="CD11" s="588"/>
      <c r="CE11" s="588"/>
      <c r="CF11" s="588"/>
      <c r="CG11" s="588"/>
      <c r="CH11" s="588"/>
      <c r="CI11" s="590"/>
      <c r="CJ11" s="591"/>
      <c r="CK11" s="591"/>
    </row>
    <row r="12" spans="2:89" s="587" customFormat="1" ht="13.2" hidden="1">
      <c r="E12" s="588"/>
      <c r="F12" s="588"/>
      <c r="G12" s="588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9"/>
      <c r="S12" s="589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90"/>
      <c r="AH12" s="591"/>
      <c r="AI12" s="591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90"/>
      <c r="AX12" s="591"/>
      <c r="AY12" s="591"/>
      <c r="AZ12" s="591"/>
      <c r="BA12" s="590"/>
      <c r="BB12" s="592"/>
      <c r="BC12" s="592"/>
      <c r="BD12" s="593"/>
      <c r="BE12" s="593"/>
      <c r="BF12" s="593"/>
      <c r="BG12" s="593"/>
      <c r="BH12" s="593"/>
      <c r="BI12" s="593"/>
      <c r="BJ12" s="593"/>
      <c r="BK12" s="593"/>
      <c r="BL12" s="593"/>
      <c r="BM12" s="593"/>
      <c r="BN12" s="593"/>
      <c r="BO12" s="593"/>
      <c r="BP12" s="588"/>
      <c r="BQ12" s="590"/>
      <c r="BR12" s="591"/>
      <c r="BS12" s="591"/>
      <c r="BV12" s="588"/>
      <c r="BW12" s="588"/>
      <c r="BX12" s="588"/>
      <c r="BY12" s="588"/>
      <c r="BZ12" s="588"/>
      <c r="CA12" s="588"/>
      <c r="CB12" s="588"/>
      <c r="CC12" s="588"/>
      <c r="CD12" s="588"/>
      <c r="CE12" s="588"/>
      <c r="CF12" s="588"/>
      <c r="CG12" s="588"/>
      <c r="CH12" s="588"/>
      <c r="CI12" s="590"/>
      <c r="CJ12" s="591"/>
      <c r="CK12" s="591"/>
    </row>
    <row r="13" spans="2:89" s="577" customFormat="1" ht="13.2" hidden="1"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9"/>
      <c r="S13" s="579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94"/>
      <c r="AI13" s="591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94"/>
      <c r="AY13" s="591"/>
      <c r="AZ13" s="591"/>
      <c r="BA13" s="594"/>
      <c r="BB13" s="595"/>
      <c r="BC13" s="595"/>
      <c r="BD13" s="581"/>
      <c r="BE13" s="581"/>
      <c r="BF13" s="581"/>
      <c r="BG13" s="581"/>
      <c r="BH13" s="581"/>
      <c r="BI13" s="581"/>
      <c r="BJ13" s="581"/>
      <c r="BK13" s="581"/>
      <c r="BL13" s="581"/>
      <c r="BM13" s="581"/>
      <c r="BN13" s="581"/>
      <c r="BO13" s="581"/>
      <c r="BP13" s="578"/>
      <c r="BQ13" s="594"/>
      <c r="BS13" s="591"/>
      <c r="BV13" s="578"/>
      <c r="BW13" s="578"/>
      <c r="BX13" s="578"/>
      <c r="BY13" s="578"/>
      <c r="BZ13" s="578"/>
      <c r="CA13" s="578"/>
      <c r="CB13" s="578"/>
      <c r="CC13" s="578"/>
      <c r="CD13" s="578"/>
      <c r="CE13" s="578"/>
      <c r="CF13" s="578"/>
      <c r="CG13" s="578"/>
      <c r="CH13" s="578"/>
      <c r="CI13" s="594"/>
      <c r="CK13" s="591"/>
    </row>
    <row r="14" spans="2:89">
      <c r="C14" s="569" t="s">
        <v>102</v>
      </c>
      <c r="T14" s="582"/>
      <c r="U14" s="582"/>
      <c r="V14" s="582"/>
      <c r="W14" s="582"/>
      <c r="X14" s="582"/>
      <c r="Y14" s="582"/>
      <c r="Z14" s="582"/>
      <c r="AA14" s="582"/>
      <c r="AB14" s="582"/>
      <c r="AC14" s="582"/>
      <c r="AD14" s="596" t="e">
        <f>AD13/AC13</f>
        <v>#DIV/0!</v>
      </c>
      <c r="AE14" s="596" t="e">
        <f>AE13/AD13</f>
        <v>#DIV/0!</v>
      </c>
      <c r="AF14" s="582"/>
      <c r="AG14" s="597"/>
      <c r="AI14" s="598"/>
      <c r="AJ14" s="582"/>
      <c r="AK14" s="582"/>
      <c r="AL14" s="582"/>
      <c r="AM14" s="582"/>
      <c r="AN14" s="582"/>
      <c r="AO14" s="582"/>
      <c r="AP14" s="582"/>
      <c r="AQ14" s="582"/>
      <c r="AR14" s="582"/>
      <c r="AS14" s="599"/>
      <c r="AT14" s="599"/>
      <c r="AU14" s="599"/>
      <c r="AV14" s="582"/>
      <c r="AW14" s="597"/>
      <c r="AY14" s="598"/>
      <c r="AZ14" s="598"/>
      <c r="BA14" s="597"/>
      <c r="BB14" s="600"/>
      <c r="BC14" s="600"/>
      <c r="BD14" s="601"/>
      <c r="BE14" s="601"/>
      <c r="BF14" s="601"/>
      <c r="BG14" s="601"/>
      <c r="BH14" s="601"/>
      <c r="BI14" s="601"/>
      <c r="BJ14" s="601"/>
      <c r="BK14" s="601"/>
      <c r="BL14" s="601"/>
      <c r="BM14" s="601"/>
      <c r="BN14" s="601"/>
      <c r="BO14" s="601"/>
      <c r="BP14" s="582"/>
      <c r="BQ14" s="597"/>
      <c r="BS14" s="591"/>
      <c r="BV14" s="582"/>
      <c r="BW14" s="582"/>
      <c r="BX14" s="582"/>
      <c r="BY14" s="582"/>
      <c r="BZ14" s="582"/>
      <c r="CA14" s="582"/>
      <c r="CB14" s="582"/>
      <c r="CC14" s="582"/>
      <c r="CD14" s="582"/>
      <c r="CE14" s="599"/>
      <c r="CF14" s="599"/>
      <c r="CG14" s="599"/>
      <c r="CH14" s="582"/>
      <c r="CI14" s="597"/>
      <c r="CK14" s="598"/>
    </row>
    <row r="15" spans="2:89" s="587" customFormat="1" ht="13.2">
      <c r="D15" s="587" t="s">
        <v>100</v>
      </c>
      <c r="T15" s="588"/>
      <c r="U15" s="588"/>
      <c r="V15" s="588"/>
      <c r="W15" s="588">
        <v>83300</v>
      </c>
      <c r="X15" s="588">
        <v>87020917</v>
      </c>
      <c r="Y15" s="588">
        <v>157695919</v>
      </c>
      <c r="Z15" s="588">
        <v>151552025</v>
      </c>
      <c r="AA15" s="588">
        <v>152047030</v>
      </c>
      <c r="AB15" s="588">
        <v>151021224</v>
      </c>
      <c r="AC15" s="588">
        <v>167305311</v>
      </c>
      <c r="AD15" s="588">
        <v>172809952</v>
      </c>
      <c r="AE15" s="588">
        <v>180854192</v>
      </c>
      <c r="AF15" s="588">
        <f>SUM(T15:AE15)</f>
        <v>1220389870</v>
      </c>
      <c r="AG15" s="590"/>
      <c r="AH15" s="591">
        <f>AF15/AF17</f>
        <v>0.96683519170161925</v>
      </c>
      <c r="AI15" s="591" t="e">
        <f>AF15/Q15</f>
        <v>#DIV/0!</v>
      </c>
      <c r="AJ15" s="588">
        <v>187186683</v>
      </c>
      <c r="AK15" s="588">
        <v>169911500</v>
      </c>
      <c r="AL15" s="588">
        <v>200430391</v>
      </c>
      <c r="AM15" s="588">
        <v>230597851</v>
      </c>
      <c r="AN15" s="588">
        <v>252359210</v>
      </c>
      <c r="AO15" s="588">
        <v>256559583</v>
      </c>
      <c r="AP15" s="588">
        <v>314727121</v>
      </c>
      <c r="AQ15" s="588">
        <v>309671327</v>
      </c>
      <c r="AR15" s="588">
        <v>409679877</v>
      </c>
      <c r="AS15" s="588">
        <v>511016170</v>
      </c>
      <c r="AT15" s="588">
        <v>537817186</v>
      </c>
      <c r="AU15" s="588">
        <v>656584336</v>
      </c>
      <c r="AV15" s="588">
        <f>SUM(AJ15:AU15)</f>
        <v>4036541235</v>
      </c>
      <c r="AW15" s="590"/>
      <c r="AX15" s="591">
        <f>AV15/AV17</f>
        <v>0.9189226526106804</v>
      </c>
      <c r="AY15" s="591">
        <f>AV15/AF15</f>
        <v>3.3075833667809778</v>
      </c>
      <c r="AZ15" s="591"/>
      <c r="BA15" s="590"/>
      <c r="BB15" s="592"/>
      <c r="BC15" s="592">
        <f>AX15</f>
        <v>0.9189226526106804</v>
      </c>
      <c r="BD15" s="593">
        <f t="shared" ref="BD15:BO15" si="2">BD17-BD16</f>
        <v>464770735.97598749</v>
      </c>
      <c r="BE15" s="593">
        <f t="shared" si="2"/>
        <v>434779807.74753696</v>
      </c>
      <c r="BF15" s="593">
        <f t="shared" si="2"/>
        <v>513001408.65688759</v>
      </c>
      <c r="BG15" s="593">
        <f t="shared" si="2"/>
        <v>617915234.21494055</v>
      </c>
      <c r="BH15" s="593">
        <f t="shared" si="2"/>
        <v>644388417.18368483</v>
      </c>
      <c r="BI15" s="593">
        <f t="shared" si="2"/>
        <v>655204260.3609519</v>
      </c>
      <c r="BJ15" s="593">
        <f t="shared" si="2"/>
        <v>772655366.43987215</v>
      </c>
      <c r="BK15" s="593">
        <f t="shared" si="2"/>
        <v>804241906.05015814</v>
      </c>
      <c r="BL15" s="593">
        <f t="shared" si="2"/>
        <v>956538219.61458039</v>
      </c>
      <c r="BM15" s="593">
        <f t="shared" si="2"/>
        <v>1238930104.8573301</v>
      </c>
      <c r="BN15" s="593">
        <f t="shared" si="2"/>
        <v>1353723734.1491637</v>
      </c>
      <c r="BO15" s="593">
        <f t="shared" si="2"/>
        <v>1689972845.6413143</v>
      </c>
      <c r="BP15" s="588">
        <f>SUM(BD15:BO15)</f>
        <v>10146122040.892408</v>
      </c>
      <c r="BQ15" s="590"/>
      <c r="BR15" s="591">
        <f>BP15/BP17</f>
        <v>0.92237473099021883</v>
      </c>
      <c r="BS15" s="591">
        <f>BP15/AV15</f>
        <v>2.513568287849389</v>
      </c>
      <c r="BV15" s="588">
        <f>'2018 VN YouTube View'!R12</f>
        <v>600131253</v>
      </c>
      <c r="BW15" s="588">
        <f>'2018 VN YouTube View'!S12</f>
        <v>559835027</v>
      </c>
      <c r="BX15" s="588">
        <f>'2018 VN YouTube View'!T12</f>
        <v>551862891</v>
      </c>
      <c r="BY15" s="588">
        <f>'2018 VN YouTube View'!U12</f>
        <v>547962867</v>
      </c>
      <c r="BZ15" s="588">
        <f>'2018 VN YouTube View'!V12</f>
        <v>579917316</v>
      </c>
      <c r="CA15" s="588">
        <f>'2018 VN YouTube View'!W12</f>
        <v>0</v>
      </c>
      <c r="CB15" s="588">
        <f>'2018 VN YouTube View'!X12</f>
        <v>0</v>
      </c>
      <c r="CC15" s="588">
        <f>'2018 VN YouTube View'!Y12</f>
        <v>0</v>
      </c>
      <c r="CD15" s="588">
        <f>'2018 VN YouTube View'!Z12</f>
        <v>0</v>
      </c>
      <c r="CE15" s="588">
        <f>'2018 VN YouTube View'!AA12</f>
        <v>0</v>
      </c>
      <c r="CF15" s="588">
        <f>'2018 VN YouTube View'!AB12</f>
        <v>0</v>
      </c>
      <c r="CG15" s="588">
        <f>'2018 VN YouTube View'!AC12</f>
        <v>0</v>
      </c>
      <c r="CH15" s="588">
        <f>SUM(BV15:CG15)</f>
        <v>2839709354</v>
      </c>
      <c r="CI15" s="590"/>
      <c r="CJ15" s="591">
        <f>CH15/CH17</f>
        <v>0.80990669922385616</v>
      </c>
      <c r="CK15" s="591">
        <f t="shared" ref="CK15:CK17" si="3">CH15/AV15</f>
        <v>0.70350064292109227</v>
      </c>
    </row>
    <row r="16" spans="2:89" s="587" customFormat="1" ht="13.2">
      <c r="D16" s="587" t="s">
        <v>101</v>
      </c>
      <c r="T16" s="588"/>
      <c r="U16" s="588"/>
      <c r="V16" s="588"/>
      <c r="W16" s="588">
        <v>3278</v>
      </c>
      <c r="X16" s="588">
        <v>2344293</v>
      </c>
      <c r="Y16" s="588">
        <v>4101247</v>
      </c>
      <c r="Z16" s="588">
        <v>4255584</v>
      </c>
      <c r="AA16" s="588">
        <v>3628178</v>
      </c>
      <c r="AB16" s="588">
        <v>4311549</v>
      </c>
      <c r="AC16" s="588">
        <v>4225587</v>
      </c>
      <c r="AD16" s="588">
        <v>6937876</v>
      </c>
      <c r="AE16" s="588">
        <v>12054761</v>
      </c>
      <c r="AF16" s="588">
        <f>SUM(T16:AE16)</f>
        <v>41862353</v>
      </c>
      <c r="AG16" s="590"/>
      <c r="AH16" s="591">
        <f>AF16/AF17</f>
        <v>3.3164808298380789E-2</v>
      </c>
      <c r="AI16" s="591" t="e">
        <f>AF16/Q16</f>
        <v>#DIV/0!</v>
      </c>
      <c r="AJ16" s="588">
        <v>12634990</v>
      </c>
      <c r="AK16" s="588">
        <v>10521464</v>
      </c>
      <c r="AL16" s="588">
        <v>12768903</v>
      </c>
      <c r="AM16" s="588">
        <v>17048766</v>
      </c>
      <c r="AN16" s="588">
        <v>7513356</v>
      </c>
      <c r="AO16" s="588">
        <v>6264197</v>
      </c>
      <c r="AP16" s="588">
        <v>9398239</v>
      </c>
      <c r="AQ16" s="588">
        <v>9731559</v>
      </c>
      <c r="AR16" s="588">
        <v>13326066</v>
      </c>
      <c r="AS16" s="588">
        <v>53179449</v>
      </c>
      <c r="AT16" s="588">
        <v>70079374</v>
      </c>
      <c r="AU16" s="588">
        <v>118517286</v>
      </c>
      <c r="AV16" s="588">
        <f>SUM(AJ16:AU16)</f>
        <v>340983649</v>
      </c>
      <c r="AW16" s="590"/>
      <c r="AX16" s="591">
        <f>AV16/AV17</f>
        <v>7.7625269009781131E-2</v>
      </c>
      <c r="AY16" s="591">
        <f>AV16/AF16</f>
        <v>8.1453531529868854</v>
      </c>
      <c r="AZ16" s="591"/>
      <c r="BA16" s="590"/>
      <c r="BB16" s="592"/>
      <c r="BC16" s="592">
        <f>AX16</f>
        <v>7.7625269009781131E-2</v>
      </c>
      <c r="BD16" s="593">
        <f>BD17*$BC$16</f>
        <v>39114204.016927443</v>
      </c>
      <c r="BE16" s="593">
        <f t="shared" ref="BE16:BO16" si="4">BE17*$BC$16</f>
        <v>36590225.645265833</v>
      </c>
      <c r="BF16" s="593">
        <f t="shared" si="4"/>
        <v>43173203.917497441</v>
      </c>
      <c r="BG16" s="593">
        <f t="shared" si="4"/>
        <v>52002548.063825175</v>
      </c>
      <c r="BH16" s="593">
        <f t="shared" si="4"/>
        <v>54230479.814825982</v>
      </c>
      <c r="BI16" s="593">
        <f t="shared" si="4"/>
        <v>55140720.206279054</v>
      </c>
      <c r="BJ16" s="593">
        <f t="shared" si="4"/>
        <v>65025177.573280804</v>
      </c>
      <c r="BK16" s="593">
        <f t="shared" si="4"/>
        <v>67683439.50517945</v>
      </c>
      <c r="BL16" s="593">
        <f t="shared" si="4"/>
        <v>80500401.974375293</v>
      </c>
      <c r="BM16" s="593">
        <f t="shared" si="4"/>
        <v>104265955.51964055</v>
      </c>
      <c r="BN16" s="593">
        <f t="shared" si="4"/>
        <v>113926764.7927018</v>
      </c>
      <c r="BO16" s="593">
        <f t="shared" si="4"/>
        <v>142224838.07779363</v>
      </c>
      <c r="BP16" s="588">
        <f>SUM(BD16:BO16)</f>
        <v>853877959.10759246</v>
      </c>
      <c r="BQ16" s="590"/>
      <c r="BR16" s="591">
        <f>BP16/BP17</f>
        <v>7.7625269009781117E-2</v>
      </c>
      <c r="BS16" s="591">
        <f>BP16/AV16</f>
        <v>2.5041610106870329</v>
      </c>
      <c r="BV16" s="588">
        <f>'2018 VN YouTube View'!R13</f>
        <v>112112243</v>
      </c>
      <c r="BW16" s="588">
        <f>'2018 VN YouTube View'!S13</f>
        <v>80518892</v>
      </c>
      <c r="BX16" s="588">
        <f>'2018 VN YouTube View'!T13</f>
        <v>111529569</v>
      </c>
      <c r="BY16" s="588">
        <f>'2018 VN YouTube View'!U13</f>
        <v>145868611</v>
      </c>
      <c r="BZ16" s="588">
        <f>'2018 VN YouTube View'!V13</f>
        <v>216479216</v>
      </c>
      <c r="CA16" s="588">
        <f>'2018 VN YouTube View'!W13</f>
        <v>0</v>
      </c>
      <c r="CB16" s="588">
        <f>'2018 VN YouTube View'!X13</f>
        <v>0</v>
      </c>
      <c r="CC16" s="588">
        <f>'2018 VN YouTube View'!Y13</f>
        <v>0</v>
      </c>
      <c r="CD16" s="588">
        <f>'2018 VN YouTube View'!Z13</f>
        <v>0</v>
      </c>
      <c r="CE16" s="588">
        <f>'2018 VN YouTube View'!AA13</f>
        <v>0</v>
      </c>
      <c r="CF16" s="588">
        <f>'2018 VN YouTube View'!AB13</f>
        <v>0</v>
      </c>
      <c r="CG16" s="588">
        <f>'2018 VN YouTube View'!AC13</f>
        <v>0</v>
      </c>
      <c r="CH16" s="588">
        <f>SUM(BV16:CG16)</f>
        <v>666508531</v>
      </c>
      <c r="CI16" s="590"/>
      <c r="CJ16" s="591">
        <f>CH16/CH17</f>
        <v>0.19009330077614386</v>
      </c>
      <c r="CK16" s="591">
        <f t="shared" si="3"/>
        <v>1.9546641985756918</v>
      </c>
    </row>
    <row r="17" spans="2:89" s="577" customFormat="1" ht="13.2">
      <c r="C17" s="577" t="s">
        <v>103</v>
      </c>
      <c r="T17" s="578">
        <f t="shared" ref="T17:AE17" si="5">SUM(T15:T16)</f>
        <v>0</v>
      </c>
      <c r="U17" s="578">
        <f t="shared" si="5"/>
        <v>0</v>
      </c>
      <c r="V17" s="578">
        <f t="shared" si="5"/>
        <v>0</v>
      </c>
      <c r="W17" s="578">
        <f t="shared" si="5"/>
        <v>86578</v>
      </c>
      <c r="X17" s="578">
        <f t="shared" si="5"/>
        <v>89365210</v>
      </c>
      <c r="Y17" s="578">
        <f t="shared" si="5"/>
        <v>161797166</v>
      </c>
      <c r="Z17" s="578">
        <f t="shared" si="5"/>
        <v>155807609</v>
      </c>
      <c r="AA17" s="578">
        <f t="shared" si="5"/>
        <v>155675208</v>
      </c>
      <c r="AB17" s="578">
        <f t="shared" si="5"/>
        <v>155332773</v>
      </c>
      <c r="AC17" s="578">
        <f t="shared" si="5"/>
        <v>171530898</v>
      </c>
      <c r="AD17" s="578">
        <f t="shared" si="5"/>
        <v>179747828</v>
      </c>
      <c r="AE17" s="578">
        <f t="shared" si="5"/>
        <v>192908953</v>
      </c>
      <c r="AF17" s="578">
        <f>SUM(T17:AE17)</f>
        <v>1262252223</v>
      </c>
      <c r="AG17" s="594">
        <f>AF17/$AF$22</f>
        <v>0.81130385572858676</v>
      </c>
      <c r="AI17" s="591" t="e">
        <f>AF17/Q17</f>
        <v>#DIV/0!</v>
      </c>
      <c r="AJ17" s="578">
        <f t="shared" ref="AJ17:AT17" si="6">SUM(AJ15:AJ16)</f>
        <v>199821673</v>
      </c>
      <c r="AK17" s="578">
        <f t="shared" si="6"/>
        <v>180432964</v>
      </c>
      <c r="AL17" s="578">
        <f t="shared" si="6"/>
        <v>213199294</v>
      </c>
      <c r="AM17" s="578">
        <f t="shared" si="6"/>
        <v>247646617</v>
      </c>
      <c r="AN17" s="578">
        <f t="shared" si="6"/>
        <v>259872566</v>
      </c>
      <c r="AO17" s="578">
        <f t="shared" si="6"/>
        <v>262823780</v>
      </c>
      <c r="AP17" s="578">
        <f t="shared" si="6"/>
        <v>324125360</v>
      </c>
      <c r="AQ17" s="578">
        <f t="shared" si="6"/>
        <v>319402886</v>
      </c>
      <c r="AR17" s="578">
        <f t="shared" si="6"/>
        <v>423005943</v>
      </c>
      <c r="AS17" s="578">
        <f t="shared" si="6"/>
        <v>564195619</v>
      </c>
      <c r="AT17" s="578">
        <f t="shared" si="6"/>
        <v>607896560</v>
      </c>
      <c r="AU17" s="578">
        <f>AT17*130%</f>
        <v>790265528</v>
      </c>
      <c r="AV17" s="578">
        <f>SUM(AJ17:AU17)</f>
        <v>4392688790</v>
      </c>
      <c r="AW17" s="594">
        <f>AV17/$AV$22</f>
        <v>0.81552476379810146</v>
      </c>
      <c r="AY17" s="591">
        <f>AV17/AF17</f>
        <v>3.4800404467182311</v>
      </c>
      <c r="AZ17" s="591"/>
      <c r="BA17" s="594">
        <f>SUM(AC17:AE17,AJ17:AR17)/SUM($AC$22:$AE$22,$AJ$22:$AR$22)</f>
        <v>0.78544965801452415</v>
      </c>
      <c r="BB17" s="595">
        <v>0.22</v>
      </c>
      <c r="BC17" s="595"/>
      <c r="BD17" s="581">
        <f>BD22*$BB$17</f>
        <v>503884939.99291492</v>
      </c>
      <c r="BE17" s="581">
        <f t="shared" ref="BE17:BO17" si="7">BE22*$BB$17</f>
        <v>471370033.39280277</v>
      </c>
      <c r="BF17" s="581">
        <f t="shared" si="7"/>
        <v>556174612.57438505</v>
      </c>
      <c r="BG17" s="581">
        <f t="shared" si="7"/>
        <v>669917782.27876568</v>
      </c>
      <c r="BH17" s="581">
        <f t="shared" si="7"/>
        <v>698618896.99851084</v>
      </c>
      <c r="BI17" s="581">
        <f t="shared" si="7"/>
        <v>710344980.56723094</v>
      </c>
      <c r="BJ17" s="581">
        <f t="shared" si="7"/>
        <v>837680544.01315296</v>
      </c>
      <c r="BK17" s="581">
        <f t="shared" si="7"/>
        <v>871925345.55533755</v>
      </c>
      <c r="BL17" s="581">
        <f t="shared" si="7"/>
        <v>1037038621.5889556</v>
      </c>
      <c r="BM17" s="581">
        <f t="shared" si="7"/>
        <v>1343196060.3769705</v>
      </c>
      <c r="BN17" s="581">
        <f t="shared" si="7"/>
        <v>1467650498.9418654</v>
      </c>
      <c r="BO17" s="581">
        <f t="shared" si="7"/>
        <v>1832197683.7191079</v>
      </c>
      <c r="BP17" s="578">
        <f>SUM(BD17:BO17)</f>
        <v>11000000000.000002</v>
      </c>
      <c r="BQ17" s="594">
        <f>BP17/$BP$22</f>
        <v>0.22000000000000003</v>
      </c>
      <c r="BS17" s="591">
        <f>BP17/AV17</f>
        <v>2.5041610106870333</v>
      </c>
      <c r="BV17" s="578">
        <f t="shared" ref="BV17:CF17" si="8">SUM(BV15:BV16)</f>
        <v>712243496</v>
      </c>
      <c r="BW17" s="578">
        <f t="shared" si="8"/>
        <v>640353919</v>
      </c>
      <c r="BX17" s="578">
        <f t="shared" si="8"/>
        <v>663392460</v>
      </c>
      <c r="BY17" s="578">
        <f t="shared" si="8"/>
        <v>693831478</v>
      </c>
      <c r="BZ17" s="578">
        <f t="shared" si="8"/>
        <v>796396532</v>
      </c>
      <c r="CA17" s="578">
        <f t="shared" si="8"/>
        <v>0</v>
      </c>
      <c r="CB17" s="578">
        <f t="shared" si="8"/>
        <v>0</v>
      </c>
      <c r="CC17" s="578">
        <f t="shared" si="8"/>
        <v>0</v>
      </c>
      <c r="CD17" s="578">
        <f t="shared" si="8"/>
        <v>0</v>
      </c>
      <c r="CE17" s="578">
        <f t="shared" si="8"/>
        <v>0</v>
      </c>
      <c r="CF17" s="578">
        <f t="shared" si="8"/>
        <v>0</v>
      </c>
      <c r="CG17" s="578">
        <f>CF17*130%</f>
        <v>0</v>
      </c>
      <c r="CH17" s="578">
        <f>SUM(BV17:CG17)</f>
        <v>3506217885</v>
      </c>
      <c r="CI17" s="594">
        <f>CH17/$AV$22</f>
        <v>0.65094698240375548</v>
      </c>
      <c r="CK17" s="591">
        <f t="shared" si="3"/>
        <v>0.79819401114459554</v>
      </c>
    </row>
    <row r="18" spans="2:89" s="577" customFormat="1">
      <c r="C18" s="569" t="s">
        <v>104</v>
      </c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96">
        <f>AD17/AC17</f>
        <v>1.0479034978292949</v>
      </c>
      <c r="AE18" s="596">
        <f>AE17/AD17</f>
        <v>1.0732199389914185</v>
      </c>
      <c r="AF18" s="578"/>
      <c r="AG18" s="594"/>
      <c r="AI18" s="584"/>
      <c r="AJ18" s="578"/>
      <c r="AK18" s="578"/>
      <c r="AL18" s="578"/>
      <c r="AM18" s="578"/>
      <c r="AN18" s="578"/>
      <c r="AO18" s="578"/>
      <c r="AP18" s="578"/>
      <c r="AQ18" s="578"/>
      <c r="AR18" s="578"/>
      <c r="AS18" s="602"/>
      <c r="AT18" s="602"/>
      <c r="AU18" s="602"/>
      <c r="AV18" s="578"/>
      <c r="AW18" s="594"/>
      <c r="AY18" s="584"/>
      <c r="AZ18" s="584"/>
      <c r="BA18" s="594"/>
      <c r="BB18" s="595"/>
      <c r="BC18" s="595"/>
      <c r="BD18" s="581"/>
      <c r="BE18" s="581"/>
      <c r="BF18" s="581"/>
      <c r="BG18" s="581"/>
      <c r="BH18" s="581"/>
      <c r="BI18" s="581"/>
      <c r="BJ18" s="581"/>
      <c r="BK18" s="581"/>
      <c r="BL18" s="581"/>
      <c r="BM18" s="581"/>
      <c r="BN18" s="581"/>
      <c r="BO18" s="581"/>
      <c r="BP18" s="578"/>
      <c r="BQ18" s="594"/>
      <c r="BS18" s="591"/>
      <c r="BV18" s="578"/>
      <c r="BW18" s="578"/>
      <c r="BX18" s="578"/>
      <c r="BY18" s="578"/>
      <c r="BZ18" s="578"/>
      <c r="CA18" s="578"/>
      <c r="CB18" s="578"/>
      <c r="CC18" s="578"/>
      <c r="CD18" s="578"/>
      <c r="CE18" s="602"/>
      <c r="CF18" s="602"/>
      <c r="CG18" s="602"/>
      <c r="CH18" s="578"/>
      <c r="CI18" s="594"/>
      <c r="CK18" s="584"/>
    </row>
    <row r="19" spans="2:89" s="587" customFormat="1" ht="13.2">
      <c r="D19" s="587" t="s">
        <v>100</v>
      </c>
      <c r="T19" s="588"/>
      <c r="U19" s="588"/>
      <c r="V19" s="588"/>
      <c r="W19" s="588">
        <v>6001897</v>
      </c>
      <c r="X19" s="588">
        <v>17390439</v>
      </c>
      <c r="Y19" s="588">
        <v>32204454</v>
      </c>
      <c r="Z19" s="588">
        <v>35341911</v>
      </c>
      <c r="AA19" s="588">
        <v>32726446</v>
      </c>
      <c r="AB19" s="588">
        <v>33449204</v>
      </c>
      <c r="AC19" s="588">
        <v>31398331</v>
      </c>
      <c r="AD19" s="588">
        <v>28245406</v>
      </c>
      <c r="AE19" s="588">
        <v>35961352</v>
      </c>
      <c r="AF19" s="588">
        <f>SUM(T19:AE19)</f>
        <v>252719440</v>
      </c>
      <c r="AG19" s="590"/>
      <c r="AH19" s="591">
        <f>AF19/AF21</f>
        <v>0.86082133103090142</v>
      </c>
      <c r="AI19" s="591" t="e">
        <f>AF19/Q19</f>
        <v>#DIV/0!</v>
      </c>
      <c r="AJ19" s="588">
        <v>42994207</v>
      </c>
      <c r="AK19" s="588">
        <v>44833993</v>
      </c>
      <c r="AL19" s="588">
        <v>55320433</v>
      </c>
      <c r="AM19" s="588">
        <v>74901575</v>
      </c>
      <c r="AN19" s="588">
        <v>76189641</v>
      </c>
      <c r="AO19" s="588">
        <v>73174184</v>
      </c>
      <c r="AP19" s="588">
        <v>75219334</v>
      </c>
      <c r="AQ19" s="588">
        <v>88527704</v>
      </c>
      <c r="AR19" s="588">
        <v>75943317</v>
      </c>
      <c r="AS19" s="588">
        <v>84642953</v>
      </c>
      <c r="AT19" s="588">
        <v>89004870</v>
      </c>
      <c r="AU19" s="588">
        <v>80633434</v>
      </c>
      <c r="AV19" s="588">
        <f>SUM(AJ19:AU19)</f>
        <v>861385645</v>
      </c>
      <c r="AW19" s="590"/>
      <c r="AX19" s="591">
        <f>AV19/AV21</f>
        <v>0.86689454920482123</v>
      </c>
      <c r="AY19" s="591">
        <f>AV19/AF19</f>
        <v>3.4084661037552157</v>
      </c>
      <c r="AZ19" s="591"/>
      <c r="BA19" s="590"/>
      <c r="BB19" s="592"/>
      <c r="BC19" s="592">
        <f>AX19</f>
        <v>0.86689454920482123</v>
      </c>
      <c r="BD19" s="593">
        <f t="shared" ref="BD19:BO19" si="9">BD21-BD20</f>
        <v>49638080.443892762</v>
      </c>
      <c r="BE19" s="593">
        <f t="shared" si="9"/>
        <v>46435012.796217643</v>
      </c>
      <c r="BF19" s="593">
        <f t="shared" si="9"/>
        <v>54789175.005322456</v>
      </c>
      <c r="BG19" s="593">
        <f t="shared" si="9"/>
        <v>65994099.303732291</v>
      </c>
      <c r="BH19" s="593">
        <f t="shared" si="9"/>
        <v>68821467.474942431</v>
      </c>
      <c r="BI19" s="593">
        <f t="shared" si="9"/>
        <v>69976612.694174662</v>
      </c>
      <c r="BJ19" s="593">
        <f t="shared" si="9"/>
        <v>82520533.815901324</v>
      </c>
      <c r="BK19" s="593">
        <f t="shared" si="9"/>
        <v>85894014.701755941</v>
      </c>
      <c r="BL19" s="593">
        <f t="shared" si="9"/>
        <v>102159446.40572123</v>
      </c>
      <c r="BM19" s="593">
        <f t="shared" si="9"/>
        <v>132319243.551612</v>
      </c>
      <c r="BN19" s="593">
        <f t="shared" si="9"/>
        <v>144579342.91709539</v>
      </c>
      <c r="BO19" s="593">
        <f t="shared" si="9"/>
        <v>180491157.39565834</v>
      </c>
      <c r="BP19" s="588">
        <f>SUM(BD19:BO19)</f>
        <v>1083618186.5060265</v>
      </c>
      <c r="BQ19" s="590"/>
      <c r="BR19" s="591">
        <f>BP19/BP21</f>
        <v>0.86689454920482123</v>
      </c>
      <c r="BS19" s="591">
        <f>BP19/AV19</f>
        <v>1.2579942477518609</v>
      </c>
      <c r="BV19" s="588">
        <f>'2018 VN YouTube View'!R16</f>
        <v>100691266</v>
      </c>
      <c r="BW19" s="588">
        <f>'2018 VN YouTube View'!S16</f>
        <v>87725110</v>
      </c>
      <c r="BX19" s="588">
        <f>'2018 VN YouTube View'!T16</f>
        <v>153626660</v>
      </c>
      <c r="BY19" s="588">
        <f>'2018 VN YouTube View'!U16</f>
        <v>184714554</v>
      </c>
      <c r="BZ19" s="588">
        <f>'2018 VN YouTube View'!V16</f>
        <v>156759564</v>
      </c>
      <c r="CA19" s="588">
        <f>'2018 VN YouTube View'!W16</f>
        <v>0</v>
      </c>
      <c r="CB19" s="588">
        <f>'2018 VN YouTube View'!X16</f>
        <v>0</v>
      </c>
      <c r="CC19" s="588">
        <f>'2018 VN YouTube View'!Y16</f>
        <v>0</v>
      </c>
      <c r="CD19" s="588">
        <f>'2018 VN YouTube View'!Z16</f>
        <v>0</v>
      </c>
      <c r="CE19" s="588">
        <f>'2018 VN YouTube View'!AA16</f>
        <v>0</v>
      </c>
      <c r="CF19" s="588">
        <f>'2018 VN YouTube View'!AB16</f>
        <v>0</v>
      </c>
      <c r="CG19" s="588">
        <f>'2018 VN YouTube View'!AC16</f>
        <v>0</v>
      </c>
      <c r="CH19" s="588">
        <f>SUM(BV19:CG19)</f>
        <v>683517154</v>
      </c>
      <c r="CI19" s="590"/>
      <c r="CJ19" s="591">
        <f>CH19/CH21</f>
        <v>0.59106748893277905</v>
      </c>
      <c r="CK19" s="591">
        <f t="shared" ref="CK19:CK21" si="10">CH19/AV19</f>
        <v>0.79350887487798805</v>
      </c>
    </row>
    <row r="20" spans="2:89" s="587" customFormat="1" ht="13.2">
      <c r="D20" s="587" t="s">
        <v>101</v>
      </c>
      <c r="T20" s="588"/>
      <c r="U20" s="588"/>
      <c r="V20" s="588"/>
      <c r="W20" s="588">
        <v>239102</v>
      </c>
      <c r="X20" s="588">
        <v>942731</v>
      </c>
      <c r="Y20" s="588">
        <v>1313396</v>
      </c>
      <c r="Z20" s="588">
        <v>1087556</v>
      </c>
      <c r="AA20" s="588">
        <v>834007</v>
      </c>
      <c r="AB20" s="588">
        <v>1999093</v>
      </c>
      <c r="AC20" s="588">
        <v>4433434</v>
      </c>
      <c r="AD20" s="588">
        <v>24991770</v>
      </c>
      <c r="AE20" s="588">
        <v>5018906</v>
      </c>
      <c r="AF20" s="588">
        <f>SUM(T20:AE20)</f>
        <v>40859995</v>
      </c>
      <c r="AG20" s="590"/>
      <c r="AH20" s="591">
        <f>AF20/AF21</f>
        <v>0.13917866896909861</v>
      </c>
      <c r="AI20" s="591" t="e">
        <f>AF20/Q20</f>
        <v>#DIV/0!</v>
      </c>
      <c r="AJ20" s="588">
        <v>3919811</v>
      </c>
      <c r="AK20" s="588">
        <v>5547266</v>
      </c>
      <c r="AL20" s="588">
        <v>3820477</v>
      </c>
      <c r="AM20" s="588">
        <v>5488258</v>
      </c>
      <c r="AN20" s="588">
        <v>6028224</v>
      </c>
      <c r="AO20" s="588">
        <v>11834340</v>
      </c>
      <c r="AP20" s="588">
        <v>10839599</v>
      </c>
      <c r="AQ20" s="588">
        <v>19022243</v>
      </c>
      <c r="AR20" s="588">
        <v>8854051</v>
      </c>
      <c r="AS20" s="588">
        <v>8879851</v>
      </c>
      <c r="AT20" s="588">
        <v>21758191</v>
      </c>
      <c r="AU20" s="588">
        <v>26267287</v>
      </c>
      <c r="AV20" s="588">
        <f>SUM(AJ20:AU20)</f>
        <v>132259598</v>
      </c>
      <c r="AW20" s="590"/>
      <c r="AX20" s="591">
        <f>AV20/AV21</f>
        <v>0.13310545079517883</v>
      </c>
      <c r="AY20" s="591">
        <f>AV20/AF20</f>
        <v>3.2368970676574973</v>
      </c>
      <c r="AZ20" s="591"/>
      <c r="BA20" s="590"/>
      <c r="BB20" s="592"/>
      <c r="BC20" s="592">
        <f>AX20</f>
        <v>0.13310545079517883</v>
      </c>
      <c r="BD20" s="593">
        <f>BD21*$BC$20</f>
        <v>7621571.828029383</v>
      </c>
      <c r="BE20" s="593">
        <f t="shared" ref="BE20:BO20" si="11">BE21*$BC$20</f>
        <v>7129763.7256917628</v>
      </c>
      <c r="BF20" s="593">
        <f t="shared" si="11"/>
        <v>8412485.5144940298</v>
      </c>
      <c r="BG20" s="593">
        <f t="shared" si="11"/>
        <v>10132921.409763815</v>
      </c>
      <c r="BH20" s="593">
        <f t="shared" si="11"/>
        <v>10567043.547615612</v>
      </c>
      <c r="BI20" s="593">
        <f t="shared" si="11"/>
        <v>10744407.824828843</v>
      </c>
      <c r="BJ20" s="593">
        <f t="shared" si="11"/>
        <v>12670437.094684247</v>
      </c>
      <c r="BK20" s="593">
        <f t="shared" si="11"/>
        <v>13188410.929532418</v>
      </c>
      <c r="BL20" s="593">
        <f t="shared" si="11"/>
        <v>15685851.502114637</v>
      </c>
      <c r="BM20" s="593">
        <f t="shared" si="11"/>
        <v>20316672.400316466</v>
      </c>
      <c r="BN20" s="593">
        <f t="shared" si="11"/>
        <v>22199122.871752974</v>
      </c>
      <c r="BO20" s="593">
        <f t="shared" si="11"/>
        <v>27713124.845149357</v>
      </c>
      <c r="BP20" s="588">
        <f>SUM(BD20:BO20)</f>
        <v>166381813.49397355</v>
      </c>
      <c r="BQ20" s="590"/>
      <c r="BR20" s="591">
        <f>BP20/BP21</f>
        <v>0.13310545079517885</v>
      </c>
      <c r="BS20" s="591">
        <f>BP20/AV20</f>
        <v>1.2579942477518611</v>
      </c>
      <c r="BV20" s="588">
        <f>'2018 VN YouTube View'!R17</f>
        <v>25297833</v>
      </c>
      <c r="BW20" s="588">
        <f>'2018 VN YouTube View'!S17</f>
        <v>12978272</v>
      </c>
      <c r="BX20" s="588">
        <f>'2018 VN YouTube View'!T17</f>
        <v>16189775</v>
      </c>
      <c r="BY20" s="588">
        <f>'2018 VN YouTube View'!U17</f>
        <v>173989023</v>
      </c>
      <c r="BZ20" s="588">
        <f>'2018 VN YouTube View'!V17</f>
        <v>244439295</v>
      </c>
      <c r="CA20" s="588">
        <f>'2018 VN YouTube View'!W17</f>
        <v>0</v>
      </c>
      <c r="CB20" s="588">
        <f>'2018 VN YouTube View'!X17</f>
        <v>0</v>
      </c>
      <c r="CC20" s="588">
        <f>'2018 VN YouTube View'!Y17</f>
        <v>0</v>
      </c>
      <c r="CD20" s="588">
        <f>'2018 VN YouTube View'!Z17</f>
        <v>0</v>
      </c>
      <c r="CE20" s="588">
        <f>'2018 VN YouTube View'!AA17</f>
        <v>0</v>
      </c>
      <c r="CF20" s="588">
        <f>'2018 VN YouTube View'!AB17</f>
        <v>0</v>
      </c>
      <c r="CG20" s="588">
        <f>'2018 VN YouTube View'!AC17</f>
        <v>0</v>
      </c>
      <c r="CH20" s="588">
        <f>SUM(BV20:CG20)</f>
        <v>472894198</v>
      </c>
      <c r="CI20" s="590"/>
      <c r="CJ20" s="591">
        <f>CH20/CH21</f>
        <v>0.40893251106722101</v>
      </c>
      <c r="CK20" s="591">
        <f t="shared" si="10"/>
        <v>3.5755000404583113</v>
      </c>
    </row>
    <row r="21" spans="2:89" s="577" customFormat="1" ht="13.2">
      <c r="C21" s="577" t="s">
        <v>105</v>
      </c>
      <c r="T21" s="578">
        <f t="shared" ref="T21:AE21" si="12">SUM(T19:T20)</f>
        <v>0</v>
      </c>
      <c r="U21" s="578">
        <f t="shared" si="12"/>
        <v>0</v>
      </c>
      <c r="V21" s="578">
        <f t="shared" si="12"/>
        <v>0</v>
      </c>
      <c r="W21" s="578">
        <f t="shared" si="12"/>
        <v>6240999</v>
      </c>
      <c r="X21" s="578">
        <f t="shared" si="12"/>
        <v>18333170</v>
      </c>
      <c r="Y21" s="578">
        <f t="shared" si="12"/>
        <v>33517850</v>
      </c>
      <c r="Z21" s="578">
        <f t="shared" si="12"/>
        <v>36429467</v>
      </c>
      <c r="AA21" s="578">
        <f t="shared" si="12"/>
        <v>33560453</v>
      </c>
      <c r="AB21" s="578">
        <f t="shared" si="12"/>
        <v>35448297</v>
      </c>
      <c r="AC21" s="578">
        <f t="shared" si="12"/>
        <v>35831765</v>
      </c>
      <c r="AD21" s="578">
        <f t="shared" si="12"/>
        <v>53237176</v>
      </c>
      <c r="AE21" s="578">
        <f t="shared" si="12"/>
        <v>40980258</v>
      </c>
      <c r="AF21" s="578">
        <f>SUM(T21:AE21)</f>
        <v>293579435</v>
      </c>
      <c r="AG21" s="594">
        <f>AF21/$AF$22</f>
        <v>0.18869614427141321</v>
      </c>
      <c r="AI21" s="591" t="e">
        <f>AF21/Q21</f>
        <v>#DIV/0!</v>
      </c>
      <c r="AJ21" s="578">
        <f t="shared" ref="AJ21:AU21" si="13">SUM(AJ19:AJ20)</f>
        <v>46914018</v>
      </c>
      <c r="AK21" s="578">
        <f t="shared" si="13"/>
        <v>50381259</v>
      </c>
      <c r="AL21" s="578">
        <f t="shared" si="13"/>
        <v>59140910</v>
      </c>
      <c r="AM21" s="578">
        <f t="shared" si="13"/>
        <v>80389833</v>
      </c>
      <c r="AN21" s="578">
        <f t="shared" si="13"/>
        <v>82217865</v>
      </c>
      <c r="AO21" s="578">
        <f t="shared" si="13"/>
        <v>85008524</v>
      </c>
      <c r="AP21" s="578">
        <f t="shared" si="13"/>
        <v>86058933</v>
      </c>
      <c r="AQ21" s="578">
        <f t="shared" si="13"/>
        <v>107549947</v>
      </c>
      <c r="AR21" s="578">
        <f t="shared" si="13"/>
        <v>84797368</v>
      </c>
      <c r="AS21" s="578">
        <f t="shared" si="13"/>
        <v>93522804</v>
      </c>
      <c r="AT21" s="578">
        <f t="shared" si="13"/>
        <v>110763061</v>
      </c>
      <c r="AU21" s="578">
        <f t="shared" si="13"/>
        <v>106900721</v>
      </c>
      <c r="AV21" s="578">
        <f>SUM(AJ21:AU21)</f>
        <v>993645243</v>
      </c>
      <c r="AW21" s="594">
        <f>AV21/$AV$22</f>
        <v>0.1844752362018986</v>
      </c>
      <c r="AX21" s="594"/>
      <c r="AY21" s="591">
        <f>AV21/AF21</f>
        <v>3.3845873536748239</v>
      </c>
      <c r="AZ21" s="591"/>
      <c r="BA21" s="594">
        <f>SUM(AC21:AE21,AJ21:AR21)/SUM($AC$22:$AE$22,$AJ$22:$AR$22)</f>
        <v>0.21455034198547585</v>
      </c>
      <c r="BB21" s="595">
        <v>2.5000000000000001E-2</v>
      </c>
      <c r="BC21" s="595"/>
      <c r="BD21" s="581">
        <f>BD22*$BB$21</f>
        <v>57259652.271922149</v>
      </c>
      <c r="BE21" s="581">
        <f t="shared" ref="BE21:BO21" si="14">BE22*$BB$21</f>
        <v>53564776.521909408</v>
      </c>
      <c r="BF21" s="581">
        <f t="shared" si="14"/>
        <v>63201660.519816488</v>
      </c>
      <c r="BG21" s="581">
        <f t="shared" si="14"/>
        <v>76127020.713496104</v>
      </c>
      <c r="BH21" s="581">
        <f t="shared" si="14"/>
        <v>79388511.022558048</v>
      </c>
      <c r="BI21" s="581">
        <f t="shared" si="14"/>
        <v>80721020.51900351</v>
      </c>
      <c r="BJ21" s="581">
        <f t="shared" si="14"/>
        <v>95190970.910585567</v>
      </c>
      <c r="BK21" s="581">
        <f t="shared" si="14"/>
        <v>99082425.631288365</v>
      </c>
      <c r="BL21" s="581">
        <f t="shared" si="14"/>
        <v>117845297.90783587</v>
      </c>
      <c r="BM21" s="581">
        <f t="shared" si="14"/>
        <v>152635915.95192847</v>
      </c>
      <c r="BN21" s="581">
        <f t="shared" si="14"/>
        <v>166778465.78884837</v>
      </c>
      <c r="BO21" s="581">
        <f t="shared" si="14"/>
        <v>208204282.24080771</v>
      </c>
      <c r="BP21" s="578">
        <f>SUM(BD21:BO21)</f>
        <v>1250000000</v>
      </c>
      <c r="BQ21" s="594">
        <f>BP21/$BP$22</f>
        <v>2.5000000000000001E-2</v>
      </c>
      <c r="BR21" s="594"/>
      <c r="BS21" s="591">
        <f>BP21/AV21</f>
        <v>1.2579942477518609</v>
      </c>
      <c r="BT21" s="596">
        <f>(BP13+BP21)/(AV13+AV21)</f>
        <v>1.2579942477518609</v>
      </c>
      <c r="BV21" s="578">
        <f t="shared" ref="BV21:CG21" si="15">SUM(BV19:BV20)</f>
        <v>125989099</v>
      </c>
      <c r="BW21" s="578">
        <f t="shared" si="15"/>
        <v>100703382</v>
      </c>
      <c r="BX21" s="578">
        <f t="shared" si="15"/>
        <v>169816435</v>
      </c>
      <c r="BY21" s="578">
        <f t="shared" si="15"/>
        <v>358703577</v>
      </c>
      <c r="BZ21" s="578">
        <f t="shared" si="15"/>
        <v>401198859</v>
      </c>
      <c r="CA21" s="578">
        <f t="shared" si="15"/>
        <v>0</v>
      </c>
      <c r="CB21" s="578">
        <f t="shared" si="15"/>
        <v>0</v>
      </c>
      <c r="CC21" s="578">
        <f t="shared" si="15"/>
        <v>0</v>
      </c>
      <c r="CD21" s="578">
        <f t="shared" si="15"/>
        <v>0</v>
      </c>
      <c r="CE21" s="578">
        <f t="shared" si="15"/>
        <v>0</v>
      </c>
      <c r="CF21" s="578">
        <f t="shared" si="15"/>
        <v>0</v>
      </c>
      <c r="CG21" s="578">
        <f t="shared" si="15"/>
        <v>0</v>
      </c>
      <c r="CH21" s="578">
        <f>SUM(BV21:CG21)</f>
        <v>1156411352</v>
      </c>
      <c r="CI21" s="594">
        <f>CH21/$AV$22</f>
        <v>0.21469358285526144</v>
      </c>
      <c r="CJ21" s="594"/>
      <c r="CK21" s="591">
        <f t="shared" si="10"/>
        <v>1.163807063080762</v>
      </c>
    </row>
    <row r="22" spans="2:89">
      <c r="B22" s="577" t="s">
        <v>106</v>
      </c>
      <c r="C22" s="577"/>
      <c r="D22" s="577"/>
      <c r="E22" s="578">
        <f>SUM(E9+E13+E17+E21)</f>
        <v>0</v>
      </c>
      <c r="F22" s="578">
        <f t="shared" ref="F22:Q22" si="16">SUM(F9+F13+F17+F21)</f>
        <v>0</v>
      </c>
      <c r="G22" s="578">
        <f t="shared" si="16"/>
        <v>0</v>
      </c>
      <c r="H22" s="578">
        <f t="shared" si="16"/>
        <v>0</v>
      </c>
      <c r="I22" s="578">
        <f t="shared" si="16"/>
        <v>0</v>
      </c>
      <c r="J22" s="578">
        <f t="shared" si="16"/>
        <v>0</v>
      </c>
      <c r="K22" s="578">
        <f t="shared" si="16"/>
        <v>0</v>
      </c>
      <c r="L22" s="578">
        <f t="shared" si="16"/>
        <v>0</v>
      </c>
      <c r="M22" s="578">
        <f t="shared" si="16"/>
        <v>0</v>
      </c>
      <c r="N22" s="578">
        <f t="shared" si="16"/>
        <v>0</v>
      </c>
      <c r="O22" s="578">
        <f t="shared" si="16"/>
        <v>0</v>
      </c>
      <c r="P22" s="578">
        <f t="shared" si="16"/>
        <v>0</v>
      </c>
      <c r="Q22" s="578">
        <f t="shared" si="16"/>
        <v>0</v>
      </c>
      <c r="R22" s="577"/>
      <c r="S22" s="577"/>
      <c r="T22" s="578">
        <f t="shared" ref="T22:AF22" si="17">SUM(T9+T13+T17+T21)</f>
        <v>0</v>
      </c>
      <c r="U22" s="578">
        <f t="shared" si="17"/>
        <v>0</v>
      </c>
      <c r="V22" s="578">
        <f t="shared" si="17"/>
        <v>0</v>
      </c>
      <c r="W22" s="578">
        <f t="shared" si="17"/>
        <v>6327577</v>
      </c>
      <c r="X22" s="578">
        <f t="shared" si="17"/>
        <v>107698380</v>
      </c>
      <c r="Y22" s="578">
        <f t="shared" si="17"/>
        <v>195315016</v>
      </c>
      <c r="Z22" s="578">
        <f t="shared" si="17"/>
        <v>192237076</v>
      </c>
      <c r="AA22" s="578">
        <f t="shared" si="17"/>
        <v>189235661</v>
      </c>
      <c r="AB22" s="578">
        <f t="shared" si="17"/>
        <v>190781070</v>
      </c>
      <c r="AC22" s="578">
        <f t="shared" si="17"/>
        <v>207362663</v>
      </c>
      <c r="AD22" s="578">
        <f t="shared" si="17"/>
        <v>232985004</v>
      </c>
      <c r="AE22" s="578">
        <f t="shared" si="17"/>
        <v>233889211</v>
      </c>
      <c r="AF22" s="578">
        <f t="shared" si="17"/>
        <v>1555831658</v>
      </c>
      <c r="AG22" s="577"/>
      <c r="AH22" s="577"/>
      <c r="AI22" s="591" t="e">
        <f>AF22/Q22</f>
        <v>#DIV/0!</v>
      </c>
      <c r="AJ22" s="578">
        <f t="shared" ref="AJ22:AV22" si="18">SUM(AJ9+AJ13+AJ17+AJ21)</f>
        <v>246735691</v>
      </c>
      <c r="AK22" s="578">
        <f t="shared" si="18"/>
        <v>230814223</v>
      </c>
      <c r="AL22" s="578">
        <f t="shared" si="18"/>
        <v>272340204</v>
      </c>
      <c r="AM22" s="578">
        <f t="shared" si="18"/>
        <v>328036450</v>
      </c>
      <c r="AN22" s="578">
        <f t="shared" si="18"/>
        <v>342090431</v>
      </c>
      <c r="AO22" s="578">
        <f t="shared" si="18"/>
        <v>347832304</v>
      </c>
      <c r="AP22" s="578">
        <f t="shared" si="18"/>
        <v>410184293</v>
      </c>
      <c r="AQ22" s="578">
        <f t="shared" si="18"/>
        <v>426952833</v>
      </c>
      <c r="AR22" s="578">
        <f t="shared" si="18"/>
        <v>507803311</v>
      </c>
      <c r="AS22" s="578">
        <f t="shared" si="18"/>
        <v>657718423</v>
      </c>
      <c r="AT22" s="578">
        <f t="shared" si="18"/>
        <v>718659621</v>
      </c>
      <c r="AU22" s="578">
        <f t="shared" si="18"/>
        <v>897166249</v>
      </c>
      <c r="AV22" s="578">
        <f t="shared" si="18"/>
        <v>5386334033</v>
      </c>
      <c r="AW22" s="577"/>
      <c r="AX22" s="577"/>
      <c r="AY22" s="577"/>
      <c r="AZ22" s="577"/>
      <c r="BA22" s="603">
        <f>SUM(BA9:BA21)</f>
        <v>1</v>
      </c>
      <c r="BB22" s="603">
        <f>SUM(BB9:BB21)</f>
        <v>0.245</v>
      </c>
      <c r="BC22" s="603"/>
      <c r="BD22" s="578">
        <f t="shared" ref="BD22:BO22" si="19">$BP$22*AJ3</f>
        <v>2290386090.8768859</v>
      </c>
      <c r="BE22" s="578">
        <f t="shared" si="19"/>
        <v>2142591060.8763762</v>
      </c>
      <c r="BF22" s="578">
        <f t="shared" si="19"/>
        <v>2528066420.7926593</v>
      </c>
      <c r="BG22" s="578">
        <f t="shared" si="19"/>
        <v>3045080828.539844</v>
      </c>
      <c r="BH22" s="578">
        <f t="shared" si="19"/>
        <v>3175540440.9023218</v>
      </c>
      <c r="BI22" s="578">
        <f t="shared" si="19"/>
        <v>3228840820.7601404</v>
      </c>
      <c r="BJ22" s="578">
        <f t="shared" si="19"/>
        <v>3807638836.4234223</v>
      </c>
      <c r="BK22" s="578">
        <f t="shared" si="19"/>
        <v>3963297025.2515345</v>
      </c>
      <c r="BL22" s="578">
        <f t="shared" si="19"/>
        <v>4713811916.3134346</v>
      </c>
      <c r="BM22" s="578">
        <f t="shared" si="19"/>
        <v>6105436638.0771389</v>
      </c>
      <c r="BN22" s="578">
        <f t="shared" si="19"/>
        <v>6671138631.5539341</v>
      </c>
      <c r="BO22" s="578">
        <f t="shared" si="19"/>
        <v>8328171289.632308</v>
      </c>
      <c r="BP22" s="578">
        <v>50000000000</v>
      </c>
      <c r="BQ22" s="588" t="b">
        <f>SUM(BP9,BP13,BP17,BP21)=BP22</f>
        <v>0</v>
      </c>
      <c r="BR22" s="582"/>
      <c r="BS22" s="581"/>
      <c r="BT22" s="604">
        <f>BP22/AV22</f>
        <v>9.2827514397861712</v>
      </c>
      <c r="BV22" s="578">
        <f t="shared" ref="BV22:CH22" si="20">SUM(BV9+BV13+BV17+BV21)</f>
        <v>838232595</v>
      </c>
      <c r="BW22" s="578">
        <f t="shared" si="20"/>
        <v>741057301</v>
      </c>
      <c r="BX22" s="578">
        <f t="shared" si="20"/>
        <v>833208895</v>
      </c>
      <c r="BY22" s="578">
        <f t="shared" si="20"/>
        <v>1052535055</v>
      </c>
      <c r="BZ22" s="578">
        <f t="shared" si="20"/>
        <v>1197595391</v>
      </c>
      <c r="CA22" s="578">
        <f t="shared" si="20"/>
        <v>0</v>
      </c>
      <c r="CB22" s="578">
        <f t="shared" si="20"/>
        <v>0</v>
      </c>
      <c r="CC22" s="578">
        <f t="shared" si="20"/>
        <v>0</v>
      </c>
      <c r="CD22" s="578">
        <f t="shared" si="20"/>
        <v>0</v>
      </c>
      <c r="CE22" s="578">
        <f t="shared" si="20"/>
        <v>0</v>
      </c>
      <c r="CF22" s="578">
        <f t="shared" si="20"/>
        <v>0</v>
      </c>
      <c r="CG22" s="578">
        <f t="shared" si="20"/>
        <v>0</v>
      </c>
      <c r="CH22" s="578">
        <f t="shared" si="20"/>
        <v>4662629237</v>
      </c>
      <c r="CI22" s="577"/>
      <c r="CJ22" s="577"/>
      <c r="CK22" s="577"/>
    </row>
    <row r="23" spans="2:89"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77"/>
      <c r="P23" s="577"/>
      <c r="Q23" s="577"/>
      <c r="R23" s="577"/>
      <c r="S23" s="577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96">
        <f>AE22/AD22</f>
        <v>1.0038809665192014</v>
      </c>
      <c r="AF23" s="578"/>
      <c r="AG23" s="577"/>
      <c r="AH23" s="577"/>
      <c r="AI23" s="577"/>
      <c r="AJ23" s="577"/>
      <c r="AK23" s="577"/>
      <c r="AL23" s="577"/>
      <c r="AM23" s="577"/>
      <c r="AN23" s="577"/>
      <c r="AO23" s="577"/>
      <c r="AP23" s="577"/>
      <c r="AQ23" s="577"/>
      <c r="AR23" s="577"/>
      <c r="AS23" s="577"/>
      <c r="AT23" s="577"/>
      <c r="AU23" s="577"/>
      <c r="AV23" s="577"/>
      <c r="AW23" s="577"/>
      <c r="AX23" s="577"/>
      <c r="AY23" s="577"/>
      <c r="AZ23" s="577"/>
      <c r="BA23" s="577"/>
      <c r="BB23" s="595"/>
      <c r="BC23" s="595"/>
      <c r="BD23" s="581"/>
      <c r="BE23" s="581"/>
      <c r="BF23" s="581"/>
      <c r="BG23" s="581"/>
      <c r="BH23" s="581"/>
      <c r="BI23" s="581"/>
      <c r="BJ23" s="581"/>
      <c r="BK23" s="581"/>
      <c r="BL23" s="581"/>
      <c r="BM23" s="581"/>
      <c r="BN23" s="581"/>
      <c r="BO23" s="581"/>
      <c r="BP23" s="581">
        <f>BP9+BP13+BP17+BP21</f>
        <v>12250000000.000002</v>
      </c>
      <c r="BQ23" s="582"/>
      <c r="BR23" s="582"/>
      <c r="BS23" s="581"/>
      <c r="BT23" s="604">
        <f>BP23/AV22</f>
        <v>2.2742741027476123</v>
      </c>
      <c r="BV23" s="577"/>
      <c r="BW23" s="577"/>
      <c r="BX23" s="577"/>
      <c r="BY23" s="577"/>
      <c r="BZ23" s="577"/>
      <c r="CA23" s="577"/>
      <c r="CB23" s="577"/>
      <c r="CC23" s="577"/>
      <c r="CD23" s="577"/>
      <c r="CE23" s="577"/>
      <c r="CF23" s="577"/>
      <c r="CG23" s="577"/>
      <c r="CH23" s="577"/>
      <c r="CI23" s="577"/>
      <c r="CJ23" s="577"/>
      <c r="CK23" s="577"/>
    </row>
    <row r="24" spans="2:89">
      <c r="B24" s="577" t="s">
        <v>7</v>
      </c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77"/>
      <c r="P24" s="577"/>
      <c r="Q24" s="577"/>
      <c r="R24" s="577"/>
      <c r="S24" s="606" t="e">
        <f>SUM(Q28,Q32,Q36,Q40)/Q42</f>
        <v>#DIV/0!</v>
      </c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7"/>
      <c r="AH24" s="606">
        <f>SUM(AF28,AF32,AF36,AF40)/AF42</f>
        <v>0.17938081672657463</v>
      </c>
      <c r="AI24" s="577"/>
      <c r="AJ24" s="577"/>
      <c r="AK24" s="577"/>
      <c r="AL24" s="577"/>
      <c r="AM24" s="577"/>
      <c r="AN24" s="577"/>
      <c r="AO24" s="577"/>
      <c r="AP24" s="577"/>
      <c r="AQ24" s="577"/>
      <c r="AR24" s="577"/>
      <c r="AS24" s="577"/>
      <c r="AT24" s="577"/>
      <c r="AU24" s="577"/>
      <c r="AV24" s="577"/>
      <c r="AW24" s="577"/>
      <c r="AX24" s="606">
        <f>SUM(AV28,AV32,AV36,AV40)/AV42</f>
        <v>0.28983951862410307</v>
      </c>
      <c r="AY24" s="577"/>
      <c r="AZ24" s="577"/>
      <c r="BA24" s="577"/>
      <c r="BB24" s="595"/>
      <c r="BC24" s="595"/>
      <c r="BD24" s="581"/>
      <c r="BE24" s="581"/>
      <c r="BF24" s="581"/>
      <c r="BG24" s="581"/>
      <c r="BH24" s="581"/>
      <c r="BI24" s="581"/>
      <c r="BJ24" s="581"/>
      <c r="BK24" s="581"/>
      <c r="BL24" s="581"/>
      <c r="BM24" s="581"/>
      <c r="BN24" s="581"/>
      <c r="BO24" s="581"/>
      <c r="BP24" s="581"/>
      <c r="BQ24" s="582"/>
      <c r="BR24" s="606">
        <f>SUM(BP28,BP32,BP36,BP40)/BP42</f>
        <v>0.27055443982921096</v>
      </c>
      <c r="BS24" s="581"/>
      <c r="BV24" s="577"/>
      <c r="BW24" s="577"/>
      <c r="BX24" s="577"/>
      <c r="BY24" s="577"/>
      <c r="BZ24" s="577"/>
      <c r="CA24" s="577"/>
      <c r="CB24" s="577"/>
      <c r="CC24" s="577"/>
      <c r="CD24" s="577"/>
      <c r="CE24" s="577"/>
      <c r="CF24" s="577"/>
      <c r="CG24" s="577"/>
      <c r="CH24" s="577"/>
      <c r="CI24" s="577"/>
      <c r="CJ24" s="606">
        <f>SUM(CH28,CH32,CH36,CH40)/CH42</f>
        <v>0.44478265102195075</v>
      </c>
      <c r="CK24" s="577"/>
    </row>
    <row r="25" spans="2:89"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7"/>
      <c r="AH25" s="577"/>
      <c r="AI25" s="577"/>
      <c r="AJ25" s="577"/>
      <c r="AK25" s="577"/>
      <c r="AL25" s="577"/>
      <c r="AM25" s="577"/>
      <c r="AN25" s="577"/>
      <c r="AO25" s="577"/>
      <c r="AP25" s="577"/>
      <c r="AQ25" s="577"/>
      <c r="AR25" s="577"/>
      <c r="AS25" s="577"/>
      <c r="AT25" s="577"/>
      <c r="AU25" s="577"/>
      <c r="AV25" s="570"/>
      <c r="AW25" s="570"/>
      <c r="AX25" s="577"/>
      <c r="AY25" s="577"/>
      <c r="AZ25" s="577"/>
      <c r="BA25" s="577"/>
      <c r="BB25" s="595"/>
      <c r="BC25" s="595"/>
      <c r="BD25" s="581"/>
      <c r="BE25" s="581"/>
      <c r="BF25" s="581"/>
      <c r="BG25" s="581"/>
      <c r="BH25" s="581"/>
      <c r="BI25" s="581"/>
      <c r="BJ25" s="581"/>
      <c r="BK25" s="581"/>
      <c r="BL25" s="581"/>
      <c r="BM25" s="581"/>
      <c r="BN25" s="581"/>
      <c r="BO25" s="581"/>
      <c r="BP25" s="581"/>
      <c r="BQ25" s="582"/>
      <c r="BR25" s="582"/>
      <c r="BS25" s="581"/>
      <c r="BV25" s="577"/>
      <c r="BW25" s="577"/>
      <c r="BX25" s="577"/>
      <c r="BY25" s="577"/>
      <c r="BZ25" s="577"/>
      <c r="CA25" s="577"/>
      <c r="CB25" s="577"/>
      <c r="CC25" s="577"/>
      <c r="CD25" s="577"/>
      <c r="CE25" s="577"/>
      <c r="CF25" s="577"/>
      <c r="CG25" s="577"/>
      <c r="CH25" s="570"/>
      <c r="CI25" s="570"/>
      <c r="CJ25" s="577"/>
      <c r="CK25" s="577"/>
    </row>
    <row r="26" spans="2:89" hidden="1">
      <c r="E26" s="588"/>
      <c r="F26" s="577"/>
      <c r="G26" s="577"/>
      <c r="H26" s="577"/>
      <c r="I26" s="577"/>
      <c r="J26" s="577"/>
      <c r="K26" s="577"/>
      <c r="L26" s="577"/>
      <c r="M26" s="577"/>
      <c r="N26" s="577"/>
      <c r="O26" s="577"/>
      <c r="P26" s="577"/>
      <c r="Q26" s="577"/>
      <c r="R26" s="577"/>
      <c r="S26" s="577"/>
      <c r="T26" s="588"/>
      <c r="U26" s="577"/>
      <c r="V26" s="577"/>
      <c r="W26" s="577"/>
      <c r="X26" s="577"/>
      <c r="Y26" s="577"/>
      <c r="Z26" s="577"/>
      <c r="AA26" s="577"/>
      <c r="AB26" s="577"/>
      <c r="AC26" s="577"/>
      <c r="AD26" s="577"/>
      <c r="AE26" s="577"/>
      <c r="AF26" s="577"/>
      <c r="AG26" s="577"/>
      <c r="AH26" s="577"/>
      <c r="AI26" s="577"/>
      <c r="AJ26" s="588"/>
      <c r="AK26" s="577"/>
      <c r="AL26" s="577"/>
      <c r="AM26" s="577"/>
      <c r="AN26" s="577"/>
      <c r="AO26" s="577"/>
      <c r="AP26" s="577"/>
      <c r="AQ26" s="577"/>
      <c r="AR26" s="577"/>
      <c r="AS26" s="577"/>
      <c r="AT26" s="577"/>
      <c r="AU26" s="577"/>
      <c r="AX26" s="577"/>
      <c r="AY26" s="577"/>
      <c r="AZ26" s="577"/>
      <c r="BA26" s="577"/>
      <c r="BB26" s="595"/>
      <c r="BC26" s="595"/>
      <c r="BD26" s="581"/>
      <c r="BE26" s="581"/>
      <c r="BF26" s="581"/>
      <c r="BG26" s="581"/>
      <c r="BH26" s="581"/>
      <c r="BI26" s="581"/>
      <c r="BJ26" s="581"/>
      <c r="BK26" s="581"/>
      <c r="BL26" s="581"/>
      <c r="BM26" s="581"/>
      <c r="BN26" s="581"/>
      <c r="BO26" s="581"/>
      <c r="BP26" s="581"/>
      <c r="BQ26" s="582"/>
      <c r="BR26" s="582"/>
      <c r="BS26" s="581"/>
      <c r="BV26" s="588"/>
      <c r="BW26" s="577"/>
      <c r="BX26" s="577"/>
      <c r="BY26" s="577"/>
      <c r="BZ26" s="577"/>
      <c r="CA26" s="577"/>
      <c r="CB26" s="577"/>
      <c r="CC26" s="577"/>
      <c r="CD26" s="577"/>
      <c r="CE26" s="577"/>
      <c r="CF26" s="577"/>
      <c r="CG26" s="577"/>
      <c r="CJ26" s="577"/>
      <c r="CK26" s="577"/>
    </row>
    <row r="27" spans="2:89" hidden="1">
      <c r="B27" s="587"/>
      <c r="C27" s="587"/>
      <c r="D27" s="587"/>
      <c r="E27" s="607"/>
      <c r="F27" s="607"/>
      <c r="G27" s="607"/>
      <c r="H27" s="607"/>
      <c r="I27" s="607"/>
      <c r="J27" s="607"/>
      <c r="K27" s="607"/>
      <c r="L27" s="607"/>
      <c r="M27" s="607"/>
      <c r="N27" s="607"/>
      <c r="O27" s="607"/>
      <c r="P27" s="607"/>
      <c r="Q27" s="607"/>
      <c r="R27" s="590"/>
      <c r="S27" s="591"/>
      <c r="T27" s="607"/>
      <c r="U27" s="607"/>
      <c r="V27" s="607"/>
      <c r="W27" s="607"/>
      <c r="X27" s="607"/>
      <c r="Y27" s="607"/>
      <c r="Z27" s="607"/>
      <c r="AA27" s="607"/>
      <c r="AB27" s="607"/>
      <c r="AC27" s="607"/>
      <c r="AD27" s="607"/>
      <c r="AE27" s="607"/>
      <c r="AF27" s="607"/>
      <c r="AG27" s="590"/>
      <c r="AH27" s="591"/>
      <c r="AI27" s="591"/>
      <c r="AJ27" s="607"/>
      <c r="AK27" s="607"/>
      <c r="AL27" s="607"/>
      <c r="AM27" s="607"/>
      <c r="AN27" s="607"/>
      <c r="AO27" s="607"/>
      <c r="AP27" s="607"/>
      <c r="AQ27" s="607"/>
      <c r="AR27" s="607"/>
      <c r="AS27" s="607"/>
      <c r="AT27" s="607"/>
      <c r="AU27" s="607"/>
      <c r="AV27" s="607"/>
      <c r="AW27" s="590"/>
      <c r="AX27" s="591"/>
      <c r="AY27" s="591"/>
      <c r="AZ27" s="577"/>
      <c r="BA27" s="577"/>
      <c r="BB27" s="595"/>
      <c r="BC27" s="592"/>
      <c r="BD27" s="608"/>
      <c r="BE27" s="593"/>
      <c r="BF27" s="593"/>
      <c r="BG27" s="593"/>
      <c r="BH27" s="593"/>
      <c r="BI27" s="593"/>
      <c r="BJ27" s="593"/>
      <c r="BK27" s="593"/>
      <c r="BL27" s="593"/>
      <c r="BM27" s="593"/>
      <c r="BN27" s="593"/>
      <c r="BO27" s="593"/>
      <c r="BP27" s="607"/>
      <c r="BQ27" s="590"/>
      <c r="BR27" s="591"/>
      <c r="BS27" s="591"/>
      <c r="BV27" s="607"/>
      <c r="BW27" s="607"/>
      <c r="BX27" s="607"/>
      <c r="BY27" s="607"/>
      <c r="BZ27" s="607"/>
      <c r="CA27" s="607"/>
      <c r="CB27" s="607"/>
      <c r="CC27" s="607"/>
      <c r="CD27" s="607"/>
      <c r="CE27" s="607"/>
      <c r="CF27" s="607"/>
      <c r="CG27" s="607"/>
      <c r="CH27" s="607"/>
      <c r="CI27" s="590"/>
      <c r="CJ27" s="591"/>
      <c r="CK27" s="591"/>
    </row>
    <row r="28" spans="2:89" hidden="1">
      <c r="B28" s="587"/>
      <c r="C28" s="587"/>
      <c r="D28" s="587"/>
      <c r="E28" s="607"/>
      <c r="F28" s="607"/>
      <c r="G28" s="607"/>
      <c r="H28" s="607"/>
      <c r="I28" s="607"/>
      <c r="J28" s="607"/>
      <c r="K28" s="607"/>
      <c r="L28" s="607"/>
      <c r="M28" s="607"/>
      <c r="N28" s="607"/>
      <c r="O28" s="607"/>
      <c r="P28" s="607"/>
      <c r="Q28" s="607"/>
      <c r="R28" s="590"/>
      <c r="S28" s="591"/>
      <c r="T28" s="607"/>
      <c r="U28" s="607"/>
      <c r="V28" s="607"/>
      <c r="W28" s="607"/>
      <c r="X28" s="607"/>
      <c r="Y28" s="607"/>
      <c r="Z28" s="607"/>
      <c r="AA28" s="607"/>
      <c r="AB28" s="607"/>
      <c r="AC28" s="607"/>
      <c r="AD28" s="607"/>
      <c r="AE28" s="607"/>
      <c r="AF28" s="607"/>
      <c r="AG28" s="590"/>
      <c r="AH28" s="591"/>
      <c r="AI28" s="591"/>
      <c r="AJ28" s="607"/>
      <c r="AK28" s="607"/>
      <c r="AL28" s="607"/>
      <c r="AM28" s="607"/>
      <c r="AN28" s="607"/>
      <c r="AO28" s="607"/>
      <c r="AP28" s="607"/>
      <c r="AQ28" s="607"/>
      <c r="AR28" s="607"/>
      <c r="AS28" s="607"/>
      <c r="AT28" s="607"/>
      <c r="AU28" s="607"/>
      <c r="AV28" s="607"/>
      <c r="AW28" s="590"/>
      <c r="AX28" s="591"/>
      <c r="AY28" s="591"/>
      <c r="AZ28" s="577"/>
      <c r="BA28" s="577"/>
      <c r="BB28" s="595"/>
      <c r="BC28" s="592"/>
      <c r="BD28" s="608"/>
      <c r="BE28" s="593"/>
      <c r="BF28" s="593"/>
      <c r="BG28" s="593"/>
      <c r="BH28" s="593"/>
      <c r="BI28" s="593"/>
      <c r="BJ28" s="593"/>
      <c r="BK28" s="593"/>
      <c r="BL28" s="593"/>
      <c r="BM28" s="593"/>
      <c r="BN28" s="593"/>
      <c r="BO28" s="593"/>
      <c r="BP28" s="607"/>
      <c r="BQ28" s="590"/>
      <c r="BR28" s="591"/>
      <c r="BS28" s="591"/>
      <c r="BV28" s="607"/>
      <c r="BW28" s="607"/>
      <c r="BX28" s="607"/>
      <c r="BY28" s="607"/>
      <c r="BZ28" s="607"/>
      <c r="CA28" s="607"/>
      <c r="CB28" s="607"/>
      <c r="CC28" s="607"/>
      <c r="CD28" s="607"/>
      <c r="CE28" s="607"/>
      <c r="CF28" s="607"/>
      <c r="CG28" s="607"/>
      <c r="CH28" s="607"/>
      <c r="CI28" s="590"/>
      <c r="CJ28" s="591"/>
      <c r="CK28" s="591"/>
    </row>
    <row r="29" spans="2:89" hidden="1">
      <c r="B29" s="577"/>
      <c r="C29" s="577"/>
      <c r="D29" s="577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09"/>
      <c r="R29" s="594"/>
      <c r="S29" s="577"/>
      <c r="T29" s="609"/>
      <c r="U29" s="609"/>
      <c r="V29" s="609"/>
      <c r="W29" s="609"/>
      <c r="X29" s="609"/>
      <c r="Y29" s="609"/>
      <c r="Z29" s="609"/>
      <c r="AA29" s="609"/>
      <c r="AB29" s="609"/>
      <c r="AC29" s="609"/>
      <c r="AD29" s="609"/>
      <c r="AE29" s="609"/>
      <c r="AF29" s="609"/>
      <c r="AG29" s="594"/>
      <c r="AH29" s="577"/>
      <c r="AI29" s="591"/>
      <c r="AJ29" s="609"/>
      <c r="AK29" s="609"/>
      <c r="AL29" s="609"/>
      <c r="AM29" s="609"/>
      <c r="AN29" s="609"/>
      <c r="AO29" s="609"/>
      <c r="AP29" s="609"/>
      <c r="AQ29" s="609"/>
      <c r="AR29" s="609"/>
      <c r="AS29" s="609"/>
      <c r="AT29" s="609"/>
      <c r="AU29" s="609"/>
      <c r="AV29" s="609"/>
      <c r="AW29" s="594"/>
      <c r="AX29" s="577"/>
      <c r="AY29" s="591"/>
      <c r="AZ29" s="577"/>
      <c r="BA29" s="594"/>
      <c r="BB29" s="595"/>
      <c r="BC29" s="595"/>
      <c r="BD29" s="610"/>
      <c r="BE29" s="610"/>
      <c r="BF29" s="610"/>
      <c r="BG29" s="610"/>
      <c r="BH29" s="610"/>
      <c r="BI29" s="610"/>
      <c r="BJ29" s="610"/>
      <c r="BK29" s="610"/>
      <c r="BL29" s="610"/>
      <c r="BM29" s="610"/>
      <c r="BN29" s="610"/>
      <c r="BO29" s="610"/>
      <c r="BP29" s="609"/>
      <c r="BQ29" s="594"/>
      <c r="BR29" s="577"/>
      <c r="BS29" s="591"/>
      <c r="BV29" s="609"/>
      <c r="BW29" s="609"/>
      <c r="BX29" s="609"/>
      <c r="BY29" s="609"/>
      <c r="BZ29" s="609"/>
      <c r="CA29" s="609"/>
      <c r="CB29" s="609"/>
      <c r="CC29" s="609"/>
      <c r="CD29" s="609"/>
      <c r="CE29" s="609"/>
      <c r="CF29" s="609"/>
      <c r="CG29" s="609"/>
      <c r="CH29" s="609"/>
      <c r="CI29" s="594"/>
      <c r="CJ29" s="577"/>
      <c r="CK29" s="591"/>
    </row>
    <row r="30" spans="2:89" hidden="1">
      <c r="B30" s="577"/>
      <c r="D30" s="577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09"/>
      <c r="R30" s="594"/>
      <c r="S30" s="577"/>
      <c r="T30" s="609"/>
      <c r="U30" s="609"/>
      <c r="V30" s="609"/>
      <c r="W30" s="609"/>
      <c r="X30" s="609"/>
      <c r="Y30" s="609"/>
      <c r="Z30" s="609"/>
      <c r="AA30" s="609"/>
      <c r="AB30" s="609"/>
      <c r="AC30" s="609"/>
      <c r="AD30" s="594"/>
      <c r="AE30" s="594"/>
      <c r="AF30" s="609"/>
      <c r="AG30" s="594"/>
      <c r="AH30" s="577"/>
      <c r="AI30" s="591"/>
      <c r="AJ30" s="609"/>
      <c r="AK30" s="609"/>
      <c r="AL30" s="609"/>
      <c r="AM30" s="609"/>
      <c r="AN30" s="609"/>
      <c r="AO30" s="609"/>
      <c r="AP30" s="609"/>
      <c r="AQ30" s="609"/>
      <c r="AR30" s="611"/>
      <c r="AS30" s="611"/>
      <c r="AT30" s="611"/>
      <c r="AU30" s="611"/>
      <c r="AV30" s="609"/>
      <c r="AW30" s="594"/>
      <c r="AX30" s="577"/>
      <c r="AY30" s="591"/>
      <c r="AZ30" s="577"/>
      <c r="BA30" s="594"/>
      <c r="BB30" s="595"/>
      <c r="BC30" s="595"/>
      <c r="BD30" s="610"/>
      <c r="BE30" s="610"/>
      <c r="BF30" s="610"/>
      <c r="BG30" s="610"/>
      <c r="BH30" s="610"/>
      <c r="BI30" s="610"/>
      <c r="BJ30" s="610"/>
      <c r="BK30" s="610"/>
      <c r="BL30" s="610"/>
      <c r="BM30" s="610"/>
      <c r="BN30" s="610"/>
      <c r="BO30" s="610"/>
      <c r="BP30" s="609"/>
      <c r="BQ30" s="594"/>
      <c r="BR30" s="577"/>
      <c r="BS30" s="591"/>
      <c r="BV30" s="609"/>
      <c r="BW30" s="609"/>
      <c r="BX30" s="609"/>
      <c r="BY30" s="609"/>
      <c r="BZ30" s="609"/>
      <c r="CA30" s="609"/>
      <c r="CB30" s="609"/>
      <c r="CC30" s="609"/>
      <c r="CD30" s="611"/>
      <c r="CE30" s="611"/>
      <c r="CF30" s="611"/>
      <c r="CG30" s="611"/>
      <c r="CH30" s="609"/>
      <c r="CI30" s="594"/>
      <c r="CJ30" s="577"/>
      <c r="CK30" s="591"/>
    </row>
    <row r="31" spans="2:89" hidden="1">
      <c r="B31" s="587"/>
      <c r="C31" s="587"/>
      <c r="D31" s="587"/>
      <c r="E31" s="607"/>
      <c r="F31" s="607"/>
      <c r="G31" s="607"/>
      <c r="H31" s="607"/>
      <c r="I31" s="607"/>
      <c r="J31" s="607"/>
      <c r="K31" s="607"/>
      <c r="L31" s="607"/>
      <c r="M31" s="607"/>
      <c r="N31" s="607"/>
      <c r="O31" s="607"/>
      <c r="P31" s="607"/>
      <c r="Q31" s="607"/>
      <c r="R31" s="590"/>
      <c r="S31" s="591"/>
      <c r="T31" s="607"/>
      <c r="U31" s="607"/>
      <c r="V31" s="607"/>
      <c r="W31" s="607"/>
      <c r="X31" s="607"/>
      <c r="Y31" s="607"/>
      <c r="Z31" s="607"/>
      <c r="AA31" s="607"/>
      <c r="AB31" s="607"/>
      <c r="AC31" s="607"/>
      <c r="AD31" s="607"/>
      <c r="AE31" s="607"/>
      <c r="AF31" s="607"/>
      <c r="AG31" s="590"/>
      <c r="AH31" s="591"/>
      <c r="AI31" s="591"/>
      <c r="AJ31" s="607"/>
      <c r="AK31" s="607"/>
      <c r="AL31" s="607"/>
      <c r="AM31" s="607"/>
      <c r="AN31" s="607"/>
      <c r="AO31" s="607"/>
      <c r="AP31" s="607"/>
      <c r="AQ31" s="607"/>
      <c r="AR31" s="607"/>
      <c r="AS31" s="607"/>
      <c r="AT31" s="607"/>
      <c r="AU31" s="607"/>
      <c r="AV31" s="607"/>
      <c r="AW31" s="590"/>
      <c r="AX31" s="591"/>
      <c r="AY31" s="591"/>
      <c r="AZ31" s="577"/>
      <c r="BA31" s="590"/>
      <c r="BB31" s="595"/>
      <c r="BC31" s="592"/>
      <c r="BD31" s="608"/>
      <c r="BE31" s="608"/>
      <c r="BF31" s="608"/>
      <c r="BG31" s="608"/>
      <c r="BH31" s="608"/>
      <c r="BI31" s="608"/>
      <c r="BJ31" s="608"/>
      <c r="BK31" s="608"/>
      <c r="BL31" s="608"/>
      <c r="BM31" s="608"/>
      <c r="BN31" s="608"/>
      <c r="BO31" s="608"/>
      <c r="BP31" s="607"/>
      <c r="BQ31" s="590"/>
      <c r="BR31" s="591"/>
      <c r="BS31" s="591"/>
      <c r="BV31" s="607"/>
      <c r="BW31" s="607"/>
      <c r="BX31" s="607"/>
      <c r="BY31" s="607"/>
      <c r="BZ31" s="607"/>
      <c r="CA31" s="607"/>
      <c r="CB31" s="607"/>
      <c r="CC31" s="607"/>
      <c r="CD31" s="607"/>
      <c r="CE31" s="607"/>
      <c r="CF31" s="607"/>
      <c r="CG31" s="607"/>
      <c r="CH31" s="607"/>
      <c r="CI31" s="590"/>
      <c r="CJ31" s="591"/>
      <c r="CK31" s="591"/>
    </row>
    <row r="32" spans="2:89" hidden="1">
      <c r="B32" s="587"/>
      <c r="C32" s="587"/>
      <c r="D32" s="587"/>
      <c r="E32" s="607"/>
      <c r="F32" s="607"/>
      <c r="G32" s="607"/>
      <c r="H32" s="607"/>
      <c r="I32" s="607"/>
      <c r="J32" s="607"/>
      <c r="K32" s="607"/>
      <c r="L32" s="607"/>
      <c r="M32" s="607"/>
      <c r="N32" s="607"/>
      <c r="O32" s="607"/>
      <c r="P32" s="607"/>
      <c r="Q32" s="607"/>
      <c r="R32" s="590"/>
      <c r="S32" s="591"/>
      <c r="T32" s="607"/>
      <c r="U32" s="607"/>
      <c r="V32" s="607"/>
      <c r="W32" s="607"/>
      <c r="X32" s="607"/>
      <c r="Y32" s="607"/>
      <c r="Z32" s="607"/>
      <c r="AA32" s="607"/>
      <c r="AB32" s="607"/>
      <c r="AC32" s="607"/>
      <c r="AD32" s="607"/>
      <c r="AE32" s="607"/>
      <c r="AF32" s="607"/>
      <c r="AG32" s="590"/>
      <c r="AH32" s="591"/>
      <c r="AI32" s="591"/>
      <c r="AJ32" s="607"/>
      <c r="AK32" s="607"/>
      <c r="AL32" s="607"/>
      <c r="AM32" s="607"/>
      <c r="AN32" s="607"/>
      <c r="AO32" s="607"/>
      <c r="AP32" s="607"/>
      <c r="AQ32" s="607"/>
      <c r="AR32" s="607"/>
      <c r="AS32" s="607"/>
      <c r="AT32" s="607"/>
      <c r="AU32" s="607"/>
      <c r="AV32" s="607"/>
      <c r="AW32" s="590"/>
      <c r="AX32" s="591"/>
      <c r="AY32" s="591"/>
      <c r="AZ32" s="577"/>
      <c r="BA32" s="590"/>
      <c r="BB32" s="595"/>
      <c r="BC32" s="592"/>
      <c r="BD32" s="608"/>
      <c r="BE32" s="608"/>
      <c r="BF32" s="608"/>
      <c r="BG32" s="608"/>
      <c r="BH32" s="608"/>
      <c r="BI32" s="608"/>
      <c r="BJ32" s="608"/>
      <c r="BK32" s="608"/>
      <c r="BL32" s="608"/>
      <c r="BM32" s="608"/>
      <c r="BN32" s="608"/>
      <c r="BO32" s="608"/>
      <c r="BP32" s="607"/>
      <c r="BQ32" s="590"/>
      <c r="BR32" s="591"/>
      <c r="BS32" s="591"/>
      <c r="BV32" s="607"/>
      <c r="BW32" s="607"/>
      <c r="BX32" s="607"/>
      <c r="BY32" s="607"/>
      <c r="BZ32" s="607"/>
      <c r="CA32" s="607"/>
      <c r="CB32" s="607"/>
      <c r="CC32" s="607"/>
      <c r="CD32" s="607"/>
      <c r="CE32" s="607"/>
      <c r="CF32" s="607"/>
      <c r="CG32" s="607"/>
      <c r="CH32" s="607"/>
      <c r="CI32" s="590"/>
      <c r="CJ32" s="591"/>
      <c r="CK32" s="591"/>
    </row>
    <row r="33" spans="2:89" hidden="1">
      <c r="B33" s="577"/>
      <c r="C33" s="577"/>
      <c r="D33" s="577"/>
      <c r="E33" s="609"/>
      <c r="F33" s="609"/>
      <c r="G33" s="609"/>
      <c r="H33" s="609"/>
      <c r="I33" s="609"/>
      <c r="J33" s="609"/>
      <c r="K33" s="609"/>
      <c r="L33" s="609"/>
      <c r="M33" s="609"/>
      <c r="N33" s="609"/>
      <c r="O33" s="609"/>
      <c r="P33" s="609"/>
      <c r="Q33" s="609"/>
      <c r="R33" s="594"/>
      <c r="S33" s="577"/>
      <c r="T33" s="609"/>
      <c r="U33" s="609"/>
      <c r="V33" s="609"/>
      <c r="W33" s="609"/>
      <c r="X33" s="609"/>
      <c r="Y33" s="609"/>
      <c r="Z33" s="609"/>
      <c r="AA33" s="609"/>
      <c r="AB33" s="609"/>
      <c r="AC33" s="609"/>
      <c r="AD33" s="609"/>
      <c r="AE33" s="609"/>
      <c r="AF33" s="609"/>
      <c r="AG33" s="594"/>
      <c r="AH33" s="577"/>
      <c r="AI33" s="591"/>
      <c r="AJ33" s="609"/>
      <c r="AK33" s="609"/>
      <c r="AL33" s="609"/>
      <c r="AM33" s="609"/>
      <c r="AN33" s="609"/>
      <c r="AO33" s="609"/>
      <c r="AP33" s="609"/>
      <c r="AQ33" s="609"/>
      <c r="AR33" s="609"/>
      <c r="AS33" s="609"/>
      <c r="AT33" s="609"/>
      <c r="AU33" s="609"/>
      <c r="AV33" s="609"/>
      <c r="AW33" s="594"/>
      <c r="AX33" s="577"/>
      <c r="AY33" s="591"/>
      <c r="AZ33" s="577"/>
      <c r="BA33" s="594"/>
      <c r="BB33" s="595"/>
      <c r="BC33" s="595"/>
      <c r="BD33" s="610"/>
      <c r="BE33" s="610"/>
      <c r="BF33" s="610"/>
      <c r="BG33" s="610"/>
      <c r="BH33" s="610"/>
      <c r="BI33" s="610"/>
      <c r="BJ33" s="610"/>
      <c r="BK33" s="610"/>
      <c r="BL33" s="610"/>
      <c r="BM33" s="610"/>
      <c r="BN33" s="610"/>
      <c r="BO33" s="610"/>
      <c r="BP33" s="609"/>
      <c r="BQ33" s="594"/>
      <c r="BR33" s="577"/>
      <c r="BS33" s="591"/>
      <c r="BV33" s="609"/>
      <c r="BW33" s="609"/>
      <c r="BX33" s="609"/>
      <c r="BY33" s="609"/>
      <c r="BZ33" s="609"/>
      <c r="CA33" s="609"/>
      <c r="CB33" s="609"/>
      <c r="CC33" s="609"/>
      <c r="CD33" s="609"/>
      <c r="CE33" s="609"/>
      <c r="CF33" s="609"/>
      <c r="CG33" s="609"/>
      <c r="CH33" s="609"/>
      <c r="CI33" s="594"/>
      <c r="CJ33" s="577"/>
      <c r="CK33" s="591"/>
    </row>
    <row r="34" spans="2:89">
      <c r="C34" s="569" t="s">
        <v>102</v>
      </c>
      <c r="E34" s="612"/>
      <c r="F34" s="612"/>
      <c r="G34" s="612"/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597"/>
      <c r="T34" s="612"/>
      <c r="U34" s="612"/>
      <c r="V34" s="612"/>
      <c r="W34" s="612"/>
      <c r="X34" s="612"/>
      <c r="Y34" s="612"/>
      <c r="Z34" s="612"/>
      <c r="AA34" s="612"/>
      <c r="AB34" s="612"/>
      <c r="AC34" s="612"/>
      <c r="AD34" s="612"/>
      <c r="AE34" s="612"/>
      <c r="AF34" s="612"/>
      <c r="AG34" s="597"/>
      <c r="AI34" s="591"/>
      <c r="AJ34" s="612"/>
      <c r="AK34" s="612"/>
      <c r="AL34" s="612"/>
      <c r="AM34" s="612"/>
      <c r="AN34" s="612"/>
      <c r="AO34" s="612"/>
      <c r="AP34" s="612"/>
      <c r="AQ34" s="612"/>
      <c r="AR34" s="613"/>
      <c r="AS34" s="613"/>
      <c r="AT34" s="613"/>
      <c r="AU34" s="613"/>
      <c r="AV34" s="612"/>
      <c r="AW34" s="597"/>
      <c r="AY34" s="591"/>
      <c r="AZ34" s="577"/>
      <c r="BA34" s="597"/>
      <c r="BB34" s="595"/>
      <c r="BC34" s="595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2"/>
      <c r="BQ34" s="597"/>
      <c r="BS34" s="591"/>
      <c r="BV34" s="612"/>
      <c r="BW34" s="612"/>
      <c r="BX34" s="612"/>
      <c r="BY34" s="612"/>
      <c r="BZ34" s="612"/>
      <c r="CA34" s="612"/>
      <c r="CB34" s="612"/>
      <c r="CC34" s="612"/>
      <c r="CD34" s="613"/>
      <c r="CE34" s="613"/>
      <c r="CF34" s="613"/>
      <c r="CG34" s="613"/>
      <c r="CH34" s="612"/>
      <c r="CI34" s="597"/>
      <c r="CK34" s="591"/>
    </row>
    <row r="35" spans="2:89">
      <c r="B35" s="587"/>
      <c r="C35" s="587"/>
      <c r="D35" s="587" t="s">
        <v>100</v>
      </c>
      <c r="E35" s="607"/>
      <c r="F35" s="607"/>
      <c r="G35" s="607"/>
      <c r="H35" s="607"/>
      <c r="I35" s="607"/>
      <c r="J35" s="607"/>
      <c r="K35" s="607"/>
      <c r="L35" s="607"/>
      <c r="M35" s="607"/>
      <c r="N35" s="607"/>
      <c r="O35" s="607"/>
      <c r="P35" s="607"/>
      <c r="Q35" s="607">
        <f>SUM(E35:P35)</f>
        <v>0</v>
      </c>
      <c r="R35" s="590"/>
      <c r="S35" s="591" t="e">
        <f>Q35/Q37</f>
        <v>#DIV/0!</v>
      </c>
      <c r="T35" s="607"/>
      <c r="U35" s="607"/>
      <c r="V35" s="607"/>
      <c r="W35" s="607">
        <v>6.0294879999999997</v>
      </c>
      <c r="X35" s="607">
        <v>20913.589498000001</v>
      </c>
      <c r="Y35" s="607">
        <v>41317.813198999989</v>
      </c>
      <c r="Z35" s="607">
        <v>40693.308279999997</v>
      </c>
      <c r="AA35" s="607">
        <v>35884.606585000001</v>
      </c>
      <c r="AB35" s="607">
        <v>42398.665808999998</v>
      </c>
      <c r="AC35" s="607">
        <v>45180.523867999997</v>
      </c>
      <c r="AD35" s="607">
        <v>43541.150437999997</v>
      </c>
      <c r="AE35" s="607">
        <v>66631.719855999996</v>
      </c>
      <c r="AF35" s="607">
        <f>SUM(T35:AE35)</f>
        <v>336567.40702099993</v>
      </c>
      <c r="AG35" s="590"/>
      <c r="AH35" s="591">
        <f>AF35/AF37</f>
        <v>0.87778327941105505</v>
      </c>
      <c r="AI35" s="591" t="e">
        <f t="shared" ref="AI27:AI42" si="21">AF35/Q35</f>
        <v>#DIV/0!</v>
      </c>
      <c r="AJ35" s="607">
        <v>37802.617324999999</v>
      </c>
      <c r="AK35" s="607">
        <v>26928.673917</v>
      </c>
      <c r="AL35" s="607">
        <v>24944.528724</v>
      </c>
      <c r="AM35" s="607">
        <v>25417.427377</v>
      </c>
      <c r="AN35" s="607">
        <v>31322.45</v>
      </c>
      <c r="AO35" s="607">
        <v>35498.699999999997</v>
      </c>
      <c r="AP35" s="607">
        <v>39417.872330999999</v>
      </c>
      <c r="AQ35" s="607">
        <v>38460.339999999997</v>
      </c>
      <c r="AR35" s="607">
        <v>62245.521842000002</v>
      </c>
      <c r="AS35" s="607">
        <v>89882.654018999994</v>
      </c>
      <c r="AT35" s="607">
        <v>128822.43</v>
      </c>
      <c r="AU35" s="607">
        <v>192804.4</v>
      </c>
      <c r="AV35" s="607">
        <f>SUM(AJ35:AU35)</f>
        <v>733547.61553499999</v>
      </c>
      <c r="AW35" s="590"/>
      <c r="AX35" s="591">
        <f>AV35/AV37</f>
        <v>0.76007245666157131</v>
      </c>
      <c r="AY35" s="591">
        <f t="shared" ref="AY28:AY42" si="22">AV35/AF35</f>
        <v>2.1794968860108033</v>
      </c>
      <c r="AZ35" s="577"/>
      <c r="BA35" s="590"/>
      <c r="BB35" s="595">
        <f>AX35</f>
        <v>0.76007245666157131</v>
      </c>
      <c r="BC35" s="592">
        <f>AX35</f>
        <v>0.76007245666157131</v>
      </c>
      <c r="BD35" s="608">
        <f>BD37-BD36</f>
        <v>81235.802637893328</v>
      </c>
      <c r="BE35" s="608">
        <f t="shared" ref="BE35:BO35" si="23">BE37-BE36</f>
        <v>75993.783427330331</v>
      </c>
      <c r="BF35" s="608">
        <f t="shared" si="23"/>
        <v>89665.888922845799</v>
      </c>
      <c r="BG35" s="608">
        <f t="shared" si="23"/>
        <v>108003.44369406678</v>
      </c>
      <c r="BH35" s="608">
        <f t="shared" si="23"/>
        <v>112630.60736935651</v>
      </c>
      <c r="BI35" s="608">
        <f t="shared" si="23"/>
        <v>114521.0742892795</v>
      </c>
      <c r="BJ35" s="608">
        <f t="shared" si="23"/>
        <v>135049.98055312483</v>
      </c>
      <c r="BK35" s="608">
        <f t="shared" si="23"/>
        <v>140570.89161566587</v>
      </c>
      <c r="BL35" s="608">
        <f t="shared" si="23"/>
        <v>167190.2811631122</v>
      </c>
      <c r="BM35" s="608">
        <f t="shared" si="23"/>
        <v>216548.66300690334</v>
      </c>
      <c r="BN35" s="608">
        <f t="shared" si="23"/>
        <v>236613.07733293931</v>
      </c>
      <c r="BO35" s="608">
        <f t="shared" si="23"/>
        <v>295384.99291188107</v>
      </c>
      <c r="BP35" s="607">
        <f>SUM(BD35:BO35)</f>
        <v>1773408.4869243987</v>
      </c>
      <c r="BQ35" s="590"/>
      <c r="BR35" s="591">
        <f>BP35/BP37</f>
        <v>0.76007245666157119</v>
      </c>
      <c r="BS35" s="591">
        <f>BP35/AV35</f>
        <v>2.4175778768376128</v>
      </c>
      <c r="BV35" s="607">
        <f>'2018 VN YouTube View'!R30</f>
        <v>115656.79299999999</v>
      </c>
      <c r="BW35" s="607">
        <f>'2018 VN YouTube View'!S30</f>
        <v>94450.7</v>
      </c>
      <c r="BX35" s="607">
        <f>'2018 VN YouTube View'!T30</f>
        <v>125455.74999999999</v>
      </c>
      <c r="BY35" s="607">
        <f>'2018 VN YouTube View'!U30</f>
        <v>116613.42000000001</v>
      </c>
      <c r="BZ35" s="607">
        <f>'2018 VN YouTube View'!V30</f>
        <v>122478.54000000001</v>
      </c>
      <c r="CA35" s="607">
        <f>'2018 VN YouTube View'!W30</f>
        <v>0</v>
      </c>
      <c r="CB35" s="607">
        <f>'2018 VN YouTube View'!X30</f>
        <v>0</v>
      </c>
      <c r="CC35" s="607">
        <f>'2018 VN YouTube View'!Y30</f>
        <v>0</v>
      </c>
      <c r="CD35" s="607">
        <f>'2018 VN YouTube View'!Z30</f>
        <v>0</v>
      </c>
      <c r="CE35" s="607">
        <f>'2018 VN YouTube View'!AA30</f>
        <v>0</v>
      </c>
      <c r="CF35" s="607">
        <f>'2018 VN YouTube View'!AB30</f>
        <v>0</v>
      </c>
      <c r="CG35" s="607">
        <f>'2018 VN YouTube View'!AC30</f>
        <v>0</v>
      </c>
      <c r="CH35" s="607">
        <f>SUM(BV35:CG35)</f>
        <v>574655.20299999998</v>
      </c>
      <c r="CI35" s="590"/>
      <c r="CJ35" s="591">
        <f>CH35/CH37</f>
        <v>0.70787183305979728</v>
      </c>
      <c r="CK35" s="591">
        <f t="shared" ref="CK35:CK37" si="24">CH35/AV35</f>
        <v>0.78339182192131507</v>
      </c>
    </row>
    <row r="36" spans="2:89">
      <c r="B36" s="587"/>
      <c r="C36" s="587"/>
      <c r="D36" s="587" t="s">
        <v>101</v>
      </c>
      <c r="E36" s="607"/>
      <c r="F36" s="607"/>
      <c r="G36" s="607"/>
      <c r="H36" s="607"/>
      <c r="I36" s="607"/>
      <c r="J36" s="607"/>
      <c r="K36" s="607"/>
      <c r="L36" s="607"/>
      <c r="M36" s="607"/>
      <c r="N36" s="607"/>
      <c r="O36" s="607"/>
      <c r="P36" s="607"/>
      <c r="Q36" s="607">
        <f>SUM(E36:P36)</f>
        <v>0</v>
      </c>
      <c r="R36" s="590"/>
      <c r="S36" s="591" t="e">
        <f>Q36/Q37</f>
        <v>#DIV/0!</v>
      </c>
      <c r="T36" s="607"/>
      <c r="U36" s="607"/>
      <c r="V36" s="607"/>
      <c r="W36" s="607">
        <v>3.8305119999999997</v>
      </c>
      <c r="X36" s="607">
        <v>3031.9305020000006</v>
      </c>
      <c r="Y36" s="607">
        <v>6033.9668010000096</v>
      </c>
      <c r="Z36" s="607">
        <v>5000.601698000004</v>
      </c>
      <c r="AA36" s="607">
        <v>5038.2134149999956</v>
      </c>
      <c r="AB36" s="607">
        <v>6936.804191000002</v>
      </c>
      <c r="AC36" s="607">
        <v>5942.1461319999999</v>
      </c>
      <c r="AD36" s="607">
        <v>6474.2895620000036</v>
      </c>
      <c r="AE36" s="607">
        <v>8399.6301440000043</v>
      </c>
      <c r="AF36" s="607">
        <f>SUM(T36:AE36)</f>
        <v>46861.412957000022</v>
      </c>
      <c r="AG36" s="590"/>
      <c r="AH36" s="591">
        <f>AF36/AF37</f>
        <v>0.12221672058894474</v>
      </c>
      <c r="AI36" s="591" t="e">
        <f t="shared" si="21"/>
        <v>#DIV/0!</v>
      </c>
      <c r="AJ36" s="607">
        <v>4809.6312289999996</v>
      </c>
      <c r="AK36" s="607">
        <v>5565.6233539999939</v>
      </c>
      <c r="AL36" s="607">
        <v>7747.4381760000051</v>
      </c>
      <c r="AM36" s="607">
        <v>7663.9250190000084</v>
      </c>
      <c r="AN36" s="607">
        <v>6565.876292999993</v>
      </c>
      <c r="AO36" s="607">
        <v>7317.6815769999876</v>
      </c>
      <c r="AP36" s="607">
        <v>8538.6450070000101</v>
      </c>
      <c r="AQ36" s="607">
        <v>8237.7700000000041</v>
      </c>
      <c r="AR36" s="607">
        <v>12999.158157999991</v>
      </c>
      <c r="AS36" s="607">
        <v>30150.075981000016</v>
      </c>
      <c r="AT36" s="607">
        <v>22419.510000000009</v>
      </c>
      <c r="AU36" s="607">
        <v>109539.26999999999</v>
      </c>
      <c r="AV36" s="607">
        <f>SUM(AJ36:AU36)</f>
        <v>231554.60479400001</v>
      </c>
      <c r="AW36" s="590"/>
      <c r="AX36" s="591">
        <f>AV36/AV37</f>
        <v>0.23992754333842883</v>
      </c>
      <c r="AY36" s="591">
        <f t="shared" si="22"/>
        <v>4.9412638284397072</v>
      </c>
      <c r="AZ36" s="577"/>
      <c r="BA36" s="590"/>
      <c r="BB36" s="595">
        <f>AX36</f>
        <v>0.23992754333842883</v>
      </c>
      <c r="BC36" s="592">
        <f>AX36</f>
        <v>0.23992754333842883</v>
      </c>
      <c r="BD36" s="608">
        <f>BD37*$BC$36</f>
        <v>25643.221757624626</v>
      </c>
      <c r="BE36" s="608">
        <f t="shared" ref="BE36:BO36" si="25">BE37*$BC$36</f>
        <v>23988.504789130089</v>
      </c>
      <c r="BF36" s="608">
        <f t="shared" si="25"/>
        <v>28304.296862705316</v>
      </c>
      <c r="BG36" s="608">
        <f t="shared" si="25"/>
        <v>34092.803509055135</v>
      </c>
      <c r="BH36" s="608">
        <f t="shared" si="25"/>
        <v>35553.432694479488</v>
      </c>
      <c r="BI36" s="608">
        <f t="shared" si="25"/>
        <v>36150.185122336035</v>
      </c>
      <c r="BJ36" s="608">
        <f t="shared" si="25"/>
        <v>42630.42263672132</v>
      </c>
      <c r="BK36" s="608">
        <f t="shared" si="25"/>
        <v>44373.175734292417</v>
      </c>
      <c r="BL36" s="608">
        <f t="shared" si="25"/>
        <v>52775.959815351671</v>
      </c>
      <c r="BM36" s="608">
        <f t="shared" si="25"/>
        <v>68356.626099400251</v>
      </c>
      <c r="BN36" s="608">
        <f t="shared" si="25"/>
        <v>74690.240211552809</v>
      </c>
      <c r="BO36" s="608">
        <f t="shared" si="25"/>
        <v>93242.420597202043</v>
      </c>
      <c r="BP36" s="607">
        <f>SUM(BD36:BO36)</f>
        <v>559801.28982985113</v>
      </c>
      <c r="BQ36" s="590"/>
      <c r="BR36" s="591">
        <f>BP36/BP37</f>
        <v>0.23992754333842883</v>
      </c>
      <c r="BS36" s="591">
        <f>BP36/AV36</f>
        <v>2.4175778768376128</v>
      </c>
      <c r="BV36" s="607">
        <f>'2018 VN YouTube View'!R31</f>
        <v>32712.477000000003</v>
      </c>
      <c r="BW36" s="607">
        <f>'2018 VN YouTube View'!S31</f>
        <v>23762.960000000003</v>
      </c>
      <c r="BX36" s="607">
        <f>'2018 VN YouTube View'!T31</f>
        <v>42691.080000000009</v>
      </c>
      <c r="BY36" s="607">
        <f>'2018 VN YouTube View'!U31</f>
        <v>53677.130000000005</v>
      </c>
      <c r="BZ36" s="607">
        <f>'2018 VN YouTube View'!V31</f>
        <v>84308.000000000015</v>
      </c>
      <c r="CA36" s="607">
        <f>'2018 VN YouTube View'!W31</f>
        <v>0</v>
      </c>
      <c r="CB36" s="607">
        <f>'2018 VN YouTube View'!X31</f>
        <v>0</v>
      </c>
      <c r="CC36" s="607">
        <f>'2018 VN YouTube View'!Y31</f>
        <v>0</v>
      </c>
      <c r="CD36" s="607">
        <f>'2018 VN YouTube View'!Z31</f>
        <v>0</v>
      </c>
      <c r="CE36" s="607">
        <f>'2018 VN YouTube View'!AA31</f>
        <v>0</v>
      </c>
      <c r="CF36" s="607">
        <f>'2018 VN YouTube View'!AB31</f>
        <v>0</v>
      </c>
      <c r="CG36" s="607">
        <f>'2018 VN YouTube View'!AC31</f>
        <v>0</v>
      </c>
      <c r="CH36" s="607">
        <f>SUM(BV36:CG36)</f>
        <v>237151.64700000006</v>
      </c>
      <c r="CI36" s="590"/>
      <c r="CJ36" s="591">
        <f>CH36/CH37</f>
        <v>0.2921281669402026</v>
      </c>
      <c r="CK36" s="591">
        <f t="shared" si="24"/>
        <v>1.0241715867018899</v>
      </c>
    </row>
    <row r="37" spans="2:89">
      <c r="B37" s="577"/>
      <c r="C37" s="577" t="s">
        <v>103</v>
      </c>
      <c r="D37" s="577"/>
      <c r="E37" s="609">
        <f>SUM(E35:E36)</f>
        <v>0</v>
      </c>
      <c r="F37" s="609">
        <f t="shared" ref="F37:P37" si="26">SUM(F35:F36)</f>
        <v>0</v>
      </c>
      <c r="G37" s="609">
        <f t="shared" si="26"/>
        <v>0</v>
      </c>
      <c r="H37" s="609">
        <f t="shared" si="26"/>
        <v>0</v>
      </c>
      <c r="I37" s="609">
        <f t="shared" si="26"/>
        <v>0</v>
      </c>
      <c r="J37" s="609">
        <f t="shared" si="26"/>
        <v>0</v>
      </c>
      <c r="K37" s="609">
        <f t="shared" si="26"/>
        <v>0</v>
      </c>
      <c r="L37" s="609">
        <f t="shared" si="26"/>
        <v>0</v>
      </c>
      <c r="M37" s="609">
        <f t="shared" si="26"/>
        <v>0</v>
      </c>
      <c r="N37" s="609">
        <f t="shared" si="26"/>
        <v>0</v>
      </c>
      <c r="O37" s="609">
        <f t="shared" si="26"/>
        <v>0</v>
      </c>
      <c r="P37" s="609">
        <f t="shared" si="26"/>
        <v>0</v>
      </c>
      <c r="Q37" s="609">
        <f>SUM(E37:P37)</f>
        <v>0</v>
      </c>
      <c r="R37" s="594" t="e">
        <f>Q37/$Q$42</f>
        <v>#DIV/0!</v>
      </c>
      <c r="S37" s="577"/>
      <c r="T37" s="609">
        <f t="shared" ref="T37:AE37" si="27">SUM(T35:T36)</f>
        <v>0</v>
      </c>
      <c r="U37" s="609">
        <f t="shared" si="27"/>
        <v>0</v>
      </c>
      <c r="V37" s="609">
        <f t="shared" si="27"/>
        <v>0</v>
      </c>
      <c r="W37" s="609">
        <f t="shared" si="27"/>
        <v>9.86</v>
      </c>
      <c r="X37" s="609">
        <f t="shared" si="27"/>
        <v>23945.52</v>
      </c>
      <c r="Y37" s="609">
        <f t="shared" si="27"/>
        <v>47351.78</v>
      </c>
      <c r="Z37" s="609">
        <f t="shared" si="27"/>
        <v>45693.909978000003</v>
      </c>
      <c r="AA37" s="609">
        <f t="shared" si="27"/>
        <v>40922.82</v>
      </c>
      <c r="AB37" s="609">
        <f t="shared" si="27"/>
        <v>49335.47</v>
      </c>
      <c r="AC37" s="609">
        <f t="shared" si="27"/>
        <v>51122.67</v>
      </c>
      <c r="AD37" s="609">
        <f t="shared" si="27"/>
        <v>50015.44</v>
      </c>
      <c r="AE37" s="609">
        <f t="shared" si="27"/>
        <v>75031.350000000006</v>
      </c>
      <c r="AF37" s="609">
        <f>SUM(T37:AE37)</f>
        <v>383428.81997800001</v>
      </c>
      <c r="AG37" s="594">
        <f>AF37/$AF$42</f>
        <v>0.89124594953492831</v>
      </c>
      <c r="AH37" s="577"/>
      <c r="AI37" s="591" t="e">
        <f t="shared" si="21"/>
        <v>#DIV/0!</v>
      </c>
      <c r="AJ37" s="609">
        <f t="shared" ref="AJ37:AU37" si="28">SUM(AJ35:AJ36)</f>
        <v>42612.248553999998</v>
      </c>
      <c r="AK37" s="609">
        <f t="shared" si="28"/>
        <v>32494.297270999996</v>
      </c>
      <c r="AL37" s="609">
        <f t="shared" si="28"/>
        <v>32691.966900000007</v>
      </c>
      <c r="AM37" s="609">
        <f t="shared" si="28"/>
        <v>33081.352396000009</v>
      </c>
      <c r="AN37" s="609">
        <f t="shared" si="28"/>
        <v>37888.326292999991</v>
      </c>
      <c r="AO37" s="609">
        <f t="shared" si="28"/>
        <v>42816.381576999986</v>
      </c>
      <c r="AP37" s="609">
        <f t="shared" si="28"/>
        <v>47956.517338000005</v>
      </c>
      <c r="AQ37" s="609">
        <f t="shared" si="28"/>
        <v>46698.11</v>
      </c>
      <c r="AR37" s="609">
        <f t="shared" si="28"/>
        <v>75244.679999999993</v>
      </c>
      <c r="AS37" s="609">
        <f t="shared" si="28"/>
        <v>120032.73000000001</v>
      </c>
      <c r="AT37" s="609">
        <f t="shared" si="28"/>
        <v>151241.94</v>
      </c>
      <c r="AU37" s="609">
        <f t="shared" si="28"/>
        <v>302343.67</v>
      </c>
      <c r="AV37" s="609">
        <f>SUM(AJ37:AU37)</f>
        <v>965102.22032899992</v>
      </c>
      <c r="AW37" s="594">
        <f>AV37/$AV$42</f>
        <v>0.86587311579998327</v>
      </c>
      <c r="AX37" s="577"/>
      <c r="AY37" s="591">
        <f t="shared" si="22"/>
        <v>2.5170309847454204</v>
      </c>
      <c r="AZ37" s="577"/>
      <c r="BA37" s="594"/>
      <c r="BB37" s="595"/>
      <c r="BC37" s="595"/>
      <c r="BD37" s="610">
        <f>BD62</f>
        <v>106879.02439551795</v>
      </c>
      <c r="BE37" s="610">
        <f t="shared" ref="BE37:BO37" si="29">BE62</f>
        <v>99982.288216460423</v>
      </c>
      <c r="BF37" s="610">
        <f t="shared" si="29"/>
        <v>117970.18578555112</v>
      </c>
      <c r="BG37" s="610">
        <f t="shared" si="29"/>
        <v>142096.24720312192</v>
      </c>
      <c r="BH37" s="610">
        <f t="shared" si="29"/>
        <v>148184.040063836</v>
      </c>
      <c r="BI37" s="610">
        <f t="shared" si="29"/>
        <v>150671.25941161552</v>
      </c>
      <c r="BJ37" s="610">
        <f t="shared" si="29"/>
        <v>177680.40318984614</v>
      </c>
      <c r="BK37" s="610">
        <f t="shared" si="29"/>
        <v>184944.06734995829</v>
      </c>
      <c r="BL37" s="610">
        <f t="shared" si="29"/>
        <v>219966.24097846387</v>
      </c>
      <c r="BM37" s="610">
        <f t="shared" si="29"/>
        <v>284905.28910630359</v>
      </c>
      <c r="BN37" s="610">
        <f t="shared" si="29"/>
        <v>311303.31754449214</v>
      </c>
      <c r="BO37" s="610">
        <f t="shared" si="29"/>
        <v>388627.4135090831</v>
      </c>
      <c r="BP37" s="609">
        <f>SUM(BD37:BO37)</f>
        <v>2333209.7767542498</v>
      </c>
      <c r="BQ37" s="594">
        <f>BP37/$BP$42</f>
        <v>0.91769730259094595</v>
      </c>
      <c r="BR37" s="577"/>
      <c r="BS37" s="591">
        <f>BP37/AV37</f>
        <v>2.4175778768376128</v>
      </c>
      <c r="BV37" s="609">
        <f t="shared" ref="BV37:CG37" si="30">SUM(BV35:BV36)</f>
        <v>148369.26999999999</v>
      </c>
      <c r="BW37" s="609">
        <f t="shared" si="30"/>
        <v>118213.66</v>
      </c>
      <c r="BX37" s="609">
        <f t="shared" si="30"/>
        <v>168146.83</v>
      </c>
      <c r="BY37" s="609">
        <f t="shared" si="30"/>
        <v>170290.55000000002</v>
      </c>
      <c r="BZ37" s="609">
        <f t="shared" si="30"/>
        <v>206786.54000000004</v>
      </c>
      <c r="CA37" s="609">
        <f t="shared" si="30"/>
        <v>0</v>
      </c>
      <c r="CB37" s="609">
        <f t="shared" si="30"/>
        <v>0</v>
      </c>
      <c r="CC37" s="609">
        <f t="shared" si="30"/>
        <v>0</v>
      </c>
      <c r="CD37" s="609">
        <f t="shared" si="30"/>
        <v>0</v>
      </c>
      <c r="CE37" s="609">
        <f t="shared" si="30"/>
        <v>0</v>
      </c>
      <c r="CF37" s="609">
        <f t="shared" si="30"/>
        <v>0</v>
      </c>
      <c r="CG37" s="609">
        <f t="shared" si="30"/>
        <v>0</v>
      </c>
      <c r="CH37" s="609">
        <f>SUM(BV37:CG37)</f>
        <v>811806.85000000009</v>
      </c>
      <c r="CI37" s="594">
        <f>CH37/$AV$42</f>
        <v>0.72833914566857616</v>
      </c>
      <c r="CJ37" s="577"/>
      <c r="CK37" s="591">
        <f t="shared" si="24"/>
        <v>0.84116151937072325</v>
      </c>
    </row>
    <row r="38" spans="2:89">
      <c r="B38" s="577"/>
      <c r="C38" s="569" t="s">
        <v>104</v>
      </c>
      <c r="D38" s="577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09"/>
      <c r="R38" s="594"/>
      <c r="S38" s="577"/>
      <c r="T38" s="609"/>
      <c r="U38" s="609"/>
      <c r="V38" s="609"/>
      <c r="W38" s="609"/>
      <c r="X38" s="609"/>
      <c r="Y38" s="609"/>
      <c r="Z38" s="609"/>
      <c r="AA38" s="609"/>
      <c r="AB38" s="609"/>
      <c r="AC38" s="609"/>
      <c r="AD38" s="609"/>
      <c r="AE38" s="609"/>
      <c r="AF38" s="609"/>
      <c r="AG38" s="594"/>
      <c r="AH38" s="577"/>
      <c r="AI38" s="591"/>
      <c r="AJ38" s="609"/>
      <c r="AK38" s="609"/>
      <c r="AL38" s="609"/>
      <c r="AM38" s="609"/>
      <c r="AN38" s="609"/>
      <c r="AO38" s="609"/>
      <c r="AP38" s="609"/>
      <c r="AQ38" s="609"/>
      <c r="AR38" s="611"/>
      <c r="AS38" s="611"/>
      <c r="AT38" s="611"/>
      <c r="AU38" s="611"/>
      <c r="AV38" s="609"/>
      <c r="AW38" s="594"/>
      <c r="AX38" s="577"/>
      <c r="AY38" s="591"/>
      <c r="AZ38" s="577"/>
      <c r="BA38" s="594"/>
      <c r="BB38" s="595"/>
      <c r="BC38" s="595"/>
      <c r="BD38" s="610"/>
      <c r="BE38" s="610"/>
      <c r="BF38" s="610"/>
      <c r="BG38" s="610"/>
      <c r="BH38" s="610"/>
      <c r="BI38" s="610"/>
      <c r="BJ38" s="610"/>
      <c r="BK38" s="610"/>
      <c r="BL38" s="610"/>
      <c r="BM38" s="610"/>
      <c r="BN38" s="610"/>
      <c r="BO38" s="610"/>
      <c r="BP38" s="609"/>
      <c r="BQ38" s="594"/>
      <c r="BR38" s="577"/>
      <c r="BS38" s="591"/>
      <c r="BV38" s="609"/>
      <c r="BW38" s="609"/>
      <c r="BX38" s="609"/>
      <c r="BY38" s="609"/>
      <c r="BZ38" s="609"/>
      <c r="CA38" s="609"/>
      <c r="CB38" s="609"/>
      <c r="CC38" s="609"/>
      <c r="CD38" s="611"/>
      <c r="CE38" s="611"/>
      <c r="CF38" s="611"/>
      <c r="CG38" s="611"/>
      <c r="CH38" s="609"/>
      <c r="CI38" s="594"/>
      <c r="CJ38" s="577"/>
      <c r="CK38" s="591"/>
    </row>
    <row r="39" spans="2:89">
      <c r="B39" s="587"/>
      <c r="C39" s="587"/>
      <c r="D39" s="587" t="s">
        <v>100</v>
      </c>
      <c r="E39" s="607"/>
      <c r="F39" s="607"/>
      <c r="G39" s="607"/>
      <c r="H39" s="607"/>
      <c r="I39" s="607"/>
      <c r="J39" s="607"/>
      <c r="K39" s="607"/>
      <c r="L39" s="607"/>
      <c r="M39" s="607"/>
      <c r="N39" s="607"/>
      <c r="O39" s="607"/>
      <c r="P39" s="607"/>
      <c r="Q39" s="607">
        <f>SUM(E39:P39)</f>
        <v>0</v>
      </c>
      <c r="R39" s="590"/>
      <c r="S39" s="591" t="e">
        <f>Q39/Q41</f>
        <v>#DIV/0!</v>
      </c>
      <c r="T39" s="607"/>
      <c r="U39" s="607"/>
      <c r="V39" s="607"/>
      <c r="W39" s="607">
        <v>143.760175</v>
      </c>
      <c r="X39" s="607">
        <v>737.38582300000007</v>
      </c>
      <c r="Y39" s="607">
        <v>1799.4152309999999</v>
      </c>
      <c r="Z39" s="607">
        <v>1636.361768</v>
      </c>
      <c r="AA39" s="607">
        <v>1552.5680259999999</v>
      </c>
      <c r="AB39" s="607">
        <v>1632.6815799999999</v>
      </c>
      <c r="AC39" s="607">
        <v>2060.7033240000001</v>
      </c>
      <c r="AD39" s="607">
        <v>1900.9547150000001</v>
      </c>
      <c r="AE39" s="607">
        <v>5012.7736539999996</v>
      </c>
      <c r="AF39" s="607">
        <f>SUM(T39:AE39)</f>
        <v>16476.604295999998</v>
      </c>
      <c r="AG39" s="590"/>
      <c r="AH39" s="591">
        <f>AF39/AF41</f>
        <v>0.35215599570828288</v>
      </c>
      <c r="AI39" s="591" t="e">
        <f t="shared" si="21"/>
        <v>#DIV/0!</v>
      </c>
      <c r="AJ39" s="607">
        <v>3385.6994340000001</v>
      </c>
      <c r="AK39" s="607">
        <v>2870.0342059999998</v>
      </c>
      <c r="AL39" s="607">
        <v>3837.8226330000002</v>
      </c>
      <c r="AM39" s="607">
        <v>4354.6676349999998</v>
      </c>
      <c r="AN39" s="607">
        <v>4913.2052640000002</v>
      </c>
      <c r="AO39" s="607">
        <v>4508.5</v>
      </c>
      <c r="AP39" s="607">
        <v>3893.9221480000001</v>
      </c>
      <c r="AQ39" s="607">
        <v>3520.83</v>
      </c>
      <c r="AR39" s="607">
        <v>3837.338812</v>
      </c>
      <c r="AS39" s="607">
        <v>4974.224158</v>
      </c>
      <c r="AT39" s="607">
        <v>9667.42</v>
      </c>
      <c r="AU39" s="607">
        <v>8233.6299999999992</v>
      </c>
      <c r="AV39" s="607">
        <f>SUM(AJ39:AU39)</f>
        <v>57997.294289999998</v>
      </c>
      <c r="AW39" s="590"/>
      <c r="AX39" s="591">
        <f>AV39/AV41</f>
        <v>0.38794739326829164</v>
      </c>
      <c r="AY39" s="591">
        <f t="shared" si="22"/>
        <v>3.519978585883738</v>
      </c>
      <c r="AZ39" s="577"/>
      <c r="BA39" s="590"/>
      <c r="BB39" s="595">
        <f>AX39</f>
        <v>0.38794739326829164</v>
      </c>
      <c r="BC39" s="592">
        <f>AX39</f>
        <v>0.38794739326829164</v>
      </c>
      <c r="BD39" s="608">
        <f>BD41-BD40</f>
        <v>3718.6040064149274</v>
      </c>
      <c r="BE39" s="608">
        <f t="shared" ref="BE39:BO39" si="31">BE41-BE40</f>
        <v>3478.6483094792657</v>
      </c>
      <c r="BF39" s="608">
        <f t="shared" si="31"/>
        <v>4104.4948527623364</v>
      </c>
      <c r="BG39" s="608">
        <f t="shared" si="31"/>
        <v>4943.9043548026048</v>
      </c>
      <c r="BH39" s="608">
        <f t="shared" si="31"/>
        <v>5155.7147736393317</v>
      </c>
      <c r="BI39" s="608">
        <f t="shared" si="31"/>
        <v>5242.2517146695827</v>
      </c>
      <c r="BJ39" s="608">
        <f t="shared" si="31"/>
        <v>6181.9712792109767</v>
      </c>
      <c r="BK39" s="608">
        <f t="shared" si="31"/>
        <v>6434.6933713128801</v>
      </c>
      <c r="BL39" s="608">
        <f t="shared" si="31"/>
        <v>7653.2074427585158</v>
      </c>
      <c r="BM39" s="608">
        <f t="shared" si="31"/>
        <v>9912.6087229135683</v>
      </c>
      <c r="BN39" s="608">
        <f t="shared" si="31"/>
        <v>10831.065968073639</v>
      </c>
      <c r="BO39" s="608">
        <f t="shared" si="31"/>
        <v>13521.375827024764</v>
      </c>
      <c r="BP39" s="607">
        <f>SUM(BD39:BO39)</f>
        <v>81178.540623062392</v>
      </c>
      <c r="BQ39" s="590"/>
      <c r="BR39" s="591">
        <f>BP39/BP41</f>
        <v>0.38794739326829158</v>
      </c>
      <c r="BS39" s="591">
        <f>BP39/AV39</f>
        <v>1.3996953067698428</v>
      </c>
      <c r="BV39" s="607">
        <f>'2018 VN YouTube View'!R34</f>
        <v>8851.1309999999994</v>
      </c>
      <c r="BW39" s="607">
        <f>'2018 VN YouTube View'!S34</f>
        <v>7885.42</v>
      </c>
      <c r="BX39" s="607">
        <f>'2018 VN YouTube View'!T34</f>
        <v>18017.339999999997</v>
      </c>
      <c r="BY39" s="607">
        <f>'2018 VN YouTube View'!U34</f>
        <v>23800.710000000006</v>
      </c>
      <c r="BZ39" s="607">
        <f>'2018 VN YouTube View'!V34</f>
        <v>22565.05</v>
      </c>
      <c r="CA39" s="607">
        <f>'2018 VN YouTube View'!W34</f>
        <v>0</v>
      </c>
      <c r="CB39" s="607">
        <f>'2018 VN YouTube View'!X34</f>
        <v>0</v>
      </c>
      <c r="CC39" s="607">
        <f>'2018 VN YouTube View'!Y34</f>
        <v>0</v>
      </c>
      <c r="CD39" s="607">
        <f>'2018 VN YouTube View'!Z34</f>
        <v>0</v>
      </c>
      <c r="CE39" s="607">
        <f>'2018 VN YouTube View'!AA34</f>
        <v>0</v>
      </c>
      <c r="CF39" s="607">
        <f>'2018 VN YouTube View'!AB34</f>
        <v>0</v>
      </c>
      <c r="CG39" s="607">
        <f>'2018 VN YouTube View'!AC34</f>
        <v>0</v>
      </c>
      <c r="CH39" s="607">
        <f>SUM(BV39:CG39)</f>
        <v>81119.650999999998</v>
      </c>
      <c r="CI39" s="590"/>
      <c r="CJ39" s="591">
        <f>CH39/CH41</f>
        <v>0.21965375541464272</v>
      </c>
      <c r="CK39" s="591">
        <f t="shared" ref="CK39:CK42" si="32">CH39/AV39</f>
        <v>1.398679921073263</v>
      </c>
    </row>
    <row r="40" spans="2:89">
      <c r="B40" s="587"/>
      <c r="C40" s="587"/>
      <c r="D40" s="587" t="s">
        <v>101</v>
      </c>
      <c r="E40" s="607"/>
      <c r="F40" s="607"/>
      <c r="G40" s="607"/>
      <c r="H40" s="607"/>
      <c r="I40" s="607"/>
      <c r="J40" s="607"/>
      <c r="K40" s="607"/>
      <c r="L40" s="607"/>
      <c r="M40" s="607"/>
      <c r="N40" s="607"/>
      <c r="O40" s="607"/>
      <c r="P40" s="607"/>
      <c r="Q40" s="607">
        <f>SUM(E40:P40)</f>
        <v>0</v>
      </c>
      <c r="R40" s="590"/>
      <c r="S40" s="591" t="e">
        <f>Q40/Q41</f>
        <v>#DIV/0!</v>
      </c>
      <c r="T40" s="607"/>
      <c r="U40" s="607"/>
      <c r="V40" s="607"/>
      <c r="W40" s="607">
        <v>111.339825</v>
      </c>
      <c r="X40" s="607">
        <v>469.79417699999988</v>
      </c>
      <c r="Y40" s="607">
        <v>977.68476899999996</v>
      </c>
      <c r="Z40" s="607">
        <v>684.53823200000022</v>
      </c>
      <c r="AA40" s="607">
        <v>529.77197399999989</v>
      </c>
      <c r="AB40" s="607">
        <v>788.98841999999991</v>
      </c>
      <c r="AC40" s="607">
        <v>2446.2666759999997</v>
      </c>
      <c r="AD40" s="607">
        <v>15478.305285</v>
      </c>
      <c r="AE40" s="607">
        <v>8824.5063460000019</v>
      </c>
      <c r="AF40" s="607">
        <f>SUM(T40:AE40)</f>
        <v>30311.195704000002</v>
      </c>
      <c r="AG40" s="590"/>
      <c r="AH40" s="591">
        <f>AF40/AF41</f>
        <v>0.64784400429171707</v>
      </c>
      <c r="AI40" s="591" t="e">
        <f t="shared" si="21"/>
        <v>#DIV/0!</v>
      </c>
      <c r="AJ40" s="607">
        <v>4104.4376300000004</v>
      </c>
      <c r="AK40" s="607">
        <v>4945.2703360000032</v>
      </c>
      <c r="AL40" s="607">
        <v>3852.1965309999996</v>
      </c>
      <c r="AM40" s="607">
        <v>3861.5742969999997</v>
      </c>
      <c r="AN40" s="607">
        <v>3899.9346380000006</v>
      </c>
      <c r="AO40" s="607">
        <v>8242.0007900000001</v>
      </c>
      <c r="AP40" s="607">
        <v>6407.8566289999999</v>
      </c>
      <c r="AQ40" s="607">
        <v>15016.390000000001</v>
      </c>
      <c r="AR40" s="607">
        <v>7885.1911880000007</v>
      </c>
      <c r="AS40" s="607">
        <v>9256.4558419999994</v>
      </c>
      <c r="AT40" s="607">
        <v>13190.089999999998</v>
      </c>
      <c r="AU40" s="607">
        <v>10839.140000000001</v>
      </c>
      <c r="AV40" s="607">
        <f>SUM(AJ40:AU40)</f>
        <v>91500.537880999997</v>
      </c>
      <c r="AW40" s="590"/>
      <c r="AX40" s="591">
        <f>AV40/AV41</f>
        <v>0.61205260673170836</v>
      </c>
      <c r="AY40" s="591">
        <f t="shared" si="22"/>
        <v>3.0187043353398684</v>
      </c>
      <c r="AZ40" s="577"/>
      <c r="BA40" s="590"/>
      <c r="BB40" s="595">
        <f>AX40</f>
        <v>0.61205260673170836</v>
      </c>
      <c r="BC40" s="592">
        <f>AX40</f>
        <v>0.61205260673170836</v>
      </c>
      <c r="BD40" s="608">
        <f>BD41*$BC$40</f>
        <v>5866.726558864224</v>
      </c>
      <c r="BE40" s="608">
        <f t="shared" ref="BE40:BO40" si="33">BE41*$BC$40</f>
        <v>5488.1558754209982</v>
      </c>
      <c r="BF40" s="608">
        <f t="shared" si="33"/>
        <v>6475.534615108847</v>
      </c>
      <c r="BG40" s="608">
        <f t="shared" si="33"/>
        <v>7799.8450312992454</v>
      </c>
      <c r="BH40" s="608">
        <f t="shared" si="33"/>
        <v>8134.0117797591311</v>
      </c>
      <c r="BI40" s="608">
        <f t="shared" si="33"/>
        <v>8270.5384358347001</v>
      </c>
      <c r="BJ40" s="608">
        <f t="shared" si="33"/>
        <v>9753.1049359699027</v>
      </c>
      <c r="BK40" s="608">
        <f t="shared" si="33"/>
        <v>10151.816766320286</v>
      </c>
      <c r="BL40" s="608">
        <f t="shared" si="33"/>
        <v>12074.228739460677</v>
      </c>
      <c r="BM40" s="608">
        <f t="shared" si="33"/>
        <v>15638.816276759868</v>
      </c>
      <c r="BN40" s="608">
        <f t="shared" si="33"/>
        <v>17087.837873054199</v>
      </c>
      <c r="BO40" s="608">
        <f t="shared" si="33"/>
        <v>21332.256551099825</v>
      </c>
      <c r="BP40" s="607">
        <f>SUM(BD40:BO40)</f>
        <v>128072.87343895191</v>
      </c>
      <c r="BQ40" s="590"/>
      <c r="BR40" s="591">
        <f>BP40/BP41</f>
        <v>0.61205260673170836</v>
      </c>
      <c r="BS40" s="591">
        <f>BP40/AV40</f>
        <v>1.3996953067698428</v>
      </c>
      <c r="BV40" s="607">
        <f>'2018 VN YouTube View'!R35</f>
        <v>8388.6749999999993</v>
      </c>
      <c r="BW40" s="607">
        <f>'2018 VN YouTube View'!S35</f>
        <v>8338.2300000000014</v>
      </c>
      <c r="BX40" s="607">
        <f>'2018 VN YouTube View'!T35</f>
        <v>20182.390000000003</v>
      </c>
      <c r="BY40" s="607">
        <f>'2018 VN YouTube View'!U35</f>
        <v>97815.059999999983</v>
      </c>
      <c r="BZ40" s="607">
        <f>'2018 VN YouTube View'!V35</f>
        <v>153462.91000000003</v>
      </c>
      <c r="CA40" s="607">
        <f>'2018 VN YouTube View'!W35</f>
        <v>0</v>
      </c>
      <c r="CB40" s="607">
        <f>'2018 VN YouTube View'!X35</f>
        <v>0</v>
      </c>
      <c r="CC40" s="607">
        <f>'2018 VN YouTube View'!Y35</f>
        <v>0</v>
      </c>
      <c r="CD40" s="607">
        <f>'2018 VN YouTube View'!Z35</f>
        <v>0</v>
      </c>
      <c r="CE40" s="607">
        <f>'2018 VN YouTube View'!AA35</f>
        <v>0</v>
      </c>
      <c r="CF40" s="607">
        <f>'2018 VN YouTube View'!AB35</f>
        <v>0</v>
      </c>
      <c r="CG40" s="607">
        <f>'2018 VN YouTube View'!AC35</f>
        <v>0</v>
      </c>
      <c r="CH40" s="607">
        <f>SUM(BV40:CG40)</f>
        <v>288187.26500000001</v>
      </c>
      <c r="CI40" s="590"/>
      <c r="CJ40" s="591">
        <f>CH40/CH41</f>
        <v>0.7803462445853574</v>
      </c>
      <c r="CK40" s="591">
        <f t="shared" si="32"/>
        <v>3.1495690809468111</v>
      </c>
    </row>
    <row r="41" spans="2:89">
      <c r="B41" s="577"/>
      <c r="C41" s="577" t="s">
        <v>105</v>
      </c>
      <c r="D41" s="577"/>
      <c r="E41" s="609">
        <f>SUM(E39:E40)</f>
        <v>0</v>
      </c>
      <c r="F41" s="609">
        <f t="shared" ref="F41:P41" si="34">SUM(F39:F40)</f>
        <v>0</v>
      </c>
      <c r="G41" s="609">
        <f t="shared" si="34"/>
        <v>0</v>
      </c>
      <c r="H41" s="609">
        <f t="shared" si="34"/>
        <v>0</v>
      </c>
      <c r="I41" s="609">
        <f t="shared" si="34"/>
        <v>0</v>
      </c>
      <c r="J41" s="609">
        <f t="shared" si="34"/>
        <v>0</v>
      </c>
      <c r="K41" s="609">
        <f t="shared" si="34"/>
        <v>0</v>
      </c>
      <c r="L41" s="609">
        <f t="shared" si="34"/>
        <v>0</v>
      </c>
      <c r="M41" s="609">
        <f t="shared" si="34"/>
        <v>0</v>
      </c>
      <c r="N41" s="609">
        <f t="shared" si="34"/>
        <v>0</v>
      </c>
      <c r="O41" s="609">
        <f t="shared" si="34"/>
        <v>0</v>
      </c>
      <c r="P41" s="609">
        <f t="shared" si="34"/>
        <v>0</v>
      </c>
      <c r="Q41" s="609">
        <f>SUM(E41:P41)</f>
        <v>0</v>
      </c>
      <c r="R41" s="594" t="e">
        <f>Q41/$Q$42</f>
        <v>#DIV/0!</v>
      </c>
      <c r="S41" s="577"/>
      <c r="T41" s="609">
        <f t="shared" ref="T41:AE41" si="35">SUM(T39:T40)</f>
        <v>0</v>
      </c>
      <c r="U41" s="609">
        <f t="shared" si="35"/>
        <v>0</v>
      </c>
      <c r="V41" s="609">
        <f t="shared" si="35"/>
        <v>0</v>
      </c>
      <c r="W41" s="609">
        <f t="shared" si="35"/>
        <v>255.10000000000002</v>
      </c>
      <c r="X41" s="609">
        <f t="shared" si="35"/>
        <v>1207.1799999999998</v>
      </c>
      <c r="Y41" s="609">
        <f t="shared" si="35"/>
        <v>2777.1</v>
      </c>
      <c r="Z41" s="609">
        <f t="shared" si="35"/>
        <v>2320.9</v>
      </c>
      <c r="AA41" s="609">
        <f t="shared" si="35"/>
        <v>2082.3399999999997</v>
      </c>
      <c r="AB41" s="609">
        <f t="shared" si="35"/>
        <v>2421.67</v>
      </c>
      <c r="AC41" s="609">
        <f t="shared" si="35"/>
        <v>4506.9699999999993</v>
      </c>
      <c r="AD41" s="609">
        <f t="shared" si="35"/>
        <v>17379.260000000002</v>
      </c>
      <c r="AE41" s="609">
        <f t="shared" si="35"/>
        <v>13837.280000000002</v>
      </c>
      <c r="AF41" s="609">
        <f>SUM(T41:AE41)</f>
        <v>46787.8</v>
      </c>
      <c r="AG41" s="594">
        <f>AF41/$AF$42</f>
        <v>0.10875405046507174</v>
      </c>
      <c r="AH41" s="577"/>
      <c r="AI41" s="591" t="e">
        <f t="shared" si="21"/>
        <v>#DIV/0!</v>
      </c>
      <c r="AJ41" s="609">
        <f t="shared" ref="AJ41:AU41" si="36">SUM(AJ39:AJ40)</f>
        <v>7490.1370640000005</v>
      </c>
      <c r="AK41" s="609">
        <f t="shared" si="36"/>
        <v>7815.3045420000035</v>
      </c>
      <c r="AL41" s="609">
        <f t="shared" si="36"/>
        <v>7690.0191639999994</v>
      </c>
      <c r="AM41" s="609">
        <f t="shared" si="36"/>
        <v>8216.241931999999</v>
      </c>
      <c r="AN41" s="609">
        <f t="shared" si="36"/>
        <v>8813.1399020000008</v>
      </c>
      <c r="AO41" s="609">
        <f t="shared" si="36"/>
        <v>12750.50079</v>
      </c>
      <c r="AP41" s="609">
        <f t="shared" si="36"/>
        <v>10301.778777</v>
      </c>
      <c r="AQ41" s="609">
        <f t="shared" si="36"/>
        <v>18537.22</v>
      </c>
      <c r="AR41" s="609">
        <f t="shared" si="36"/>
        <v>11722.53</v>
      </c>
      <c r="AS41" s="609">
        <f t="shared" si="36"/>
        <v>14230.68</v>
      </c>
      <c r="AT41" s="609">
        <f t="shared" si="36"/>
        <v>22857.51</v>
      </c>
      <c r="AU41" s="609">
        <f t="shared" si="36"/>
        <v>19072.77</v>
      </c>
      <c r="AV41" s="609">
        <f>SUM(AJ41:AU41)</f>
        <v>149497.83217099999</v>
      </c>
      <c r="AW41" s="594">
        <f>AV41/$AV$42</f>
        <v>0.13412688420001667</v>
      </c>
      <c r="AX41" s="577"/>
      <c r="AY41" s="591">
        <f t="shared" si="22"/>
        <v>3.1952310681630678</v>
      </c>
      <c r="AZ41" s="577"/>
      <c r="BA41" s="594"/>
      <c r="BB41" s="595"/>
      <c r="BC41" s="595"/>
      <c r="BD41" s="610">
        <f>BD68</f>
        <v>9585.3305652791514</v>
      </c>
      <c r="BE41" s="610">
        <f t="shared" ref="BE41:BO41" si="37">BE68</f>
        <v>8966.8041849002639</v>
      </c>
      <c r="BF41" s="610">
        <f t="shared" si="37"/>
        <v>10580.029467871183</v>
      </c>
      <c r="BG41" s="610">
        <f t="shared" si="37"/>
        <v>12743.74938610185</v>
      </c>
      <c r="BH41" s="610">
        <f t="shared" si="37"/>
        <v>13289.726553398463</v>
      </c>
      <c r="BI41" s="610">
        <f t="shared" si="37"/>
        <v>13512.790150504283</v>
      </c>
      <c r="BJ41" s="610">
        <f t="shared" si="37"/>
        <v>15935.076215180879</v>
      </c>
      <c r="BK41" s="610">
        <f t="shared" si="37"/>
        <v>16586.510137633166</v>
      </c>
      <c r="BL41" s="610">
        <f t="shared" si="37"/>
        <v>19727.436182219193</v>
      </c>
      <c r="BM41" s="610">
        <f t="shared" si="37"/>
        <v>25551.424999673436</v>
      </c>
      <c r="BN41" s="610">
        <f t="shared" si="37"/>
        <v>27918.903841127838</v>
      </c>
      <c r="BO41" s="610">
        <f t="shared" si="37"/>
        <v>34853.632378124588</v>
      </c>
      <c r="BP41" s="609">
        <f>SUM(BD41:BO41)</f>
        <v>209251.41406201432</v>
      </c>
      <c r="BQ41" s="594">
        <f>BP41/$BP$42</f>
        <v>8.230269740905409E-2</v>
      </c>
      <c r="BR41" s="594"/>
      <c r="BS41" s="591">
        <f>BP41/AV41</f>
        <v>1.399695306769843</v>
      </c>
      <c r="BV41" s="609">
        <f t="shared" ref="BV41:CG41" si="38">SUM(BV39:BV40)</f>
        <v>17239.805999999997</v>
      </c>
      <c r="BW41" s="609">
        <f t="shared" si="38"/>
        <v>16223.650000000001</v>
      </c>
      <c r="BX41" s="609">
        <f t="shared" si="38"/>
        <v>38199.729999999996</v>
      </c>
      <c r="BY41" s="609">
        <f t="shared" si="38"/>
        <v>121615.76999999999</v>
      </c>
      <c r="BZ41" s="609">
        <f t="shared" si="38"/>
        <v>176027.96000000002</v>
      </c>
      <c r="CA41" s="609">
        <f t="shared" si="38"/>
        <v>0</v>
      </c>
      <c r="CB41" s="609">
        <f t="shared" si="38"/>
        <v>0</v>
      </c>
      <c r="CC41" s="609">
        <f t="shared" si="38"/>
        <v>0</v>
      </c>
      <c r="CD41" s="609">
        <f t="shared" si="38"/>
        <v>0</v>
      </c>
      <c r="CE41" s="609">
        <f t="shared" si="38"/>
        <v>0</v>
      </c>
      <c r="CF41" s="609">
        <f t="shared" si="38"/>
        <v>0</v>
      </c>
      <c r="CG41" s="609">
        <f t="shared" si="38"/>
        <v>0</v>
      </c>
      <c r="CH41" s="609">
        <f>SUM(BV41:CG41)</f>
        <v>369306.91599999997</v>
      </c>
      <c r="CI41" s="594">
        <f>CH41/$AV$42</f>
        <v>0.33133581428751996</v>
      </c>
      <c r="CJ41" s="577"/>
      <c r="CK41" s="591">
        <f t="shared" si="32"/>
        <v>2.4703161954721584</v>
      </c>
    </row>
    <row r="42" spans="2:89">
      <c r="B42" s="577" t="s">
        <v>61</v>
      </c>
      <c r="C42" s="577"/>
      <c r="D42" s="577"/>
      <c r="E42" s="609">
        <f t="shared" ref="E42:Q42" si="39">SUM(E29+E33+E37+E41)</f>
        <v>0</v>
      </c>
      <c r="F42" s="609">
        <f t="shared" si="39"/>
        <v>0</v>
      </c>
      <c r="G42" s="609">
        <f t="shared" si="39"/>
        <v>0</v>
      </c>
      <c r="H42" s="609">
        <f t="shared" si="39"/>
        <v>0</v>
      </c>
      <c r="I42" s="609">
        <f t="shared" si="39"/>
        <v>0</v>
      </c>
      <c r="J42" s="609">
        <f t="shared" si="39"/>
        <v>0</v>
      </c>
      <c r="K42" s="609">
        <f t="shared" si="39"/>
        <v>0</v>
      </c>
      <c r="L42" s="609">
        <f t="shared" si="39"/>
        <v>0</v>
      </c>
      <c r="M42" s="609">
        <f t="shared" si="39"/>
        <v>0</v>
      </c>
      <c r="N42" s="609">
        <f t="shared" si="39"/>
        <v>0</v>
      </c>
      <c r="O42" s="609">
        <f t="shared" si="39"/>
        <v>0</v>
      </c>
      <c r="P42" s="609">
        <f t="shared" si="39"/>
        <v>0</v>
      </c>
      <c r="Q42" s="609">
        <f t="shared" si="39"/>
        <v>0</v>
      </c>
      <c r="R42" s="577"/>
      <c r="S42" s="577"/>
      <c r="T42" s="609">
        <f t="shared" ref="T42:AF42" si="40">SUM(T29+T33+T37+T41)</f>
        <v>0</v>
      </c>
      <c r="U42" s="609">
        <f t="shared" si="40"/>
        <v>0</v>
      </c>
      <c r="V42" s="609">
        <f t="shared" si="40"/>
        <v>0</v>
      </c>
      <c r="W42" s="609">
        <f t="shared" si="40"/>
        <v>264.96000000000004</v>
      </c>
      <c r="X42" s="609">
        <f t="shared" si="40"/>
        <v>25152.7</v>
      </c>
      <c r="Y42" s="609">
        <f t="shared" si="40"/>
        <v>50128.88</v>
      </c>
      <c r="Z42" s="609">
        <f t="shared" si="40"/>
        <v>48014.809978000005</v>
      </c>
      <c r="AA42" s="609">
        <f t="shared" si="40"/>
        <v>43005.159999999996</v>
      </c>
      <c r="AB42" s="609">
        <f t="shared" si="40"/>
        <v>51757.14</v>
      </c>
      <c r="AC42" s="609">
        <f t="shared" si="40"/>
        <v>55629.64</v>
      </c>
      <c r="AD42" s="609">
        <f t="shared" si="40"/>
        <v>67394.700000000012</v>
      </c>
      <c r="AE42" s="609">
        <f t="shared" si="40"/>
        <v>88868.63</v>
      </c>
      <c r="AF42" s="609">
        <f t="shared" si="40"/>
        <v>430216.619978</v>
      </c>
      <c r="AG42" s="577"/>
      <c r="AH42" s="577"/>
      <c r="AI42" s="591" t="e">
        <f t="shared" si="21"/>
        <v>#DIV/0!</v>
      </c>
      <c r="AJ42" s="609">
        <f t="shared" ref="AJ42:AV42" si="41">SUM(AJ29+AJ33+AJ37+AJ41)</f>
        <v>50102.385618</v>
      </c>
      <c r="AK42" s="609">
        <f t="shared" si="41"/>
        <v>40309.601813000001</v>
      </c>
      <c r="AL42" s="609">
        <f t="shared" si="41"/>
        <v>40381.986064000004</v>
      </c>
      <c r="AM42" s="609">
        <f t="shared" si="41"/>
        <v>41297.594328000006</v>
      </c>
      <c r="AN42" s="609">
        <f t="shared" si="41"/>
        <v>46701.466194999994</v>
      </c>
      <c r="AO42" s="609">
        <f t="shared" si="41"/>
        <v>55566.882366999984</v>
      </c>
      <c r="AP42" s="609">
        <f t="shared" si="41"/>
        <v>58258.296115000005</v>
      </c>
      <c r="AQ42" s="609">
        <f t="shared" si="41"/>
        <v>65235.33</v>
      </c>
      <c r="AR42" s="609">
        <f t="shared" si="41"/>
        <v>86967.209999999992</v>
      </c>
      <c r="AS42" s="609">
        <f t="shared" si="41"/>
        <v>134263.41</v>
      </c>
      <c r="AT42" s="609">
        <f t="shared" si="41"/>
        <v>174099.45</v>
      </c>
      <c r="AU42" s="609">
        <f t="shared" si="41"/>
        <v>321416.44</v>
      </c>
      <c r="AV42" s="609">
        <f t="shared" si="41"/>
        <v>1114600.0525</v>
      </c>
      <c r="AW42" s="577"/>
      <c r="AX42" s="577"/>
      <c r="AY42" s="591">
        <f t="shared" si="22"/>
        <v>2.5907879908428395</v>
      </c>
      <c r="AZ42" s="577"/>
      <c r="BA42" s="603"/>
      <c r="BB42" s="595"/>
      <c r="BC42" s="595"/>
      <c r="BD42" s="609">
        <f t="shared" ref="BD42:BP42" si="42">SUM(BD29+BD33+BD37+BD41)</f>
        <v>116464.35496079709</v>
      </c>
      <c r="BE42" s="609">
        <f t="shared" si="42"/>
        <v>108949.09240136069</v>
      </c>
      <c r="BF42" s="609">
        <f t="shared" si="42"/>
        <v>128550.2152534223</v>
      </c>
      <c r="BG42" s="609">
        <f t="shared" si="42"/>
        <v>154839.99658922377</v>
      </c>
      <c r="BH42" s="609">
        <f t="shared" si="42"/>
        <v>161473.76661723448</v>
      </c>
      <c r="BI42" s="609">
        <f t="shared" si="42"/>
        <v>164184.04956211982</v>
      </c>
      <c r="BJ42" s="609">
        <f t="shared" si="42"/>
        <v>193615.47940502703</v>
      </c>
      <c r="BK42" s="609">
        <f t="shared" si="42"/>
        <v>201530.57748759145</v>
      </c>
      <c r="BL42" s="609">
        <f t="shared" si="42"/>
        <v>239693.67716068306</v>
      </c>
      <c r="BM42" s="609">
        <f t="shared" si="42"/>
        <v>310456.71410597704</v>
      </c>
      <c r="BN42" s="609">
        <f t="shared" si="42"/>
        <v>339222.22138561995</v>
      </c>
      <c r="BO42" s="609">
        <f t="shared" si="42"/>
        <v>423481.04588720767</v>
      </c>
      <c r="BP42" s="609">
        <f t="shared" si="42"/>
        <v>2542461.1908162641</v>
      </c>
      <c r="BQ42" s="582"/>
      <c r="BR42" s="582"/>
      <c r="BS42" s="581"/>
      <c r="BV42" s="609">
        <f t="shared" ref="BV42:CH42" si="43">SUM(BV29+BV33+BV37+BV41)</f>
        <v>165609.076</v>
      </c>
      <c r="BW42" s="609">
        <f t="shared" si="43"/>
        <v>134437.31</v>
      </c>
      <c r="BX42" s="609">
        <f t="shared" si="43"/>
        <v>206346.56</v>
      </c>
      <c r="BY42" s="609">
        <f t="shared" si="43"/>
        <v>291906.32</v>
      </c>
      <c r="BZ42" s="609">
        <f t="shared" si="43"/>
        <v>382814.50000000006</v>
      </c>
      <c r="CA42" s="609">
        <f t="shared" si="43"/>
        <v>0</v>
      </c>
      <c r="CB42" s="609">
        <f t="shared" si="43"/>
        <v>0</v>
      </c>
      <c r="CC42" s="609">
        <f t="shared" si="43"/>
        <v>0</v>
      </c>
      <c r="CD42" s="609">
        <f t="shared" si="43"/>
        <v>0</v>
      </c>
      <c r="CE42" s="609">
        <f t="shared" si="43"/>
        <v>0</v>
      </c>
      <c r="CF42" s="609">
        <f t="shared" si="43"/>
        <v>0</v>
      </c>
      <c r="CG42" s="609">
        <f t="shared" si="43"/>
        <v>0</v>
      </c>
      <c r="CH42" s="609">
        <f t="shared" si="43"/>
        <v>1181113.7660000001</v>
      </c>
      <c r="CI42" s="577"/>
      <c r="CJ42" s="577"/>
      <c r="CK42" s="591">
        <f t="shared" si="32"/>
        <v>1.0596749599560962</v>
      </c>
    </row>
    <row r="43" spans="2:89">
      <c r="C43" s="577"/>
      <c r="D43" s="577"/>
      <c r="E43" s="577"/>
      <c r="F43" s="577"/>
      <c r="G43" s="577"/>
      <c r="H43" s="577"/>
      <c r="I43" s="577"/>
      <c r="J43" s="577"/>
      <c r="K43" s="577"/>
      <c r="L43" s="577"/>
      <c r="M43" s="577"/>
      <c r="N43" s="577"/>
      <c r="O43" s="577"/>
      <c r="P43" s="577"/>
      <c r="Q43" s="577"/>
      <c r="R43" s="577"/>
      <c r="S43" s="577"/>
      <c r="T43" s="578"/>
      <c r="U43" s="578"/>
      <c r="V43" s="578"/>
      <c r="W43" s="578"/>
      <c r="X43" s="578"/>
      <c r="Y43" s="578"/>
      <c r="Z43" s="578"/>
      <c r="AA43" s="578"/>
      <c r="AB43" s="578"/>
      <c r="AC43" s="578"/>
      <c r="AD43" s="578"/>
      <c r="AE43" s="596"/>
      <c r="AF43" s="578"/>
      <c r="AG43" s="577"/>
      <c r="AH43" s="577"/>
      <c r="AI43" s="577"/>
      <c r="AJ43" s="577"/>
      <c r="AK43" s="577"/>
      <c r="AL43" s="577"/>
      <c r="AM43" s="577"/>
      <c r="AN43" s="577"/>
      <c r="AO43" s="577"/>
      <c r="AP43" s="577"/>
      <c r="AQ43" s="577"/>
      <c r="AR43" s="577"/>
      <c r="AS43" s="577"/>
      <c r="AT43" s="577"/>
      <c r="AU43" s="577"/>
      <c r="AV43" s="577"/>
      <c r="AW43" s="577"/>
      <c r="AX43" s="577"/>
      <c r="AY43" s="577"/>
      <c r="AZ43" s="577"/>
      <c r="BA43" s="577"/>
      <c r="BB43" s="595"/>
      <c r="BC43" s="595"/>
      <c r="BD43" s="581"/>
      <c r="BE43" s="581"/>
      <c r="BF43" s="581"/>
      <c r="BG43" s="581"/>
      <c r="BH43" s="581"/>
      <c r="BI43" s="581"/>
      <c r="BJ43" s="581"/>
      <c r="BK43" s="581"/>
      <c r="BL43" s="581"/>
      <c r="BM43" s="581"/>
      <c r="BN43" s="581"/>
      <c r="BO43" s="581"/>
      <c r="BP43" s="581"/>
      <c r="BQ43" s="582"/>
      <c r="BR43" s="582"/>
      <c r="BS43" s="581"/>
      <c r="BV43" s="577"/>
      <c r="BW43" s="577"/>
      <c r="BX43" s="577"/>
      <c r="BY43" s="577"/>
      <c r="BZ43" s="577"/>
      <c r="CA43" s="577"/>
      <c r="CB43" s="577"/>
      <c r="CC43" s="577"/>
      <c r="CD43" s="577"/>
      <c r="CE43" s="577"/>
      <c r="CF43" s="577"/>
      <c r="CG43" s="577"/>
      <c r="CH43" s="577"/>
      <c r="CI43" s="577"/>
      <c r="CJ43" s="577"/>
      <c r="CK43" s="577"/>
    </row>
    <row r="44" spans="2:89">
      <c r="BB44" s="600"/>
      <c r="BC44" s="600"/>
      <c r="BD44" s="614"/>
      <c r="BE44" s="614"/>
      <c r="BF44" s="614"/>
      <c r="BG44" s="614"/>
      <c r="BH44" s="614"/>
      <c r="BI44" s="614"/>
      <c r="BJ44" s="614"/>
      <c r="BK44" s="614"/>
      <c r="BL44" s="614"/>
      <c r="BM44" s="614"/>
      <c r="BN44" s="614"/>
      <c r="BO44" s="614"/>
      <c r="BP44" s="614"/>
    </row>
    <row r="45" spans="2:89">
      <c r="B45" s="577" t="s">
        <v>118</v>
      </c>
    </row>
    <row r="46" spans="2:89" hidden="1">
      <c r="T46" s="582"/>
      <c r="U46" s="582"/>
      <c r="V46" s="582"/>
      <c r="W46" s="582"/>
      <c r="X46" s="582"/>
      <c r="Y46" s="582"/>
      <c r="Z46" s="582"/>
      <c r="AA46" s="582"/>
      <c r="AB46" s="582"/>
      <c r="AC46" s="582"/>
      <c r="AD46" s="582"/>
      <c r="AE46" s="582"/>
      <c r="AF46" s="582"/>
      <c r="AJ46" s="582"/>
      <c r="AK46" s="582"/>
      <c r="AL46" s="582"/>
      <c r="AM46" s="582"/>
      <c r="AN46" s="582"/>
      <c r="AO46" s="582"/>
      <c r="AP46" s="582"/>
      <c r="AQ46" s="582"/>
      <c r="AR46" s="582"/>
      <c r="AS46" s="582"/>
      <c r="AT46" s="582"/>
      <c r="AU46" s="582"/>
      <c r="AV46" s="582"/>
      <c r="BD46" s="614"/>
      <c r="BE46" s="614"/>
      <c r="BF46" s="614"/>
      <c r="BG46" s="614"/>
      <c r="BH46" s="614"/>
      <c r="BI46" s="614"/>
      <c r="BJ46" s="614"/>
      <c r="BK46" s="614"/>
      <c r="BL46" s="614"/>
      <c r="BM46" s="614"/>
      <c r="BN46" s="614"/>
      <c r="BO46" s="614"/>
      <c r="BP46" s="582"/>
      <c r="BS46" s="576"/>
      <c r="BV46" s="582"/>
      <c r="BW46" s="582"/>
      <c r="BX46" s="582"/>
      <c r="BY46" s="582"/>
      <c r="BZ46" s="582"/>
      <c r="CA46" s="582"/>
      <c r="CB46" s="582"/>
      <c r="CC46" s="582"/>
      <c r="CD46" s="582"/>
      <c r="CE46" s="582"/>
      <c r="CF46" s="582"/>
      <c r="CG46" s="582"/>
      <c r="CH46" s="582"/>
    </row>
    <row r="47" spans="2:89" hidden="1">
      <c r="T47" s="576"/>
      <c r="U47" s="576"/>
      <c r="V47" s="576"/>
      <c r="W47" s="576"/>
      <c r="X47" s="576"/>
      <c r="Y47" s="576"/>
      <c r="Z47" s="576"/>
      <c r="AA47" s="576"/>
      <c r="AB47" s="576"/>
      <c r="AC47" s="576"/>
      <c r="AD47" s="576"/>
      <c r="AE47" s="576"/>
      <c r="AF47" s="576"/>
      <c r="AG47" s="615"/>
      <c r="AJ47" s="576"/>
      <c r="AK47" s="576"/>
      <c r="AL47" s="576"/>
      <c r="AM47" s="576"/>
      <c r="AN47" s="576"/>
      <c r="AO47" s="576"/>
      <c r="AP47" s="576"/>
      <c r="AQ47" s="576"/>
      <c r="AR47" s="576"/>
      <c r="AS47" s="576"/>
      <c r="AT47" s="576"/>
      <c r="AU47" s="576"/>
      <c r="AV47" s="576"/>
      <c r="BA47" s="585"/>
      <c r="BB47" s="615"/>
      <c r="BC47" s="615"/>
      <c r="BD47" s="616"/>
      <c r="BE47" s="616"/>
      <c r="BF47" s="616"/>
      <c r="BG47" s="616"/>
      <c r="BH47" s="616"/>
      <c r="BI47" s="616"/>
      <c r="BJ47" s="616"/>
      <c r="BK47" s="616"/>
      <c r="BL47" s="616"/>
      <c r="BM47" s="616"/>
      <c r="BN47" s="616"/>
      <c r="BO47" s="616"/>
      <c r="BP47" s="576"/>
      <c r="BQ47" s="576"/>
      <c r="BR47" s="576"/>
      <c r="BS47" s="576"/>
      <c r="BV47" s="576"/>
      <c r="BW47" s="576"/>
      <c r="BX47" s="576"/>
      <c r="BY47" s="576"/>
      <c r="BZ47" s="576"/>
      <c r="CA47" s="576"/>
      <c r="CB47" s="576"/>
      <c r="CC47" s="576"/>
      <c r="CD47" s="576"/>
      <c r="CE47" s="576"/>
      <c r="CF47" s="576"/>
      <c r="CG47" s="576"/>
      <c r="CH47" s="576"/>
    </row>
    <row r="48" spans="2:89" hidden="1">
      <c r="T48" s="617"/>
      <c r="U48" s="617"/>
      <c r="V48" s="617"/>
      <c r="W48" s="617"/>
      <c r="X48" s="617"/>
      <c r="Y48" s="617"/>
      <c r="Z48" s="617"/>
      <c r="AA48" s="617"/>
      <c r="AB48" s="617"/>
      <c r="AC48" s="617"/>
      <c r="AD48" s="617"/>
      <c r="AE48" s="617"/>
      <c r="AF48" s="617"/>
      <c r="AJ48" s="617"/>
      <c r="AK48" s="617"/>
      <c r="AL48" s="617"/>
      <c r="AM48" s="617"/>
      <c r="AN48" s="617"/>
      <c r="AO48" s="617"/>
      <c r="AP48" s="617"/>
      <c r="AQ48" s="617"/>
      <c r="AR48" s="617"/>
      <c r="AS48" s="617"/>
      <c r="AT48" s="617"/>
      <c r="AU48" s="617"/>
      <c r="AV48" s="617"/>
      <c r="BA48" s="585"/>
      <c r="BB48" s="617"/>
      <c r="BC48" s="617"/>
      <c r="BD48" s="617"/>
      <c r="BE48" s="617"/>
      <c r="BF48" s="617"/>
      <c r="BG48" s="617"/>
      <c r="BH48" s="617"/>
      <c r="BI48" s="617"/>
      <c r="BJ48" s="617"/>
      <c r="BK48" s="617"/>
      <c r="BL48" s="617"/>
      <c r="BM48" s="617"/>
      <c r="BN48" s="617"/>
      <c r="BO48" s="617"/>
      <c r="BP48" s="617"/>
      <c r="BQ48" s="576"/>
      <c r="BR48" s="576"/>
      <c r="BS48" s="576"/>
      <c r="BV48" s="617"/>
      <c r="BW48" s="617"/>
      <c r="BX48" s="617"/>
      <c r="BY48" s="617"/>
      <c r="BZ48" s="617"/>
      <c r="CA48" s="617"/>
      <c r="CB48" s="617"/>
      <c r="CC48" s="617"/>
      <c r="CD48" s="617"/>
      <c r="CE48" s="617"/>
      <c r="CF48" s="617"/>
      <c r="CG48" s="617"/>
      <c r="CH48" s="617"/>
    </row>
    <row r="49" spans="1:86" hidden="1">
      <c r="D49" s="585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/>
      <c r="S49" s="585"/>
      <c r="T49" s="617"/>
      <c r="U49" s="617"/>
      <c r="V49" s="617"/>
      <c r="W49" s="617"/>
      <c r="X49" s="617"/>
      <c r="Y49" s="617"/>
      <c r="Z49" s="617"/>
      <c r="AA49" s="617"/>
      <c r="AB49" s="617"/>
      <c r="AC49" s="617"/>
      <c r="AD49" s="617"/>
      <c r="AE49" s="617"/>
      <c r="AF49" s="617"/>
      <c r="AJ49" s="617"/>
      <c r="AK49" s="617"/>
      <c r="AL49" s="617"/>
      <c r="AM49" s="617"/>
      <c r="AN49" s="617"/>
      <c r="AO49" s="617"/>
      <c r="AP49" s="617"/>
      <c r="AQ49" s="617"/>
      <c r="AR49" s="617"/>
      <c r="AS49" s="617"/>
      <c r="AT49" s="617"/>
      <c r="AU49" s="617"/>
      <c r="AV49" s="617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V49" s="617"/>
      <c r="BW49" s="617"/>
      <c r="BX49" s="617"/>
      <c r="BY49" s="617"/>
      <c r="BZ49" s="617"/>
      <c r="CA49" s="617"/>
      <c r="CB49" s="617"/>
      <c r="CC49" s="617"/>
      <c r="CD49" s="617"/>
      <c r="CE49" s="617"/>
      <c r="CF49" s="617"/>
      <c r="CG49" s="617"/>
      <c r="CH49" s="617"/>
    </row>
    <row r="50" spans="1:86" s="577" customFormat="1" ht="13.2" hidden="1">
      <c r="D50" s="579"/>
      <c r="E50" s="579"/>
      <c r="F50" s="579"/>
      <c r="G50" s="579"/>
      <c r="H50" s="579"/>
      <c r="I50" s="579"/>
      <c r="J50" s="579"/>
      <c r="K50" s="579"/>
      <c r="L50" s="579"/>
      <c r="M50" s="579"/>
      <c r="N50" s="579"/>
      <c r="O50" s="579"/>
      <c r="P50" s="579"/>
      <c r="Q50" s="579"/>
      <c r="R50" s="579"/>
      <c r="S50" s="579"/>
      <c r="T50" s="619"/>
      <c r="U50" s="619"/>
      <c r="V50" s="619"/>
      <c r="W50" s="619"/>
      <c r="X50" s="619"/>
      <c r="Y50" s="619"/>
      <c r="Z50" s="619"/>
      <c r="AA50" s="619"/>
      <c r="AB50" s="619"/>
      <c r="AC50" s="619"/>
      <c r="AD50" s="619"/>
      <c r="AE50" s="619"/>
      <c r="AF50" s="619"/>
      <c r="AH50" s="579"/>
      <c r="AI50" s="579"/>
      <c r="AJ50" s="619"/>
      <c r="AK50" s="619"/>
      <c r="AL50" s="619"/>
      <c r="AM50" s="619"/>
      <c r="AN50" s="619"/>
      <c r="AO50" s="619"/>
      <c r="AP50" s="619"/>
      <c r="AQ50" s="619"/>
      <c r="AR50" s="619"/>
      <c r="AS50" s="619"/>
      <c r="AT50" s="619"/>
      <c r="AU50" s="619"/>
      <c r="AV50" s="619"/>
      <c r="BB50" s="579"/>
      <c r="BC50" s="579"/>
      <c r="BD50" s="610"/>
      <c r="BE50" s="610"/>
      <c r="BF50" s="610"/>
      <c r="BG50" s="610"/>
      <c r="BH50" s="610"/>
      <c r="BI50" s="610"/>
      <c r="BJ50" s="610"/>
      <c r="BK50" s="610"/>
      <c r="BL50" s="610"/>
      <c r="BM50" s="610"/>
      <c r="BN50" s="610"/>
      <c r="BO50" s="610"/>
      <c r="BP50" s="609"/>
      <c r="BU50" s="579"/>
      <c r="BV50" s="619"/>
      <c r="BW50" s="619"/>
      <c r="BX50" s="619"/>
      <c r="BY50" s="619"/>
      <c r="BZ50" s="619"/>
      <c r="CA50" s="619"/>
      <c r="CB50" s="619"/>
      <c r="CC50" s="619"/>
      <c r="CD50" s="619"/>
      <c r="CE50" s="619"/>
      <c r="CF50" s="619"/>
      <c r="CG50" s="619"/>
      <c r="CH50" s="619"/>
    </row>
    <row r="51" spans="1:86" s="577" customFormat="1" ht="13.2" hidden="1">
      <c r="D51" s="579"/>
      <c r="E51" s="579"/>
      <c r="F51" s="579"/>
      <c r="G51" s="579"/>
      <c r="H51" s="579"/>
      <c r="I51" s="579"/>
      <c r="J51" s="579"/>
      <c r="K51" s="579"/>
      <c r="L51" s="579"/>
      <c r="M51" s="579"/>
      <c r="N51" s="579"/>
      <c r="O51" s="579"/>
      <c r="P51" s="579"/>
      <c r="Q51" s="579"/>
      <c r="R51" s="579"/>
      <c r="S51" s="57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H51" s="579"/>
      <c r="AI51" s="579"/>
      <c r="AJ51" s="619"/>
      <c r="AK51" s="619"/>
      <c r="AL51" s="619"/>
      <c r="AM51" s="619"/>
      <c r="AN51" s="619"/>
      <c r="AO51" s="619"/>
      <c r="AP51" s="619"/>
      <c r="AQ51" s="619"/>
      <c r="AR51" s="619"/>
      <c r="AV51" s="619"/>
      <c r="BB51" s="579"/>
      <c r="BC51" s="579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19"/>
      <c r="BV51" s="619"/>
      <c r="BW51" s="619"/>
      <c r="BX51" s="619"/>
      <c r="BY51" s="619"/>
      <c r="BZ51" s="619"/>
      <c r="CA51" s="619"/>
      <c r="CB51" s="619"/>
      <c r="CC51" s="619"/>
      <c r="CD51" s="619"/>
      <c r="CH51" s="619"/>
    </row>
    <row r="52" spans="1:86" hidden="1">
      <c r="T52" s="582"/>
      <c r="U52" s="582"/>
      <c r="V52" s="582"/>
      <c r="W52" s="582"/>
      <c r="X52" s="582"/>
      <c r="Y52" s="582"/>
      <c r="Z52" s="582"/>
      <c r="AA52" s="582"/>
      <c r="AB52" s="582"/>
      <c r="AC52" s="582"/>
      <c r="AD52" s="582"/>
      <c r="AE52" s="582"/>
      <c r="AF52" s="582"/>
      <c r="AJ52" s="582"/>
      <c r="AK52" s="582"/>
      <c r="AL52" s="582"/>
      <c r="AM52" s="582"/>
      <c r="AN52" s="582"/>
      <c r="AO52" s="582"/>
      <c r="AP52" s="582"/>
      <c r="AQ52" s="582"/>
      <c r="AR52" s="582"/>
      <c r="AS52" s="582"/>
      <c r="AT52" s="582"/>
      <c r="AU52" s="582"/>
      <c r="AV52" s="582"/>
      <c r="BD52" s="614"/>
      <c r="BE52" s="614"/>
      <c r="BF52" s="614"/>
      <c r="BG52" s="614"/>
      <c r="BH52" s="614"/>
      <c r="BI52" s="614"/>
      <c r="BJ52" s="614"/>
      <c r="BK52" s="614"/>
      <c r="BL52" s="614"/>
      <c r="BM52" s="614"/>
      <c r="BN52" s="614"/>
      <c r="BO52" s="614"/>
      <c r="BP52" s="582"/>
      <c r="BV52" s="582"/>
      <c r="BW52" s="582"/>
      <c r="BX52" s="582"/>
      <c r="BY52" s="582"/>
      <c r="BZ52" s="582"/>
      <c r="CA52" s="582"/>
      <c r="CB52" s="582"/>
      <c r="CC52" s="582"/>
      <c r="CD52" s="582"/>
      <c r="CE52" s="582"/>
      <c r="CF52" s="582"/>
      <c r="CG52" s="582"/>
      <c r="CH52" s="582"/>
    </row>
    <row r="53" spans="1:86" hidden="1">
      <c r="T53" s="576"/>
      <c r="U53" s="576"/>
      <c r="V53" s="576"/>
      <c r="W53" s="576"/>
      <c r="X53" s="576"/>
      <c r="Y53" s="576"/>
      <c r="Z53" s="576"/>
      <c r="AA53" s="576"/>
      <c r="AB53" s="576"/>
      <c r="AC53" s="576"/>
      <c r="AD53" s="576"/>
      <c r="AE53" s="576"/>
      <c r="AF53" s="576"/>
      <c r="AG53" s="615"/>
      <c r="AJ53" s="576"/>
      <c r="AK53" s="576"/>
      <c r="AL53" s="576"/>
      <c r="AM53" s="576"/>
      <c r="AN53" s="576"/>
      <c r="AO53" s="576"/>
      <c r="AP53" s="576"/>
      <c r="AQ53" s="576"/>
      <c r="AR53" s="576"/>
      <c r="AS53" s="576"/>
      <c r="AT53" s="576"/>
      <c r="AU53" s="576"/>
      <c r="AV53" s="576"/>
      <c r="BA53" s="585"/>
      <c r="BB53" s="615"/>
      <c r="BC53" s="615"/>
      <c r="BD53" s="616"/>
      <c r="BE53" s="616"/>
      <c r="BF53" s="616"/>
      <c r="BG53" s="616"/>
      <c r="BH53" s="616"/>
      <c r="BI53" s="616"/>
      <c r="BJ53" s="616"/>
      <c r="BK53" s="616"/>
      <c r="BL53" s="616"/>
      <c r="BM53" s="616"/>
      <c r="BN53" s="616"/>
      <c r="BO53" s="616"/>
      <c r="BP53" s="576"/>
      <c r="BQ53" s="576"/>
      <c r="BR53" s="576"/>
      <c r="BS53" s="576"/>
      <c r="BV53" s="576"/>
      <c r="BW53" s="576"/>
      <c r="BX53" s="576"/>
      <c r="BY53" s="576"/>
      <c r="BZ53" s="576"/>
      <c r="CA53" s="576"/>
      <c r="CB53" s="576"/>
      <c r="CC53" s="576"/>
      <c r="CD53" s="576"/>
      <c r="CE53" s="576"/>
      <c r="CF53" s="576"/>
      <c r="CG53" s="576"/>
      <c r="CH53" s="576"/>
    </row>
    <row r="54" spans="1:86" hidden="1">
      <c r="T54" s="617"/>
      <c r="U54" s="617"/>
      <c r="V54" s="617"/>
      <c r="W54" s="617"/>
      <c r="X54" s="617"/>
      <c r="Y54" s="617"/>
      <c r="Z54" s="617"/>
      <c r="AA54" s="617"/>
      <c r="AB54" s="617"/>
      <c r="AC54" s="617"/>
      <c r="AD54" s="617"/>
      <c r="AE54" s="617"/>
      <c r="AF54" s="617"/>
      <c r="AJ54" s="617"/>
      <c r="AK54" s="617"/>
      <c r="AL54" s="617"/>
      <c r="AM54" s="617"/>
      <c r="AN54" s="617"/>
      <c r="AO54" s="617"/>
      <c r="AP54" s="617"/>
      <c r="AQ54" s="617"/>
      <c r="AR54" s="617"/>
      <c r="AS54" s="617"/>
      <c r="AT54" s="617"/>
      <c r="AU54" s="617"/>
      <c r="AV54" s="617"/>
      <c r="BA54" s="585"/>
      <c r="BB54" s="617"/>
      <c r="BC54" s="617"/>
      <c r="BD54" s="617"/>
      <c r="BE54" s="617"/>
      <c r="BF54" s="617"/>
      <c r="BG54" s="617"/>
      <c r="BH54" s="617"/>
      <c r="BI54" s="617"/>
      <c r="BJ54" s="617"/>
      <c r="BK54" s="617"/>
      <c r="BL54" s="617"/>
      <c r="BM54" s="617"/>
      <c r="BN54" s="617"/>
      <c r="BO54" s="617"/>
      <c r="BP54" s="617"/>
      <c r="BQ54" s="576"/>
      <c r="BR54" s="576"/>
      <c r="BS54" s="576"/>
      <c r="BV54" s="617"/>
      <c r="BW54" s="617"/>
      <c r="BX54" s="617"/>
      <c r="BY54" s="617"/>
      <c r="BZ54" s="617"/>
      <c r="CA54" s="617"/>
      <c r="CB54" s="617"/>
      <c r="CC54" s="617"/>
      <c r="CD54" s="617"/>
      <c r="CE54" s="617"/>
      <c r="CF54" s="617"/>
      <c r="CG54" s="617"/>
      <c r="CH54" s="617"/>
    </row>
    <row r="55" spans="1:86" hidden="1">
      <c r="D55" s="585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/>
      <c r="S55" s="585"/>
      <c r="T55" s="617"/>
      <c r="U55" s="617"/>
      <c r="V55" s="617"/>
      <c r="W55" s="617"/>
      <c r="X55" s="617"/>
      <c r="Y55" s="617"/>
      <c r="Z55" s="617"/>
      <c r="AA55" s="617"/>
      <c r="AB55" s="617"/>
      <c r="AC55" s="617"/>
      <c r="AD55" s="617"/>
      <c r="AE55" s="617"/>
      <c r="AF55" s="617"/>
      <c r="AJ55" s="617"/>
      <c r="AK55" s="617"/>
      <c r="AL55" s="617"/>
      <c r="AM55" s="617"/>
      <c r="AN55" s="617"/>
      <c r="AO55" s="617"/>
      <c r="AP55" s="617"/>
      <c r="AQ55" s="617"/>
      <c r="AR55" s="617"/>
      <c r="AS55" s="617"/>
      <c r="AT55" s="617"/>
      <c r="AU55" s="617"/>
      <c r="AV55" s="617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V55" s="617"/>
      <c r="BW55" s="617"/>
      <c r="BX55" s="617"/>
      <c r="BY55" s="617"/>
      <c r="BZ55" s="617"/>
      <c r="CA55" s="617"/>
      <c r="CB55" s="617"/>
      <c r="CC55" s="617"/>
      <c r="CD55" s="617"/>
      <c r="CE55" s="617"/>
      <c r="CF55" s="617"/>
      <c r="CG55" s="617"/>
      <c r="CH55" s="617"/>
    </row>
    <row r="56" spans="1:86" s="577" customFormat="1" ht="13.2" hidden="1"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619"/>
      <c r="U56" s="619"/>
      <c r="V56" s="619"/>
      <c r="W56" s="619"/>
      <c r="X56" s="619"/>
      <c r="Y56" s="619"/>
      <c r="Z56" s="619"/>
      <c r="AA56" s="619"/>
      <c r="AB56" s="619"/>
      <c r="AC56" s="619"/>
      <c r="AD56" s="619"/>
      <c r="AE56" s="619"/>
      <c r="AF56" s="619"/>
      <c r="AH56" s="579"/>
      <c r="AI56" s="579"/>
      <c r="AJ56" s="619"/>
      <c r="AK56" s="619"/>
      <c r="AL56" s="619"/>
      <c r="AM56" s="619"/>
      <c r="AN56" s="619"/>
      <c r="AO56" s="619"/>
      <c r="AP56" s="619"/>
      <c r="AQ56" s="619"/>
      <c r="AR56" s="619"/>
      <c r="AS56" s="619"/>
      <c r="AT56" s="619"/>
      <c r="AU56" s="619"/>
      <c r="AV56" s="619"/>
      <c r="BB56" s="579"/>
      <c r="BC56" s="579"/>
      <c r="BD56" s="610"/>
      <c r="BE56" s="610"/>
      <c r="BF56" s="610"/>
      <c r="BG56" s="610"/>
      <c r="BH56" s="610"/>
      <c r="BI56" s="610"/>
      <c r="BJ56" s="610"/>
      <c r="BK56" s="610"/>
      <c r="BL56" s="610"/>
      <c r="BM56" s="610"/>
      <c r="BN56" s="610"/>
      <c r="BO56" s="610"/>
      <c r="BP56" s="609"/>
      <c r="BU56" s="579"/>
      <c r="BV56" s="619"/>
      <c r="BW56" s="619"/>
      <c r="BX56" s="619"/>
      <c r="BY56" s="619"/>
      <c r="BZ56" s="619"/>
      <c r="CA56" s="619"/>
      <c r="CB56" s="619"/>
      <c r="CC56" s="619"/>
      <c r="CD56" s="619"/>
      <c r="CE56" s="619"/>
      <c r="CF56" s="619"/>
      <c r="CG56" s="619"/>
      <c r="CH56" s="619"/>
    </row>
    <row r="57" spans="1:86" hidden="1"/>
    <row r="58" spans="1:86">
      <c r="A58" s="569" t="s">
        <v>70</v>
      </c>
      <c r="T58" s="582">
        <v>0</v>
      </c>
      <c r="U58" s="582">
        <v>0</v>
      </c>
      <c r="V58" s="582">
        <v>0</v>
      </c>
      <c r="W58" s="582">
        <v>86578</v>
      </c>
      <c r="X58" s="582">
        <v>89365210</v>
      </c>
      <c r="Y58" s="582">
        <v>161797166</v>
      </c>
      <c r="Z58" s="582">
        <v>155807609</v>
      </c>
      <c r="AA58" s="582">
        <v>155675208</v>
      </c>
      <c r="AB58" s="582">
        <v>155332773</v>
      </c>
      <c r="AC58" s="582">
        <v>171530898</v>
      </c>
      <c r="AD58" s="582">
        <v>179747828</v>
      </c>
      <c r="AE58" s="582">
        <v>192908953</v>
      </c>
      <c r="AF58" s="582">
        <f>SUM(T58:AE58)</f>
        <v>1262252223</v>
      </c>
      <c r="AJ58" s="582">
        <f>AJ17</f>
        <v>199821673</v>
      </c>
      <c r="AK58" s="582">
        <f t="shared" ref="AK58:AU58" si="44">AK17</f>
        <v>180432964</v>
      </c>
      <c r="AL58" s="582">
        <f t="shared" si="44"/>
        <v>213199294</v>
      </c>
      <c r="AM58" s="582">
        <f t="shared" si="44"/>
        <v>247646617</v>
      </c>
      <c r="AN58" s="582">
        <f t="shared" si="44"/>
        <v>259872566</v>
      </c>
      <c r="AO58" s="582">
        <f t="shared" si="44"/>
        <v>262823780</v>
      </c>
      <c r="AP58" s="582">
        <f t="shared" si="44"/>
        <v>324125360</v>
      </c>
      <c r="AQ58" s="582">
        <f t="shared" si="44"/>
        <v>319402886</v>
      </c>
      <c r="AR58" s="582">
        <f t="shared" si="44"/>
        <v>423005943</v>
      </c>
      <c r="AS58" s="582">
        <f t="shared" si="44"/>
        <v>564195619</v>
      </c>
      <c r="AT58" s="582">
        <f t="shared" si="44"/>
        <v>607896560</v>
      </c>
      <c r="AU58" s="582">
        <f t="shared" si="44"/>
        <v>790265528</v>
      </c>
      <c r="AV58" s="582">
        <f>SUM(AJ58:AU58)</f>
        <v>4392688790</v>
      </c>
      <c r="BD58" s="614">
        <f t="shared" ref="BD58:BO58" si="45">BD17</f>
        <v>503884939.99291492</v>
      </c>
      <c r="BE58" s="614">
        <f t="shared" si="45"/>
        <v>471370033.39280277</v>
      </c>
      <c r="BF58" s="614">
        <f t="shared" si="45"/>
        <v>556174612.57438505</v>
      </c>
      <c r="BG58" s="614">
        <f t="shared" si="45"/>
        <v>669917782.27876568</v>
      </c>
      <c r="BH58" s="614">
        <f t="shared" si="45"/>
        <v>698618896.99851084</v>
      </c>
      <c r="BI58" s="614">
        <f t="shared" si="45"/>
        <v>710344980.56723094</v>
      </c>
      <c r="BJ58" s="614">
        <f t="shared" si="45"/>
        <v>837680544.01315296</v>
      </c>
      <c r="BK58" s="614">
        <f t="shared" si="45"/>
        <v>871925345.55533755</v>
      </c>
      <c r="BL58" s="614">
        <f t="shared" si="45"/>
        <v>1037038621.5889556</v>
      </c>
      <c r="BM58" s="614">
        <f t="shared" si="45"/>
        <v>1343196060.3769705</v>
      </c>
      <c r="BN58" s="614">
        <f t="shared" si="45"/>
        <v>1467650498.9418654</v>
      </c>
      <c r="BO58" s="614">
        <f t="shared" si="45"/>
        <v>1832197683.7191079</v>
      </c>
      <c r="BP58" s="582">
        <f>SUM(BD58:BO58)</f>
        <v>11000000000.000002</v>
      </c>
      <c r="BU58" s="604"/>
      <c r="BV58" s="582">
        <f>BV17</f>
        <v>712243496</v>
      </c>
      <c r="BW58" s="582">
        <f t="shared" ref="BW58:CG58" si="46">BW17</f>
        <v>640353919</v>
      </c>
      <c r="BX58" s="582">
        <f t="shared" si="46"/>
        <v>663392460</v>
      </c>
      <c r="BY58" s="582">
        <f t="shared" si="46"/>
        <v>693831478</v>
      </c>
      <c r="BZ58" s="582">
        <f t="shared" si="46"/>
        <v>796396532</v>
      </c>
      <c r="CA58" s="582">
        <f t="shared" si="46"/>
        <v>0</v>
      </c>
      <c r="CB58" s="582">
        <f t="shared" si="46"/>
        <v>0</v>
      </c>
      <c r="CC58" s="582">
        <f t="shared" si="46"/>
        <v>0</v>
      </c>
      <c r="CD58" s="582">
        <f t="shared" si="46"/>
        <v>0</v>
      </c>
      <c r="CE58" s="582">
        <f t="shared" si="46"/>
        <v>0</v>
      </c>
      <c r="CF58" s="582">
        <f t="shared" si="46"/>
        <v>0</v>
      </c>
      <c r="CG58" s="582">
        <f t="shared" si="46"/>
        <v>0</v>
      </c>
      <c r="CH58" s="582">
        <f>SUM(BV58:CG58)</f>
        <v>3506217885</v>
      </c>
    </row>
    <row r="59" spans="1:86">
      <c r="C59" s="569" t="s">
        <v>107</v>
      </c>
      <c r="T59" s="576"/>
      <c r="U59" s="576"/>
      <c r="V59" s="576"/>
      <c r="W59" s="576">
        <v>0.27120053593291599</v>
      </c>
      <c r="X59" s="576">
        <v>0.28423989604008093</v>
      </c>
      <c r="Y59" s="576">
        <v>0.2940446126231902</v>
      </c>
      <c r="Z59" s="576">
        <v>0.3065690135839258</v>
      </c>
      <c r="AA59" s="576">
        <v>0.31538538878971661</v>
      </c>
      <c r="AB59" s="576">
        <v>0.29297909042596509</v>
      </c>
      <c r="AC59" s="576">
        <v>0.33256532592746058</v>
      </c>
      <c r="AD59" s="576">
        <v>0.33955481231183499</v>
      </c>
      <c r="AE59" s="576">
        <v>0.42386310685676121</v>
      </c>
      <c r="AF59" s="576">
        <f>AVERAGE(T59:AE59)</f>
        <v>0.31782242027687235</v>
      </c>
      <c r="AG59" s="615">
        <f>AVERAGE(T59:AB59)</f>
        <v>0.29406975623263243</v>
      </c>
      <c r="AJ59" s="576">
        <v>0.29061138428162392</v>
      </c>
      <c r="AK59" s="576">
        <v>0.24041750862324537</v>
      </c>
      <c r="AL59" s="576">
        <v>0.23957395582723651</v>
      </c>
      <c r="AM59" s="576">
        <v>0.20004740988080358</v>
      </c>
      <c r="AN59" s="576">
        <v>0.21859457955282294</v>
      </c>
      <c r="AO59" s="576">
        <v>0.20276847520544919</v>
      </c>
      <c r="AP59" s="576">
        <v>0.21734704772887697</v>
      </c>
      <c r="AQ59" s="576">
        <v>0.23374020804913453</v>
      </c>
      <c r="AR59" s="576">
        <v>0.28616009216749971</v>
      </c>
      <c r="AS59" s="576">
        <f>178329828/AS58</f>
        <v>0.31607800910627065</v>
      </c>
      <c r="AT59" s="576">
        <f>199045706/AT58</f>
        <v>0.32743351270156884</v>
      </c>
      <c r="AU59" s="576">
        <f>331144549/AU58</f>
        <v>0.41902947460970358</v>
      </c>
      <c r="AV59" s="576">
        <f>AVERAGE(AJ59:AU59)</f>
        <v>0.26598347147785301</v>
      </c>
      <c r="BA59" s="585">
        <v>0.02</v>
      </c>
      <c r="BB59" s="615">
        <f>AVERAGE(AJ59:AR59,AC59:AE59)*(100%+BA59)</f>
        <v>0.27414573204508369</v>
      </c>
      <c r="BC59" s="615"/>
      <c r="BD59" s="616">
        <f>BB59</f>
        <v>0.27414573204508369</v>
      </c>
      <c r="BE59" s="616">
        <f>BD59</f>
        <v>0.27414573204508369</v>
      </c>
      <c r="BF59" s="616">
        <f t="shared" ref="BF59:BO60" si="47">BE59</f>
        <v>0.27414573204508369</v>
      </c>
      <c r="BG59" s="616">
        <f t="shared" si="47"/>
        <v>0.27414573204508369</v>
      </c>
      <c r="BH59" s="616">
        <f t="shared" si="47"/>
        <v>0.27414573204508369</v>
      </c>
      <c r="BI59" s="616">
        <f t="shared" si="47"/>
        <v>0.27414573204508369</v>
      </c>
      <c r="BJ59" s="616">
        <f t="shared" si="47"/>
        <v>0.27414573204508369</v>
      </c>
      <c r="BK59" s="616">
        <f t="shared" si="47"/>
        <v>0.27414573204508369</v>
      </c>
      <c r="BL59" s="616">
        <f t="shared" si="47"/>
        <v>0.27414573204508369</v>
      </c>
      <c r="BM59" s="616">
        <f t="shared" si="47"/>
        <v>0.27414573204508369</v>
      </c>
      <c r="BN59" s="616">
        <f t="shared" si="47"/>
        <v>0.27414573204508369</v>
      </c>
      <c r="BO59" s="616">
        <f t="shared" si="47"/>
        <v>0.27414573204508369</v>
      </c>
      <c r="BP59" s="576">
        <f>AVERAGE(BD59:BO59)</f>
        <v>0.27414573204508363</v>
      </c>
      <c r="BQ59" s="576">
        <f>BP59/AV59</f>
        <v>1.030687096915758</v>
      </c>
      <c r="BR59" s="576"/>
      <c r="BS59" s="576">
        <f>BP59/AF59</f>
        <v>0.86257518209779038</v>
      </c>
      <c r="BV59" s="576">
        <f>211401438/BV58</f>
        <v>0.29681062612328862</v>
      </c>
      <c r="BW59" s="576">
        <f>201042041/BW58</f>
        <v>0.31395457267436511</v>
      </c>
      <c r="BX59" s="576">
        <f>249592267/BX17</f>
        <v>0.37623621317613409</v>
      </c>
      <c r="BY59" s="576">
        <f>288344463/BY17</f>
        <v>0.41558284993232897</v>
      </c>
      <c r="BZ59" s="576"/>
      <c r="CA59" s="576"/>
      <c r="CB59" s="576"/>
      <c r="CC59" s="576"/>
      <c r="CD59" s="576"/>
      <c r="CE59" s="576"/>
      <c r="CF59" s="576"/>
      <c r="CG59" s="576"/>
      <c r="CH59" s="576">
        <f>AVERAGE(BV59:CG59)</f>
        <v>0.35064606547652921</v>
      </c>
    </row>
    <row r="60" spans="1:86">
      <c r="C60" s="569" t="s">
        <v>108</v>
      </c>
      <c r="T60" s="617"/>
      <c r="U60" s="617"/>
      <c r="V60" s="617"/>
      <c r="W60" s="617">
        <v>0.95599999999999996</v>
      </c>
      <c r="X60" s="617">
        <v>1.847</v>
      </c>
      <c r="Y60" s="617">
        <v>1.9650000000000001</v>
      </c>
      <c r="Z60" s="617">
        <v>1.869</v>
      </c>
      <c r="AA60" s="617">
        <v>1.641</v>
      </c>
      <c r="AB60" s="617">
        <v>2.12</v>
      </c>
      <c r="AC60" s="617">
        <v>1.752</v>
      </c>
      <c r="AD60" s="617">
        <v>1.6120000000000001</v>
      </c>
      <c r="AE60" s="617">
        <v>1.784</v>
      </c>
      <c r="AF60" s="617">
        <f>AVERAGE(T60:AE60)</f>
        <v>1.7273333333333334</v>
      </c>
      <c r="AJ60" s="617">
        <v>1.4370000000000001</v>
      </c>
      <c r="AK60" s="617">
        <v>1.472</v>
      </c>
      <c r="AL60" s="617">
        <v>1.2490000000000001</v>
      </c>
      <c r="AM60" s="617">
        <v>1.2490000000000001</v>
      </c>
      <c r="AN60" s="617">
        <v>1.2549999999999999</v>
      </c>
      <c r="AO60" s="617">
        <v>1.502</v>
      </c>
      <c r="AP60" s="617">
        <v>1.262</v>
      </c>
      <c r="AQ60" s="617">
        <v>1.1619999999999999</v>
      </c>
      <c r="AR60" s="617">
        <v>1.145</v>
      </c>
      <c r="AS60" s="617">
        <v>1.23</v>
      </c>
      <c r="AT60" s="617">
        <v>1.39</v>
      </c>
      <c r="AU60" s="617">
        <v>1.66</v>
      </c>
      <c r="AV60" s="617">
        <f>AVERAGE(AJ60:AU60)</f>
        <v>1.3344166666666668</v>
      </c>
      <c r="BA60" s="585"/>
      <c r="BB60" s="617">
        <f>AVERAGE(AJ60:AR60,AC60:AE60)*(100%+BA60)</f>
        <v>1.4067499999999999</v>
      </c>
      <c r="BC60" s="617"/>
      <c r="BD60" s="617">
        <f>BB60</f>
        <v>1.4067499999999999</v>
      </c>
      <c r="BE60" s="617">
        <f>BD60</f>
        <v>1.4067499999999999</v>
      </c>
      <c r="BF60" s="617">
        <f t="shared" si="47"/>
        <v>1.4067499999999999</v>
      </c>
      <c r="BG60" s="617">
        <f t="shared" si="47"/>
        <v>1.4067499999999999</v>
      </c>
      <c r="BH60" s="617">
        <f t="shared" si="47"/>
        <v>1.4067499999999999</v>
      </c>
      <c r="BI60" s="617">
        <f t="shared" si="47"/>
        <v>1.4067499999999999</v>
      </c>
      <c r="BJ60" s="617">
        <f t="shared" si="47"/>
        <v>1.4067499999999999</v>
      </c>
      <c r="BK60" s="617">
        <f t="shared" si="47"/>
        <v>1.4067499999999999</v>
      </c>
      <c r="BL60" s="617">
        <f t="shared" si="47"/>
        <v>1.4067499999999999</v>
      </c>
      <c r="BM60" s="617">
        <f t="shared" si="47"/>
        <v>1.4067499999999999</v>
      </c>
      <c r="BN60" s="617">
        <f t="shared" si="47"/>
        <v>1.4067499999999999</v>
      </c>
      <c r="BO60" s="617">
        <f t="shared" si="47"/>
        <v>1.4067499999999999</v>
      </c>
      <c r="BP60" s="617">
        <f>AVERAGE(BD60:BO60)</f>
        <v>1.4067500000000004</v>
      </c>
      <c r="BQ60" s="576">
        <f>BP60/AV60</f>
        <v>1.0542059576594018</v>
      </c>
      <c r="BR60" s="576"/>
      <c r="BS60" s="576">
        <f>BP60/AF60</f>
        <v>0.81440563489000406</v>
      </c>
      <c r="BV60" s="617">
        <v>1.27</v>
      </c>
      <c r="BW60" s="617">
        <v>1.06</v>
      </c>
      <c r="BX60" s="617">
        <v>1.21</v>
      </c>
      <c r="BY60" s="617">
        <v>1.06</v>
      </c>
      <c r="BZ60" s="617"/>
      <c r="CA60" s="617"/>
      <c r="CB60" s="617"/>
      <c r="CC60" s="617"/>
      <c r="CD60" s="617"/>
      <c r="CE60" s="617"/>
      <c r="CF60" s="617"/>
      <c r="CG60" s="617"/>
      <c r="CH60" s="617">
        <f>AVERAGE(BV60:CG60)</f>
        <v>1.1499999999999999</v>
      </c>
    </row>
    <row r="61" spans="1:86">
      <c r="C61" s="569" t="s">
        <v>109</v>
      </c>
      <c r="D61" s="585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/>
      <c r="S61" s="585"/>
      <c r="T61" s="617">
        <f>T58*T59*T60/1000</f>
        <v>0</v>
      </c>
      <c r="U61" s="617">
        <f t="shared" ref="U61:AE61" si="48">U58*U59*U60/1000</f>
        <v>0</v>
      </c>
      <c r="V61" s="617">
        <f t="shared" si="48"/>
        <v>0</v>
      </c>
      <c r="W61" s="617">
        <f t="shared" si="48"/>
        <v>22.446879999999997</v>
      </c>
      <c r="X61" s="617">
        <f t="shared" si="48"/>
        <v>46915.938825999998</v>
      </c>
      <c r="Y61" s="617">
        <f t="shared" si="48"/>
        <v>93486.024525000001</v>
      </c>
      <c r="Z61" s="617">
        <f t="shared" si="48"/>
        <v>89274.252165000013</v>
      </c>
      <c r="AA61" s="617">
        <f t="shared" si="48"/>
        <v>80569.302725999994</v>
      </c>
      <c r="AB61" s="617">
        <f t="shared" si="48"/>
        <v>96479.619639391778</v>
      </c>
      <c r="AC61" s="617">
        <f t="shared" si="48"/>
        <v>99943.241207999992</v>
      </c>
      <c r="AD61" s="617">
        <f t="shared" si="48"/>
        <v>98387.19488000001</v>
      </c>
      <c r="AE61" s="617">
        <f t="shared" si="48"/>
        <v>145872.30687577181</v>
      </c>
      <c r="AF61" s="617">
        <f>SUM(T61:AE61)</f>
        <v>750950.32772516354</v>
      </c>
      <c r="AJ61" s="617">
        <f t="shared" ref="AJ61:AU61" si="49">AJ58*AJ59*AJ60/1000</f>
        <v>83447.240960999989</v>
      </c>
      <c r="AK61" s="617">
        <f t="shared" si="49"/>
        <v>63854.246694586735</v>
      </c>
      <c r="AL61" s="617">
        <f t="shared" si="49"/>
        <v>63795.170805699367</v>
      </c>
      <c r="AM61" s="617">
        <f t="shared" si="49"/>
        <v>61876.789306445142</v>
      </c>
      <c r="AN61" s="617">
        <f t="shared" si="49"/>
        <v>71292.451549114456</v>
      </c>
      <c r="AO61" s="617">
        <f t="shared" si="49"/>
        <v>80045.15043173531</v>
      </c>
      <c r="AP61" s="617">
        <f t="shared" si="49"/>
        <v>88904.984893654997</v>
      </c>
      <c r="AQ61" s="617">
        <f t="shared" si="49"/>
        <v>86751.779143205698</v>
      </c>
      <c r="AR61" s="617">
        <f t="shared" si="49"/>
        <v>138599.29548354074</v>
      </c>
      <c r="AS61" s="617">
        <f t="shared" si="49"/>
        <v>219345.68844</v>
      </c>
      <c r="AT61" s="617">
        <f t="shared" si="49"/>
        <v>276673.53133999999</v>
      </c>
      <c r="AU61" s="617">
        <f t="shared" si="49"/>
        <v>549699.95133999991</v>
      </c>
      <c r="AV61" s="617">
        <f>SUM(AJ61:AU61)</f>
        <v>1784286.2803889823</v>
      </c>
      <c r="BD61" s="612">
        <f t="shared" ref="BD61:BO61" si="50">BD58*BD59*BD60/1000</f>
        <v>194325.49890094172</v>
      </c>
      <c r="BE61" s="612">
        <f t="shared" si="50"/>
        <v>181785.97857538259</v>
      </c>
      <c r="BF61" s="612">
        <f t="shared" si="50"/>
        <v>214491.24688282021</v>
      </c>
      <c r="BG61" s="612">
        <f t="shared" si="50"/>
        <v>258356.81309658528</v>
      </c>
      <c r="BH61" s="612">
        <f t="shared" si="50"/>
        <v>269425.52738879272</v>
      </c>
      <c r="BI61" s="612">
        <f t="shared" si="50"/>
        <v>273947.7443847555</v>
      </c>
      <c r="BJ61" s="612">
        <f t="shared" si="50"/>
        <v>323055.27852699294</v>
      </c>
      <c r="BK61" s="612">
        <f t="shared" si="50"/>
        <v>336261.94063628779</v>
      </c>
      <c r="BL61" s="612">
        <f t="shared" si="50"/>
        <v>399938.61996084335</v>
      </c>
      <c r="BM61" s="612">
        <f t="shared" si="50"/>
        <v>518009.61655691563</v>
      </c>
      <c r="BN61" s="612">
        <f t="shared" si="50"/>
        <v>566006.03189907654</v>
      </c>
      <c r="BO61" s="612">
        <f t="shared" si="50"/>
        <v>706595.29728924192</v>
      </c>
      <c r="BP61" s="612">
        <f>SUM(BD61:BO61)</f>
        <v>4242199.5940986359</v>
      </c>
      <c r="BV61" s="617">
        <f t="shared" ref="BV61:CG61" si="51">BV58*BV59*BV60/1000</f>
        <v>268479.82626000006</v>
      </c>
      <c r="BW61" s="617">
        <f t="shared" si="51"/>
        <v>213104.56346</v>
      </c>
      <c r="BX61" s="617">
        <f t="shared" si="51"/>
        <v>302006.64306999999</v>
      </c>
      <c r="BY61" s="617">
        <f t="shared" si="51"/>
        <v>305645.13078000001</v>
      </c>
      <c r="BZ61" s="617">
        <f t="shared" si="51"/>
        <v>0</v>
      </c>
      <c r="CA61" s="617">
        <f t="shared" si="51"/>
        <v>0</v>
      </c>
      <c r="CB61" s="617">
        <f t="shared" si="51"/>
        <v>0</v>
      </c>
      <c r="CC61" s="617">
        <f t="shared" si="51"/>
        <v>0</v>
      </c>
      <c r="CD61" s="617">
        <f t="shared" si="51"/>
        <v>0</v>
      </c>
      <c r="CE61" s="617">
        <f t="shared" si="51"/>
        <v>0</v>
      </c>
      <c r="CF61" s="617">
        <f t="shared" si="51"/>
        <v>0</v>
      </c>
      <c r="CG61" s="617">
        <f t="shared" si="51"/>
        <v>0</v>
      </c>
      <c r="CH61" s="617">
        <f>SUM(BV61:CG61)</f>
        <v>1089236.1635700001</v>
      </c>
    </row>
    <row r="62" spans="1:86" s="577" customFormat="1" ht="13.2">
      <c r="C62" s="577" t="s">
        <v>110</v>
      </c>
      <c r="D62" s="579">
        <v>0.55000000000000004</v>
      </c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619">
        <f>T61*$D$62</f>
        <v>0</v>
      </c>
      <c r="U62" s="619">
        <f t="shared" ref="U62:AE62" si="52">U61*$D$62</f>
        <v>0</v>
      </c>
      <c r="V62" s="619">
        <f t="shared" si="52"/>
        <v>0</v>
      </c>
      <c r="W62" s="619">
        <f t="shared" si="52"/>
        <v>12.345783999999998</v>
      </c>
      <c r="X62" s="619">
        <f t="shared" si="52"/>
        <v>25803.766354300002</v>
      </c>
      <c r="Y62" s="619">
        <f t="shared" si="52"/>
        <v>51417.313488750005</v>
      </c>
      <c r="Z62" s="619">
        <f t="shared" si="52"/>
        <v>49100.83869075001</v>
      </c>
      <c r="AA62" s="619">
        <f t="shared" si="52"/>
        <v>44313.116499299998</v>
      </c>
      <c r="AB62" s="619">
        <f t="shared" si="52"/>
        <v>53063.790801665484</v>
      </c>
      <c r="AC62" s="619">
        <f t="shared" si="52"/>
        <v>54968.782664400002</v>
      </c>
      <c r="AD62" s="619">
        <f t="shared" si="52"/>
        <v>54112.957184000014</v>
      </c>
      <c r="AE62" s="619">
        <f t="shared" si="52"/>
        <v>80229.768781674502</v>
      </c>
      <c r="AF62" s="619">
        <f>SUM(T62:AE62)</f>
        <v>413022.68024884001</v>
      </c>
      <c r="AH62" s="579">
        <v>0.55000000000000004</v>
      </c>
      <c r="AI62" s="579"/>
      <c r="AJ62" s="619">
        <f>AJ61*$AH$62</f>
        <v>45895.982528549997</v>
      </c>
      <c r="AK62" s="619">
        <f t="shared" ref="AK62:AU62" si="53">AK61*$AH$62</f>
        <v>35119.835682022705</v>
      </c>
      <c r="AL62" s="619">
        <f t="shared" si="53"/>
        <v>35087.343943134656</v>
      </c>
      <c r="AM62" s="619">
        <f t="shared" si="53"/>
        <v>34032.234118544831</v>
      </c>
      <c r="AN62" s="619">
        <f t="shared" si="53"/>
        <v>39210.848352012952</v>
      </c>
      <c r="AO62" s="619">
        <f t="shared" si="53"/>
        <v>44024.832737454424</v>
      </c>
      <c r="AP62" s="619">
        <f t="shared" si="53"/>
        <v>48897.741691510251</v>
      </c>
      <c r="AQ62" s="619">
        <f t="shared" si="53"/>
        <v>47713.478528763138</v>
      </c>
      <c r="AR62" s="619">
        <f t="shared" si="53"/>
        <v>76229.612515947418</v>
      </c>
      <c r="AS62" s="619">
        <f t="shared" si="53"/>
        <v>120640.12864200001</v>
      </c>
      <c r="AT62" s="619">
        <f t="shared" si="53"/>
        <v>152170.44223700001</v>
      </c>
      <c r="AU62" s="619">
        <f t="shared" si="53"/>
        <v>302334.973237</v>
      </c>
      <c r="AV62" s="619">
        <f>SUM(AJ62:AU62)</f>
        <v>981357.45421394031</v>
      </c>
      <c r="BB62" s="579">
        <v>0.55000000000000004</v>
      </c>
      <c r="BC62" s="579"/>
      <c r="BD62" s="610">
        <f>BD61*$BB$62</f>
        <v>106879.02439551795</v>
      </c>
      <c r="BE62" s="610">
        <f t="shared" ref="BE62:BO62" si="54">BE61*$BB$62</f>
        <v>99982.288216460423</v>
      </c>
      <c r="BF62" s="610">
        <f t="shared" si="54"/>
        <v>117970.18578555112</v>
      </c>
      <c r="BG62" s="610">
        <f t="shared" si="54"/>
        <v>142096.24720312192</v>
      </c>
      <c r="BH62" s="610">
        <f t="shared" si="54"/>
        <v>148184.040063836</v>
      </c>
      <c r="BI62" s="610">
        <f t="shared" si="54"/>
        <v>150671.25941161552</v>
      </c>
      <c r="BJ62" s="610">
        <f t="shared" si="54"/>
        <v>177680.40318984614</v>
      </c>
      <c r="BK62" s="610">
        <f t="shared" si="54"/>
        <v>184944.06734995829</v>
      </c>
      <c r="BL62" s="610">
        <f t="shared" si="54"/>
        <v>219966.24097846387</v>
      </c>
      <c r="BM62" s="610">
        <f t="shared" si="54"/>
        <v>284905.28910630359</v>
      </c>
      <c r="BN62" s="610">
        <f t="shared" si="54"/>
        <v>311303.31754449214</v>
      </c>
      <c r="BO62" s="610">
        <f t="shared" si="54"/>
        <v>388627.4135090831</v>
      </c>
      <c r="BP62" s="609">
        <f>SUM(BD62:BO62)</f>
        <v>2333209.7767542498</v>
      </c>
      <c r="BU62" s="579">
        <f>D62</f>
        <v>0.55000000000000004</v>
      </c>
      <c r="BV62" s="619">
        <f>BV61*$BU$62</f>
        <v>147663.90444300004</v>
      </c>
      <c r="BW62" s="619">
        <f>BW61*$BU$62</f>
        <v>117207.50990300001</v>
      </c>
      <c r="BX62" s="619">
        <f t="shared" ref="BX62:CG62" si="55">BX61*$AH$62</f>
        <v>166103.6536885</v>
      </c>
      <c r="BY62" s="619">
        <f t="shared" si="55"/>
        <v>168104.82192900003</v>
      </c>
      <c r="BZ62" s="619">
        <f t="shared" si="55"/>
        <v>0</v>
      </c>
      <c r="CA62" s="619">
        <f t="shared" si="55"/>
        <v>0</v>
      </c>
      <c r="CB62" s="619">
        <f t="shared" si="55"/>
        <v>0</v>
      </c>
      <c r="CC62" s="619">
        <f t="shared" si="55"/>
        <v>0</v>
      </c>
      <c r="CD62" s="619">
        <f t="shared" si="55"/>
        <v>0</v>
      </c>
      <c r="CE62" s="619">
        <f t="shared" si="55"/>
        <v>0</v>
      </c>
      <c r="CF62" s="619">
        <f t="shared" si="55"/>
        <v>0</v>
      </c>
      <c r="CG62" s="619">
        <f t="shared" si="55"/>
        <v>0</v>
      </c>
      <c r="CH62" s="619">
        <f>SUM(BV62:CG62)</f>
        <v>599079.88996350009</v>
      </c>
    </row>
    <row r="64" spans="1:86">
      <c r="A64" s="569" t="s">
        <v>71</v>
      </c>
      <c r="T64" s="582">
        <v>0</v>
      </c>
      <c r="U64" s="582">
        <v>0</v>
      </c>
      <c r="V64" s="582">
        <v>0</v>
      </c>
      <c r="W64" s="582">
        <v>6240999</v>
      </c>
      <c r="X64" s="582">
        <v>18333170</v>
      </c>
      <c r="Y64" s="582">
        <v>33517850</v>
      </c>
      <c r="Z64" s="582">
        <v>36429467</v>
      </c>
      <c r="AA64" s="582">
        <v>33560453</v>
      </c>
      <c r="AB64" s="582">
        <v>35448297</v>
      </c>
      <c r="AC64" s="582">
        <v>35831765</v>
      </c>
      <c r="AD64" s="582">
        <v>53237176</v>
      </c>
      <c r="AE64" s="582">
        <v>40980258</v>
      </c>
      <c r="AF64" s="582">
        <f>SUM(T64:AE64)</f>
        <v>293579435</v>
      </c>
      <c r="AJ64" s="582">
        <f>AJ21</f>
        <v>46914018</v>
      </c>
      <c r="AK64" s="582">
        <f t="shared" ref="AK64:AU64" si="56">AK21</f>
        <v>50381259</v>
      </c>
      <c r="AL64" s="582">
        <f t="shared" si="56"/>
        <v>59140910</v>
      </c>
      <c r="AM64" s="582">
        <f t="shared" si="56"/>
        <v>80389833</v>
      </c>
      <c r="AN64" s="582">
        <f t="shared" si="56"/>
        <v>82217865</v>
      </c>
      <c r="AO64" s="582">
        <f t="shared" si="56"/>
        <v>85008524</v>
      </c>
      <c r="AP64" s="582">
        <f t="shared" si="56"/>
        <v>86058933</v>
      </c>
      <c r="AQ64" s="582">
        <f t="shared" si="56"/>
        <v>107549947</v>
      </c>
      <c r="AR64" s="582">
        <f t="shared" si="56"/>
        <v>84797368</v>
      </c>
      <c r="AS64" s="582">
        <f t="shared" si="56"/>
        <v>93522804</v>
      </c>
      <c r="AT64" s="582">
        <f t="shared" si="56"/>
        <v>110763061</v>
      </c>
      <c r="AU64" s="582">
        <f t="shared" si="56"/>
        <v>106900721</v>
      </c>
      <c r="AV64" s="582">
        <f>SUM(AJ64:AU64)</f>
        <v>993645243</v>
      </c>
      <c r="BD64" s="614">
        <f t="shared" ref="BD64:BO64" si="57">BD21</f>
        <v>57259652.271922149</v>
      </c>
      <c r="BE64" s="614">
        <f t="shared" si="57"/>
        <v>53564776.521909408</v>
      </c>
      <c r="BF64" s="614">
        <f t="shared" si="57"/>
        <v>63201660.519816488</v>
      </c>
      <c r="BG64" s="614">
        <f t="shared" si="57"/>
        <v>76127020.713496104</v>
      </c>
      <c r="BH64" s="614">
        <f t="shared" si="57"/>
        <v>79388511.022558048</v>
      </c>
      <c r="BI64" s="614">
        <f t="shared" si="57"/>
        <v>80721020.51900351</v>
      </c>
      <c r="BJ64" s="614">
        <f t="shared" si="57"/>
        <v>95190970.910585567</v>
      </c>
      <c r="BK64" s="614">
        <f t="shared" si="57"/>
        <v>99082425.631288365</v>
      </c>
      <c r="BL64" s="614">
        <f t="shared" si="57"/>
        <v>117845297.90783587</v>
      </c>
      <c r="BM64" s="614">
        <f t="shared" si="57"/>
        <v>152635915.95192847</v>
      </c>
      <c r="BN64" s="614">
        <f t="shared" si="57"/>
        <v>166778465.78884837</v>
      </c>
      <c r="BO64" s="614">
        <f t="shared" si="57"/>
        <v>208204282.24080771</v>
      </c>
      <c r="BP64" s="582">
        <f>SUM(BD64:BO64)</f>
        <v>1250000000</v>
      </c>
      <c r="BV64" s="582">
        <f>BV21</f>
        <v>125989099</v>
      </c>
      <c r="BW64" s="582">
        <f t="shared" ref="BW64:CG64" si="58">BW21</f>
        <v>100703382</v>
      </c>
      <c r="BX64" s="582">
        <f t="shared" si="58"/>
        <v>169816435</v>
      </c>
      <c r="BY64" s="582">
        <f t="shared" si="58"/>
        <v>358703577</v>
      </c>
      <c r="BZ64" s="582">
        <f t="shared" si="58"/>
        <v>401198859</v>
      </c>
      <c r="CA64" s="582">
        <f t="shared" si="58"/>
        <v>0</v>
      </c>
      <c r="CB64" s="582">
        <f t="shared" si="58"/>
        <v>0</v>
      </c>
      <c r="CC64" s="582">
        <f t="shared" si="58"/>
        <v>0</v>
      </c>
      <c r="CD64" s="582">
        <f t="shared" si="58"/>
        <v>0</v>
      </c>
      <c r="CE64" s="582">
        <f t="shared" si="58"/>
        <v>0</v>
      </c>
      <c r="CF64" s="582">
        <f t="shared" si="58"/>
        <v>0</v>
      </c>
      <c r="CG64" s="582">
        <f t="shared" si="58"/>
        <v>0</v>
      </c>
      <c r="CH64" s="582">
        <f>SUM(BV64:CG64)</f>
        <v>1156411352</v>
      </c>
    </row>
    <row r="65" spans="1:86">
      <c r="C65" s="569" t="s">
        <v>107</v>
      </c>
      <c r="T65" s="576"/>
      <c r="U65" s="576"/>
      <c r="V65" s="576">
        <v>0.13322742397206164</v>
      </c>
      <c r="W65" s="576">
        <v>9.2353308692273761E-2</v>
      </c>
      <c r="X65" s="576">
        <v>0.14259699768234299</v>
      </c>
      <c r="Y65" s="576">
        <v>0.1709116485693444</v>
      </c>
      <c r="Z65" s="576">
        <v>0.14784487513912845</v>
      </c>
      <c r="AA65" s="576">
        <v>0.14861149222270628</v>
      </c>
      <c r="AB65" s="576">
        <v>0.14889646179617599</v>
      </c>
      <c r="AC65" s="576">
        <v>0.15532888206874543</v>
      </c>
      <c r="AD65" s="576">
        <v>0.22358347858271069</v>
      </c>
      <c r="AE65" s="576">
        <v>0.21961516833472441</v>
      </c>
      <c r="AF65" s="576">
        <f>AVERAGE(T65:AE65)</f>
        <v>0.15829697370602142</v>
      </c>
      <c r="AG65" s="615">
        <f>AVERAGE(T65:AB65)</f>
        <v>0.14063460115343338</v>
      </c>
      <c r="AJ65" s="576">
        <v>0.16722990983206767</v>
      </c>
      <c r="AK65" s="576">
        <v>0.14466200598305476</v>
      </c>
      <c r="AL65" s="576">
        <v>0.13125655548988652</v>
      </c>
      <c r="AM65" s="576">
        <v>7.2620468099156441E-2</v>
      </c>
      <c r="AN65" s="576">
        <v>8.4964654275649837E-2</v>
      </c>
      <c r="AO65" s="576">
        <v>9.6838730626620045E-2</v>
      </c>
      <c r="AP65" s="576">
        <v>0.1204862218748972</v>
      </c>
      <c r="AQ65" s="576">
        <v>0.15117516426604477</v>
      </c>
      <c r="AR65" s="576">
        <v>0.14042567373504788</v>
      </c>
      <c r="AS65" s="576">
        <f>12606864/AS64</f>
        <v>0.13479989329661246</v>
      </c>
      <c r="AT65" s="576">
        <f>18636809/AT64</f>
        <v>0.16825834201169287</v>
      </c>
      <c r="AU65" s="576">
        <f>16884219/AU64</f>
        <v>0.1579429852489021</v>
      </c>
      <c r="AV65" s="576">
        <f>AVERAGE(AJ65:AU65)</f>
        <v>0.13088838372830272</v>
      </c>
      <c r="BA65" s="585"/>
      <c r="BB65" s="615">
        <f>AVERAGE(AJ65:AR65,AC65:AE65)*(100%+BA65)</f>
        <v>0.14234890943071715</v>
      </c>
      <c r="BC65" s="615"/>
      <c r="BD65" s="616">
        <f>BB65</f>
        <v>0.14234890943071715</v>
      </c>
      <c r="BE65" s="616">
        <f>BD65</f>
        <v>0.14234890943071715</v>
      </c>
      <c r="BF65" s="616">
        <f t="shared" ref="BF65:BO66" si="59">BE65</f>
        <v>0.14234890943071715</v>
      </c>
      <c r="BG65" s="616">
        <f t="shared" si="59"/>
        <v>0.14234890943071715</v>
      </c>
      <c r="BH65" s="616">
        <f t="shared" si="59"/>
        <v>0.14234890943071715</v>
      </c>
      <c r="BI65" s="616">
        <f t="shared" si="59"/>
        <v>0.14234890943071715</v>
      </c>
      <c r="BJ65" s="616">
        <f t="shared" si="59"/>
        <v>0.14234890943071715</v>
      </c>
      <c r="BK65" s="616">
        <f t="shared" si="59"/>
        <v>0.14234890943071715</v>
      </c>
      <c r="BL65" s="616">
        <f t="shared" si="59"/>
        <v>0.14234890943071715</v>
      </c>
      <c r="BM65" s="616">
        <f t="shared" si="59"/>
        <v>0.14234890943071715</v>
      </c>
      <c r="BN65" s="616">
        <f t="shared" si="59"/>
        <v>0.14234890943071715</v>
      </c>
      <c r="BO65" s="616">
        <f t="shared" si="59"/>
        <v>0.14234890943071715</v>
      </c>
      <c r="BP65" s="576">
        <f>AVERAGE(BD65:BO65)</f>
        <v>0.14234890943071712</v>
      </c>
      <c r="BQ65" s="576">
        <f>BP65/AV65</f>
        <v>1.0875595326030161</v>
      </c>
      <c r="BR65" s="576"/>
      <c r="BS65" s="576">
        <f>BP65/AF65</f>
        <v>0.8992522478356284</v>
      </c>
      <c r="BV65" s="576">
        <f>18531445/BV64</f>
        <v>0.14708768573700173</v>
      </c>
      <c r="BW65" s="576">
        <f>16660208/BW64</f>
        <v>0.16543841596104489</v>
      </c>
      <c r="BX65" s="576">
        <f>37382355/BX21</f>
        <v>0.22013390517825909</v>
      </c>
      <c r="BY65" s="576">
        <f>115861072/BY21</f>
        <v>0.3229994887951731</v>
      </c>
      <c r="BZ65" s="576"/>
      <c r="CA65" s="576"/>
      <c r="CB65" s="576"/>
      <c r="CC65" s="576"/>
      <c r="CD65" s="576"/>
      <c r="CE65" s="576"/>
      <c r="CF65" s="576"/>
      <c r="CG65" s="576"/>
      <c r="CH65" s="576">
        <f>AVERAGE(BV65:CG65)</f>
        <v>0.21391487391786967</v>
      </c>
    </row>
    <row r="66" spans="1:86">
      <c r="C66" s="569" t="s">
        <v>108</v>
      </c>
      <c r="T66" s="617"/>
      <c r="U66" s="617"/>
      <c r="V66" s="617">
        <v>0.623</v>
      </c>
      <c r="W66" s="617">
        <v>0.75600000000000001</v>
      </c>
      <c r="X66" s="617">
        <v>0.89400000000000002</v>
      </c>
      <c r="Y66" s="617">
        <v>0.89</v>
      </c>
      <c r="Z66" s="617">
        <v>0.80100000000000005</v>
      </c>
      <c r="AA66" s="617">
        <v>0.79400000000000004</v>
      </c>
      <c r="AB66" s="617">
        <v>0.85399999999999998</v>
      </c>
      <c r="AC66" s="617">
        <v>1.4850000000000001</v>
      </c>
      <c r="AD66" s="617">
        <v>2.6240000000000001</v>
      </c>
      <c r="AE66" s="617">
        <v>2.8250000000000002</v>
      </c>
      <c r="AF66" s="617">
        <f>AVERAGE(T66:AE66)</f>
        <v>1.2546000000000004</v>
      </c>
      <c r="AJ66" s="617">
        <v>1.724</v>
      </c>
      <c r="AK66" s="617">
        <v>1.9330000000000001</v>
      </c>
      <c r="AL66" s="617">
        <v>1.7989999999999999</v>
      </c>
      <c r="AM66" s="617">
        <v>2.5339999999999998</v>
      </c>
      <c r="AN66" s="617">
        <v>2.2989999999999999</v>
      </c>
      <c r="AO66" s="617">
        <v>2.851</v>
      </c>
      <c r="AP66" s="617">
        <v>1.7789999999999999</v>
      </c>
      <c r="AQ66" s="617">
        <v>2.048</v>
      </c>
      <c r="AR66" s="617">
        <v>1.7569999999999999</v>
      </c>
      <c r="AS66" s="617">
        <v>2.0099999999999998</v>
      </c>
      <c r="AT66" s="617">
        <v>2.2000000000000002</v>
      </c>
      <c r="AU66" s="617">
        <v>2.0099999999999998</v>
      </c>
      <c r="AV66" s="617">
        <f>AVERAGE(AJ66:AU66)</f>
        <v>2.0786666666666669</v>
      </c>
      <c r="BA66" s="585"/>
      <c r="BB66" s="617">
        <f>AVERAGE(AJ66:AR66,AC66:AE66)*(100%+BA66)</f>
        <v>2.1381666666666663</v>
      </c>
      <c r="BC66" s="617"/>
      <c r="BD66" s="617">
        <f>BB66</f>
        <v>2.1381666666666663</v>
      </c>
      <c r="BE66" s="617">
        <f>BD66</f>
        <v>2.1381666666666663</v>
      </c>
      <c r="BF66" s="617">
        <f t="shared" si="59"/>
        <v>2.1381666666666663</v>
      </c>
      <c r="BG66" s="617">
        <f t="shared" si="59"/>
        <v>2.1381666666666663</v>
      </c>
      <c r="BH66" s="617">
        <f t="shared" si="59"/>
        <v>2.1381666666666663</v>
      </c>
      <c r="BI66" s="617">
        <f t="shared" si="59"/>
        <v>2.1381666666666663</v>
      </c>
      <c r="BJ66" s="617">
        <f t="shared" si="59"/>
        <v>2.1381666666666663</v>
      </c>
      <c r="BK66" s="617">
        <f t="shared" si="59"/>
        <v>2.1381666666666663</v>
      </c>
      <c r="BL66" s="617">
        <f t="shared" si="59"/>
        <v>2.1381666666666663</v>
      </c>
      <c r="BM66" s="617">
        <f t="shared" si="59"/>
        <v>2.1381666666666663</v>
      </c>
      <c r="BN66" s="617">
        <f t="shared" si="59"/>
        <v>2.1381666666666663</v>
      </c>
      <c r="BO66" s="617">
        <f t="shared" si="59"/>
        <v>2.1381666666666663</v>
      </c>
      <c r="BP66" s="617">
        <f>AVERAGE(BD66:BO66)</f>
        <v>2.1381666666666663</v>
      </c>
      <c r="BQ66" s="576">
        <f>BP66/AV66</f>
        <v>1.0286241180243743</v>
      </c>
      <c r="BR66" s="576"/>
      <c r="BS66" s="576">
        <f>BP66/AF66</f>
        <v>1.7042616504596411</v>
      </c>
      <c r="BV66" s="617">
        <v>1.48</v>
      </c>
      <c r="BW66" s="617">
        <v>1.71</v>
      </c>
      <c r="BX66" s="617">
        <v>1.77</v>
      </c>
      <c r="BY66" s="617">
        <v>2.02</v>
      </c>
      <c r="BZ66" s="617"/>
      <c r="CA66" s="617"/>
      <c r="CB66" s="617"/>
      <c r="CC66" s="617"/>
      <c r="CD66" s="617"/>
      <c r="CE66" s="617"/>
      <c r="CF66" s="617"/>
      <c r="CG66" s="617"/>
      <c r="CH66" s="617">
        <f>AVERAGE(BV66:CG66)</f>
        <v>1.7450000000000001</v>
      </c>
    </row>
    <row r="67" spans="1:86">
      <c r="C67" s="569" t="s">
        <v>109</v>
      </c>
      <c r="D67" s="585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/>
      <c r="S67" s="585"/>
      <c r="T67" s="617">
        <f t="shared" ref="T67:AE67" si="60">T64*T65*T66/1000</f>
        <v>0</v>
      </c>
      <c r="U67" s="617">
        <f t="shared" si="60"/>
        <v>0</v>
      </c>
      <c r="V67" s="617">
        <f t="shared" si="60"/>
        <v>0</v>
      </c>
      <c r="W67" s="617">
        <f t="shared" si="60"/>
        <v>435.74094183954986</v>
      </c>
      <c r="X67" s="617">
        <f t="shared" si="60"/>
        <v>2337.1439700000001</v>
      </c>
      <c r="Y67" s="617">
        <f t="shared" si="60"/>
        <v>5098.4459900000002</v>
      </c>
      <c r="Z67" s="617">
        <f t="shared" si="60"/>
        <v>4314.11391</v>
      </c>
      <c r="AA67" s="617">
        <f t="shared" si="60"/>
        <v>3960.0503860000003</v>
      </c>
      <c r="AB67" s="617">
        <f t="shared" si="60"/>
        <v>4507.5196040000001</v>
      </c>
      <c r="AC67" s="617">
        <f t="shared" si="60"/>
        <v>8265.0763800000004</v>
      </c>
      <c r="AD67" s="617">
        <f t="shared" si="60"/>
        <v>31233.348672000004</v>
      </c>
      <c r="AE67" s="617">
        <f t="shared" si="60"/>
        <v>25424.678681873989</v>
      </c>
      <c r="AF67" s="617">
        <f>SUM(T67:AE67)</f>
        <v>85576.118535713555</v>
      </c>
      <c r="AJ67" s="617">
        <f t="shared" ref="AJ67:AU67" si="61">AJ64*AJ65*AJ66/1000</f>
        <v>13525.516148000001</v>
      </c>
      <c r="AK67" s="617">
        <f t="shared" si="61"/>
        <v>14088.19496439391</v>
      </c>
      <c r="AL67" s="617">
        <f t="shared" si="61"/>
        <v>13964.975211112154</v>
      </c>
      <c r="AM67" s="617">
        <f t="shared" si="61"/>
        <v>14793.358465480216</v>
      </c>
      <c r="AN67" s="617">
        <f t="shared" si="61"/>
        <v>16059.92308004121</v>
      </c>
      <c r="AO67" s="617">
        <f t="shared" si="61"/>
        <v>23469.767153873912</v>
      </c>
      <c r="AP67" s="617">
        <f t="shared" si="61"/>
        <v>18446.301022747986</v>
      </c>
      <c r="AQ67" s="617">
        <f t="shared" si="61"/>
        <v>33298.18809247623</v>
      </c>
      <c r="AR67" s="617">
        <f t="shared" si="61"/>
        <v>20921.877274354392</v>
      </c>
      <c r="AS67" s="617">
        <f t="shared" si="61"/>
        <v>25339.79664</v>
      </c>
      <c r="AT67" s="617">
        <f t="shared" si="61"/>
        <v>41000.979800000001</v>
      </c>
      <c r="AU67" s="617">
        <f t="shared" si="61"/>
        <v>33937.280189999998</v>
      </c>
      <c r="AV67" s="617">
        <f>SUM(AJ67:AU67)</f>
        <v>268846.15804248</v>
      </c>
      <c r="BD67" s="612">
        <f t="shared" ref="BD67:BO67" si="62">BD64*BD65*BD66/1000</f>
        <v>17427.873755053002</v>
      </c>
      <c r="BE67" s="612">
        <f t="shared" si="62"/>
        <v>16303.280336182295</v>
      </c>
      <c r="BF67" s="612">
        <f t="shared" si="62"/>
        <v>19236.417214311241</v>
      </c>
      <c r="BG67" s="612">
        <f t="shared" si="62"/>
        <v>23170.453429276091</v>
      </c>
      <c r="BH67" s="612">
        <f t="shared" si="62"/>
        <v>24163.139187997203</v>
      </c>
      <c r="BI67" s="612">
        <f t="shared" si="62"/>
        <v>24568.70936455324</v>
      </c>
      <c r="BJ67" s="612">
        <f t="shared" si="62"/>
        <v>28972.865845783414</v>
      </c>
      <c r="BK67" s="612">
        <f t="shared" si="62"/>
        <v>30157.291159333028</v>
      </c>
      <c r="BL67" s="612">
        <f t="shared" si="62"/>
        <v>35868.065785853076</v>
      </c>
      <c r="BM67" s="612">
        <f t="shared" si="62"/>
        <v>46457.136363042606</v>
      </c>
      <c r="BN67" s="612">
        <f t="shared" si="62"/>
        <v>50761.643347505153</v>
      </c>
      <c r="BO67" s="612">
        <f t="shared" si="62"/>
        <v>63370.240687499252</v>
      </c>
      <c r="BP67" s="612">
        <f>SUM(BD67:BO67)</f>
        <v>380457.11647638952</v>
      </c>
      <c r="BV67" s="617">
        <f t="shared" ref="BV67:CG67" si="63">BV64*BV65*BV66/1000</f>
        <v>27426.5386</v>
      </c>
      <c r="BW67" s="617">
        <f t="shared" si="63"/>
        <v>28488.955679999999</v>
      </c>
      <c r="BX67" s="617">
        <f t="shared" si="63"/>
        <v>66166.768349999998</v>
      </c>
      <c r="BY67" s="617">
        <f t="shared" si="63"/>
        <v>234039.36544000002</v>
      </c>
      <c r="BZ67" s="617">
        <f t="shared" si="63"/>
        <v>0</v>
      </c>
      <c r="CA67" s="617">
        <f t="shared" si="63"/>
        <v>0</v>
      </c>
      <c r="CB67" s="617">
        <f t="shared" si="63"/>
        <v>0</v>
      </c>
      <c r="CC67" s="617">
        <f t="shared" si="63"/>
        <v>0</v>
      </c>
      <c r="CD67" s="617">
        <f t="shared" si="63"/>
        <v>0</v>
      </c>
      <c r="CE67" s="617">
        <f t="shared" si="63"/>
        <v>0</v>
      </c>
      <c r="CF67" s="617">
        <f t="shared" si="63"/>
        <v>0</v>
      </c>
      <c r="CG67" s="617">
        <f t="shared" si="63"/>
        <v>0</v>
      </c>
      <c r="CH67" s="617">
        <f>SUM(BV67:CG67)</f>
        <v>356121.62807000004</v>
      </c>
    </row>
    <row r="68" spans="1:86" s="577" customFormat="1" ht="13.2">
      <c r="C68" s="577" t="s">
        <v>110</v>
      </c>
      <c r="D68" s="579">
        <v>0.55000000000000004</v>
      </c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619">
        <f>T67*$D$68</f>
        <v>0</v>
      </c>
      <c r="U68" s="619">
        <f t="shared" ref="U68:AE68" si="64">U67*$D$68</f>
        <v>0</v>
      </c>
      <c r="V68" s="619">
        <f t="shared" si="64"/>
        <v>0</v>
      </c>
      <c r="W68" s="619">
        <f t="shared" si="64"/>
        <v>239.65751801175244</v>
      </c>
      <c r="X68" s="619">
        <f t="shared" si="64"/>
        <v>1285.4291835000001</v>
      </c>
      <c r="Y68" s="619">
        <f t="shared" si="64"/>
        <v>2804.1452945000001</v>
      </c>
      <c r="Z68" s="619">
        <f t="shared" si="64"/>
        <v>2372.7626505000003</v>
      </c>
      <c r="AA68" s="619">
        <f t="shared" si="64"/>
        <v>2178.0277123000005</v>
      </c>
      <c r="AB68" s="619">
        <f t="shared" si="64"/>
        <v>2479.1357822000004</v>
      </c>
      <c r="AC68" s="619">
        <f t="shared" si="64"/>
        <v>4545.7920090000007</v>
      </c>
      <c r="AD68" s="619">
        <f t="shared" si="64"/>
        <v>17178.341769600003</v>
      </c>
      <c r="AE68" s="619">
        <f t="shared" si="64"/>
        <v>13983.573275030696</v>
      </c>
      <c r="AF68" s="619">
        <f>SUM(T68:AE68)</f>
        <v>47066.865194642451</v>
      </c>
      <c r="AH68" s="579">
        <v>0.55000000000000004</v>
      </c>
      <c r="AI68" s="579"/>
      <c r="AJ68" s="619">
        <f>AJ67*$AH$68</f>
        <v>7439.0338814000006</v>
      </c>
      <c r="AK68" s="619">
        <f t="shared" ref="AK68:AU68" si="65">AK67*$AH$68</f>
        <v>7748.5072304166506</v>
      </c>
      <c r="AL68" s="619">
        <f t="shared" si="65"/>
        <v>7680.7363661116851</v>
      </c>
      <c r="AM68" s="619">
        <f t="shared" si="65"/>
        <v>8136.3471560141197</v>
      </c>
      <c r="AN68" s="619">
        <f t="shared" si="65"/>
        <v>8832.9576940226652</v>
      </c>
      <c r="AO68" s="619">
        <f t="shared" si="65"/>
        <v>12908.371934630653</v>
      </c>
      <c r="AP68" s="619">
        <f t="shared" si="65"/>
        <v>10145.465562511394</v>
      </c>
      <c r="AQ68" s="619">
        <f t="shared" si="65"/>
        <v>18314.003450861928</v>
      </c>
      <c r="AR68" s="619">
        <f t="shared" si="65"/>
        <v>11507.032500894917</v>
      </c>
      <c r="AS68" s="619">
        <f t="shared" si="65"/>
        <v>13936.888152000001</v>
      </c>
      <c r="AT68" s="619">
        <f t="shared" si="65"/>
        <v>22550.538890000003</v>
      </c>
      <c r="AU68" s="619">
        <f t="shared" si="65"/>
        <v>18665.5041045</v>
      </c>
      <c r="AV68" s="619">
        <f>SUM(AJ68:AU68)</f>
        <v>147865.38692336401</v>
      </c>
      <c r="BB68" s="579">
        <v>0.55000000000000004</v>
      </c>
      <c r="BC68" s="579"/>
      <c r="BD68" s="610">
        <f>BD67*$BB$68</f>
        <v>9585.3305652791514</v>
      </c>
      <c r="BE68" s="610">
        <f t="shared" ref="BE68:BO68" si="66">BE67*$BB$68</f>
        <v>8966.8041849002639</v>
      </c>
      <c r="BF68" s="610">
        <f t="shared" si="66"/>
        <v>10580.029467871183</v>
      </c>
      <c r="BG68" s="610">
        <f t="shared" si="66"/>
        <v>12743.74938610185</v>
      </c>
      <c r="BH68" s="610">
        <f t="shared" si="66"/>
        <v>13289.726553398463</v>
      </c>
      <c r="BI68" s="610">
        <f t="shared" si="66"/>
        <v>13512.790150504283</v>
      </c>
      <c r="BJ68" s="610">
        <f t="shared" si="66"/>
        <v>15935.076215180879</v>
      </c>
      <c r="BK68" s="610">
        <f t="shared" si="66"/>
        <v>16586.510137633166</v>
      </c>
      <c r="BL68" s="610">
        <f t="shared" si="66"/>
        <v>19727.436182219193</v>
      </c>
      <c r="BM68" s="610">
        <f t="shared" si="66"/>
        <v>25551.424999673436</v>
      </c>
      <c r="BN68" s="610">
        <f t="shared" si="66"/>
        <v>27918.903841127838</v>
      </c>
      <c r="BO68" s="610">
        <f t="shared" si="66"/>
        <v>34853.632378124588</v>
      </c>
      <c r="BP68" s="609">
        <f>SUM(BD68:BO68)</f>
        <v>209251.41406201432</v>
      </c>
      <c r="BU68" s="579">
        <f>D68</f>
        <v>0.55000000000000004</v>
      </c>
      <c r="BV68" s="619">
        <f>BV67*$BU$68</f>
        <v>15084.596230000001</v>
      </c>
      <c r="BW68" s="619">
        <f>BW67*$BU$68</f>
        <v>15668.925624000001</v>
      </c>
      <c r="BX68" s="619">
        <f t="shared" ref="BX68:CG68" si="67">BX67*$AH$68</f>
        <v>36391.722592500002</v>
      </c>
      <c r="BY68" s="619">
        <f t="shared" si="67"/>
        <v>128721.65099200002</v>
      </c>
      <c r="BZ68" s="619">
        <f t="shared" si="67"/>
        <v>0</v>
      </c>
      <c r="CA68" s="619">
        <f t="shared" si="67"/>
        <v>0</v>
      </c>
      <c r="CB68" s="619">
        <f t="shared" si="67"/>
        <v>0</v>
      </c>
      <c r="CC68" s="619">
        <f t="shared" si="67"/>
        <v>0</v>
      </c>
      <c r="CD68" s="619">
        <f t="shared" si="67"/>
        <v>0</v>
      </c>
      <c r="CE68" s="619">
        <f t="shared" si="67"/>
        <v>0</v>
      </c>
      <c r="CF68" s="619">
        <f t="shared" si="67"/>
        <v>0</v>
      </c>
      <c r="CG68" s="619">
        <f t="shared" si="67"/>
        <v>0</v>
      </c>
      <c r="CH68" s="619">
        <f>SUM(BV68:CG68)</f>
        <v>195866.89543850004</v>
      </c>
    </row>
    <row r="69" spans="1:86">
      <c r="T69" s="617"/>
      <c r="U69" s="617"/>
      <c r="V69" s="617"/>
      <c r="W69" s="617"/>
      <c r="X69" s="617"/>
      <c r="Y69" s="617"/>
      <c r="Z69" s="617"/>
      <c r="AA69" s="617"/>
      <c r="AB69" s="617"/>
      <c r="AC69" s="617"/>
      <c r="AD69" s="617"/>
      <c r="AE69" s="617"/>
      <c r="AJ69" s="617"/>
      <c r="AK69" s="617"/>
      <c r="AL69" s="617"/>
      <c r="AM69" s="617"/>
      <c r="AN69" s="617"/>
      <c r="AO69" s="617"/>
      <c r="AP69" s="617"/>
      <c r="AQ69" s="617"/>
      <c r="AR69" s="617"/>
      <c r="BV69" s="617"/>
      <c r="BW69" s="617"/>
      <c r="BX69" s="617"/>
      <c r="BY69" s="617"/>
      <c r="BZ69" s="617"/>
      <c r="CA69" s="617"/>
      <c r="CB69" s="617"/>
      <c r="CC69" s="617"/>
      <c r="CD69" s="617"/>
    </row>
    <row r="70" spans="1:86" s="577" customFormat="1" ht="13.2">
      <c r="A70" s="577" t="s">
        <v>106</v>
      </c>
      <c r="T70" s="578">
        <f t="shared" ref="T70:AE70" si="68">SUM(T46,T52,T58,T64)</f>
        <v>0</v>
      </c>
      <c r="U70" s="578">
        <f t="shared" si="68"/>
        <v>0</v>
      </c>
      <c r="V70" s="578">
        <f t="shared" si="68"/>
        <v>0</v>
      </c>
      <c r="W70" s="578">
        <f t="shared" si="68"/>
        <v>6327577</v>
      </c>
      <c r="X70" s="578">
        <f t="shared" si="68"/>
        <v>107698380</v>
      </c>
      <c r="Y70" s="578">
        <f t="shared" si="68"/>
        <v>195315016</v>
      </c>
      <c r="Z70" s="578">
        <f t="shared" si="68"/>
        <v>192237076</v>
      </c>
      <c r="AA70" s="578">
        <f t="shared" si="68"/>
        <v>189235661</v>
      </c>
      <c r="AB70" s="578">
        <f t="shared" si="68"/>
        <v>190781070</v>
      </c>
      <c r="AC70" s="578">
        <f t="shared" si="68"/>
        <v>207362663</v>
      </c>
      <c r="AD70" s="578">
        <f t="shared" si="68"/>
        <v>232985004</v>
      </c>
      <c r="AE70" s="578">
        <f t="shared" si="68"/>
        <v>233889211</v>
      </c>
      <c r="AF70" s="578">
        <f>SUM(T70:AE70)</f>
        <v>1555831658</v>
      </c>
      <c r="AJ70" s="578">
        <f t="shared" ref="AJ70:AR70" si="69">SUM(AJ46,AJ52,AJ58,AJ64)</f>
        <v>246735691</v>
      </c>
      <c r="AK70" s="578">
        <f t="shared" si="69"/>
        <v>230814223</v>
      </c>
      <c r="AL70" s="578">
        <f t="shared" si="69"/>
        <v>272340204</v>
      </c>
      <c r="AM70" s="578">
        <f t="shared" si="69"/>
        <v>328036450</v>
      </c>
      <c r="AN70" s="578">
        <f t="shared" si="69"/>
        <v>342090431</v>
      </c>
      <c r="AO70" s="578">
        <f t="shared" si="69"/>
        <v>347832304</v>
      </c>
      <c r="AP70" s="578">
        <f t="shared" si="69"/>
        <v>410184293</v>
      </c>
      <c r="AQ70" s="578">
        <f t="shared" si="69"/>
        <v>426952833</v>
      </c>
      <c r="AR70" s="578">
        <f t="shared" si="69"/>
        <v>507803311</v>
      </c>
      <c r="AS70" s="578">
        <f t="shared" ref="AS70:AU70" si="70">SUM(AS46,AS52,AS58,AS64)</f>
        <v>657718423</v>
      </c>
      <c r="AT70" s="578">
        <f t="shared" si="70"/>
        <v>718659621</v>
      </c>
      <c r="AU70" s="578">
        <f t="shared" si="70"/>
        <v>897166249</v>
      </c>
      <c r="AV70" s="578">
        <f>SUM(AJ70:AU70)</f>
        <v>5386334033</v>
      </c>
      <c r="BD70" s="578">
        <f t="shared" ref="BD70:BO70" si="71">SUM(BD46,BD52,BD58,BD64)</f>
        <v>561144592.26483703</v>
      </c>
      <c r="BE70" s="578">
        <f t="shared" si="71"/>
        <v>524934809.91471219</v>
      </c>
      <c r="BF70" s="578">
        <f t="shared" si="71"/>
        <v>619376273.09420156</v>
      </c>
      <c r="BG70" s="578">
        <f t="shared" si="71"/>
        <v>746044802.99226177</v>
      </c>
      <c r="BH70" s="578">
        <f t="shared" si="71"/>
        <v>778007408.02106893</v>
      </c>
      <c r="BI70" s="578">
        <f t="shared" si="71"/>
        <v>791066001.08623445</v>
      </c>
      <c r="BJ70" s="578">
        <f t="shared" si="71"/>
        <v>932871514.92373848</v>
      </c>
      <c r="BK70" s="578">
        <f t="shared" si="71"/>
        <v>971007771.18662596</v>
      </c>
      <c r="BL70" s="578">
        <f t="shared" si="71"/>
        <v>1154883919.4967916</v>
      </c>
      <c r="BM70" s="578">
        <f t="shared" si="71"/>
        <v>1495831976.3288989</v>
      </c>
      <c r="BN70" s="578">
        <f t="shared" si="71"/>
        <v>1634428964.7307138</v>
      </c>
      <c r="BO70" s="578">
        <f t="shared" si="71"/>
        <v>2040401965.9599156</v>
      </c>
      <c r="BP70" s="578">
        <f>SUM(BD70:BO70)</f>
        <v>12250000000</v>
      </c>
      <c r="BV70" s="578">
        <f t="shared" ref="BV70:CG70" si="72">SUM(BV46,BV52,BV58,BV64)</f>
        <v>838232595</v>
      </c>
      <c r="BW70" s="578">
        <f t="shared" si="72"/>
        <v>741057301</v>
      </c>
      <c r="BX70" s="578">
        <f t="shared" si="72"/>
        <v>833208895</v>
      </c>
      <c r="BY70" s="578">
        <f t="shared" si="72"/>
        <v>1052535055</v>
      </c>
      <c r="BZ70" s="578">
        <f t="shared" si="72"/>
        <v>1197595391</v>
      </c>
      <c r="CA70" s="578">
        <f t="shared" si="72"/>
        <v>0</v>
      </c>
      <c r="CB70" s="578">
        <f t="shared" si="72"/>
        <v>0</v>
      </c>
      <c r="CC70" s="578">
        <f t="shared" si="72"/>
        <v>0</v>
      </c>
      <c r="CD70" s="578">
        <f t="shared" si="72"/>
        <v>0</v>
      </c>
      <c r="CE70" s="578">
        <f t="shared" si="72"/>
        <v>0</v>
      </c>
      <c r="CF70" s="578">
        <f t="shared" si="72"/>
        <v>0</v>
      </c>
      <c r="CG70" s="578">
        <f t="shared" si="72"/>
        <v>0</v>
      </c>
      <c r="CH70" s="578">
        <f>SUM(BV70:CG70)</f>
        <v>4662629237</v>
      </c>
    </row>
    <row r="71" spans="1:86" s="577" customFormat="1" ht="13.2">
      <c r="A71" s="577" t="s">
        <v>111</v>
      </c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619">
        <f t="shared" ref="T71:AE71" si="73">SUM(T50,T56,T62,T68)</f>
        <v>0</v>
      </c>
      <c r="U71" s="619">
        <f t="shared" si="73"/>
        <v>0</v>
      </c>
      <c r="V71" s="619">
        <f t="shared" si="73"/>
        <v>0</v>
      </c>
      <c r="W71" s="619">
        <f t="shared" si="73"/>
        <v>252.00330201175245</v>
      </c>
      <c r="X71" s="619">
        <f t="shared" si="73"/>
        <v>27089.195537800002</v>
      </c>
      <c r="Y71" s="619">
        <f t="shared" si="73"/>
        <v>54221.458783250004</v>
      </c>
      <c r="Z71" s="619">
        <f t="shared" si="73"/>
        <v>51473.601341250011</v>
      </c>
      <c r="AA71" s="619">
        <f t="shared" si="73"/>
        <v>46491.144211599996</v>
      </c>
      <c r="AB71" s="619">
        <f t="shared" si="73"/>
        <v>55542.926583865483</v>
      </c>
      <c r="AC71" s="619">
        <f t="shared" si="73"/>
        <v>59514.574673399999</v>
      </c>
      <c r="AD71" s="619">
        <f t="shared" si="73"/>
        <v>71291.298953600024</v>
      </c>
      <c r="AE71" s="619">
        <f t="shared" si="73"/>
        <v>94213.342056705194</v>
      </c>
      <c r="AF71" s="619">
        <f>SUM(T71:AE71)</f>
        <v>460089.54544348241</v>
      </c>
      <c r="AH71" s="579"/>
      <c r="AI71" s="579"/>
      <c r="AJ71" s="619">
        <f t="shared" ref="AJ71:AR71" si="74">SUM(AJ50,AJ56,AJ62,AJ68)</f>
        <v>53335.016409949996</v>
      </c>
      <c r="AK71" s="619">
        <f t="shared" si="74"/>
        <v>42868.342912439359</v>
      </c>
      <c r="AL71" s="619">
        <f t="shared" si="74"/>
        <v>42768.080309246339</v>
      </c>
      <c r="AM71" s="619">
        <f t="shared" si="74"/>
        <v>42168.58127455895</v>
      </c>
      <c r="AN71" s="619">
        <f t="shared" si="74"/>
        <v>48043.806046035621</v>
      </c>
      <c r="AO71" s="619">
        <f t="shared" si="74"/>
        <v>56933.204672085078</v>
      </c>
      <c r="AP71" s="619">
        <f t="shared" si="74"/>
        <v>59043.207254021647</v>
      </c>
      <c r="AQ71" s="619">
        <f t="shared" si="74"/>
        <v>66027.481979625067</v>
      </c>
      <c r="AR71" s="619">
        <f t="shared" si="74"/>
        <v>87736.645016842333</v>
      </c>
      <c r="AS71" s="619">
        <f t="shared" ref="AS71:AU71" si="75">SUM(AS50,AS56,AS62,AS68)</f>
        <v>134577.01679400002</v>
      </c>
      <c r="AT71" s="619">
        <f t="shared" si="75"/>
        <v>174720.98112700001</v>
      </c>
      <c r="AU71" s="619">
        <f t="shared" si="75"/>
        <v>321000.47734149999</v>
      </c>
      <c r="AV71" s="619">
        <f>SUM(AJ71:AU71)</f>
        <v>1129222.8411373044</v>
      </c>
      <c r="BB71" s="579"/>
      <c r="BC71" s="579"/>
      <c r="BD71" s="610">
        <f t="shared" ref="BD71:BO71" si="76">SUM(BD50,BD56,BD62,BD68)</f>
        <v>116464.35496079709</v>
      </c>
      <c r="BE71" s="610">
        <f t="shared" si="76"/>
        <v>108949.09240136069</v>
      </c>
      <c r="BF71" s="610">
        <f t="shared" si="76"/>
        <v>128550.2152534223</v>
      </c>
      <c r="BG71" s="610">
        <f t="shared" si="76"/>
        <v>154839.99658922377</v>
      </c>
      <c r="BH71" s="610">
        <f t="shared" si="76"/>
        <v>161473.76661723448</v>
      </c>
      <c r="BI71" s="610">
        <f t="shared" si="76"/>
        <v>164184.04956211982</v>
      </c>
      <c r="BJ71" s="610">
        <f t="shared" si="76"/>
        <v>193615.47940502703</v>
      </c>
      <c r="BK71" s="610">
        <f t="shared" si="76"/>
        <v>201530.57748759145</v>
      </c>
      <c r="BL71" s="610">
        <f t="shared" si="76"/>
        <v>239693.67716068306</v>
      </c>
      <c r="BM71" s="610">
        <f t="shared" si="76"/>
        <v>310456.71410597704</v>
      </c>
      <c r="BN71" s="610">
        <f t="shared" si="76"/>
        <v>339222.22138561995</v>
      </c>
      <c r="BO71" s="610">
        <f t="shared" si="76"/>
        <v>423481.04588720767</v>
      </c>
      <c r="BP71" s="609">
        <f>SUM(BD71:BO71)</f>
        <v>2542461.1908162641</v>
      </c>
      <c r="BV71" s="619">
        <f t="shared" ref="BV71:CG71" si="77">SUM(BV50,BV56,BV62,BV68)</f>
        <v>162748.50067300003</v>
      </c>
      <c r="BW71" s="619">
        <f t="shared" si="77"/>
        <v>132876.43552700002</v>
      </c>
      <c r="BX71" s="619">
        <f t="shared" si="77"/>
        <v>202495.376281</v>
      </c>
      <c r="BY71" s="619">
        <f t="shared" si="77"/>
        <v>296826.47292100004</v>
      </c>
      <c r="BZ71" s="619">
        <f t="shared" si="77"/>
        <v>0</v>
      </c>
      <c r="CA71" s="619">
        <f t="shared" si="77"/>
        <v>0</v>
      </c>
      <c r="CB71" s="619">
        <f t="shared" si="77"/>
        <v>0</v>
      </c>
      <c r="CC71" s="619">
        <f t="shared" si="77"/>
        <v>0</v>
      </c>
      <c r="CD71" s="619">
        <f t="shared" si="77"/>
        <v>0</v>
      </c>
      <c r="CE71" s="619">
        <f t="shared" si="77"/>
        <v>0</v>
      </c>
      <c r="CF71" s="619">
        <f t="shared" si="77"/>
        <v>0</v>
      </c>
      <c r="CG71" s="619">
        <f t="shared" si="77"/>
        <v>0</v>
      </c>
      <c r="CH71" s="619">
        <f>SUM(BV71:CG71)</f>
        <v>794946.78540200018</v>
      </c>
    </row>
    <row r="72" spans="1:86">
      <c r="AQ72" s="617">
        <f t="shared" ref="AQ72:AU72" si="78">SUM(AQ49,AQ55,AQ61,AQ67)</f>
        <v>120049.96723568192</v>
      </c>
      <c r="AR72" s="617">
        <f t="shared" si="78"/>
        <v>159521.17275789514</v>
      </c>
      <c r="AS72" s="617">
        <f t="shared" si="78"/>
        <v>244685.48508000001</v>
      </c>
      <c r="AT72" s="617">
        <f t="shared" si="78"/>
        <v>317674.51113999996</v>
      </c>
      <c r="AU72" s="617">
        <f t="shared" si="78"/>
        <v>583637.23152999987</v>
      </c>
      <c r="AV72" s="617">
        <f>SUM(AV49,AV55,AV61,AV67)</f>
        <v>2053132.4384314623</v>
      </c>
      <c r="AW72" s="629"/>
      <c r="BP72" s="612"/>
    </row>
    <row r="73" spans="1:86">
      <c r="AQ73" s="629">
        <f t="shared" ref="AQ73:AU73" si="79">AQ71/AQ72</f>
        <v>0.55000000000000004</v>
      </c>
      <c r="AR73" s="629">
        <f t="shared" si="79"/>
        <v>0.55000000000000004</v>
      </c>
      <c r="AS73" s="629">
        <f t="shared" si="79"/>
        <v>0.55000000000000004</v>
      </c>
      <c r="AT73" s="629">
        <f t="shared" si="79"/>
        <v>0.55000000000000004</v>
      </c>
      <c r="AU73" s="629">
        <f t="shared" si="79"/>
        <v>0.55000000000000016</v>
      </c>
      <c r="AV73" s="629">
        <f>AV71/AV72</f>
        <v>0.55000000000000004</v>
      </c>
    </row>
    <row r="74" spans="1:86">
      <c r="A74" s="605" t="s">
        <v>112</v>
      </c>
      <c r="B74" s="605"/>
    </row>
    <row r="75" spans="1:86" hidden="1">
      <c r="A75" s="849" t="s">
        <v>26</v>
      </c>
      <c r="B75" s="621"/>
      <c r="C75" s="569" t="s">
        <v>68</v>
      </c>
      <c r="T75" s="617">
        <v>133013.47999999998</v>
      </c>
      <c r="U75" s="617">
        <v>111329.26</v>
      </c>
      <c r="V75" s="617">
        <v>147074.18210700003</v>
      </c>
      <c r="W75" s="617">
        <v>117467.23999999999</v>
      </c>
      <c r="X75" s="617">
        <v>120293.79</v>
      </c>
      <c r="Y75" s="617">
        <v>125274.22</v>
      </c>
      <c r="Z75" s="617">
        <v>112221.019765</v>
      </c>
      <c r="AA75" s="617">
        <v>123094.10999999999</v>
      </c>
      <c r="AB75" s="617">
        <v>125985.84</v>
      </c>
      <c r="AC75" s="617">
        <v>143067.22</v>
      </c>
      <c r="AD75" s="617">
        <v>154111.26</v>
      </c>
      <c r="AE75" s="617">
        <v>226126.25248899998</v>
      </c>
      <c r="AF75" s="617">
        <f>SUM(T75:AE75)</f>
        <v>1639057.874361</v>
      </c>
      <c r="AJ75" s="617">
        <f>AJ29</f>
        <v>0</v>
      </c>
      <c r="AK75" s="617">
        <f t="shared" ref="AK75:AU75" si="80">AK29</f>
        <v>0</v>
      </c>
      <c r="AL75" s="617">
        <f t="shared" si="80"/>
        <v>0</v>
      </c>
      <c r="AM75" s="617">
        <f t="shared" si="80"/>
        <v>0</v>
      </c>
      <c r="AN75" s="617">
        <f t="shared" si="80"/>
        <v>0</v>
      </c>
      <c r="AO75" s="617">
        <f t="shared" si="80"/>
        <v>0</v>
      </c>
      <c r="AP75" s="617">
        <f t="shared" si="80"/>
        <v>0</v>
      </c>
      <c r="AQ75" s="617">
        <f t="shared" si="80"/>
        <v>0</v>
      </c>
      <c r="AR75" s="617">
        <f t="shared" si="80"/>
        <v>0</v>
      </c>
      <c r="AS75" s="617">
        <f t="shared" si="80"/>
        <v>0</v>
      </c>
      <c r="AT75" s="617">
        <f t="shared" si="80"/>
        <v>0</v>
      </c>
      <c r="AU75" s="617">
        <f t="shared" si="80"/>
        <v>0</v>
      </c>
      <c r="AV75" s="617">
        <f>SUM(AJ75:AU75)</f>
        <v>0</v>
      </c>
      <c r="BV75" s="617">
        <f>BV29</f>
        <v>0</v>
      </c>
      <c r="BW75" s="617">
        <f t="shared" ref="BW75:CG75" si="81">BW29</f>
        <v>0</v>
      </c>
      <c r="BX75" s="617">
        <f t="shared" si="81"/>
        <v>0</v>
      </c>
      <c r="BY75" s="617">
        <f t="shared" si="81"/>
        <v>0</v>
      </c>
      <c r="BZ75" s="617">
        <f t="shared" si="81"/>
        <v>0</v>
      </c>
      <c r="CA75" s="617">
        <f t="shared" si="81"/>
        <v>0</v>
      </c>
      <c r="CB75" s="617">
        <f t="shared" si="81"/>
        <v>0</v>
      </c>
      <c r="CC75" s="617">
        <f t="shared" si="81"/>
        <v>0</v>
      </c>
      <c r="CD75" s="617">
        <f t="shared" si="81"/>
        <v>0</v>
      </c>
      <c r="CE75" s="617">
        <f t="shared" si="81"/>
        <v>0</v>
      </c>
      <c r="CF75" s="617">
        <f t="shared" si="81"/>
        <v>0</v>
      </c>
      <c r="CG75" s="617">
        <f t="shared" si="81"/>
        <v>0</v>
      </c>
      <c r="CH75" s="617">
        <f>SUM(BV75:CG75)</f>
        <v>0</v>
      </c>
    </row>
    <row r="76" spans="1:86" hidden="1">
      <c r="A76" s="849"/>
      <c r="B76" s="621"/>
      <c r="C76" s="569" t="s">
        <v>113</v>
      </c>
      <c r="T76" s="617">
        <v>208150.11000000002</v>
      </c>
      <c r="U76" s="617">
        <v>175207.92</v>
      </c>
      <c r="V76" s="617">
        <v>184642.69</v>
      </c>
      <c r="W76" s="617">
        <v>140120.44</v>
      </c>
      <c r="X76" s="617">
        <v>206937.71</v>
      </c>
      <c r="Y76" s="617">
        <v>224787.26</v>
      </c>
      <c r="Z76" s="617">
        <v>181055.464561</v>
      </c>
      <c r="AA76" s="617">
        <v>178715.53999999998</v>
      </c>
      <c r="AB76" s="617">
        <v>189461.84</v>
      </c>
      <c r="AC76" s="617">
        <v>208037.56</v>
      </c>
      <c r="AD76" s="617">
        <v>239690.10000000003</v>
      </c>
      <c r="AE76" s="617">
        <v>391918.05000000005</v>
      </c>
      <c r="AF76" s="617">
        <f>SUM(T76:AE76)</f>
        <v>2528724.6845610002</v>
      </c>
      <c r="AJ76" s="617">
        <f>AJ33</f>
        <v>0</v>
      </c>
      <c r="AK76" s="617">
        <f t="shared" ref="AK76:AU76" si="82">AK33</f>
        <v>0</v>
      </c>
      <c r="AL76" s="617">
        <f t="shared" si="82"/>
        <v>0</v>
      </c>
      <c r="AM76" s="617">
        <f t="shared" si="82"/>
        <v>0</v>
      </c>
      <c r="AN76" s="617">
        <f t="shared" si="82"/>
        <v>0</v>
      </c>
      <c r="AO76" s="617">
        <f t="shared" si="82"/>
        <v>0</v>
      </c>
      <c r="AP76" s="617">
        <f t="shared" si="82"/>
        <v>0</v>
      </c>
      <c r="AQ76" s="617">
        <f t="shared" si="82"/>
        <v>0</v>
      </c>
      <c r="AR76" s="617">
        <f t="shared" si="82"/>
        <v>0</v>
      </c>
      <c r="AS76" s="617">
        <f t="shared" si="82"/>
        <v>0</v>
      </c>
      <c r="AT76" s="617">
        <f t="shared" si="82"/>
        <v>0</v>
      </c>
      <c r="AU76" s="617">
        <f t="shared" si="82"/>
        <v>0</v>
      </c>
      <c r="AV76" s="617">
        <f>SUM(AJ76:AU76)</f>
        <v>0</v>
      </c>
      <c r="BV76" s="617">
        <f>BV33</f>
        <v>0</v>
      </c>
      <c r="BW76" s="617">
        <f t="shared" ref="BW76:CG76" si="83">BW33</f>
        <v>0</v>
      </c>
      <c r="BX76" s="617">
        <f t="shared" si="83"/>
        <v>0</v>
      </c>
      <c r="BY76" s="617">
        <f t="shared" si="83"/>
        <v>0</v>
      </c>
      <c r="BZ76" s="617">
        <f t="shared" si="83"/>
        <v>0</v>
      </c>
      <c r="CA76" s="617">
        <f t="shared" si="83"/>
        <v>0</v>
      </c>
      <c r="CB76" s="617">
        <f t="shared" si="83"/>
        <v>0</v>
      </c>
      <c r="CC76" s="617">
        <f t="shared" si="83"/>
        <v>0</v>
      </c>
      <c r="CD76" s="617">
        <f t="shared" si="83"/>
        <v>0</v>
      </c>
      <c r="CE76" s="617">
        <f t="shared" si="83"/>
        <v>0</v>
      </c>
      <c r="CF76" s="617">
        <f t="shared" si="83"/>
        <v>0</v>
      </c>
      <c r="CG76" s="617">
        <f t="shared" si="83"/>
        <v>0</v>
      </c>
      <c r="CH76" s="617">
        <f>SUM(BV76:CG76)</f>
        <v>0</v>
      </c>
    </row>
    <row r="77" spans="1:86">
      <c r="A77" s="849"/>
      <c r="B77" s="621"/>
      <c r="C77" s="569" t="s">
        <v>70</v>
      </c>
      <c r="T77" s="617">
        <v>0</v>
      </c>
      <c r="U77" s="617">
        <v>0</v>
      </c>
      <c r="V77" s="617">
        <v>0</v>
      </c>
      <c r="W77" s="617">
        <v>9.86</v>
      </c>
      <c r="X77" s="617">
        <v>23945.52</v>
      </c>
      <c r="Y77" s="617">
        <v>47351.78</v>
      </c>
      <c r="Z77" s="617">
        <v>45693.909978000003</v>
      </c>
      <c r="AA77" s="617">
        <v>40922.82</v>
      </c>
      <c r="AB77" s="617">
        <v>49335.47</v>
      </c>
      <c r="AC77" s="617">
        <v>51122.67</v>
      </c>
      <c r="AD77" s="617">
        <v>50015.44</v>
      </c>
      <c r="AE77" s="617">
        <v>75031.350000000006</v>
      </c>
      <c r="AF77" s="617">
        <f>SUM(T77:AE77)</f>
        <v>383428.81997800001</v>
      </c>
      <c r="AJ77" s="617">
        <f>AJ37</f>
        <v>42612.248553999998</v>
      </c>
      <c r="AK77" s="617">
        <f t="shared" ref="AK77:AU77" si="84">AK37</f>
        <v>32494.297270999996</v>
      </c>
      <c r="AL77" s="617">
        <f t="shared" si="84"/>
        <v>32691.966900000007</v>
      </c>
      <c r="AM77" s="617">
        <f t="shared" si="84"/>
        <v>33081.352396000009</v>
      </c>
      <c r="AN77" s="617">
        <f t="shared" si="84"/>
        <v>37888.326292999991</v>
      </c>
      <c r="AO77" s="617">
        <f t="shared" si="84"/>
        <v>42816.381576999986</v>
      </c>
      <c r="AP77" s="617">
        <f t="shared" si="84"/>
        <v>47956.517338000005</v>
      </c>
      <c r="AQ77" s="617">
        <f t="shared" si="84"/>
        <v>46698.11</v>
      </c>
      <c r="AR77" s="617">
        <f t="shared" si="84"/>
        <v>75244.679999999993</v>
      </c>
      <c r="AS77" s="617">
        <f t="shared" si="84"/>
        <v>120032.73000000001</v>
      </c>
      <c r="AT77" s="617">
        <f t="shared" si="84"/>
        <v>151241.94</v>
      </c>
      <c r="AU77" s="617">
        <f t="shared" si="84"/>
        <v>302343.67</v>
      </c>
      <c r="AV77" s="617">
        <f>SUM(AJ77:AU77)</f>
        <v>965102.22032899992</v>
      </c>
      <c r="BV77" s="617">
        <f>BV37</f>
        <v>148369.26999999999</v>
      </c>
      <c r="BW77" s="617">
        <f t="shared" ref="BW77:CG77" si="85">BW37</f>
        <v>118213.66</v>
      </c>
      <c r="BX77" s="617">
        <f t="shared" si="85"/>
        <v>168146.83</v>
      </c>
      <c r="BY77" s="617">
        <f t="shared" si="85"/>
        <v>170290.55000000002</v>
      </c>
      <c r="BZ77" s="617">
        <f t="shared" si="85"/>
        <v>206786.54000000004</v>
      </c>
      <c r="CA77" s="617">
        <f t="shared" si="85"/>
        <v>0</v>
      </c>
      <c r="CB77" s="617">
        <f t="shared" si="85"/>
        <v>0</v>
      </c>
      <c r="CC77" s="617">
        <f t="shared" si="85"/>
        <v>0</v>
      </c>
      <c r="CD77" s="617">
        <f t="shared" si="85"/>
        <v>0</v>
      </c>
      <c r="CE77" s="617">
        <f t="shared" si="85"/>
        <v>0</v>
      </c>
      <c r="CF77" s="617">
        <f t="shared" si="85"/>
        <v>0</v>
      </c>
      <c r="CG77" s="617">
        <f t="shared" si="85"/>
        <v>0</v>
      </c>
      <c r="CH77" s="617">
        <f>SUM(BV77:CG77)</f>
        <v>811806.85000000009</v>
      </c>
    </row>
    <row r="78" spans="1:86">
      <c r="A78" s="849"/>
      <c r="B78" s="621"/>
      <c r="C78" s="569" t="s">
        <v>114</v>
      </c>
      <c r="T78" s="617">
        <v>0</v>
      </c>
      <c r="U78" s="617">
        <v>0</v>
      </c>
      <c r="V78" s="617">
        <v>0</v>
      </c>
      <c r="W78" s="617">
        <v>255.10000000000002</v>
      </c>
      <c r="X78" s="617">
        <v>1207.1799999999998</v>
      </c>
      <c r="Y78" s="617">
        <v>2777.1</v>
      </c>
      <c r="Z78" s="617">
        <v>2320.9</v>
      </c>
      <c r="AA78" s="617">
        <v>2082.3399999999997</v>
      </c>
      <c r="AB78" s="617">
        <v>2421.67</v>
      </c>
      <c r="AC78" s="617">
        <v>4506.9699999999993</v>
      </c>
      <c r="AD78" s="617">
        <v>17379.260000000002</v>
      </c>
      <c r="AE78" s="617">
        <v>13837.280000000002</v>
      </c>
      <c r="AF78" s="617">
        <f>SUM(T78:AE78)</f>
        <v>46787.8</v>
      </c>
      <c r="AJ78" s="617">
        <f>AJ41</f>
        <v>7490.1370640000005</v>
      </c>
      <c r="AK78" s="617">
        <f t="shared" ref="AK78:AU78" si="86">AK41</f>
        <v>7815.3045420000035</v>
      </c>
      <c r="AL78" s="617">
        <f t="shared" si="86"/>
        <v>7690.0191639999994</v>
      </c>
      <c r="AM78" s="617">
        <f t="shared" si="86"/>
        <v>8216.241931999999</v>
      </c>
      <c r="AN78" s="617">
        <f t="shared" si="86"/>
        <v>8813.1399020000008</v>
      </c>
      <c r="AO78" s="617">
        <f t="shared" si="86"/>
        <v>12750.50079</v>
      </c>
      <c r="AP78" s="617">
        <f t="shared" si="86"/>
        <v>10301.778777</v>
      </c>
      <c r="AQ78" s="617">
        <f t="shared" si="86"/>
        <v>18537.22</v>
      </c>
      <c r="AR78" s="617">
        <f t="shared" si="86"/>
        <v>11722.53</v>
      </c>
      <c r="AS78" s="617">
        <f t="shared" si="86"/>
        <v>14230.68</v>
      </c>
      <c r="AT78" s="617">
        <f t="shared" si="86"/>
        <v>22857.51</v>
      </c>
      <c r="AU78" s="617">
        <f t="shared" si="86"/>
        <v>19072.77</v>
      </c>
      <c r="AV78" s="617">
        <f>SUM(AJ78:AU78)</f>
        <v>149497.83217099999</v>
      </c>
      <c r="BV78" s="617">
        <f>BV41</f>
        <v>17239.805999999997</v>
      </c>
      <c r="BW78" s="617">
        <f t="shared" ref="BW78:CG78" si="87">BW41</f>
        <v>16223.650000000001</v>
      </c>
      <c r="BX78" s="617">
        <f t="shared" si="87"/>
        <v>38199.729999999996</v>
      </c>
      <c r="BY78" s="617">
        <f t="shared" si="87"/>
        <v>121615.76999999999</v>
      </c>
      <c r="BZ78" s="617">
        <f t="shared" si="87"/>
        <v>176027.96000000002</v>
      </c>
      <c r="CA78" s="617">
        <f t="shared" si="87"/>
        <v>0</v>
      </c>
      <c r="CB78" s="617">
        <f t="shared" si="87"/>
        <v>0</v>
      </c>
      <c r="CC78" s="617">
        <f t="shared" si="87"/>
        <v>0</v>
      </c>
      <c r="CD78" s="617">
        <f t="shared" si="87"/>
        <v>0</v>
      </c>
      <c r="CE78" s="617">
        <f t="shared" si="87"/>
        <v>0</v>
      </c>
      <c r="CF78" s="617">
        <f t="shared" si="87"/>
        <v>0</v>
      </c>
      <c r="CG78" s="617">
        <f t="shared" si="87"/>
        <v>0</v>
      </c>
      <c r="CH78" s="617">
        <f>SUM(BV78:CG78)</f>
        <v>369306.91599999997</v>
      </c>
    </row>
    <row r="79" spans="1:86">
      <c r="A79" s="849"/>
      <c r="B79" s="621"/>
      <c r="C79" s="569" t="s">
        <v>44</v>
      </c>
      <c r="T79" s="617">
        <f>SUM(T75:T78)</f>
        <v>341163.58999999997</v>
      </c>
      <c r="U79" s="617">
        <f t="shared" ref="U79:AF79" si="88">SUM(U75:U78)</f>
        <v>286537.18</v>
      </c>
      <c r="V79" s="617">
        <f t="shared" si="88"/>
        <v>331716.87210700003</v>
      </c>
      <c r="W79" s="617">
        <f t="shared" si="88"/>
        <v>257852.63999999998</v>
      </c>
      <c r="X79" s="617">
        <f t="shared" si="88"/>
        <v>352384.2</v>
      </c>
      <c r="Y79" s="617">
        <f t="shared" si="88"/>
        <v>400190.36</v>
      </c>
      <c r="Z79" s="617">
        <f t="shared" si="88"/>
        <v>341291.29430399998</v>
      </c>
      <c r="AA79" s="617">
        <f t="shared" si="88"/>
        <v>344814.81</v>
      </c>
      <c r="AB79" s="617">
        <f t="shared" si="88"/>
        <v>367204.82</v>
      </c>
      <c r="AC79" s="617">
        <f t="shared" si="88"/>
        <v>406734.42</v>
      </c>
      <c r="AD79" s="617">
        <f t="shared" si="88"/>
        <v>461196.06000000006</v>
      </c>
      <c r="AE79" s="617">
        <f t="shared" si="88"/>
        <v>706912.93248900003</v>
      </c>
      <c r="AF79" s="617">
        <f t="shared" si="88"/>
        <v>4597999.1788999997</v>
      </c>
      <c r="AJ79" s="617">
        <f t="shared" ref="AJ79:AV79" si="89">SUM(AJ75:AJ78)</f>
        <v>50102.385618</v>
      </c>
      <c r="AK79" s="617">
        <f t="shared" si="89"/>
        <v>40309.601813000001</v>
      </c>
      <c r="AL79" s="617">
        <f t="shared" si="89"/>
        <v>40381.986064000004</v>
      </c>
      <c r="AM79" s="617">
        <f t="shared" si="89"/>
        <v>41297.594328000006</v>
      </c>
      <c r="AN79" s="617">
        <f t="shared" si="89"/>
        <v>46701.466194999994</v>
      </c>
      <c r="AO79" s="617">
        <f t="shared" si="89"/>
        <v>55566.882366999984</v>
      </c>
      <c r="AP79" s="617">
        <f t="shared" si="89"/>
        <v>58258.296115000005</v>
      </c>
      <c r="AQ79" s="617">
        <f t="shared" si="89"/>
        <v>65235.33</v>
      </c>
      <c r="AR79" s="617">
        <f t="shared" si="89"/>
        <v>86967.209999999992</v>
      </c>
      <c r="AS79" s="617">
        <f t="shared" si="89"/>
        <v>134263.41</v>
      </c>
      <c r="AT79" s="617">
        <f t="shared" si="89"/>
        <v>174099.45</v>
      </c>
      <c r="AU79" s="617">
        <f t="shared" si="89"/>
        <v>321416.44</v>
      </c>
      <c r="AV79" s="617">
        <f t="shared" si="89"/>
        <v>1114600.0525</v>
      </c>
      <c r="BV79" s="617">
        <f t="shared" ref="BV79:CH79" si="90">SUM(BV75:BV78)</f>
        <v>165609.076</v>
      </c>
      <c r="BW79" s="617">
        <f t="shared" si="90"/>
        <v>134437.31</v>
      </c>
      <c r="BX79" s="617">
        <f t="shared" si="90"/>
        <v>206346.56</v>
      </c>
      <c r="BY79" s="617">
        <f t="shared" si="90"/>
        <v>291906.32</v>
      </c>
      <c r="BZ79" s="617">
        <f t="shared" si="90"/>
        <v>382814.50000000006</v>
      </c>
      <c r="CA79" s="617">
        <f t="shared" si="90"/>
        <v>0</v>
      </c>
      <c r="CB79" s="617">
        <f t="shared" si="90"/>
        <v>0</v>
      </c>
      <c r="CC79" s="617">
        <f t="shared" si="90"/>
        <v>0</v>
      </c>
      <c r="CD79" s="617">
        <f t="shared" si="90"/>
        <v>0</v>
      </c>
      <c r="CE79" s="617">
        <f t="shared" si="90"/>
        <v>0</v>
      </c>
      <c r="CF79" s="617">
        <f t="shared" si="90"/>
        <v>0</v>
      </c>
      <c r="CG79" s="617">
        <f t="shared" si="90"/>
        <v>0</v>
      </c>
      <c r="CH79" s="617">
        <f t="shared" si="90"/>
        <v>1181113.7660000001</v>
      </c>
    </row>
    <row r="82" spans="1:89" hidden="1">
      <c r="A82" s="850" t="s">
        <v>62</v>
      </c>
      <c r="B82" s="622"/>
      <c r="C82" s="569" t="s">
        <v>68</v>
      </c>
      <c r="T82" s="623">
        <f t="shared" ref="T82:AE82" si="91">T50-T75</f>
        <v>-133013.47999999998</v>
      </c>
      <c r="U82" s="623">
        <f t="shared" si="91"/>
        <v>-111329.26</v>
      </c>
      <c r="V82" s="623">
        <f t="shared" si="91"/>
        <v>-147074.18210700003</v>
      </c>
      <c r="W82" s="623">
        <f t="shared" si="91"/>
        <v>-117467.23999999999</v>
      </c>
      <c r="X82" s="623">
        <f t="shared" si="91"/>
        <v>-120293.79</v>
      </c>
      <c r="Y82" s="623">
        <f t="shared" si="91"/>
        <v>-125274.22</v>
      </c>
      <c r="Z82" s="623">
        <f t="shared" si="91"/>
        <v>-112221.019765</v>
      </c>
      <c r="AA82" s="623">
        <f t="shared" si="91"/>
        <v>-123094.10999999999</v>
      </c>
      <c r="AB82" s="623">
        <f t="shared" si="91"/>
        <v>-125985.84</v>
      </c>
      <c r="AC82" s="623">
        <f t="shared" si="91"/>
        <v>-143067.22</v>
      </c>
      <c r="AD82" s="623">
        <f t="shared" si="91"/>
        <v>-154111.26</v>
      </c>
      <c r="AE82" s="623">
        <f t="shared" si="91"/>
        <v>-226126.25248899998</v>
      </c>
      <c r="AF82" s="623">
        <f>SUM(T82:AE82)</f>
        <v>-1639057.874361</v>
      </c>
      <c r="AG82" s="623"/>
      <c r="AH82" s="623"/>
      <c r="AI82" s="623"/>
      <c r="AJ82" s="623">
        <f t="shared" ref="AJ82" si="92">AJ50-AJ75</f>
        <v>0</v>
      </c>
      <c r="AK82" s="623">
        <f t="shared" ref="AK82:AU82" si="93">AK50-AK75</f>
        <v>0</v>
      </c>
      <c r="AL82" s="623">
        <f t="shared" si="93"/>
        <v>0</v>
      </c>
      <c r="AM82" s="623">
        <f t="shared" si="93"/>
        <v>0</v>
      </c>
      <c r="AN82" s="623">
        <f t="shared" si="93"/>
        <v>0</v>
      </c>
      <c r="AO82" s="623">
        <f t="shared" si="93"/>
        <v>0</v>
      </c>
      <c r="AP82" s="623">
        <f t="shared" si="93"/>
        <v>0</v>
      </c>
      <c r="AQ82" s="623">
        <f t="shared" si="93"/>
        <v>0</v>
      </c>
      <c r="AR82" s="623">
        <f t="shared" si="93"/>
        <v>0</v>
      </c>
      <c r="AS82" s="623">
        <f t="shared" si="93"/>
        <v>0</v>
      </c>
      <c r="AT82" s="623">
        <f t="shared" si="93"/>
        <v>0</v>
      </c>
      <c r="AU82" s="623">
        <f t="shared" si="93"/>
        <v>0</v>
      </c>
      <c r="AV82" s="623">
        <f>SUM(AJ82:AU82)</f>
        <v>0</v>
      </c>
      <c r="BV82" s="623">
        <f t="shared" ref="BV82:CG82" si="94">BV50-BV75</f>
        <v>0</v>
      </c>
      <c r="BW82" s="623">
        <f t="shared" si="94"/>
        <v>0</v>
      </c>
      <c r="BX82" s="623">
        <f t="shared" si="94"/>
        <v>0</v>
      </c>
      <c r="BY82" s="623">
        <f t="shared" si="94"/>
        <v>0</v>
      </c>
      <c r="BZ82" s="623">
        <f t="shared" si="94"/>
        <v>0</v>
      </c>
      <c r="CA82" s="623">
        <f t="shared" si="94"/>
        <v>0</v>
      </c>
      <c r="CB82" s="623">
        <f t="shared" si="94"/>
        <v>0</v>
      </c>
      <c r="CC82" s="623">
        <f t="shared" si="94"/>
        <v>0</v>
      </c>
      <c r="CD82" s="623">
        <f t="shared" si="94"/>
        <v>0</v>
      </c>
      <c r="CE82" s="623">
        <f t="shared" si="94"/>
        <v>0</v>
      </c>
      <c r="CF82" s="623">
        <f t="shared" si="94"/>
        <v>0</v>
      </c>
      <c r="CG82" s="623">
        <f t="shared" si="94"/>
        <v>0</v>
      </c>
      <c r="CH82" s="623">
        <f>SUM(BV82:CG82)</f>
        <v>0</v>
      </c>
    </row>
    <row r="83" spans="1:89" hidden="1">
      <c r="A83" s="850"/>
      <c r="B83" s="622"/>
      <c r="C83" s="569" t="s">
        <v>113</v>
      </c>
      <c r="T83" s="623">
        <f t="shared" ref="T83:AE83" si="95">T56-T76</f>
        <v>-208150.11000000002</v>
      </c>
      <c r="U83" s="623">
        <f t="shared" si="95"/>
        <v>-175207.92</v>
      </c>
      <c r="V83" s="623">
        <f t="shared" si="95"/>
        <v>-184642.69</v>
      </c>
      <c r="W83" s="623">
        <f t="shared" si="95"/>
        <v>-140120.44</v>
      </c>
      <c r="X83" s="623">
        <f t="shared" si="95"/>
        <v>-206937.71</v>
      </c>
      <c r="Y83" s="623">
        <f t="shared" si="95"/>
        <v>-224787.26</v>
      </c>
      <c r="Z83" s="623">
        <f t="shared" si="95"/>
        <v>-181055.464561</v>
      </c>
      <c r="AA83" s="623">
        <f t="shared" si="95"/>
        <v>-178715.53999999998</v>
      </c>
      <c r="AB83" s="623">
        <f t="shared" si="95"/>
        <v>-189461.84</v>
      </c>
      <c r="AC83" s="623">
        <f t="shared" si="95"/>
        <v>-208037.56</v>
      </c>
      <c r="AD83" s="623">
        <f t="shared" si="95"/>
        <v>-239690.10000000003</v>
      </c>
      <c r="AE83" s="623">
        <f t="shared" si="95"/>
        <v>-391918.05000000005</v>
      </c>
      <c r="AF83" s="623">
        <f>SUM(T83:AE83)</f>
        <v>-2528724.6845610002</v>
      </c>
      <c r="AG83" s="623"/>
      <c r="AH83" s="623"/>
      <c r="AI83" s="623"/>
      <c r="AJ83" s="623">
        <f>AJ56-AJ76</f>
        <v>0</v>
      </c>
      <c r="AK83" s="623">
        <f t="shared" ref="AK83:AU83" si="96">AK56-AK76</f>
        <v>0</v>
      </c>
      <c r="AL83" s="623">
        <f t="shared" si="96"/>
        <v>0</v>
      </c>
      <c r="AM83" s="623">
        <f t="shared" si="96"/>
        <v>0</v>
      </c>
      <c r="AN83" s="623">
        <f t="shared" si="96"/>
        <v>0</v>
      </c>
      <c r="AO83" s="623">
        <f t="shared" si="96"/>
        <v>0</v>
      </c>
      <c r="AP83" s="623">
        <f t="shared" si="96"/>
        <v>0</v>
      </c>
      <c r="AQ83" s="623">
        <f t="shared" si="96"/>
        <v>0</v>
      </c>
      <c r="AR83" s="623">
        <f t="shared" si="96"/>
        <v>0</v>
      </c>
      <c r="AS83" s="623">
        <f t="shared" si="96"/>
        <v>0</v>
      </c>
      <c r="AT83" s="623">
        <f t="shared" si="96"/>
        <v>0</v>
      </c>
      <c r="AU83" s="623">
        <f t="shared" si="96"/>
        <v>0</v>
      </c>
      <c r="AV83" s="623">
        <f>SUM(AJ83:AU83)</f>
        <v>0</v>
      </c>
      <c r="BV83" s="623">
        <f>BV56-BV76</f>
        <v>0</v>
      </c>
      <c r="BW83" s="623">
        <f t="shared" ref="BW83:CG83" si="97">BW56-BW76</f>
        <v>0</v>
      </c>
      <c r="BX83" s="623">
        <f t="shared" si="97"/>
        <v>0</v>
      </c>
      <c r="BY83" s="623">
        <f t="shared" si="97"/>
        <v>0</v>
      </c>
      <c r="BZ83" s="623">
        <f t="shared" si="97"/>
        <v>0</v>
      </c>
      <c r="CA83" s="623">
        <f t="shared" si="97"/>
        <v>0</v>
      </c>
      <c r="CB83" s="623">
        <f t="shared" si="97"/>
        <v>0</v>
      </c>
      <c r="CC83" s="623">
        <f t="shared" si="97"/>
        <v>0</v>
      </c>
      <c r="CD83" s="623">
        <f t="shared" si="97"/>
        <v>0</v>
      </c>
      <c r="CE83" s="623">
        <f t="shared" si="97"/>
        <v>0</v>
      </c>
      <c r="CF83" s="623">
        <f t="shared" si="97"/>
        <v>0</v>
      </c>
      <c r="CG83" s="623">
        <f t="shared" si="97"/>
        <v>0</v>
      </c>
      <c r="CH83" s="623">
        <f>SUM(BV83:CG83)</f>
        <v>0</v>
      </c>
    </row>
    <row r="84" spans="1:89">
      <c r="A84" s="850"/>
      <c r="B84" s="622"/>
      <c r="C84" s="569" t="s">
        <v>70</v>
      </c>
      <c r="T84" s="623">
        <f t="shared" ref="T84:AE84" si="98">T62-T77</f>
        <v>0</v>
      </c>
      <c r="U84" s="623">
        <f t="shared" si="98"/>
        <v>0</v>
      </c>
      <c r="V84" s="623">
        <f t="shared" si="98"/>
        <v>0</v>
      </c>
      <c r="W84" s="623">
        <f t="shared" si="98"/>
        <v>2.4857839999999989</v>
      </c>
      <c r="X84" s="623">
        <f t="shared" si="98"/>
        <v>1858.2463543000013</v>
      </c>
      <c r="Y84" s="623">
        <f t="shared" si="98"/>
        <v>4065.5334887500067</v>
      </c>
      <c r="Z84" s="623">
        <f t="shared" si="98"/>
        <v>3406.9287127500065</v>
      </c>
      <c r="AA84" s="623">
        <f t="shared" si="98"/>
        <v>3390.2964992999987</v>
      </c>
      <c r="AB84" s="623">
        <f t="shared" si="98"/>
        <v>3728.3208016654826</v>
      </c>
      <c r="AC84" s="623">
        <f t="shared" si="98"/>
        <v>3846.1126644000033</v>
      </c>
      <c r="AD84" s="623">
        <f t="shared" si="98"/>
        <v>4097.5171840000112</v>
      </c>
      <c r="AE84" s="623">
        <f t="shared" si="98"/>
        <v>5198.4187816744961</v>
      </c>
      <c r="AF84" s="623">
        <f>SUM(T84:AE84)</f>
        <v>29593.860270840007</v>
      </c>
      <c r="AG84" s="623"/>
      <c r="AH84" s="623"/>
      <c r="AI84" s="623"/>
      <c r="AJ84" s="623">
        <f>AJ62-AJ77</f>
        <v>3283.7339745499994</v>
      </c>
      <c r="AK84" s="623">
        <f t="shared" ref="AK84:AU84" si="99">AK62-AK77</f>
        <v>2625.5384110227096</v>
      </c>
      <c r="AL84" s="623">
        <f t="shared" si="99"/>
        <v>2395.3770431346493</v>
      </c>
      <c r="AM84" s="623">
        <f t="shared" si="99"/>
        <v>950.88172254482197</v>
      </c>
      <c r="AN84" s="623">
        <f t="shared" si="99"/>
        <v>1322.5220590129611</v>
      </c>
      <c r="AO84" s="623">
        <f t="shared" si="99"/>
        <v>1208.4511604544387</v>
      </c>
      <c r="AP84" s="623">
        <f t="shared" si="99"/>
        <v>941.22435351024615</v>
      </c>
      <c r="AQ84" s="623">
        <f t="shared" si="99"/>
        <v>1015.3685287631379</v>
      </c>
      <c r="AR84" s="623">
        <f t="shared" si="99"/>
        <v>984.93251594742469</v>
      </c>
      <c r="AS84" s="623">
        <f t="shared" si="99"/>
        <v>607.39864200000011</v>
      </c>
      <c r="AT84" s="623">
        <f t="shared" si="99"/>
        <v>928.50223700000788</v>
      </c>
      <c r="AU84" s="623">
        <f t="shared" si="99"/>
        <v>-8.6967629999853671</v>
      </c>
      <c r="AV84" s="623">
        <f>SUM(AJ84:AU84)</f>
        <v>16255.233884940411</v>
      </c>
      <c r="BV84" s="623">
        <f>BV62-BV77</f>
        <v>-705.3655569999537</v>
      </c>
      <c r="BW84" s="623">
        <f t="shared" ref="BW84:CG84" si="100">BW62-BW77</f>
        <v>-1006.1500969999906</v>
      </c>
      <c r="BX84" s="623">
        <f t="shared" si="100"/>
        <v>-2043.1763114999922</v>
      </c>
      <c r="BY84" s="623">
        <f t="shared" si="100"/>
        <v>-2185.7280709999905</v>
      </c>
      <c r="BZ84" s="623">
        <f t="shared" si="100"/>
        <v>-206786.54000000004</v>
      </c>
      <c r="CA84" s="623">
        <f t="shared" si="100"/>
        <v>0</v>
      </c>
      <c r="CB84" s="623">
        <f t="shared" si="100"/>
        <v>0</v>
      </c>
      <c r="CC84" s="623">
        <f t="shared" si="100"/>
        <v>0</v>
      </c>
      <c r="CD84" s="623">
        <f t="shared" si="100"/>
        <v>0</v>
      </c>
      <c r="CE84" s="623">
        <f t="shared" si="100"/>
        <v>0</v>
      </c>
      <c r="CF84" s="623">
        <f t="shared" si="100"/>
        <v>0</v>
      </c>
      <c r="CG84" s="623">
        <f t="shared" si="100"/>
        <v>0</v>
      </c>
      <c r="CH84" s="623">
        <f>SUM(BV84:CG84)</f>
        <v>-212726.96003649995</v>
      </c>
    </row>
    <row r="85" spans="1:89">
      <c r="A85" s="850"/>
      <c r="B85" s="622"/>
      <c r="C85" s="569" t="s">
        <v>114</v>
      </c>
      <c r="T85" s="623">
        <f t="shared" ref="T85:AE85" si="101">T68-T78</f>
        <v>0</v>
      </c>
      <c r="U85" s="623">
        <f t="shared" si="101"/>
        <v>0</v>
      </c>
      <c r="V85" s="623">
        <f t="shared" si="101"/>
        <v>0</v>
      </c>
      <c r="W85" s="623">
        <f t="shared" si="101"/>
        <v>-15.442481988247579</v>
      </c>
      <c r="X85" s="623">
        <f t="shared" si="101"/>
        <v>78.249183500000299</v>
      </c>
      <c r="Y85" s="623">
        <f t="shared" si="101"/>
        <v>27.045294500000182</v>
      </c>
      <c r="Z85" s="623">
        <f t="shared" si="101"/>
        <v>51.8626505000002</v>
      </c>
      <c r="AA85" s="623">
        <f t="shared" si="101"/>
        <v>95.68771230000084</v>
      </c>
      <c r="AB85" s="623">
        <f t="shared" si="101"/>
        <v>57.465782200000376</v>
      </c>
      <c r="AC85" s="623">
        <f t="shared" si="101"/>
        <v>38.822009000001344</v>
      </c>
      <c r="AD85" s="623">
        <f t="shared" si="101"/>
        <v>-200.91823039999872</v>
      </c>
      <c r="AE85" s="623">
        <f t="shared" si="101"/>
        <v>146.29327503069362</v>
      </c>
      <c r="AF85" s="623">
        <f>SUM(T85:AE85)</f>
        <v>279.06519464245059</v>
      </c>
      <c r="AG85" s="623"/>
      <c r="AH85" s="623"/>
      <c r="AI85" s="623"/>
      <c r="AJ85" s="623">
        <f>AJ68-AJ78</f>
        <v>-51.103182599999855</v>
      </c>
      <c r="AK85" s="623">
        <f t="shared" ref="AK85:AU85" si="102">AK68-AK78</f>
        <v>-66.797311583352894</v>
      </c>
      <c r="AL85" s="623">
        <f t="shared" si="102"/>
        <v>-9.282797888314235</v>
      </c>
      <c r="AM85" s="623">
        <f t="shared" si="102"/>
        <v>-79.894775985879278</v>
      </c>
      <c r="AN85" s="623">
        <f t="shared" si="102"/>
        <v>19.817792022664435</v>
      </c>
      <c r="AO85" s="623">
        <f t="shared" si="102"/>
        <v>157.87114463065336</v>
      </c>
      <c r="AP85" s="623">
        <f t="shared" si="102"/>
        <v>-156.31321448860581</v>
      </c>
      <c r="AQ85" s="623">
        <f t="shared" si="102"/>
        <v>-223.21654913807288</v>
      </c>
      <c r="AR85" s="623">
        <f t="shared" si="102"/>
        <v>-215.49749910508399</v>
      </c>
      <c r="AS85" s="623">
        <f t="shared" si="102"/>
        <v>-293.79184799999894</v>
      </c>
      <c r="AT85" s="623">
        <f t="shared" si="102"/>
        <v>-306.97110999999495</v>
      </c>
      <c r="AU85" s="623">
        <f t="shared" si="102"/>
        <v>-407.26589550000062</v>
      </c>
      <c r="AV85" s="623">
        <f>SUM(AJ85:AU85)</f>
        <v>-1632.4452476359857</v>
      </c>
      <c r="BV85" s="623">
        <f>BV68-BV78</f>
        <v>-2155.2097699999958</v>
      </c>
      <c r="BW85" s="623">
        <f t="shared" ref="BW85:CG85" si="103">BW68-BW78</f>
        <v>-554.72437600000012</v>
      </c>
      <c r="BX85" s="623">
        <f t="shared" si="103"/>
        <v>-1808.0074074999939</v>
      </c>
      <c r="BY85" s="623">
        <f t="shared" si="103"/>
        <v>7105.8809920000349</v>
      </c>
      <c r="BZ85" s="623">
        <f t="shared" si="103"/>
        <v>-176027.96000000002</v>
      </c>
      <c r="CA85" s="623">
        <f t="shared" si="103"/>
        <v>0</v>
      </c>
      <c r="CB85" s="623">
        <f t="shared" si="103"/>
        <v>0</v>
      </c>
      <c r="CC85" s="623">
        <f t="shared" si="103"/>
        <v>0</v>
      </c>
      <c r="CD85" s="623">
        <f t="shared" si="103"/>
        <v>0</v>
      </c>
      <c r="CE85" s="623">
        <f t="shared" si="103"/>
        <v>0</v>
      </c>
      <c r="CF85" s="623">
        <f t="shared" si="103"/>
        <v>0</v>
      </c>
      <c r="CG85" s="623">
        <f t="shared" si="103"/>
        <v>0</v>
      </c>
      <c r="CH85" s="623">
        <f>SUM(BV85:CG85)</f>
        <v>-173440.02056149999</v>
      </c>
    </row>
    <row r="86" spans="1:89" s="577" customFormat="1">
      <c r="A86" s="850"/>
      <c r="B86" s="622"/>
      <c r="C86" s="577" t="s">
        <v>44</v>
      </c>
      <c r="T86" s="624">
        <f t="shared" ref="T86:AF86" si="104">SUM(T82:T85)</f>
        <v>-341163.58999999997</v>
      </c>
      <c r="U86" s="624">
        <f t="shared" si="104"/>
        <v>-286537.18</v>
      </c>
      <c r="V86" s="624">
        <f t="shared" si="104"/>
        <v>-331716.87210700003</v>
      </c>
      <c r="W86" s="624">
        <f t="shared" si="104"/>
        <v>-257600.63669798826</v>
      </c>
      <c r="X86" s="624">
        <f t="shared" si="104"/>
        <v>-325295.00446219998</v>
      </c>
      <c r="Y86" s="624">
        <f t="shared" si="104"/>
        <v>-345968.90121674997</v>
      </c>
      <c r="Z86" s="624">
        <f t="shared" si="104"/>
        <v>-289817.69296274992</v>
      </c>
      <c r="AA86" s="624">
        <f t="shared" si="104"/>
        <v>-298323.66578839999</v>
      </c>
      <c r="AB86" s="624">
        <f t="shared" si="104"/>
        <v>-311661.89341613452</v>
      </c>
      <c r="AC86" s="624">
        <f t="shared" si="104"/>
        <v>-347219.84532660001</v>
      </c>
      <c r="AD86" s="624">
        <f t="shared" si="104"/>
        <v>-389904.76104640006</v>
      </c>
      <c r="AE86" s="624">
        <f t="shared" si="104"/>
        <v>-612699.59043229488</v>
      </c>
      <c r="AF86" s="624">
        <f t="shared" si="104"/>
        <v>-4137909.6334565175</v>
      </c>
      <c r="AG86" s="624"/>
      <c r="AH86" s="624"/>
      <c r="AI86" s="624"/>
      <c r="AJ86" s="624">
        <f t="shared" ref="AJ86:AV86" si="105">SUM(AJ82:AJ85)</f>
        <v>3232.6307919499995</v>
      </c>
      <c r="AK86" s="624">
        <f t="shared" si="105"/>
        <v>2558.7410994393567</v>
      </c>
      <c r="AL86" s="624">
        <f t="shared" si="105"/>
        <v>2386.094245246335</v>
      </c>
      <c r="AM86" s="624">
        <f t="shared" si="105"/>
        <v>870.98694655894269</v>
      </c>
      <c r="AN86" s="624">
        <f t="shared" si="105"/>
        <v>1342.3398510356255</v>
      </c>
      <c r="AO86" s="624">
        <f t="shared" si="105"/>
        <v>1366.322305085092</v>
      </c>
      <c r="AP86" s="624">
        <f t="shared" si="105"/>
        <v>784.91113902164034</v>
      </c>
      <c r="AQ86" s="624">
        <f t="shared" si="105"/>
        <v>792.151979625065</v>
      </c>
      <c r="AR86" s="624">
        <f t="shared" si="105"/>
        <v>769.4350168423407</v>
      </c>
      <c r="AS86" s="624">
        <f t="shared" si="105"/>
        <v>313.60679400000117</v>
      </c>
      <c r="AT86" s="624">
        <f t="shared" si="105"/>
        <v>621.53112700001293</v>
      </c>
      <c r="AU86" s="624">
        <f t="shared" si="105"/>
        <v>-415.96265849998599</v>
      </c>
      <c r="AV86" s="624">
        <f t="shared" si="105"/>
        <v>14622.788637304426</v>
      </c>
      <c r="AW86" s="576">
        <f>AV86/AV79</f>
        <v>1.3119314506137103E-2</v>
      </c>
      <c r="AX86" s="576"/>
      <c r="AY86" s="576"/>
      <c r="AZ86" s="576"/>
      <c r="BD86" s="625"/>
      <c r="BE86" s="625"/>
      <c r="BF86" s="625"/>
      <c r="BG86" s="625"/>
      <c r="BH86" s="625"/>
      <c r="BI86" s="625"/>
      <c r="BJ86" s="625"/>
      <c r="BK86" s="625"/>
      <c r="BL86" s="625"/>
      <c r="BM86" s="625"/>
      <c r="BN86" s="625"/>
      <c r="BO86" s="625"/>
      <c r="BV86" s="624">
        <f t="shared" ref="BV86:CH86" si="106">SUM(BV82:BV85)</f>
        <v>-2860.5753269999495</v>
      </c>
      <c r="BW86" s="624">
        <f t="shared" si="106"/>
        <v>-1560.8744729999908</v>
      </c>
      <c r="BX86" s="624">
        <f t="shared" si="106"/>
        <v>-3851.183718999986</v>
      </c>
      <c r="BY86" s="624">
        <f t="shared" si="106"/>
        <v>4920.1529210000444</v>
      </c>
      <c r="BZ86" s="624">
        <f t="shared" si="106"/>
        <v>-382814.50000000006</v>
      </c>
      <c r="CA86" s="624">
        <f t="shared" si="106"/>
        <v>0</v>
      </c>
      <c r="CB86" s="624">
        <f t="shared" si="106"/>
        <v>0</v>
      </c>
      <c r="CC86" s="624">
        <f t="shared" si="106"/>
        <v>0</v>
      </c>
      <c r="CD86" s="624">
        <f t="shared" si="106"/>
        <v>0</v>
      </c>
      <c r="CE86" s="624">
        <f t="shared" si="106"/>
        <v>0</v>
      </c>
      <c r="CF86" s="624">
        <f t="shared" si="106"/>
        <v>0</v>
      </c>
      <c r="CG86" s="624">
        <f t="shared" si="106"/>
        <v>0</v>
      </c>
      <c r="CH86" s="624">
        <f t="shared" si="106"/>
        <v>-386166.98059799994</v>
      </c>
      <c r="CI86" s="576">
        <f>CH86/CH79</f>
        <v>-0.32695155345264165</v>
      </c>
      <c r="CJ86" s="576"/>
      <c r="CK86" s="576"/>
    </row>
    <row r="87" spans="1:89">
      <c r="BV87" s="576">
        <f>BV86/BV79</f>
        <v>-1.727305891737449E-2</v>
      </c>
      <c r="BW87" s="576">
        <f>BW86/BW79</f>
        <v>-1.1610426249974734E-2</v>
      </c>
    </row>
    <row r="88" spans="1:89">
      <c r="U88" s="576"/>
      <c r="V88" s="576"/>
      <c r="W88" s="576"/>
      <c r="X88" s="576"/>
      <c r="Y88" s="576"/>
      <c r="Z88" s="576"/>
      <c r="AA88" s="576"/>
      <c r="AB88" s="576"/>
      <c r="AC88" s="576"/>
      <c r="AD88" s="576"/>
      <c r="AE88" s="576"/>
      <c r="AJ88" s="576"/>
      <c r="AK88" s="576"/>
      <c r="AL88" s="576"/>
      <c r="AM88" s="576"/>
      <c r="AN88" s="576"/>
      <c r="AO88" s="576"/>
      <c r="AP88" s="576"/>
      <c r="AQ88" s="576"/>
      <c r="AR88" s="576"/>
      <c r="AS88" s="576"/>
      <c r="AT88" s="576"/>
      <c r="AU88" s="576"/>
      <c r="AV88" s="576"/>
      <c r="BD88" s="582"/>
      <c r="BE88" s="582"/>
      <c r="BF88" s="582"/>
      <c r="BG88" s="582"/>
      <c r="BH88" s="582"/>
      <c r="BI88" s="582"/>
      <c r="BJ88" s="582"/>
      <c r="BK88" s="582"/>
      <c r="BL88" s="582"/>
      <c r="BM88" s="582"/>
      <c r="BN88" s="582"/>
      <c r="BO88" s="582"/>
      <c r="BP88" s="582"/>
      <c r="BQ88" s="576"/>
      <c r="BR88" s="576"/>
      <c r="BV88" s="576"/>
      <c r="BW88" s="576"/>
      <c r="BX88" s="576"/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</row>
    <row r="89" spans="1:89">
      <c r="B89" s="569" t="s">
        <v>115</v>
      </c>
      <c r="U89" s="576"/>
      <c r="V89" s="576"/>
      <c r="W89" s="576"/>
      <c r="X89" s="576"/>
      <c r="Y89" s="576"/>
      <c r="Z89" s="576"/>
      <c r="AA89" s="576"/>
      <c r="AB89" s="576"/>
      <c r="AC89" s="576"/>
      <c r="AD89" s="576"/>
      <c r="AE89" s="576"/>
      <c r="AJ89" s="576"/>
      <c r="AK89" s="576"/>
      <c r="AL89" s="576"/>
      <c r="AM89" s="576"/>
      <c r="AN89" s="576"/>
      <c r="AO89" s="576"/>
      <c r="AP89" s="576"/>
      <c r="AQ89" s="576"/>
      <c r="AR89" s="576"/>
      <c r="AS89" s="576"/>
      <c r="AT89" s="576"/>
      <c r="AU89" s="576"/>
      <c r="AV89" s="576"/>
      <c r="BD89" s="582"/>
      <c r="BE89" s="582"/>
      <c r="BF89" s="582"/>
      <c r="BG89" s="582"/>
      <c r="BH89" s="582"/>
      <c r="BI89" s="582"/>
      <c r="BJ89" s="582"/>
      <c r="BK89" s="582"/>
      <c r="BL89" s="582"/>
      <c r="BM89" s="582"/>
      <c r="BN89" s="582"/>
      <c r="BO89" s="582"/>
      <c r="BP89" s="582" t="s">
        <v>116</v>
      </c>
      <c r="BQ89" s="582" t="s">
        <v>117</v>
      </c>
      <c r="BR89" s="576"/>
      <c r="BS89" s="569">
        <v>2016</v>
      </c>
      <c r="BV89" s="576"/>
      <c r="BW89" s="576"/>
      <c r="BX89" s="576"/>
      <c r="BY89" s="576"/>
      <c r="BZ89" s="576"/>
      <c r="CA89" s="576"/>
      <c r="CB89" s="576"/>
      <c r="CC89" s="576"/>
      <c r="CD89" s="576"/>
      <c r="CE89" s="576"/>
      <c r="CF89" s="576"/>
      <c r="CG89" s="576"/>
      <c r="CH89" s="576"/>
    </row>
    <row r="90" spans="1:89" hidden="1">
      <c r="U90" s="576"/>
      <c r="V90" s="576"/>
      <c r="W90" s="576"/>
      <c r="X90" s="576"/>
      <c r="Y90" s="576"/>
      <c r="Z90" s="576"/>
      <c r="AA90" s="576"/>
      <c r="AB90" s="576"/>
      <c r="AC90" s="576"/>
      <c r="AD90" s="576"/>
      <c r="AE90" s="576"/>
      <c r="AJ90" s="576"/>
      <c r="AK90" s="576"/>
      <c r="AL90" s="576"/>
      <c r="AM90" s="576"/>
      <c r="AN90" s="576"/>
      <c r="AO90" s="576"/>
      <c r="AP90" s="576"/>
      <c r="AQ90" s="576"/>
      <c r="AR90" s="576"/>
      <c r="AS90" s="576"/>
      <c r="AT90" s="576"/>
      <c r="AU90" s="576"/>
      <c r="AV90" s="576"/>
      <c r="BD90" s="582"/>
      <c r="BE90" s="582"/>
      <c r="BF90" s="582"/>
      <c r="BG90" s="582"/>
      <c r="BH90" s="582"/>
      <c r="BI90" s="582"/>
      <c r="BJ90" s="582"/>
      <c r="BK90" s="582"/>
      <c r="BL90" s="582"/>
      <c r="BM90" s="582"/>
      <c r="BN90" s="582"/>
      <c r="BO90" s="582"/>
      <c r="BP90" s="582"/>
      <c r="BQ90" s="576"/>
      <c r="BR90" s="576"/>
      <c r="BV90" s="576"/>
      <c r="BW90" s="576"/>
      <c r="BX90" s="576"/>
      <c r="BY90" s="576"/>
      <c r="BZ90" s="576"/>
      <c r="CA90" s="576"/>
      <c r="CB90" s="576"/>
      <c r="CC90" s="576"/>
      <c r="CD90" s="576"/>
      <c r="CE90" s="576"/>
      <c r="CF90" s="576"/>
      <c r="CG90" s="576"/>
      <c r="CH90" s="576"/>
    </row>
    <row r="91" spans="1:89" hidden="1">
      <c r="C91" s="587"/>
      <c r="D91" s="587"/>
      <c r="U91" s="576"/>
      <c r="V91" s="576"/>
      <c r="W91" s="576"/>
      <c r="X91" s="576"/>
      <c r="Y91" s="576"/>
      <c r="Z91" s="576"/>
      <c r="AA91" s="576"/>
      <c r="AB91" s="576"/>
      <c r="AC91" s="576"/>
      <c r="AD91" s="576"/>
      <c r="AE91" s="576"/>
      <c r="AJ91" s="576"/>
      <c r="AK91" s="576"/>
      <c r="AL91" s="576"/>
      <c r="AM91" s="576"/>
      <c r="AN91" s="576"/>
      <c r="AO91" s="576"/>
      <c r="AP91" s="576"/>
      <c r="AQ91" s="576"/>
      <c r="AR91" s="576"/>
      <c r="AS91" s="626"/>
      <c r="AT91" s="626"/>
      <c r="AU91" s="626"/>
      <c r="AV91" s="576"/>
      <c r="BD91" s="613"/>
      <c r="BE91" s="613"/>
      <c r="BF91" s="613"/>
      <c r="BG91" s="613"/>
      <c r="BH91" s="613"/>
      <c r="BI91" s="613"/>
      <c r="BJ91" s="613"/>
      <c r="BK91" s="613"/>
      <c r="BL91" s="613"/>
      <c r="BM91" s="613"/>
      <c r="BN91" s="613"/>
      <c r="BO91" s="613"/>
      <c r="BP91" s="627"/>
      <c r="BQ91" s="627"/>
      <c r="BR91" s="576"/>
      <c r="BS91" s="613"/>
      <c r="BV91" s="626"/>
      <c r="BW91" s="626"/>
      <c r="BX91" s="626"/>
      <c r="BY91" s="626"/>
      <c r="BZ91" s="626"/>
      <c r="CA91" s="626"/>
      <c r="CB91" s="626"/>
      <c r="CC91" s="626"/>
      <c r="CD91" s="626"/>
      <c r="CE91" s="626"/>
      <c r="CF91" s="626"/>
      <c r="CG91" s="626"/>
      <c r="CH91" s="576"/>
    </row>
    <row r="92" spans="1:89" hidden="1">
      <c r="C92" s="587"/>
      <c r="D92" s="587"/>
      <c r="AS92" s="626"/>
      <c r="AT92" s="626"/>
      <c r="AU92" s="626"/>
      <c r="BD92" s="613"/>
      <c r="BE92" s="613"/>
      <c r="BF92" s="613"/>
      <c r="BG92" s="613"/>
      <c r="BH92" s="613"/>
      <c r="BI92" s="613"/>
      <c r="BJ92" s="613"/>
      <c r="BK92" s="613"/>
      <c r="BL92" s="613"/>
      <c r="BM92" s="613"/>
      <c r="BN92" s="613"/>
      <c r="BO92" s="613"/>
      <c r="BP92" s="627"/>
      <c r="BQ92" s="627"/>
      <c r="BS92" s="613"/>
      <c r="BV92" s="626"/>
      <c r="BW92" s="626"/>
      <c r="BX92" s="626"/>
      <c r="BY92" s="626"/>
      <c r="BZ92" s="626"/>
      <c r="CA92" s="626"/>
      <c r="CB92" s="626"/>
      <c r="CC92" s="626"/>
      <c r="CD92" s="626"/>
      <c r="CE92" s="626"/>
      <c r="CF92" s="626"/>
      <c r="CG92" s="626"/>
    </row>
    <row r="93" spans="1:89" hidden="1">
      <c r="C93" s="577"/>
      <c r="D93" s="577"/>
      <c r="AS93" s="570"/>
      <c r="AT93" s="570"/>
      <c r="AU93" s="570"/>
      <c r="BS93" s="571"/>
      <c r="BV93" s="570"/>
      <c r="BW93" s="570"/>
      <c r="BX93" s="570"/>
      <c r="BY93" s="570"/>
      <c r="BZ93" s="570"/>
      <c r="CA93" s="570"/>
      <c r="CB93" s="570"/>
      <c r="CC93" s="570"/>
      <c r="CD93" s="570"/>
      <c r="CE93" s="570"/>
      <c r="CF93" s="570"/>
      <c r="CG93" s="570"/>
    </row>
    <row r="94" spans="1:89" hidden="1">
      <c r="D94" s="577"/>
      <c r="AS94" s="570"/>
      <c r="AT94" s="570"/>
      <c r="AU94" s="570"/>
      <c r="BS94" s="571"/>
      <c r="BV94" s="570"/>
      <c r="BW94" s="570"/>
      <c r="BX94" s="570"/>
      <c r="BY94" s="570"/>
      <c r="BZ94" s="570"/>
      <c r="CA94" s="570"/>
      <c r="CB94" s="570"/>
      <c r="CC94" s="570"/>
      <c r="CD94" s="570"/>
      <c r="CE94" s="570"/>
      <c r="CF94" s="570"/>
      <c r="CG94" s="570"/>
    </row>
    <row r="95" spans="1:89" hidden="1">
      <c r="C95" s="587"/>
      <c r="D95" s="587"/>
      <c r="AS95" s="617"/>
      <c r="AT95" s="617"/>
      <c r="AU95" s="617"/>
      <c r="BD95" s="613"/>
      <c r="BE95" s="613"/>
      <c r="BF95" s="613"/>
      <c r="BG95" s="613"/>
      <c r="BH95" s="613"/>
      <c r="BI95" s="613"/>
      <c r="BJ95" s="613"/>
      <c r="BK95" s="613"/>
      <c r="BL95" s="613"/>
      <c r="BM95" s="613"/>
      <c r="BN95" s="613"/>
      <c r="BO95" s="613"/>
      <c r="BP95" s="627"/>
      <c r="BQ95" s="627"/>
      <c r="BS95" s="613"/>
      <c r="BV95" s="617"/>
      <c r="BW95" s="617"/>
      <c r="BX95" s="617"/>
      <c r="BY95" s="617"/>
      <c r="BZ95" s="617"/>
      <c r="CA95" s="617"/>
      <c r="CB95" s="617"/>
      <c r="CC95" s="617"/>
      <c r="CD95" s="617"/>
      <c r="CE95" s="617"/>
      <c r="CF95" s="617"/>
      <c r="CG95" s="617"/>
    </row>
    <row r="96" spans="1:89" hidden="1">
      <c r="C96" s="587"/>
      <c r="D96" s="587"/>
      <c r="AS96" s="617"/>
      <c r="AT96" s="617"/>
      <c r="AU96" s="617"/>
      <c r="BD96" s="613"/>
      <c r="BE96" s="613"/>
      <c r="BF96" s="613"/>
      <c r="BG96" s="613"/>
      <c r="BH96" s="613"/>
      <c r="BI96" s="613"/>
      <c r="BJ96" s="613"/>
      <c r="BK96" s="613"/>
      <c r="BL96" s="613"/>
      <c r="BM96" s="613"/>
      <c r="BN96" s="613"/>
      <c r="BO96" s="613"/>
      <c r="BP96" s="627"/>
      <c r="BQ96" s="627"/>
      <c r="BS96" s="613"/>
      <c r="BV96" s="617"/>
      <c r="BW96" s="617"/>
      <c r="BX96" s="617"/>
      <c r="BY96" s="617"/>
      <c r="BZ96" s="617"/>
      <c r="CA96" s="617"/>
      <c r="CB96" s="617"/>
      <c r="CC96" s="617"/>
      <c r="CD96" s="617"/>
      <c r="CE96" s="617"/>
      <c r="CF96" s="617"/>
      <c r="CG96" s="617"/>
    </row>
    <row r="97" spans="3:85" hidden="1">
      <c r="C97" s="577"/>
      <c r="D97" s="577"/>
      <c r="AS97" s="570"/>
      <c r="AT97" s="570"/>
      <c r="AU97" s="570"/>
      <c r="BD97" s="613"/>
      <c r="BE97" s="613"/>
      <c r="BF97" s="613"/>
      <c r="BG97" s="613"/>
      <c r="BH97" s="613"/>
      <c r="BI97" s="613"/>
      <c r="BJ97" s="613"/>
      <c r="BK97" s="613"/>
      <c r="BL97" s="613"/>
      <c r="BM97" s="613"/>
      <c r="BN97" s="613"/>
      <c r="BO97" s="613"/>
      <c r="BS97" s="613"/>
      <c r="BV97" s="570"/>
      <c r="BW97" s="570"/>
      <c r="BX97" s="570"/>
      <c r="BY97" s="570"/>
      <c r="BZ97" s="570"/>
      <c r="CA97" s="570"/>
      <c r="CB97" s="570"/>
      <c r="CC97" s="570"/>
      <c r="CD97" s="570"/>
      <c r="CE97" s="570"/>
      <c r="CF97" s="570"/>
      <c r="CG97" s="570"/>
    </row>
    <row r="98" spans="3:85">
      <c r="C98" s="569" t="s">
        <v>102</v>
      </c>
      <c r="AS98" s="570"/>
      <c r="AT98" s="570"/>
      <c r="AU98" s="570"/>
      <c r="BD98" s="613"/>
      <c r="BE98" s="613"/>
      <c r="BF98" s="613"/>
      <c r="BG98" s="613"/>
      <c r="BH98" s="613"/>
      <c r="BI98" s="613"/>
      <c r="BJ98" s="613"/>
      <c r="BK98" s="613"/>
      <c r="BL98" s="613"/>
      <c r="BM98" s="613"/>
      <c r="BN98" s="613"/>
      <c r="BO98" s="613"/>
      <c r="BS98" s="613"/>
      <c r="BV98" s="570"/>
      <c r="BW98" s="570"/>
      <c r="BX98" s="570"/>
      <c r="BY98" s="570"/>
      <c r="BZ98" s="570"/>
      <c r="CA98" s="570"/>
      <c r="CB98" s="570"/>
      <c r="CC98" s="570"/>
      <c r="CD98" s="570"/>
      <c r="CE98" s="570"/>
      <c r="CF98" s="570"/>
      <c r="CG98" s="570"/>
    </row>
    <row r="99" spans="3:85">
      <c r="C99" s="587"/>
      <c r="D99" s="587" t="s">
        <v>100</v>
      </c>
      <c r="AS99" s="617">
        <f t="shared" ref="AS99:AU100" si="107">AS35/AS15*1000</f>
        <v>0.1758900388983777</v>
      </c>
      <c r="AT99" s="617">
        <f t="shared" si="107"/>
        <v>0.23952828833550885</v>
      </c>
      <c r="AU99" s="617">
        <f t="shared" si="107"/>
        <v>0.29364757797085184</v>
      </c>
      <c r="BD99" s="613">
        <f>BD35/BD15</f>
        <v>1.747868278911829E-4</v>
      </c>
      <c r="BE99" s="613">
        <f t="shared" ref="BE99:BO100" si="108">BE35/BE15</f>
        <v>1.747868278911829E-4</v>
      </c>
      <c r="BF99" s="613">
        <f t="shared" si="108"/>
        <v>1.747868278911829E-4</v>
      </c>
      <c r="BG99" s="613">
        <f t="shared" si="108"/>
        <v>1.747868278911829E-4</v>
      </c>
      <c r="BH99" s="613">
        <f t="shared" si="108"/>
        <v>1.7478682789118295E-4</v>
      </c>
      <c r="BI99" s="613">
        <f t="shared" si="108"/>
        <v>1.747868278911829E-4</v>
      </c>
      <c r="BJ99" s="613">
        <f t="shared" si="108"/>
        <v>1.7478682789118295E-4</v>
      </c>
      <c r="BK99" s="613">
        <f t="shared" si="108"/>
        <v>1.747868278911829E-4</v>
      </c>
      <c r="BL99" s="613">
        <f t="shared" si="108"/>
        <v>1.7478682789118293E-4</v>
      </c>
      <c r="BM99" s="613">
        <f t="shared" si="108"/>
        <v>1.747868278911829E-4</v>
      </c>
      <c r="BN99" s="613">
        <f t="shared" si="108"/>
        <v>1.747868278911829E-4</v>
      </c>
      <c r="BO99" s="613">
        <f t="shared" si="108"/>
        <v>1.7478682789118293E-4</v>
      </c>
      <c r="BP99" s="627">
        <f t="shared" ref="BP99:BP100" si="109">BO99/BS99</f>
        <v>0.63377519545296868</v>
      </c>
      <c r="BQ99" s="627" t="e">
        <f>BO99/#REF!</f>
        <v>#REF!</v>
      </c>
      <c r="BS99" s="613">
        <v>2.7578679182333751E-4</v>
      </c>
      <c r="BV99" s="617">
        <f t="shared" ref="BV99:BX99" si="110">BV35/BV15*1000</f>
        <v>0.19271916338608014</v>
      </c>
      <c r="BW99" s="617">
        <f t="shared" si="110"/>
        <v>0.16871166583865785</v>
      </c>
      <c r="BX99" s="617">
        <f t="shared" si="110"/>
        <v>0.22733137532162853</v>
      </c>
      <c r="BY99" s="617">
        <f t="shared" ref="BY99:CG99" si="111">BY35/BY15*1000</f>
        <v>0.21281263206471984</v>
      </c>
      <c r="BZ99" s="617">
        <f t="shared" si="111"/>
        <v>0.21120000493311708</v>
      </c>
      <c r="CA99" s="617" t="e">
        <f t="shared" si="111"/>
        <v>#DIV/0!</v>
      </c>
      <c r="CB99" s="617" t="e">
        <f t="shared" si="111"/>
        <v>#DIV/0!</v>
      </c>
      <c r="CC99" s="617" t="e">
        <f t="shared" si="111"/>
        <v>#DIV/0!</v>
      </c>
      <c r="CD99" s="617" t="e">
        <f t="shared" si="111"/>
        <v>#DIV/0!</v>
      </c>
      <c r="CE99" s="617" t="e">
        <f t="shared" si="111"/>
        <v>#DIV/0!</v>
      </c>
      <c r="CF99" s="617" t="e">
        <f t="shared" si="111"/>
        <v>#DIV/0!</v>
      </c>
      <c r="CG99" s="617" t="e">
        <f t="shared" si="111"/>
        <v>#DIV/0!</v>
      </c>
    </row>
    <row r="100" spans="3:85">
      <c r="C100" s="587"/>
      <c r="D100" s="587" t="s">
        <v>101</v>
      </c>
      <c r="AS100" s="617">
        <f t="shared" si="107"/>
        <v>0.5669497625107025</v>
      </c>
      <c r="AT100" s="617">
        <f t="shared" si="107"/>
        <v>0.31991595701183073</v>
      </c>
      <c r="AU100" s="617">
        <f t="shared" si="107"/>
        <v>0.92424720221824841</v>
      </c>
      <c r="BD100" s="613">
        <f>BD36/BD16</f>
        <v>6.55598711571045E-4</v>
      </c>
      <c r="BE100" s="613">
        <f t="shared" si="108"/>
        <v>6.55598711571045E-4</v>
      </c>
      <c r="BF100" s="613">
        <f t="shared" si="108"/>
        <v>6.55598711571045E-4</v>
      </c>
      <c r="BG100" s="613">
        <f t="shared" si="108"/>
        <v>6.5559871157104522E-4</v>
      </c>
      <c r="BH100" s="613">
        <f t="shared" si="108"/>
        <v>6.5559871157104522E-4</v>
      </c>
      <c r="BI100" s="613">
        <f t="shared" si="108"/>
        <v>6.55598711571045E-4</v>
      </c>
      <c r="BJ100" s="613">
        <f t="shared" si="108"/>
        <v>6.5559871157104522E-4</v>
      </c>
      <c r="BK100" s="613">
        <f t="shared" si="108"/>
        <v>6.55598711571045E-4</v>
      </c>
      <c r="BL100" s="613">
        <f t="shared" si="108"/>
        <v>6.5559871157104533E-4</v>
      </c>
      <c r="BM100" s="613">
        <f t="shared" si="108"/>
        <v>6.5559871157104522E-4</v>
      </c>
      <c r="BN100" s="613">
        <f t="shared" si="108"/>
        <v>6.5559871157104522E-4</v>
      </c>
      <c r="BO100" s="613">
        <f t="shared" si="108"/>
        <v>6.5559871157104533E-4</v>
      </c>
      <c r="BP100" s="627">
        <f t="shared" si="109"/>
        <v>0.58566105796501899</v>
      </c>
      <c r="BQ100" s="627" t="e">
        <f>BO100/#REF!</f>
        <v>#REF!</v>
      </c>
      <c r="BS100" s="613">
        <v>1.1194166022392487E-3</v>
      </c>
      <c r="BV100" s="617">
        <f t="shared" ref="BV100:BX100" si="112">BV36/BV16*1000</f>
        <v>0.29178327116334657</v>
      </c>
      <c r="BW100" s="617">
        <f t="shared" si="112"/>
        <v>0.29512278932005181</v>
      </c>
      <c r="BX100" s="617">
        <f t="shared" si="112"/>
        <v>0.38277813124159038</v>
      </c>
      <c r="BY100" s="617">
        <f t="shared" ref="BY100:CG100" si="113">BY36/BY16*1000</f>
        <v>0.36798273207660837</v>
      </c>
      <c r="BZ100" s="617">
        <f t="shared" si="113"/>
        <v>0.38945078219425927</v>
      </c>
      <c r="CA100" s="617" t="e">
        <f t="shared" si="113"/>
        <v>#DIV/0!</v>
      </c>
      <c r="CB100" s="617" t="e">
        <f t="shared" si="113"/>
        <v>#DIV/0!</v>
      </c>
      <c r="CC100" s="617" t="e">
        <f t="shared" si="113"/>
        <v>#DIV/0!</v>
      </c>
      <c r="CD100" s="617" t="e">
        <f t="shared" si="113"/>
        <v>#DIV/0!</v>
      </c>
      <c r="CE100" s="617" t="e">
        <f t="shared" si="113"/>
        <v>#DIV/0!</v>
      </c>
      <c r="CF100" s="617" t="e">
        <f t="shared" si="113"/>
        <v>#DIV/0!</v>
      </c>
      <c r="CG100" s="617" t="e">
        <f t="shared" si="113"/>
        <v>#DIV/0!</v>
      </c>
    </row>
    <row r="101" spans="3:85">
      <c r="C101" s="577" t="s">
        <v>103</v>
      </c>
      <c r="D101" s="577"/>
      <c r="AS101" s="570"/>
      <c r="AT101" s="570"/>
      <c r="AU101" s="570"/>
      <c r="BD101" s="613"/>
      <c r="BE101" s="613"/>
      <c r="BF101" s="613"/>
      <c r="BG101" s="613"/>
      <c r="BH101" s="613"/>
      <c r="BI101" s="613"/>
      <c r="BJ101" s="613"/>
      <c r="BK101" s="613"/>
      <c r="BL101" s="613"/>
      <c r="BM101" s="613"/>
      <c r="BN101" s="613"/>
      <c r="BO101" s="613"/>
      <c r="BS101" s="613"/>
      <c r="BV101" s="570"/>
      <c r="BW101" s="570"/>
      <c r="BX101" s="570"/>
      <c r="BY101" s="570"/>
      <c r="BZ101" s="570"/>
      <c r="CA101" s="570"/>
      <c r="CB101" s="570"/>
      <c r="CC101" s="570"/>
      <c r="CD101" s="570"/>
      <c r="CE101" s="570"/>
      <c r="CF101" s="570"/>
      <c r="CG101" s="570"/>
    </row>
    <row r="102" spans="3:85">
      <c r="C102" s="569" t="s">
        <v>104</v>
      </c>
      <c r="D102" s="577"/>
      <c r="AS102" s="570"/>
      <c r="AT102" s="570"/>
      <c r="AU102" s="570"/>
      <c r="BD102" s="613"/>
      <c r="BE102" s="613"/>
      <c r="BF102" s="613"/>
      <c r="BG102" s="613"/>
      <c r="BH102" s="613"/>
      <c r="BI102" s="613"/>
      <c r="BJ102" s="613"/>
      <c r="BK102" s="613"/>
      <c r="BL102" s="613"/>
      <c r="BM102" s="613"/>
      <c r="BN102" s="613"/>
      <c r="BO102" s="613"/>
      <c r="BS102" s="613"/>
      <c r="BV102" s="570"/>
      <c r="BW102" s="570"/>
      <c r="BX102" s="570"/>
      <c r="BY102" s="570"/>
      <c r="BZ102" s="570"/>
      <c r="CA102" s="570"/>
      <c r="CB102" s="570"/>
      <c r="CC102" s="570"/>
      <c r="CD102" s="570"/>
      <c r="CE102" s="570"/>
      <c r="CF102" s="570"/>
      <c r="CG102" s="570"/>
    </row>
    <row r="103" spans="3:85">
      <c r="C103" s="587"/>
      <c r="D103" s="587" t="s">
        <v>100</v>
      </c>
      <c r="AS103" s="618">
        <f t="shared" ref="AS103:AU104" si="114">AS39/AS19*1000</f>
        <v>5.8767138689029434E-2</v>
      </c>
      <c r="AT103" s="618">
        <f t="shared" si="114"/>
        <v>0.10861675321811042</v>
      </c>
      <c r="AU103" s="618">
        <f t="shared" si="114"/>
        <v>0.10211186094343941</v>
      </c>
      <c r="BD103" s="613">
        <f>BD39/BD19</f>
        <v>7.4914339417660679E-5</v>
      </c>
      <c r="BE103" s="613">
        <f t="shared" ref="BE103:BO104" si="115">BE39/BE19</f>
        <v>7.4914339417660679E-5</v>
      </c>
      <c r="BF103" s="613">
        <f t="shared" si="115"/>
        <v>7.4914339417660666E-5</v>
      </c>
      <c r="BG103" s="613">
        <f t="shared" si="115"/>
        <v>7.4914339417660679E-5</v>
      </c>
      <c r="BH103" s="613">
        <f t="shared" si="115"/>
        <v>7.4914339417660679E-5</v>
      </c>
      <c r="BI103" s="613">
        <f t="shared" si="115"/>
        <v>7.4914339417660666E-5</v>
      </c>
      <c r="BJ103" s="613">
        <f t="shared" si="115"/>
        <v>7.4914339417660666E-5</v>
      </c>
      <c r="BK103" s="613">
        <f t="shared" si="115"/>
        <v>7.4914339417660666E-5</v>
      </c>
      <c r="BL103" s="613">
        <f t="shared" si="115"/>
        <v>7.4914339417660679E-5</v>
      </c>
      <c r="BM103" s="613">
        <f t="shared" si="115"/>
        <v>7.4914339417660666E-5</v>
      </c>
      <c r="BN103" s="613">
        <f t="shared" si="115"/>
        <v>7.4914339417660679E-5</v>
      </c>
      <c r="BO103" s="613">
        <f t="shared" si="115"/>
        <v>7.4914339417660666E-5</v>
      </c>
      <c r="BP103" s="627">
        <f t="shared" ref="BP103:BP104" si="116">BO103/BS103</f>
        <v>1.1490419728170143</v>
      </c>
      <c r="BQ103" s="627" t="e">
        <f>BO103/#REF!</f>
        <v>#REF!</v>
      </c>
      <c r="BS103" s="613">
        <v>6.5197217499374E-5</v>
      </c>
      <c r="BV103" s="618">
        <f t="shared" ref="BV103:BX103" si="117">BV39/BV19*1000</f>
        <v>8.7903661872718919E-2</v>
      </c>
      <c r="BW103" s="618">
        <f t="shared" si="117"/>
        <v>8.9887832571540802E-2</v>
      </c>
      <c r="BX103" s="618">
        <f t="shared" si="117"/>
        <v>0.11728003459816153</v>
      </c>
      <c r="BY103" s="618">
        <f t="shared" ref="BY103:CG103" si="118">BY39/BY19*1000</f>
        <v>0.12885129777050489</v>
      </c>
      <c r="BZ103" s="618">
        <f t="shared" si="118"/>
        <v>0.1439468790561321</v>
      </c>
      <c r="CA103" s="618" t="e">
        <f t="shared" si="118"/>
        <v>#DIV/0!</v>
      </c>
      <c r="CB103" s="618" t="e">
        <f t="shared" si="118"/>
        <v>#DIV/0!</v>
      </c>
      <c r="CC103" s="618" t="e">
        <f t="shared" si="118"/>
        <v>#DIV/0!</v>
      </c>
      <c r="CD103" s="618" t="e">
        <f t="shared" si="118"/>
        <v>#DIV/0!</v>
      </c>
      <c r="CE103" s="618" t="e">
        <f t="shared" si="118"/>
        <v>#DIV/0!</v>
      </c>
      <c r="CF103" s="618" t="e">
        <f t="shared" si="118"/>
        <v>#DIV/0!</v>
      </c>
      <c r="CG103" s="618" t="e">
        <f t="shared" si="118"/>
        <v>#DIV/0!</v>
      </c>
    </row>
    <row r="104" spans="3:85">
      <c r="C104" s="587"/>
      <c r="D104" s="587" t="s">
        <v>101</v>
      </c>
      <c r="AS104" s="618">
        <f t="shared" si="114"/>
        <v>1.0424111668089926</v>
      </c>
      <c r="AT104" s="618">
        <f t="shared" si="114"/>
        <v>0.60621262126065534</v>
      </c>
      <c r="AU104" s="618">
        <f t="shared" si="114"/>
        <v>0.41264786881111865</v>
      </c>
      <c r="BD104" s="613">
        <f>BD40/BD20</f>
        <v>7.6975283986546272E-4</v>
      </c>
      <c r="BE104" s="613">
        <f t="shared" si="115"/>
        <v>7.6975283986546294E-4</v>
      </c>
      <c r="BF104" s="613">
        <f t="shared" si="115"/>
        <v>7.6975283986546262E-4</v>
      </c>
      <c r="BG104" s="613">
        <f t="shared" si="115"/>
        <v>7.6975283986546283E-4</v>
      </c>
      <c r="BH104" s="613">
        <f t="shared" si="115"/>
        <v>7.6975283986546272E-4</v>
      </c>
      <c r="BI104" s="613">
        <f t="shared" si="115"/>
        <v>7.6975283986546262E-4</v>
      </c>
      <c r="BJ104" s="613">
        <f t="shared" si="115"/>
        <v>7.6975283986546283E-4</v>
      </c>
      <c r="BK104" s="613">
        <f t="shared" si="115"/>
        <v>7.6975283986546272E-4</v>
      </c>
      <c r="BL104" s="613">
        <f t="shared" si="115"/>
        <v>7.6975283986546283E-4</v>
      </c>
      <c r="BM104" s="613">
        <f t="shared" si="115"/>
        <v>7.6975283986546283E-4</v>
      </c>
      <c r="BN104" s="613">
        <f t="shared" si="115"/>
        <v>7.6975283986546283E-4</v>
      </c>
      <c r="BO104" s="613">
        <f t="shared" si="115"/>
        <v>7.6975283986546251E-4</v>
      </c>
      <c r="BP104" s="627">
        <f t="shared" si="116"/>
        <v>1.037639606674706</v>
      </c>
      <c r="BQ104" s="627" t="e">
        <f>BO104/#REF!</f>
        <v>#REF!</v>
      </c>
      <c r="BS104" s="613">
        <v>7.4183062685152074E-4</v>
      </c>
      <c r="BV104" s="618">
        <f t="shared" ref="BV104:BX104" si="119">BV40/BV20*1000</f>
        <v>0.33159658378644519</v>
      </c>
      <c r="BW104" s="618">
        <f t="shared" si="119"/>
        <v>0.64247613241577928</v>
      </c>
      <c r="BX104" s="618">
        <f t="shared" si="119"/>
        <v>1.2466133717114662</v>
      </c>
      <c r="BY104" s="618">
        <f t="shared" ref="BY104:CG104" si="120">BY40/BY20*1000</f>
        <v>0.56219098373809473</v>
      </c>
      <c r="BZ104" s="618">
        <f t="shared" si="120"/>
        <v>0.62781603915197037</v>
      </c>
      <c r="CA104" s="618" t="e">
        <f t="shared" si="120"/>
        <v>#DIV/0!</v>
      </c>
      <c r="CB104" s="618" t="e">
        <f t="shared" si="120"/>
        <v>#DIV/0!</v>
      </c>
      <c r="CC104" s="618" t="e">
        <f t="shared" si="120"/>
        <v>#DIV/0!</v>
      </c>
      <c r="CD104" s="618" t="e">
        <f t="shared" si="120"/>
        <v>#DIV/0!</v>
      </c>
      <c r="CE104" s="618" t="e">
        <f t="shared" si="120"/>
        <v>#DIV/0!</v>
      </c>
      <c r="CF104" s="618" t="e">
        <f t="shared" si="120"/>
        <v>#DIV/0!</v>
      </c>
      <c r="CG104" s="618" t="e">
        <f t="shared" si="120"/>
        <v>#DIV/0!</v>
      </c>
    </row>
    <row r="105" spans="3:85">
      <c r="C105" s="577" t="s">
        <v>105</v>
      </c>
      <c r="D105" s="577"/>
      <c r="CE105" s="576"/>
      <c r="CF105" s="576"/>
      <c r="CG105" s="576"/>
    </row>
    <row r="108" spans="3:85">
      <c r="BY108" s="820">
        <v>868000000</v>
      </c>
    </row>
    <row r="109" spans="3:85">
      <c r="BY109" s="585">
        <v>0.3</v>
      </c>
      <c r="BZ109" s="569" t="s">
        <v>156</v>
      </c>
    </row>
    <row r="110" spans="3:85">
      <c r="BY110" s="820">
        <f>BY108*BY109</f>
        <v>260400000</v>
      </c>
    </row>
    <row r="111" spans="3:85">
      <c r="BY111" s="617">
        <v>1.8</v>
      </c>
      <c r="BZ111" s="569" t="s">
        <v>157</v>
      </c>
    </row>
    <row r="112" spans="3:85">
      <c r="BY112" s="821">
        <f>BY110*BY111/1000</f>
        <v>468720</v>
      </c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12" activePane="bottomRight" state="frozen"/>
      <selection activeCell="R6" sqref="R6"/>
      <selection pane="topRight" activeCell="R6" sqref="R6"/>
      <selection pane="bottomLeft" activeCell="R6" sqref="R6"/>
      <selection pane="bottomRight" activeCell="C12" sqref="C12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5.77734375" style="129" customWidth="1"/>
    <col min="23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25</v>
      </c>
      <c r="K2" s="137"/>
      <c r="L2" s="138"/>
      <c r="O2" s="131"/>
      <c r="P2" s="138"/>
      <c r="Q2" s="139"/>
      <c r="R2" s="136" t="s">
        <v>26</v>
      </c>
      <c r="U2" s="132"/>
      <c r="V2" s="132"/>
      <c r="W2" s="132"/>
      <c r="X2" s="132"/>
      <c r="Y2" s="132"/>
      <c r="Z2" s="140"/>
      <c r="AA2" s="140"/>
      <c r="AF2" s="136" t="s">
        <v>27</v>
      </c>
      <c r="AT2" s="129" t="s">
        <v>28</v>
      </c>
      <c r="BH2" s="141" t="s">
        <v>29</v>
      </c>
      <c r="BN2" s="141" t="s">
        <v>30</v>
      </c>
      <c r="BT2" s="135" t="s">
        <v>31</v>
      </c>
    </row>
    <row r="3" spans="1:88" ht="15.6">
      <c r="A3" s="142"/>
      <c r="B3" s="143"/>
      <c r="C3" s="144"/>
      <c r="D3" s="145" t="s">
        <v>32</v>
      </c>
      <c r="E3" s="145" t="s">
        <v>33</v>
      </c>
      <c r="F3" s="145" t="s">
        <v>34</v>
      </c>
      <c r="G3" s="145" t="s">
        <v>35</v>
      </c>
      <c r="H3" s="145" t="s">
        <v>36</v>
      </c>
      <c r="I3" s="145" t="s">
        <v>37</v>
      </c>
      <c r="J3" s="145" t="s">
        <v>38</v>
      </c>
      <c r="K3" s="145" t="s">
        <v>39</v>
      </c>
      <c r="L3" s="145" t="s">
        <v>40</v>
      </c>
      <c r="M3" s="145" t="s">
        <v>41</v>
      </c>
      <c r="N3" s="145" t="s">
        <v>42</v>
      </c>
      <c r="O3" s="145" t="s">
        <v>43</v>
      </c>
      <c r="P3" s="145" t="s">
        <v>44</v>
      </c>
      <c r="Q3" s="139"/>
      <c r="R3" s="146" t="s">
        <v>32</v>
      </c>
      <c r="S3" s="146" t="s">
        <v>33</v>
      </c>
      <c r="T3" s="146" t="s">
        <v>34</v>
      </c>
      <c r="U3" s="146" t="s">
        <v>35</v>
      </c>
      <c r="V3" s="146" t="s">
        <v>36</v>
      </c>
      <c r="W3" s="146" t="s">
        <v>37</v>
      </c>
      <c r="X3" s="146" t="s">
        <v>38</v>
      </c>
      <c r="Y3" s="146" t="s">
        <v>39</v>
      </c>
      <c r="Z3" s="146" t="s">
        <v>40</v>
      </c>
      <c r="AA3" s="146" t="s">
        <v>41</v>
      </c>
      <c r="AB3" s="146" t="s">
        <v>42</v>
      </c>
      <c r="AC3" s="146" t="s">
        <v>43</v>
      </c>
      <c r="AD3" s="146" t="s">
        <v>44</v>
      </c>
      <c r="AE3" s="147"/>
      <c r="AF3" s="148" t="s">
        <v>32</v>
      </c>
      <c r="AG3" s="148" t="s">
        <v>33</v>
      </c>
      <c r="AH3" s="148" t="s">
        <v>34</v>
      </c>
      <c r="AI3" s="148" t="s">
        <v>35</v>
      </c>
      <c r="AJ3" s="148" t="s">
        <v>36</v>
      </c>
      <c r="AK3" s="148" t="s">
        <v>37</v>
      </c>
      <c r="AL3" s="148" t="s">
        <v>38</v>
      </c>
      <c r="AM3" s="148" t="s">
        <v>39</v>
      </c>
      <c r="AN3" s="148" t="s">
        <v>40</v>
      </c>
      <c r="AO3" s="148" t="s">
        <v>41</v>
      </c>
      <c r="AP3" s="148" t="s">
        <v>42</v>
      </c>
      <c r="AQ3" s="148" t="s">
        <v>43</v>
      </c>
      <c r="AR3" s="148" t="s">
        <v>44</v>
      </c>
      <c r="AS3" s="147"/>
      <c r="AT3" s="146" t="s">
        <v>32</v>
      </c>
      <c r="AU3" s="146" t="s">
        <v>33</v>
      </c>
      <c r="AV3" s="146" t="s">
        <v>34</v>
      </c>
      <c r="AW3" s="146" t="s">
        <v>35</v>
      </c>
      <c r="AX3" s="146" t="s">
        <v>36</v>
      </c>
      <c r="AY3" s="146" t="s">
        <v>37</v>
      </c>
      <c r="AZ3" s="146" t="s">
        <v>38</v>
      </c>
      <c r="BA3" s="146" t="s">
        <v>39</v>
      </c>
      <c r="BB3" s="146" t="s">
        <v>40</v>
      </c>
      <c r="BC3" s="146" t="s">
        <v>41</v>
      </c>
      <c r="BD3" s="146" t="s">
        <v>42</v>
      </c>
      <c r="BE3" s="146" t="s">
        <v>43</v>
      </c>
      <c r="BF3" s="146" t="s">
        <v>44</v>
      </c>
      <c r="BH3" s="149" t="s">
        <v>45</v>
      </c>
      <c r="BI3" s="149" t="s">
        <v>46</v>
      </c>
      <c r="BJ3" s="149" t="s">
        <v>47</v>
      </c>
      <c r="BK3" s="149" t="s">
        <v>48</v>
      </c>
      <c r="BL3" s="149" t="s">
        <v>44</v>
      </c>
      <c r="BN3" s="149" t="s">
        <v>45</v>
      </c>
      <c r="BO3" s="149" t="s">
        <v>46</v>
      </c>
      <c r="BP3" s="149" t="s">
        <v>47</v>
      </c>
      <c r="BQ3" s="149" t="s">
        <v>48</v>
      </c>
      <c r="BR3" s="149" t="s">
        <v>44</v>
      </c>
      <c r="BT3" s="149" t="s">
        <v>45</v>
      </c>
      <c r="BU3" s="149" t="s">
        <v>46</v>
      </c>
      <c r="BV3" s="149" t="s">
        <v>47</v>
      </c>
      <c r="BW3" s="149" t="s">
        <v>48</v>
      </c>
      <c r="BX3" s="149" t="s">
        <v>44</v>
      </c>
    </row>
    <row r="4" spans="1:88" hidden="1">
      <c r="A4" s="853" t="s">
        <v>6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854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854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854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854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854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854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5.6" hidden="1">
      <c r="A11" s="854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854"/>
      <c r="B12" s="150" t="s">
        <v>49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Performance'!R6</f>
        <v>600131253</v>
      </c>
      <c r="S12" s="153">
        <f>'VN_YouTube Performance'!R7</f>
        <v>559835027</v>
      </c>
      <c r="T12" s="153">
        <f>'VN_YouTube Performance'!R8</f>
        <v>551862891</v>
      </c>
      <c r="U12" s="153">
        <f>'VN_YouTube Performance'!R9</f>
        <v>547962867</v>
      </c>
      <c r="V12" s="153">
        <f>'VN_YouTube Performance'!R10</f>
        <v>579917316</v>
      </c>
      <c r="W12" s="153">
        <f>'VN_YouTube Performance'!R11</f>
        <v>0</v>
      </c>
      <c r="X12" s="153">
        <f>'VN_YouTube Performance'!R12</f>
        <v>0</v>
      </c>
      <c r="Y12" s="153">
        <f>'VN_YouTube Performance'!R13</f>
        <v>0</v>
      </c>
      <c r="Z12" s="153">
        <f>'VN_YouTube Performance'!R14</f>
        <v>0</v>
      </c>
      <c r="AA12" s="153">
        <f>'VN_YouTube Performance'!R15</f>
        <v>0</v>
      </c>
      <c r="AB12" s="153">
        <f>'VN_YouTube Performance'!R16</f>
        <v>0</v>
      </c>
      <c r="AC12" s="153">
        <f>'VN_YouTube Performance'!R17</f>
        <v>0</v>
      </c>
      <c r="AD12" s="153">
        <f>SUM(R12:AC12)</f>
        <v>2839709354</v>
      </c>
      <c r="AE12" s="151"/>
      <c r="AF12" s="152">
        <f t="shared" ref="AF12:AQ13" si="0">R12-D12</f>
        <v>-87457529.132459164</v>
      </c>
      <c r="AG12" s="152">
        <f t="shared" si="0"/>
        <v>-53843859.049192309</v>
      </c>
      <c r="AH12" s="152">
        <f t="shared" si="0"/>
        <v>-205543255.67173564</v>
      </c>
      <c r="AI12" s="152">
        <f t="shared" si="0"/>
        <v>-247314503.04269695</v>
      </c>
      <c r="AJ12" s="152">
        <f t="shared" si="0"/>
        <v>-281664767.96473932</v>
      </c>
      <c r="AK12" s="152">
        <f t="shared" si="0"/>
        <v>-845550144.6004405</v>
      </c>
      <c r="AL12" s="152">
        <f t="shared" si="0"/>
        <v>-912919211.32480443</v>
      </c>
      <c r="AM12" s="152">
        <f t="shared" si="0"/>
        <v>-904397272.62822151</v>
      </c>
      <c r="AN12" s="152">
        <f t="shared" si="0"/>
        <v>-954190283.40038431</v>
      </c>
      <c r="AO12" s="152">
        <f t="shared" si="0"/>
        <v>-1023834511.4615556</v>
      </c>
      <c r="AP12" s="152">
        <f t="shared" si="0"/>
        <v>-977193660.53463864</v>
      </c>
      <c r="AQ12" s="152">
        <f t="shared" si="0"/>
        <v>-1030428283.8062721</v>
      </c>
      <c r="AR12" s="152">
        <f>SUM(AF12:AQ12)</f>
        <v>-7524337282.6171408</v>
      </c>
      <c r="AS12" s="151"/>
      <c r="AT12" s="154">
        <f t="shared" ref="AT12:BE14" si="1">R12/D12</f>
        <v>0.8728054741364133</v>
      </c>
      <c r="AU12" s="154">
        <f t="shared" si="1"/>
        <v>0.91226053189505329</v>
      </c>
      <c r="AV12" s="154">
        <f t="shared" si="1"/>
        <v>0.72862214470406284</v>
      </c>
      <c r="AW12" s="154">
        <f t="shared" si="1"/>
        <v>0.68902107320189543</v>
      </c>
      <c r="AX12" s="154">
        <f t="shared" si="1"/>
        <v>0.67308423282364049</v>
      </c>
      <c r="AY12" s="154">
        <f t="shared" si="1"/>
        <v>0</v>
      </c>
      <c r="AZ12" s="154">
        <f t="shared" si="1"/>
        <v>0</v>
      </c>
      <c r="BA12" s="154">
        <f t="shared" si="1"/>
        <v>0</v>
      </c>
      <c r="BB12" s="154">
        <f t="shared" si="1"/>
        <v>0</v>
      </c>
      <c r="BC12" s="154">
        <f t="shared" si="1"/>
        <v>0</v>
      </c>
      <c r="BD12" s="154">
        <f t="shared" si="1"/>
        <v>0</v>
      </c>
      <c r="BE12" s="154">
        <f t="shared" si="1"/>
        <v>0</v>
      </c>
      <c r="BF12" s="154">
        <f>AD12/P12</f>
        <v>0.2739961960386248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2">SUM(BH12:BK12)</f>
        <v>10364046636.617142</v>
      </c>
      <c r="BN12" s="155">
        <f>SUM(R12:T12)</f>
        <v>1711829171</v>
      </c>
      <c r="BO12" s="155">
        <f>SUM(U12:W12)</f>
        <v>1127880183</v>
      </c>
      <c r="BP12" s="155">
        <f>SUM(X12:Z12)</f>
        <v>0</v>
      </c>
      <c r="BQ12" s="155">
        <f>SUM(AA12:AC12)</f>
        <v>0</v>
      </c>
      <c r="BR12" s="155">
        <f t="shared" ref="BR12:BR14" si="3">SUM(BN12:BQ12)</f>
        <v>2839709354</v>
      </c>
      <c r="BT12" s="156">
        <f t="shared" ref="BT12:BX14" si="4">BN12/BH12</f>
        <v>0.83152034996953195</v>
      </c>
      <c r="BU12" s="156">
        <f t="shared" si="4"/>
        <v>0.45071765374759371</v>
      </c>
      <c r="BV12" s="156">
        <f t="shared" si="4"/>
        <v>0</v>
      </c>
      <c r="BW12" s="156">
        <f t="shared" si="4"/>
        <v>0</v>
      </c>
      <c r="BX12" s="156">
        <f t="shared" si="4"/>
        <v>0.27399619603862474</v>
      </c>
      <c r="BZ12" s="138"/>
      <c r="CA12" s="138"/>
      <c r="CI12" s="137"/>
      <c r="CJ12" s="137"/>
    </row>
    <row r="13" spans="1:88">
      <c r="A13" s="854"/>
      <c r="B13" s="157" t="s">
        <v>50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Performance'!AC6</f>
        <v>112112243</v>
      </c>
      <c r="S13" s="153">
        <f>'VN_YouTube Performance'!AC7</f>
        <v>80518892</v>
      </c>
      <c r="T13" s="153">
        <f>'VN_YouTube Performance'!AC8</f>
        <v>111529569</v>
      </c>
      <c r="U13" s="153">
        <f>'VN_YouTube Performance'!AC9</f>
        <v>145868611</v>
      </c>
      <c r="V13" s="153">
        <f>'VN_YouTube Performance'!AC10</f>
        <v>216479216</v>
      </c>
      <c r="W13" s="153">
        <f>'VN_YouTube Performance'!AC11</f>
        <v>0</v>
      </c>
      <c r="X13" s="153">
        <f>'VN_YouTube Performance'!AC12</f>
        <v>0</v>
      </c>
      <c r="Y13" s="153">
        <f>'VN_YouTube Performance'!AC13</f>
        <v>0</v>
      </c>
      <c r="Z13" s="153">
        <f>'VN_YouTube Performance'!AC14</f>
        <v>0</v>
      </c>
      <c r="AA13" s="153">
        <f>'VN_YouTube Performance'!AC15</f>
        <v>0</v>
      </c>
      <c r="AB13" s="153">
        <f>'VN_YouTube Performance'!AC16</f>
        <v>0</v>
      </c>
      <c r="AC13" s="153">
        <f>'VN_YouTube Performance'!AC17</f>
        <v>0</v>
      </c>
      <c r="AD13" s="153">
        <f>SUM(R13:AC13)</f>
        <v>666508531</v>
      </c>
      <c r="AE13" s="151"/>
      <c r="AF13" s="159">
        <f t="shared" si="0"/>
        <v>69920769.538607895</v>
      </c>
      <c r="AG13" s="159">
        <f t="shared" si="0"/>
        <v>42862640.025875665</v>
      </c>
      <c r="AH13" s="159">
        <f t="shared" si="0"/>
        <v>65053997.892384596</v>
      </c>
      <c r="AI13" s="159">
        <f t="shared" si="0"/>
        <v>97069205.127583921</v>
      </c>
      <c r="AJ13" s="159">
        <f t="shared" si="0"/>
        <v>163611253.96363515</v>
      </c>
      <c r="AK13" s="159">
        <f t="shared" si="0"/>
        <v>-51884218.319479793</v>
      </c>
      <c r="AL13" s="159">
        <f t="shared" si="0"/>
        <v>-56018084.759249873</v>
      </c>
      <c r="AM13" s="159">
        <f t="shared" si="0"/>
        <v>-55495165.887244157</v>
      </c>
      <c r="AN13" s="159">
        <f t="shared" si="0"/>
        <v>-58550539.312681757</v>
      </c>
      <c r="AO13" s="159">
        <f t="shared" si="0"/>
        <v>-62824013.04631225</v>
      </c>
      <c r="AP13" s="159">
        <f t="shared" si="0"/>
        <v>-59962060.851576373</v>
      </c>
      <c r="AQ13" s="159">
        <f t="shared" si="0"/>
        <v>-63228616.754403256</v>
      </c>
      <c r="AR13" s="159">
        <f>SUM(AF13:AQ13)</f>
        <v>30555167.617139749</v>
      </c>
      <c r="AS13" s="151"/>
      <c r="AT13" s="161">
        <f t="shared" si="1"/>
        <v>2.6572251168850478</v>
      </c>
      <c r="AU13" s="161">
        <f t="shared" si="1"/>
        <v>2.1382609202670761</v>
      </c>
      <c r="AV13" s="161">
        <f t="shared" si="1"/>
        <v>2.3997460674931861</v>
      </c>
      <c r="AW13" s="161">
        <f t="shared" si="1"/>
        <v>2.9891472732550701</v>
      </c>
      <c r="AX13" s="161">
        <f t="shared" si="1"/>
        <v>4.0947145995734857</v>
      </c>
      <c r="AY13" s="161">
        <f t="shared" si="1"/>
        <v>0</v>
      </c>
      <c r="AZ13" s="161">
        <f t="shared" si="1"/>
        <v>0</v>
      </c>
      <c r="BA13" s="161">
        <f t="shared" si="1"/>
        <v>0</v>
      </c>
      <c r="BB13" s="161">
        <f t="shared" si="1"/>
        <v>0</v>
      </c>
      <c r="BC13" s="161">
        <f t="shared" si="1"/>
        <v>0</v>
      </c>
      <c r="BD13" s="161">
        <f t="shared" si="1"/>
        <v>0</v>
      </c>
      <c r="BE13" s="161">
        <f t="shared" si="1"/>
        <v>0</v>
      </c>
      <c r="BF13" s="161">
        <f>AD13/P13</f>
        <v>1.0480462395144923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2"/>
        <v>635953363.3828603</v>
      </c>
      <c r="BN13" s="162">
        <f>SUM(R13:T13)</f>
        <v>304160704</v>
      </c>
      <c r="BO13" s="162">
        <f>SUM(U13:W13)</f>
        <v>362347827</v>
      </c>
      <c r="BP13" s="162">
        <f>SUM(X13:Z13)</f>
        <v>0</v>
      </c>
      <c r="BQ13" s="162">
        <f>SUM(AA13:AC13)</f>
        <v>0</v>
      </c>
      <c r="BR13" s="162">
        <f t="shared" si="3"/>
        <v>666508531</v>
      </c>
      <c r="BT13" s="163">
        <f t="shared" si="4"/>
        <v>2.4077958090346967</v>
      </c>
      <c r="BU13" s="163">
        <f t="shared" si="4"/>
        <v>2.3597791198415563</v>
      </c>
      <c r="BV13" s="163">
        <f t="shared" si="4"/>
        <v>0</v>
      </c>
      <c r="BW13" s="163">
        <f t="shared" si="4"/>
        <v>0</v>
      </c>
      <c r="BX13" s="163">
        <f t="shared" si="4"/>
        <v>1.0480462395144921</v>
      </c>
      <c r="BZ13" s="138"/>
      <c r="CA13" s="138"/>
    </row>
    <row r="14" spans="1:88" ht="16.2" thickBot="1">
      <c r="A14" s="854"/>
      <c r="B14" s="164" t="s">
        <v>51</v>
      </c>
      <c r="C14" s="165"/>
      <c r="D14" s="166">
        <f t="shared" ref="D14:P14" si="5">SUM(D12:D13)</f>
        <v>729780255.59385121</v>
      </c>
      <c r="E14" s="166">
        <f t="shared" si="5"/>
        <v>651335138.02331662</v>
      </c>
      <c r="F14" s="166">
        <f t="shared" si="5"/>
        <v>803881717.779351</v>
      </c>
      <c r="G14" s="166">
        <f t="shared" si="5"/>
        <v>844076775.91511309</v>
      </c>
      <c r="H14" s="166">
        <f t="shared" si="5"/>
        <v>914450046.00110424</v>
      </c>
      <c r="I14" s="166">
        <f t="shared" si="5"/>
        <v>897434362.91992033</v>
      </c>
      <c r="J14" s="166">
        <f t="shared" si="5"/>
        <v>968937296.08405435</v>
      </c>
      <c r="K14" s="166">
        <f t="shared" si="5"/>
        <v>959892438.51546562</v>
      </c>
      <c r="L14" s="166">
        <f t="shared" si="5"/>
        <v>1012740822.7130661</v>
      </c>
      <c r="M14" s="166">
        <f t="shared" si="5"/>
        <v>1086658524.5078678</v>
      </c>
      <c r="N14" s="166">
        <f t="shared" si="5"/>
        <v>1037155721.386215</v>
      </c>
      <c r="O14" s="166">
        <f t="shared" si="5"/>
        <v>1093656900.5606754</v>
      </c>
      <c r="P14" s="166">
        <f t="shared" si="5"/>
        <v>11000000000</v>
      </c>
      <c r="Q14" s="139"/>
      <c r="R14" s="167">
        <f t="shared" ref="R14:AD14" si="6">SUM(R12:R13)</f>
        <v>712243496</v>
      </c>
      <c r="S14" s="167">
        <f t="shared" si="6"/>
        <v>640353919</v>
      </c>
      <c r="T14" s="167">
        <f t="shared" si="6"/>
        <v>663392460</v>
      </c>
      <c r="U14" s="167">
        <f t="shared" si="6"/>
        <v>693831478</v>
      </c>
      <c r="V14" s="167">
        <f t="shared" si="6"/>
        <v>796396532</v>
      </c>
      <c r="W14" s="167">
        <f t="shared" si="6"/>
        <v>0</v>
      </c>
      <c r="X14" s="167">
        <f t="shared" si="6"/>
        <v>0</v>
      </c>
      <c r="Y14" s="167">
        <f t="shared" si="6"/>
        <v>0</v>
      </c>
      <c r="Z14" s="167">
        <f t="shared" si="6"/>
        <v>0</v>
      </c>
      <c r="AA14" s="167">
        <f t="shared" si="6"/>
        <v>0</v>
      </c>
      <c r="AB14" s="167">
        <f t="shared" si="6"/>
        <v>0</v>
      </c>
      <c r="AC14" s="167">
        <f t="shared" si="6"/>
        <v>0</v>
      </c>
      <c r="AD14" s="167">
        <f t="shared" si="6"/>
        <v>3506217885</v>
      </c>
      <c r="AE14" s="168"/>
      <c r="AF14" s="166">
        <f t="shared" ref="AF14:AR14" si="7">SUM(AF12:AF13)</f>
        <v>-17536759.593851268</v>
      </c>
      <c r="AG14" s="166">
        <f t="shared" si="7"/>
        <v>-10981219.023316644</v>
      </c>
      <c r="AH14" s="166">
        <f t="shared" si="7"/>
        <v>-140489257.77935106</v>
      </c>
      <c r="AI14" s="166">
        <f t="shared" si="7"/>
        <v>-150245297.91511303</v>
      </c>
      <c r="AJ14" s="166">
        <f t="shared" si="7"/>
        <v>-118053514.00110418</v>
      </c>
      <c r="AK14" s="166">
        <f t="shared" si="7"/>
        <v>-897434362.91992033</v>
      </c>
      <c r="AL14" s="166">
        <f t="shared" si="7"/>
        <v>-968937296.08405435</v>
      </c>
      <c r="AM14" s="166">
        <f t="shared" si="7"/>
        <v>-959892438.51546562</v>
      </c>
      <c r="AN14" s="166">
        <f t="shared" si="7"/>
        <v>-1012740822.7130661</v>
      </c>
      <c r="AO14" s="166">
        <f t="shared" si="7"/>
        <v>-1086658524.5078678</v>
      </c>
      <c r="AP14" s="166">
        <f t="shared" si="7"/>
        <v>-1037155721.386215</v>
      </c>
      <c r="AQ14" s="166">
        <f t="shared" si="7"/>
        <v>-1093656900.5606754</v>
      </c>
      <c r="AR14" s="169">
        <f t="shared" si="7"/>
        <v>-7493782115.000001</v>
      </c>
      <c r="AS14" s="151"/>
      <c r="AT14" s="170">
        <f t="shared" si="1"/>
        <v>0.97596980809027112</v>
      </c>
      <c r="AU14" s="170">
        <f t="shared" si="1"/>
        <v>0.98314044739449702</v>
      </c>
      <c r="AV14" s="170">
        <f t="shared" si="1"/>
        <v>0.82523640646109031</v>
      </c>
      <c r="AW14" s="170">
        <f t="shared" si="1"/>
        <v>0.82200043621360941</v>
      </c>
      <c r="AX14" s="170">
        <f t="shared" si="1"/>
        <v>0.8709021728225036</v>
      </c>
      <c r="AY14" s="170">
        <f t="shared" si="1"/>
        <v>0</v>
      </c>
      <c r="AZ14" s="170">
        <f t="shared" si="1"/>
        <v>0</v>
      </c>
      <c r="BA14" s="170">
        <f t="shared" si="1"/>
        <v>0</v>
      </c>
      <c r="BB14" s="170">
        <f t="shared" si="1"/>
        <v>0</v>
      </c>
      <c r="BC14" s="170">
        <f t="shared" si="1"/>
        <v>0</v>
      </c>
      <c r="BD14" s="170">
        <f t="shared" si="1"/>
        <v>0</v>
      </c>
      <c r="BE14" s="170">
        <f t="shared" si="1"/>
        <v>0</v>
      </c>
      <c r="BF14" s="170">
        <f>AD14/P14</f>
        <v>0.31874708045454547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2"/>
        <v>11000000000</v>
      </c>
      <c r="BN14" s="171">
        <f>SUM(BN12:BN13)</f>
        <v>2015989875</v>
      </c>
      <c r="BO14" s="171">
        <f>SUM(BO12:BO13)</f>
        <v>1490228010</v>
      </c>
      <c r="BP14" s="171">
        <f>SUM(BP12:BP13)</f>
        <v>0</v>
      </c>
      <c r="BQ14" s="171">
        <f>SUM(BQ12:BQ13)</f>
        <v>0</v>
      </c>
      <c r="BR14" s="171">
        <f t="shared" si="3"/>
        <v>3506217885</v>
      </c>
      <c r="BT14" s="172">
        <f t="shared" si="4"/>
        <v>0.92265104813410947</v>
      </c>
      <c r="BU14" s="172">
        <f t="shared" si="4"/>
        <v>0.56108802286278181</v>
      </c>
      <c r="BV14" s="172">
        <f t="shared" si="4"/>
        <v>0</v>
      </c>
      <c r="BW14" s="172">
        <f t="shared" si="4"/>
        <v>0</v>
      </c>
      <c r="BX14" s="172">
        <f t="shared" si="4"/>
        <v>0.31874708045454547</v>
      </c>
      <c r="BZ14" s="138"/>
      <c r="CA14" s="138"/>
    </row>
    <row r="15" spans="1:88" ht="15" customHeight="1" thickTop="1">
      <c r="A15" s="854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54"/>
      <c r="B16" s="150" t="s">
        <v>49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0</v>
      </c>
      <c r="X16" s="153">
        <f>'VN_YouTube Performance'!V12</f>
        <v>0</v>
      </c>
      <c r="Y16" s="153">
        <f>'VN_YouTube Performance'!V13</f>
        <v>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683517154</v>
      </c>
      <c r="AE16" s="151"/>
      <c r="AF16" s="152">
        <f t="shared" ref="AF16:AQ17" si="8">R16-D16</f>
        <v>27502431.998688579</v>
      </c>
      <c r="AG16" s="152">
        <f t="shared" si="8"/>
        <v>22403447.854977414</v>
      </c>
      <c r="AH16" s="152">
        <f t="shared" si="8"/>
        <v>73006274.413703918</v>
      </c>
      <c r="AI16" s="152">
        <f t="shared" si="8"/>
        <v>100063051.62886098</v>
      </c>
      <c r="AJ16" s="152">
        <f t="shared" si="8"/>
        <v>65050406.20043084</v>
      </c>
      <c r="AK16" s="152">
        <f t="shared" si="8"/>
        <v>-90002674.245236352</v>
      </c>
      <c r="AL16" s="152">
        <f t="shared" si="8"/>
        <v>-97173622.302330866</v>
      </c>
      <c r="AM16" s="152">
        <f t="shared" si="8"/>
        <v>-96266523.796885192</v>
      </c>
      <c r="AN16" s="152">
        <f t="shared" si="8"/>
        <v>-101566628.29906611</v>
      </c>
      <c r="AO16" s="152">
        <f t="shared" si="8"/>
        <v>-108979750.76291776</v>
      </c>
      <c r="AP16" s="152">
        <f t="shared" si="8"/>
        <v>-104015170.79175639</v>
      </c>
      <c r="AQ16" s="152">
        <f t="shared" si="8"/>
        <v>-109681609.95858878</v>
      </c>
      <c r="AR16" s="152">
        <f>SUM(AF16:AQ16)</f>
        <v>-419660368.06011975</v>
      </c>
      <c r="AS16" s="151"/>
      <c r="AT16" s="154">
        <f>R16/D16</f>
        <v>1.3757736050036784</v>
      </c>
      <c r="AU16" s="154">
        <f t="shared" ref="AT16:AU18" si="9">S16/E16</f>
        <v>1.3429711847386683</v>
      </c>
      <c r="AV16" s="184">
        <f t="shared" ref="AV16:BE18" si="10">(T16-F16)/F16</f>
        <v>0.90555600649612356</v>
      </c>
      <c r="AW16" s="184">
        <f t="shared" si="10"/>
        <v>1.1820587801283531</v>
      </c>
      <c r="AX16" s="184">
        <f t="shared" si="10"/>
        <v>0.70931200069025646</v>
      </c>
      <c r="AY16" s="184">
        <f t="shared" si="10"/>
        <v>-1</v>
      </c>
      <c r="AZ16" s="184">
        <f t="shared" si="10"/>
        <v>-1</v>
      </c>
      <c r="BA16" s="184">
        <f t="shared" si="10"/>
        <v>-1</v>
      </c>
      <c r="BB16" s="184">
        <f t="shared" si="10"/>
        <v>-1</v>
      </c>
      <c r="BC16" s="184">
        <f t="shared" si="10"/>
        <v>-1</v>
      </c>
      <c r="BD16" s="184">
        <f t="shared" si="10"/>
        <v>-1</v>
      </c>
      <c r="BE16" s="184">
        <f t="shared" si="10"/>
        <v>-1</v>
      </c>
      <c r="BF16" s="154">
        <f>AD16/P16</f>
        <v>0.61958944986802456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341474118</v>
      </c>
      <c r="BP16" s="155">
        <f>SUM(X16:Z16)</f>
        <v>0</v>
      </c>
      <c r="BQ16" s="155">
        <f>SUM(AA16:AC16)</f>
        <v>0</v>
      </c>
      <c r="BR16" s="155">
        <f>SUM(BN16:BQ16)</f>
        <v>683517154</v>
      </c>
      <c r="BT16" s="156">
        <f t="shared" ref="BT16:BX18" si="11">BN16/BH16</f>
        <v>1.5609074964492669</v>
      </c>
      <c r="BU16" s="156">
        <f t="shared" si="11"/>
        <v>1.2819861965940285</v>
      </c>
      <c r="BV16" s="156">
        <f t="shared" si="11"/>
        <v>0</v>
      </c>
      <c r="BW16" s="156">
        <f t="shared" si="11"/>
        <v>0</v>
      </c>
      <c r="BX16" s="156">
        <f t="shared" si="11"/>
        <v>0.61958944986802456</v>
      </c>
      <c r="BZ16" s="138"/>
      <c r="CA16" s="138"/>
    </row>
    <row r="17" spans="1:79">
      <c r="A17" s="854"/>
      <c r="B17" s="157" t="s">
        <v>50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0</v>
      </c>
      <c r="X17" s="153">
        <f>'VN_YouTube Performance'!AG12</f>
        <v>0</v>
      </c>
      <c r="Y17" s="153">
        <f>'VN_YouTube Performance'!AG13</f>
        <v>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472894198</v>
      </c>
      <c r="AE17" s="151"/>
      <c r="AF17" s="159">
        <f t="shared" si="8"/>
        <v>15557092.502010133</v>
      </c>
      <c r="AG17" s="159">
        <f t="shared" si="8"/>
        <v>4284577.5514638741</v>
      </c>
      <c r="AH17" s="159">
        <f t="shared" si="8"/>
        <v>5459965.3840970956</v>
      </c>
      <c r="AI17" s="159">
        <f t="shared" si="8"/>
        <v>162722709.92623982</v>
      </c>
      <c r="AJ17" s="159">
        <f t="shared" si="8"/>
        <v>232233674.84489819</v>
      </c>
      <c r="AK17" s="159">
        <f t="shared" si="8"/>
        <v>-11978503.35930006</v>
      </c>
      <c r="AL17" s="159">
        <f t="shared" si="8"/>
        <v>-12932888.616311679</v>
      </c>
      <c r="AM17" s="159">
        <f t="shared" si="8"/>
        <v>-12812162.398054089</v>
      </c>
      <c r="AN17" s="159">
        <f t="shared" si="8"/>
        <v>-13517556.100145955</v>
      </c>
      <c r="AO17" s="159">
        <f t="shared" si="8"/>
        <v>-14504172.476612676</v>
      </c>
      <c r="AP17" s="159">
        <f t="shared" si="8"/>
        <v>-13843433.911222573</v>
      </c>
      <c r="AQ17" s="159">
        <f t="shared" si="8"/>
        <v>-14597583.286942525</v>
      </c>
      <c r="AR17" s="159">
        <f>SUM(AF17:AQ17)</f>
        <v>326071720.06011957</v>
      </c>
      <c r="AS17" s="151"/>
      <c r="AT17" s="161">
        <f t="shared" si="9"/>
        <v>2.5971160000844442</v>
      </c>
      <c r="AU17" s="161">
        <f t="shared" si="9"/>
        <v>1.4928373750454649</v>
      </c>
      <c r="AV17" s="184">
        <f t="shared" si="10"/>
        <v>0.50885948395624392</v>
      </c>
      <c r="AW17" s="184">
        <f t="shared" si="10"/>
        <v>14.44329736453261</v>
      </c>
      <c r="AX17" s="184">
        <f t="shared" si="10"/>
        <v>19.026782080206502</v>
      </c>
      <c r="AY17" s="184">
        <f t="shared" si="10"/>
        <v>-1</v>
      </c>
      <c r="AZ17" s="184">
        <f t="shared" si="10"/>
        <v>-1</v>
      </c>
      <c r="BA17" s="184">
        <f t="shared" si="10"/>
        <v>-1</v>
      </c>
      <c r="BB17" s="184">
        <f t="shared" si="10"/>
        <v>-1</v>
      </c>
      <c r="BC17" s="184">
        <f t="shared" si="10"/>
        <v>-1</v>
      </c>
      <c r="BD17" s="184">
        <f t="shared" si="10"/>
        <v>-1</v>
      </c>
      <c r="BE17" s="184">
        <f t="shared" si="10"/>
        <v>-1</v>
      </c>
      <c r="BF17" s="161">
        <f>AD17/P17</f>
        <v>3.2208569466702266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418428318</v>
      </c>
      <c r="BP17" s="162">
        <f>SUM(X17:Z17)</f>
        <v>0</v>
      </c>
      <c r="BQ17" s="162">
        <f>SUM(AA17:AC17)</f>
        <v>0</v>
      </c>
      <c r="BR17" s="162">
        <f>SUM(BN17:BQ17)</f>
        <v>472894198</v>
      </c>
      <c r="BT17" s="163">
        <f t="shared" si="11"/>
        <v>1.867556688581818</v>
      </c>
      <c r="BU17" s="163">
        <f t="shared" si="11"/>
        <v>11.803192238815067</v>
      </c>
      <c r="BV17" s="163">
        <f t="shared" si="11"/>
        <v>0</v>
      </c>
      <c r="BW17" s="163">
        <f t="shared" si="11"/>
        <v>0</v>
      </c>
      <c r="BX17" s="163">
        <f t="shared" si="11"/>
        <v>3.2208569466702266</v>
      </c>
      <c r="BZ17" s="138"/>
      <c r="CA17" s="138"/>
    </row>
    <row r="18" spans="1:79" ht="16.2" thickBot="1">
      <c r="A18" s="854"/>
      <c r="B18" s="164" t="s">
        <v>52</v>
      </c>
      <c r="C18" s="165"/>
      <c r="D18" s="166">
        <f t="shared" ref="D18:P18" si="12">SUM(D16:D17)</f>
        <v>82929574.499301285</v>
      </c>
      <c r="E18" s="166">
        <f t="shared" si="12"/>
        <v>74015356.593558714</v>
      </c>
      <c r="F18" s="166">
        <f t="shared" si="12"/>
        <v>91350195.202198982</v>
      </c>
      <c r="G18" s="166">
        <f t="shared" si="12"/>
        <v>95917815.444899201</v>
      </c>
      <c r="H18" s="166">
        <f t="shared" si="12"/>
        <v>103914777.95467097</v>
      </c>
      <c r="I18" s="166">
        <f t="shared" si="12"/>
        <v>101981177.60453641</v>
      </c>
      <c r="J18" s="166">
        <f t="shared" si="12"/>
        <v>110106510.91864255</v>
      </c>
      <c r="K18" s="166">
        <f t="shared" si="12"/>
        <v>109078686.19493929</v>
      </c>
      <c r="L18" s="166">
        <f t="shared" si="12"/>
        <v>115084184.39921206</v>
      </c>
      <c r="M18" s="166">
        <f t="shared" si="12"/>
        <v>123483923.23953043</v>
      </c>
      <c r="N18" s="166">
        <f t="shared" si="12"/>
        <v>117858604.70297897</v>
      </c>
      <c r="O18" s="166">
        <f t="shared" si="12"/>
        <v>124279193.24553131</v>
      </c>
      <c r="P18" s="166">
        <f t="shared" si="12"/>
        <v>1250000000</v>
      </c>
      <c r="Q18" s="139"/>
      <c r="R18" s="167">
        <f t="shared" ref="R18:AD18" si="13">SUM(R16:R17)</f>
        <v>125989099</v>
      </c>
      <c r="S18" s="167">
        <f t="shared" si="13"/>
        <v>100703382</v>
      </c>
      <c r="T18" s="167">
        <f t="shared" si="13"/>
        <v>169816435</v>
      </c>
      <c r="U18" s="167">
        <f t="shared" si="13"/>
        <v>358703577</v>
      </c>
      <c r="V18" s="167">
        <f t="shared" si="13"/>
        <v>401198859</v>
      </c>
      <c r="W18" s="167">
        <f t="shared" si="13"/>
        <v>0</v>
      </c>
      <c r="X18" s="167">
        <f t="shared" si="13"/>
        <v>0</v>
      </c>
      <c r="Y18" s="167">
        <f t="shared" si="13"/>
        <v>0</v>
      </c>
      <c r="Z18" s="167">
        <f t="shared" si="13"/>
        <v>0</v>
      </c>
      <c r="AA18" s="167">
        <f t="shared" si="13"/>
        <v>0</v>
      </c>
      <c r="AB18" s="167">
        <f t="shared" si="13"/>
        <v>0</v>
      </c>
      <c r="AC18" s="167">
        <f t="shared" si="13"/>
        <v>0</v>
      </c>
      <c r="AD18" s="167">
        <f t="shared" si="13"/>
        <v>1156411352</v>
      </c>
      <c r="AE18" s="168"/>
      <c r="AF18" s="166">
        <f t="shared" ref="AF18:AR18" si="14">SUM(AF16:AF17)</f>
        <v>43059524.500698715</v>
      </c>
      <c r="AG18" s="166">
        <f t="shared" si="14"/>
        <v>26688025.406441286</v>
      </c>
      <c r="AH18" s="166">
        <f t="shared" si="14"/>
        <v>78466239.797801018</v>
      </c>
      <c r="AI18" s="166">
        <f t="shared" si="14"/>
        <v>262785761.5551008</v>
      </c>
      <c r="AJ18" s="166">
        <f t="shared" si="14"/>
        <v>297284081.04532903</v>
      </c>
      <c r="AK18" s="166">
        <f t="shared" si="14"/>
        <v>-101981177.60453641</v>
      </c>
      <c r="AL18" s="166">
        <f t="shared" si="14"/>
        <v>-110106510.91864255</v>
      </c>
      <c r="AM18" s="166">
        <f t="shared" si="14"/>
        <v>-109078686.19493929</v>
      </c>
      <c r="AN18" s="166">
        <f t="shared" si="14"/>
        <v>-115084184.39921206</v>
      </c>
      <c r="AO18" s="166">
        <f t="shared" si="14"/>
        <v>-123483923.23953043</v>
      </c>
      <c r="AP18" s="166">
        <f t="shared" si="14"/>
        <v>-117858604.70297897</v>
      </c>
      <c r="AQ18" s="166">
        <f t="shared" si="14"/>
        <v>-124279193.24553131</v>
      </c>
      <c r="AR18" s="169">
        <f t="shared" si="14"/>
        <v>-93588648.000000179</v>
      </c>
      <c r="AS18" s="151"/>
      <c r="AT18" s="170">
        <f t="shared" si="9"/>
        <v>1.5192300184907075</v>
      </c>
      <c r="AU18" s="170">
        <f t="shared" si="9"/>
        <v>1.3605741650748711</v>
      </c>
      <c r="AV18" s="185">
        <f t="shared" si="10"/>
        <v>0.85896083335257256</v>
      </c>
      <c r="AW18" s="185">
        <f t="shared" si="10"/>
        <v>2.7396971077397012</v>
      </c>
      <c r="AX18" s="185">
        <f t="shared" si="10"/>
        <v>2.8608450780216108</v>
      </c>
      <c r="AY18" s="185">
        <f t="shared" si="10"/>
        <v>-1</v>
      </c>
      <c r="AZ18" s="185">
        <f t="shared" si="10"/>
        <v>-1</v>
      </c>
      <c r="BA18" s="185">
        <f t="shared" si="10"/>
        <v>-1</v>
      </c>
      <c r="BB18" s="185">
        <f t="shared" si="10"/>
        <v>-1</v>
      </c>
      <c r="BC18" s="185">
        <f t="shared" si="10"/>
        <v>-1</v>
      </c>
      <c r="BD18" s="185">
        <f t="shared" si="10"/>
        <v>-1</v>
      </c>
      <c r="BE18" s="185">
        <f t="shared" si="10"/>
        <v>-1</v>
      </c>
      <c r="BF18" s="170">
        <f>AD18/P18</f>
        <v>0.92512908159999996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759902436</v>
      </c>
      <c r="BP18" s="171">
        <f>SUM(BP16:BP17)</f>
        <v>0</v>
      </c>
      <c r="BQ18" s="171">
        <f>SUM(BQ16:BQ17)</f>
        <v>0</v>
      </c>
      <c r="BR18" s="171">
        <f>SUM(BN18:BQ18)</f>
        <v>1156411352</v>
      </c>
      <c r="BT18" s="172">
        <f t="shared" si="11"/>
        <v>1.5969258918469977</v>
      </c>
      <c r="BU18" s="172">
        <f t="shared" si="11"/>
        <v>2.5177858302219764</v>
      </c>
      <c r="BV18" s="172">
        <f t="shared" si="11"/>
        <v>0</v>
      </c>
      <c r="BW18" s="172">
        <f t="shared" si="11"/>
        <v>0</v>
      </c>
      <c r="BX18" s="172">
        <f t="shared" si="11"/>
        <v>0.92512908159999996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53</v>
      </c>
      <c r="B20" s="189"/>
      <c r="C20" s="190"/>
      <c r="D20" s="191">
        <f>SUM(D6,D10,D14,D18)</f>
        <v>812709830.09315252</v>
      </c>
      <c r="E20" s="191">
        <f t="shared" ref="E20:AR20" si="15">SUM(E6,E10,E14,E18)</f>
        <v>725350494.61687529</v>
      </c>
      <c r="F20" s="191">
        <f t="shared" si="15"/>
        <v>895231912.98154998</v>
      </c>
      <c r="G20" s="191">
        <f t="shared" si="15"/>
        <v>939994591.36001229</v>
      </c>
      <c r="H20" s="191">
        <f t="shared" si="15"/>
        <v>1018364823.9557753</v>
      </c>
      <c r="I20" s="191">
        <f t="shared" si="15"/>
        <v>999415540.52445674</v>
      </c>
      <c r="J20" s="191">
        <f t="shared" si="15"/>
        <v>1079043807.002697</v>
      </c>
      <c r="K20" s="191">
        <f t="shared" si="15"/>
        <v>1068971124.7104049</v>
      </c>
      <c r="L20" s="191">
        <f t="shared" si="15"/>
        <v>1127825007.1122782</v>
      </c>
      <c r="M20" s="191">
        <f t="shared" si="15"/>
        <v>1210142447.7473981</v>
      </c>
      <c r="N20" s="191">
        <f t="shared" si="15"/>
        <v>1155014326.0891938</v>
      </c>
      <c r="O20" s="191">
        <f t="shared" si="15"/>
        <v>1217936093.8062067</v>
      </c>
      <c r="P20" s="191">
        <f t="shared" si="15"/>
        <v>12250000000</v>
      </c>
      <c r="Q20" s="168"/>
      <c r="R20" s="191">
        <f t="shared" si="15"/>
        <v>838232595</v>
      </c>
      <c r="S20" s="191">
        <f t="shared" si="15"/>
        <v>741057301</v>
      </c>
      <c r="T20" s="191">
        <f t="shared" si="15"/>
        <v>833208895</v>
      </c>
      <c r="U20" s="191">
        <f t="shared" si="15"/>
        <v>1052535055</v>
      </c>
      <c r="V20" s="191">
        <f t="shared" si="15"/>
        <v>1197595391</v>
      </c>
      <c r="W20" s="191">
        <f t="shared" si="15"/>
        <v>0</v>
      </c>
      <c r="X20" s="191">
        <f t="shared" si="15"/>
        <v>0</v>
      </c>
      <c r="Y20" s="191">
        <f t="shared" si="15"/>
        <v>0</v>
      </c>
      <c r="Z20" s="191">
        <f t="shared" si="15"/>
        <v>0</v>
      </c>
      <c r="AA20" s="191">
        <f t="shared" si="15"/>
        <v>0</v>
      </c>
      <c r="AB20" s="191">
        <f t="shared" si="15"/>
        <v>0</v>
      </c>
      <c r="AC20" s="191">
        <f t="shared" si="15"/>
        <v>0</v>
      </c>
      <c r="AD20" s="191">
        <f t="shared" si="15"/>
        <v>4662629237</v>
      </c>
      <c r="AE20" s="168"/>
      <c r="AF20" s="191">
        <f t="shared" si="15"/>
        <v>25522764.906847447</v>
      </c>
      <c r="AG20" s="191">
        <f t="shared" si="15"/>
        <v>15706806.383124642</v>
      </c>
      <c r="AH20" s="191">
        <f t="shared" si="15"/>
        <v>-62023017.981550038</v>
      </c>
      <c r="AI20" s="191">
        <f t="shared" si="15"/>
        <v>112540463.63998777</v>
      </c>
      <c r="AJ20" s="191">
        <f t="shared" si="15"/>
        <v>179230567.04422486</v>
      </c>
      <c r="AK20" s="191">
        <f t="shared" si="15"/>
        <v>-999415540.52445674</v>
      </c>
      <c r="AL20" s="191">
        <f t="shared" si="15"/>
        <v>-1079043807.002697</v>
      </c>
      <c r="AM20" s="191">
        <f t="shared" si="15"/>
        <v>-1068971124.7104049</v>
      </c>
      <c r="AN20" s="191">
        <f t="shared" si="15"/>
        <v>-1127825007.1122782</v>
      </c>
      <c r="AO20" s="191">
        <f t="shared" si="15"/>
        <v>-1210142447.7473981</v>
      </c>
      <c r="AP20" s="191">
        <f t="shared" si="15"/>
        <v>-1155014326.0891938</v>
      </c>
      <c r="AQ20" s="191">
        <f t="shared" si="15"/>
        <v>-1217936093.8062067</v>
      </c>
      <c r="AR20" s="191">
        <f t="shared" si="15"/>
        <v>-7587370763.000001</v>
      </c>
      <c r="AS20" s="192"/>
      <c r="AT20" s="193">
        <f t="shared" ref="AT20:BF20" si="16">R20/D20</f>
        <v>1.0314045234372544</v>
      </c>
      <c r="AU20" s="193">
        <f t="shared" si="16"/>
        <v>1.0216540920557597</v>
      </c>
      <c r="AV20" s="193">
        <f t="shared" si="16"/>
        <v>0.93071849083777225</v>
      </c>
      <c r="AW20" s="193">
        <f t="shared" si="16"/>
        <v>1.119724586369333</v>
      </c>
      <c r="AX20" s="193">
        <f t="shared" si="16"/>
        <v>1.175998387638739</v>
      </c>
      <c r="AY20" s="193">
        <f t="shared" si="16"/>
        <v>0</v>
      </c>
      <c r="AZ20" s="193">
        <f t="shared" si="16"/>
        <v>0</v>
      </c>
      <c r="BA20" s="193">
        <f t="shared" si="16"/>
        <v>0</v>
      </c>
      <c r="BB20" s="193">
        <f t="shared" si="16"/>
        <v>0</v>
      </c>
      <c r="BC20" s="193">
        <f t="shared" si="16"/>
        <v>0</v>
      </c>
      <c r="BD20" s="193">
        <f t="shared" si="16"/>
        <v>0</v>
      </c>
      <c r="BE20" s="193">
        <f t="shared" si="16"/>
        <v>0</v>
      </c>
      <c r="BF20" s="193">
        <f t="shared" si="16"/>
        <v>0.38062279485714284</v>
      </c>
      <c r="BH20" s="191">
        <f t="shared" ref="BH20:BL20" si="17">SUM(BH6,BH10,BH14,BH18)</f>
        <v>2433292237.6915779</v>
      </c>
      <c r="BI20" s="191">
        <f t="shared" si="17"/>
        <v>2957774955.8402443</v>
      </c>
      <c r="BJ20" s="191">
        <f t="shared" si="17"/>
        <v>3275839938.8253798</v>
      </c>
      <c r="BK20" s="191">
        <f t="shared" si="17"/>
        <v>3583092867.6427989</v>
      </c>
      <c r="BL20" s="191">
        <f t="shared" si="17"/>
        <v>12250000000</v>
      </c>
      <c r="BN20" s="191">
        <f t="shared" ref="BN20:BR20" si="18">SUM(BN6,BN10,BN14,BN18)</f>
        <v>2412498791</v>
      </c>
      <c r="BO20" s="191">
        <f t="shared" si="18"/>
        <v>2250130446</v>
      </c>
      <c r="BP20" s="191">
        <f t="shared" si="18"/>
        <v>0</v>
      </c>
      <c r="BQ20" s="191">
        <f t="shared" si="18"/>
        <v>0</v>
      </c>
      <c r="BR20" s="191">
        <f t="shared" si="18"/>
        <v>4662629237</v>
      </c>
      <c r="BT20" s="194">
        <f t="shared" ref="BT20:BX20" si="19">BN20/BH20</f>
        <v>0.99145460361501658</v>
      </c>
      <c r="BU20" s="194">
        <f t="shared" si="19"/>
        <v>0.76075106443004659</v>
      </c>
      <c r="BV20" s="194">
        <f t="shared" si="19"/>
        <v>0</v>
      </c>
      <c r="BW20" s="194">
        <f t="shared" si="19"/>
        <v>0</v>
      </c>
      <c r="BX20" s="194">
        <f t="shared" si="19"/>
        <v>0.38062279485714284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853" t="s">
        <v>7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854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854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854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854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854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854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854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854"/>
      <c r="B30" s="150" t="s">
        <v>49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Performance'!S6</f>
        <v>115656.79299999999</v>
      </c>
      <c r="S30" s="208">
        <f>'VN_YouTube Performance'!S7</f>
        <v>94450.7</v>
      </c>
      <c r="T30" s="233">
        <f>'VN_YouTube Performance'!S8</f>
        <v>125455.74999999999</v>
      </c>
      <c r="U30" s="233">
        <f>'VN_YouTube Performance'!S9</f>
        <v>116613.42000000001</v>
      </c>
      <c r="V30" s="233">
        <f>'VN_YouTube Performance'!S10</f>
        <v>122478.54000000001</v>
      </c>
      <c r="W30" s="233">
        <f>'VN_YouTube Performance'!S11</f>
        <v>0</v>
      </c>
      <c r="X30" s="233">
        <f>'VN_YouTube Performance'!S12</f>
        <v>0</v>
      </c>
      <c r="Y30" s="233">
        <f>'VN_YouTube Performance'!S13</f>
        <v>0</v>
      </c>
      <c r="Z30" s="233">
        <f>'VN_YouTube Performance'!S14</f>
        <v>0</v>
      </c>
      <c r="AA30" s="233">
        <f>'VN_YouTube Performance'!S15</f>
        <v>0</v>
      </c>
      <c r="AB30" s="233">
        <f>'VN_YouTube Performance'!S16</f>
        <v>0</v>
      </c>
      <c r="AC30" s="233">
        <f>'VN_YouTube Performance'!S17</f>
        <v>0</v>
      </c>
      <c r="AD30" s="204">
        <f>SUM(R30:AC30)</f>
        <v>574655.20299999998</v>
      </c>
      <c r="AE30" s="240"/>
      <c r="AF30" s="204">
        <f t="shared" ref="AF30:AQ31" si="20">R30-D30</f>
        <v>-15213.128754545251</v>
      </c>
      <c r="AG30" s="204">
        <f t="shared" si="20"/>
        <v>-22351.827741359666</v>
      </c>
      <c r="AH30" s="204">
        <f t="shared" si="20"/>
        <v>-18702.627400995101</v>
      </c>
      <c r="AI30" s="204">
        <f t="shared" si="20"/>
        <v>-34753.050621968927</v>
      </c>
      <c r="AJ30" s="204">
        <f t="shared" si="20"/>
        <v>-41507.817607361212</v>
      </c>
      <c r="AK30" s="204">
        <f t="shared" si="20"/>
        <v>-160934.9718013386</v>
      </c>
      <c r="AL30" s="204">
        <f t="shared" si="20"/>
        <v>-173757.43883396068</v>
      </c>
      <c r="AM30" s="204">
        <f t="shared" si="20"/>
        <v>-172135.44400303863</v>
      </c>
      <c r="AN30" s="204">
        <f t="shared" si="20"/>
        <v>-181612.6309394899</v>
      </c>
      <c r="AO30" s="204">
        <f t="shared" si="20"/>
        <v>-194868.13323077853</v>
      </c>
      <c r="AP30" s="204">
        <f t="shared" si="20"/>
        <v>-185990.90214442968</v>
      </c>
      <c r="AQ30" s="204">
        <f t="shared" si="20"/>
        <v>-196123.13693829119</v>
      </c>
      <c r="AR30" s="204">
        <f>SUM(AF30:AQ30)</f>
        <v>-1397951.1100175574</v>
      </c>
      <c r="AS30" s="151"/>
      <c r="AT30" s="209">
        <f t="shared" ref="AT30:BF32" si="21">R30/D30</f>
        <v>0.88375381790875962</v>
      </c>
      <c r="AU30" s="209">
        <f t="shared" si="21"/>
        <v>0.80863575323597292</v>
      </c>
      <c r="AV30" s="209">
        <f t="shared" si="21"/>
        <v>0.87026333302176861</v>
      </c>
      <c r="AW30" s="209">
        <f t="shared" si="21"/>
        <v>0.77040456529660961</v>
      </c>
      <c r="AX30" s="209">
        <f t="shared" si="21"/>
        <v>0.74688249551377339</v>
      </c>
      <c r="AY30" s="209">
        <f t="shared" si="21"/>
        <v>0</v>
      </c>
      <c r="AZ30" s="209">
        <f t="shared" si="21"/>
        <v>0</v>
      </c>
      <c r="BA30" s="209">
        <f t="shared" si="21"/>
        <v>0</v>
      </c>
      <c r="BB30" s="209">
        <f t="shared" si="21"/>
        <v>0</v>
      </c>
      <c r="BC30" s="209">
        <f t="shared" si="21"/>
        <v>0</v>
      </c>
      <c r="BD30" s="209">
        <f t="shared" si="21"/>
        <v>0</v>
      </c>
      <c r="BE30" s="209">
        <f t="shared" si="21"/>
        <v>0</v>
      </c>
      <c r="BF30" s="209">
        <f t="shared" si="21"/>
        <v>0.29131773492143598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22">SUM(BH30:BK30)</f>
        <v>1972606.3130175574</v>
      </c>
      <c r="BN30" s="239">
        <f>SUM(R30:T30)</f>
        <v>335563.24299999996</v>
      </c>
      <c r="BO30" s="234">
        <f>SUM(U30:W30)</f>
        <v>239091.96000000002</v>
      </c>
      <c r="BP30" s="234">
        <f>SUM(X30:Z30)</f>
        <v>0</v>
      </c>
      <c r="BQ30" s="239">
        <f>SUM(AA30:AC30)</f>
        <v>0</v>
      </c>
      <c r="BR30" s="155">
        <f t="shared" ref="BR30:BR32" si="23">SUM(BN30:BQ30)</f>
        <v>574655.20299999998</v>
      </c>
      <c r="BT30" s="156">
        <f t="shared" ref="BT30:BX32" si="24">BN30/BH30</f>
        <v>0.85639827181921713</v>
      </c>
      <c r="BU30" s="156">
        <f t="shared" si="24"/>
        <v>0.50199051914536674</v>
      </c>
      <c r="BV30" s="156">
        <f t="shared" si="24"/>
        <v>0</v>
      </c>
      <c r="BW30" s="156">
        <f t="shared" si="24"/>
        <v>0</v>
      </c>
      <c r="BX30" s="156">
        <f t="shared" si="24"/>
        <v>0.29131773492143598</v>
      </c>
      <c r="BZ30" s="138"/>
      <c r="CA30" s="138"/>
    </row>
    <row r="31" spans="1:79">
      <c r="A31" s="854"/>
      <c r="B31" s="157" t="s">
        <v>50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Performance'!AD6</f>
        <v>32712.477000000003</v>
      </c>
      <c r="S31" s="241">
        <f>'VN_YouTube Performance'!AD7</f>
        <v>23762.960000000003</v>
      </c>
      <c r="T31" s="215">
        <f>'VN_YouTube Performance'!AD8</f>
        <v>42691.080000000009</v>
      </c>
      <c r="U31" s="215">
        <f>'VN_YouTube Performance'!AD9</f>
        <v>53677.130000000005</v>
      </c>
      <c r="V31" s="215">
        <f>'VN_YouTube Performance'!AD10</f>
        <v>84308.000000000015</v>
      </c>
      <c r="W31" s="215">
        <f>'VN_YouTube Performance'!AD11</f>
        <v>0</v>
      </c>
      <c r="X31" s="215">
        <f>'VN_YouTube Performance'!AD12</f>
        <v>0</v>
      </c>
      <c r="Y31" s="215">
        <f>'VN_YouTube Performance'!AD13</f>
        <v>0</v>
      </c>
      <c r="Z31" s="215">
        <f>'VN_YouTube Performance'!AD14</f>
        <v>0</v>
      </c>
      <c r="AA31" s="215">
        <f>'VN_YouTube Performance'!AD15</f>
        <v>0</v>
      </c>
      <c r="AB31" s="215">
        <f>'VN_YouTube Performance'!AD16</f>
        <v>0</v>
      </c>
      <c r="AC31" s="215">
        <f>'VN_YouTube Performance'!AD17</f>
        <v>0</v>
      </c>
      <c r="AD31" s="214">
        <f>SUM(R31:AC31)</f>
        <v>237151.64700000006</v>
      </c>
      <c r="AE31" s="240"/>
      <c r="AF31" s="214">
        <f t="shared" si="20"/>
        <v>8788.7235514734748</v>
      </c>
      <c r="AG31" s="214">
        <f t="shared" si="20"/>
        <v>2410.8048341250142</v>
      </c>
      <c r="AH31" s="214">
        <f t="shared" si="20"/>
        <v>16338.122557651233</v>
      </c>
      <c r="AI31" s="214">
        <f t="shared" si="20"/>
        <v>26006.492813209992</v>
      </c>
      <c r="AJ31" s="214">
        <f t="shared" si="20"/>
        <v>54330.376908893086</v>
      </c>
      <c r="AK31" s="214">
        <f t="shared" si="20"/>
        <v>-29419.812704114142</v>
      </c>
      <c r="AL31" s="214">
        <f t="shared" si="20"/>
        <v>-31763.831373779591</v>
      </c>
      <c r="AM31" s="214">
        <f t="shared" si="20"/>
        <v>-31467.321649394311</v>
      </c>
      <c r="AN31" s="214">
        <f t="shared" si="20"/>
        <v>-33199.804412534511</v>
      </c>
      <c r="AO31" s="214">
        <f t="shared" si="20"/>
        <v>-35622.984348776459</v>
      </c>
      <c r="AP31" s="214">
        <f t="shared" si="20"/>
        <v>-34000.176869654315</v>
      </c>
      <c r="AQ31" s="214">
        <f t="shared" si="20"/>
        <v>-35852.406043792311</v>
      </c>
      <c r="AR31" s="214">
        <f>SUM(AF31:AQ31)</f>
        <v>-123451.81673669285</v>
      </c>
      <c r="AS31" s="151"/>
      <c r="AT31" s="216">
        <f t="shared" si="21"/>
        <v>1.3673639076068465</v>
      </c>
      <c r="AU31" s="216">
        <f t="shared" si="21"/>
        <v>1.1129068618786531</v>
      </c>
      <c r="AV31" s="216">
        <f t="shared" si="21"/>
        <v>1.6199730179579821</v>
      </c>
      <c r="AW31" s="216">
        <f t="shared" si="21"/>
        <v>1.9398588343901786</v>
      </c>
      <c r="AX31" s="216">
        <f t="shared" si="21"/>
        <v>2.8123644007323101</v>
      </c>
      <c r="AY31" s="216">
        <f t="shared" si="21"/>
        <v>0</v>
      </c>
      <c r="AZ31" s="216">
        <f t="shared" si="21"/>
        <v>0</v>
      </c>
      <c r="BA31" s="216">
        <f t="shared" si="21"/>
        <v>0</v>
      </c>
      <c r="BB31" s="216">
        <f t="shared" si="21"/>
        <v>0</v>
      </c>
      <c r="BC31" s="216">
        <f t="shared" si="21"/>
        <v>0</v>
      </c>
      <c r="BD31" s="216">
        <f t="shared" si="21"/>
        <v>0</v>
      </c>
      <c r="BE31" s="216">
        <f t="shared" si="21"/>
        <v>0</v>
      </c>
      <c r="BF31" s="216">
        <f t="shared" si="21"/>
        <v>0.6576521604716602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22"/>
        <v>360603.46373669285</v>
      </c>
      <c r="BN31" s="242">
        <f>SUM(R31:T31)</f>
        <v>99166.517000000022</v>
      </c>
      <c r="BO31" s="218">
        <f>SUM(U31:W31)</f>
        <v>137985.13</v>
      </c>
      <c r="BP31" s="218">
        <f>SUM(X31:Z31)</f>
        <v>0</v>
      </c>
      <c r="BQ31" s="242">
        <f>SUM(AA31:AC31)</f>
        <v>0</v>
      </c>
      <c r="BR31" s="162">
        <f t="shared" si="23"/>
        <v>237151.64700000003</v>
      </c>
      <c r="BT31" s="163">
        <f t="shared" si="24"/>
        <v>1.3844490700359842</v>
      </c>
      <c r="BU31" s="163">
        <f t="shared" si="24"/>
        <v>1.5847959564754437</v>
      </c>
      <c r="BV31" s="163">
        <f t="shared" si="24"/>
        <v>0</v>
      </c>
      <c r="BW31" s="163">
        <f t="shared" si="24"/>
        <v>0</v>
      </c>
      <c r="BX31" s="163">
        <f t="shared" si="24"/>
        <v>0.6576521604716602</v>
      </c>
      <c r="BZ31" s="138"/>
      <c r="CA31" s="138"/>
    </row>
    <row r="32" spans="1:79" ht="16.2" thickBot="1">
      <c r="A32" s="854"/>
      <c r="B32" s="164" t="s">
        <v>51</v>
      </c>
      <c r="C32" s="165"/>
      <c r="D32" s="220">
        <f>SUM(D30:D31)</f>
        <v>154793.67520307176</v>
      </c>
      <c r="E32" s="220">
        <f t="shared" ref="E32:P32" si="25">SUM(E30:E31)</f>
        <v>138154.68290723464</v>
      </c>
      <c r="F32" s="220">
        <f t="shared" si="25"/>
        <v>170511.33484334385</v>
      </c>
      <c r="G32" s="220">
        <f t="shared" si="25"/>
        <v>179037.10780875894</v>
      </c>
      <c r="H32" s="220">
        <f t="shared" si="25"/>
        <v>193963.98069846816</v>
      </c>
      <c r="I32" s="220">
        <f t="shared" si="25"/>
        <v>190354.78450545273</v>
      </c>
      <c r="J32" s="220">
        <f t="shared" si="25"/>
        <v>205521.27020774028</v>
      </c>
      <c r="K32" s="220">
        <f t="shared" si="25"/>
        <v>203602.76565243295</v>
      </c>
      <c r="L32" s="220">
        <f t="shared" si="25"/>
        <v>214812.43535202442</v>
      </c>
      <c r="M32" s="220">
        <f t="shared" si="25"/>
        <v>230491.11757955499</v>
      </c>
      <c r="N32" s="220">
        <f t="shared" si="25"/>
        <v>219991.07901408401</v>
      </c>
      <c r="O32" s="220">
        <f t="shared" si="25"/>
        <v>231975.54298208351</v>
      </c>
      <c r="P32" s="220">
        <f t="shared" si="25"/>
        <v>2333209.7767542503</v>
      </c>
      <c r="Q32" s="187"/>
      <c r="R32" s="220">
        <f t="shared" ref="R32:AD32" si="26">SUM(R30:R31)</f>
        <v>148369.26999999999</v>
      </c>
      <c r="S32" s="220">
        <f t="shared" si="26"/>
        <v>118213.66</v>
      </c>
      <c r="T32" s="221">
        <f t="shared" si="26"/>
        <v>168146.83</v>
      </c>
      <c r="U32" s="221">
        <f t="shared" si="26"/>
        <v>170290.55000000002</v>
      </c>
      <c r="V32" s="221">
        <f t="shared" si="26"/>
        <v>206786.54000000004</v>
      </c>
      <c r="W32" s="221">
        <f t="shared" si="26"/>
        <v>0</v>
      </c>
      <c r="X32" s="221">
        <f t="shared" si="26"/>
        <v>0</v>
      </c>
      <c r="Y32" s="221">
        <f t="shared" si="26"/>
        <v>0</v>
      </c>
      <c r="Z32" s="221">
        <f t="shared" si="26"/>
        <v>0</v>
      </c>
      <c r="AA32" s="221">
        <f t="shared" si="26"/>
        <v>0</v>
      </c>
      <c r="AB32" s="221">
        <f t="shared" si="26"/>
        <v>0</v>
      </c>
      <c r="AC32" s="221">
        <f t="shared" si="26"/>
        <v>0</v>
      </c>
      <c r="AD32" s="220">
        <f t="shared" si="26"/>
        <v>811806.85000000009</v>
      </c>
      <c r="AE32" s="238"/>
      <c r="AF32" s="220">
        <f t="shared" ref="AF32:AR32" si="27">SUM(AF30:AF31)</f>
        <v>-6424.4052030717758</v>
      </c>
      <c r="AG32" s="220">
        <f t="shared" si="27"/>
        <v>-19941.022907234652</v>
      </c>
      <c r="AH32" s="220">
        <f t="shared" si="27"/>
        <v>-2364.5048433438678</v>
      </c>
      <c r="AI32" s="220">
        <f t="shared" si="27"/>
        <v>-8746.5578087589347</v>
      </c>
      <c r="AJ32" s="220">
        <f t="shared" si="27"/>
        <v>12822.559301531874</v>
      </c>
      <c r="AK32" s="220">
        <f t="shared" si="27"/>
        <v>-190354.78450545273</v>
      </c>
      <c r="AL32" s="220">
        <f t="shared" si="27"/>
        <v>-205521.27020774028</v>
      </c>
      <c r="AM32" s="220">
        <f t="shared" si="27"/>
        <v>-203602.76565243295</v>
      </c>
      <c r="AN32" s="220">
        <f t="shared" si="27"/>
        <v>-214812.43535202442</v>
      </c>
      <c r="AO32" s="220">
        <f t="shared" si="27"/>
        <v>-230491.11757955499</v>
      </c>
      <c r="AP32" s="220">
        <f t="shared" si="27"/>
        <v>-219991.07901408401</v>
      </c>
      <c r="AQ32" s="220">
        <f t="shared" si="27"/>
        <v>-231975.54298208351</v>
      </c>
      <c r="AR32" s="220">
        <f t="shared" si="27"/>
        <v>-1521402.9267542502</v>
      </c>
      <c r="AS32" s="151"/>
      <c r="AT32" s="222">
        <f t="shared" si="21"/>
        <v>0.95849697867407258</v>
      </c>
      <c r="AU32" s="222">
        <f t="shared" si="21"/>
        <v>0.85566162154181746</v>
      </c>
      <c r="AV32" s="222">
        <f t="shared" si="21"/>
        <v>0.9861328582905281</v>
      </c>
      <c r="AW32" s="222">
        <f t="shared" si="21"/>
        <v>0.95114667615105974</v>
      </c>
      <c r="AX32" s="222">
        <f t="shared" si="21"/>
        <v>1.0661079405328637</v>
      </c>
      <c r="AY32" s="222">
        <f t="shared" si="21"/>
        <v>0</v>
      </c>
      <c r="AZ32" s="222">
        <f t="shared" si="21"/>
        <v>0</v>
      </c>
      <c r="BA32" s="222">
        <f t="shared" si="21"/>
        <v>0</v>
      </c>
      <c r="BB32" s="222">
        <f t="shared" si="21"/>
        <v>0</v>
      </c>
      <c r="BC32" s="222">
        <f t="shared" si="21"/>
        <v>0</v>
      </c>
      <c r="BD32" s="222">
        <f t="shared" si="21"/>
        <v>0</v>
      </c>
      <c r="BE32" s="222">
        <f t="shared" si="21"/>
        <v>0</v>
      </c>
      <c r="BF32" s="222">
        <f t="shared" si="21"/>
        <v>0.34793564560204787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22"/>
        <v>2333209.7767542503</v>
      </c>
      <c r="BN32" s="243">
        <f>SUM(BN30:BN31)</f>
        <v>434729.76</v>
      </c>
      <c r="BO32" s="224">
        <f>SUM(BO30:BO31)</f>
        <v>377077.09</v>
      </c>
      <c r="BP32" s="224">
        <f>SUM(BP30:BP31)</f>
        <v>0</v>
      </c>
      <c r="BQ32" s="243">
        <f>SUM(BQ30:BQ31)</f>
        <v>0</v>
      </c>
      <c r="BR32" s="171">
        <f t="shared" si="23"/>
        <v>811806.85000000009</v>
      </c>
      <c r="BT32" s="172">
        <f t="shared" si="24"/>
        <v>0.93800985632525447</v>
      </c>
      <c r="BU32" s="172">
        <f t="shared" si="24"/>
        <v>0.6693408342110474</v>
      </c>
      <c r="BV32" s="172">
        <f t="shared" si="24"/>
        <v>0</v>
      </c>
      <c r="BW32" s="172">
        <f t="shared" si="24"/>
        <v>0</v>
      </c>
      <c r="BX32" s="172">
        <f t="shared" si="24"/>
        <v>0.34793564560204787</v>
      </c>
      <c r="BZ32" s="138"/>
      <c r="CA32" s="138"/>
    </row>
    <row r="33" spans="1:85" ht="16.2" thickTop="1">
      <c r="A33" s="854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54"/>
      <c r="B34" s="150" t="s">
        <v>49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0</v>
      </c>
      <c r="X34" s="233">
        <f>'VN_YouTube Performance'!W12</f>
        <v>0</v>
      </c>
      <c r="Y34" s="233">
        <f>'VN_YouTube Performance'!W13</f>
        <v>0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81119.650999999998</v>
      </c>
      <c r="AE34" s="240"/>
      <c r="AF34" s="204">
        <f t="shared" ref="AF34:AQ35" si="28">R34-D34</f>
        <v>3071.2901534039192</v>
      </c>
      <c r="AG34" s="204">
        <f t="shared" si="28"/>
        <v>2726.8624661200993</v>
      </c>
      <c r="AH34" s="204">
        <f t="shared" si="28"/>
        <v>11650.617479572216</v>
      </c>
      <c r="AI34" s="204">
        <f t="shared" si="28"/>
        <v>17115.643653381238</v>
      </c>
      <c r="AJ34" s="204">
        <f t="shared" si="28"/>
        <v>15322.6291650489</v>
      </c>
      <c r="AK34" s="204">
        <f t="shared" si="28"/>
        <v>-7107.6570627724013</v>
      </c>
      <c r="AL34" s="204">
        <f t="shared" si="28"/>
        <v>-7673.9584536166822</v>
      </c>
      <c r="AM34" s="204">
        <f t="shared" si="28"/>
        <v>-7602.3234144033595</v>
      </c>
      <c r="AN34" s="204">
        <f t="shared" si="28"/>
        <v>-8020.8812574260282</v>
      </c>
      <c r="AO34" s="204">
        <f t="shared" si="28"/>
        <v>-8606.3075536916731</v>
      </c>
      <c r="AP34" s="204">
        <f t="shared" si="28"/>
        <v>-8214.246626706592</v>
      </c>
      <c r="AQ34" s="204">
        <f t="shared" si="28"/>
        <v>-8661.7345119572692</v>
      </c>
      <c r="AR34" s="204">
        <f>SUM(AF34:AQ34)</f>
        <v>-6000.0659630476293</v>
      </c>
      <c r="AS34" s="151"/>
      <c r="AT34" s="184">
        <f t="shared" ref="AT34:BE36" si="29">R34/D34</f>
        <v>1.5313797100853899</v>
      </c>
      <c r="AU34" s="184">
        <f t="shared" si="29"/>
        <v>1.5286094898061837</v>
      </c>
      <c r="AV34" s="184">
        <f t="shared" si="29"/>
        <v>2.8299238646243707</v>
      </c>
      <c r="AW34" s="184">
        <f t="shared" si="29"/>
        <v>3.5602802972984917</v>
      </c>
      <c r="AX34" s="184">
        <f t="shared" si="29"/>
        <v>3.1156778257214266</v>
      </c>
      <c r="AY34" s="184">
        <f t="shared" si="29"/>
        <v>0</v>
      </c>
      <c r="AZ34" s="184">
        <f t="shared" si="29"/>
        <v>0</v>
      </c>
      <c r="BA34" s="184">
        <f t="shared" si="29"/>
        <v>0</v>
      </c>
      <c r="BB34" s="184">
        <f t="shared" si="29"/>
        <v>0</v>
      </c>
      <c r="BC34" s="184">
        <f t="shared" si="29"/>
        <v>0</v>
      </c>
      <c r="BD34" s="184">
        <f t="shared" si="29"/>
        <v>0</v>
      </c>
      <c r="BE34" s="184">
        <f t="shared" si="29"/>
        <v>0</v>
      </c>
      <c r="BF34" s="184">
        <f>(AD34-P34)/P34</f>
        <v>-6.8871504318506846E-2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46365.760000000009</v>
      </c>
      <c r="BP34" s="234">
        <f>SUM(X34:Z34)</f>
        <v>0</v>
      </c>
      <c r="BQ34" s="239">
        <f>SUM(AA34:AC34)</f>
        <v>0</v>
      </c>
      <c r="BR34" s="155">
        <f>SUM(BN34:BQ34)</f>
        <v>81119.651000000013</v>
      </c>
      <c r="BT34" s="156">
        <f t="shared" ref="BT34:BX36" si="30">BN34/BH34</f>
        <v>2.0083009647268613</v>
      </c>
      <c r="BU34" s="156">
        <f t="shared" si="30"/>
        <v>2.2042045189431403</v>
      </c>
      <c r="BV34" s="156">
        <f t="shared" si="30"/>
        <v>0</v>
      </c>
      <c r="BW34" s="156">
        <f t="shared" si="30"/>
        <v>0</v>
      </c>
      <c r="BX34" s="156">
        <f t="shared" si="30"/>
        <v>0.93112849568149336</v>
      </c>
      <c r="BZ34" s="138"/>
      <c r="CA34" s="138"/>
    </row>
    <row r="35" spans="1:85">
      <c r="A35" s="854"/>
      <c r="B35" s="157" t="s">
        <v>50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0</v>
      </c>
      <c r="X35" s="215">
        <f>'VN_YouTube Performance'!AH12</f>
        <v>0</v>
      </c>
      <c r="Y35" s="215">
        <f>'VN_YouTube Performance'!AH13</f>
        <v>0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288187.26500000001</v>
      </c>
      <c r="AE35" s="240"/>
      <c r="AF35" s="214">
        <f t="shared" si="28"/>
        <v>286.01126136411585</v>
      </c>
      <c r="AG35" s="214">
        <f t="shared" si="28"/>
        <v>1106.5331102747859</v>
      </c>
      <c r="AH35" s="214">
        <f t="shared" si="28"/>
        <v>11256.986503706848</v>
      </c>
      <c r="AI35" s="214">
        <f t="shared" si="28"/>
        <v>88443.375534151171</v>
      </c>
      <c r="AJ35" s="214">
        <f t="shared" si="28"/>
        <v>143309.87945178704</v>
      </c>
      <c r="AK35" s="214">
        <f t="shared" si="28"/>
        <v>-9964.1074343945311</v>
      </c>
      <c r="AL35" s="214">
        <f t="shared" si="28"/>
        <v>-10757.996032111774</v>
      </c>
      <c r="AM35" s="214">
        <f t="shared" si="28"/>
        <v>-10657.572049850849</v>
      </c>
      <c r="AN35" s="214">
        <f t="shared" si="28"/>
        <v>-11244.341399940955</v>
      </c>
      <c r="AO35" s="214">
        <f t="shared" si="28"/>
        <v>-12065.040887745905</v>
      </c>
      <c r="AP35" s="214">
        <f t="shared" si="28"/>
        <v>-11515.417128072861</v>
      </c>
      <c r="AQ35" s="214">
        <f t="shared" si="28"/>
        <v>-12142.743028133738</v>
      </c>
      <c r="AR35" s="214">
        <f>SUM(AF35:AQ35)</f>
        <v>166055.56790103333</v>
      </c>
      <c r="AS35" s="151"/>
      <c r="AT35" s="184">
        <f t="shared" si="29"/>
        <v>1.0352984241466581</v>
      </c>
      <c r="AU35" s="184">
        <f t="shared" si="29"/>
        <v>1.1530115444753979</v>
      </c>
      <c r="AV35" s="184">
        <f t="shared" si="29"/>
        <v>2.2612299834267473</v>
      </c>
      <c r="AW35" s="184">
        <f t="shared" si="29"/>
        <v>10.43729762311632</v>
      </c>
      <c r="AX35" s="184">
        <f t="shared" si="29"/>
        <v>15.114985547542801</v>
      </c>
      <c r="AY35" s="184">
        <f t="shared" si="29"/>
        <v>0</v>
      </c>
      <c r="AZ35" s="184">
        <f t="shared" si="29"/>
        <v>0</v>
      </c>
      <c r="BA35" s="184">
        <f t="shared" si="29"/>
        <v>0</v>
      </c>
      <c r="BB35" s="184">
        <f t="shared" si="29"/>
        <v>0</v>
      </c>
      <c r="BC35" s="184">
        <f t="shared" si="29"/>
        <v>0</v>
      </c>
      <c r="BD35" s="184">
        <f t="shared" si="29"/>
        <v>0</v>
      </c>
      <c r="BE35" s="184">
        <f t="shared" si="29"/>
        <v>0</v>
      </c>
      <c r="BF35" s="184">
        <f>(AD35-P35)/P35</f>
        <v>1.3596434983333927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251277.97000000003</v>
      </c>
      <c r="BP35" s="218">
        <f>SUM(X35:Z35)</f>
        <v>0</v>
      </c>
      <c r="BQ35" s="242">
        <f>SUM(AA35:AC35)</f>
        <v>0</v>
      </c>
      <c r="BR35" s="162">
        <f>SUM(BN35:BQ35)</f>
        <v>288187.26500000001</v>
      </c>
      <c r="BT35" s="163">
        <f t="shared" si="30"/>
        <v>1.5214201923130208</v>
      </c>
      <c r="BU35" s="163">
        <f t="shared" si="30"/>
        <v>8.5211259432013602</v>
      </c>
      <c r="BV35" s="163">
        <f t="shared" si="30"/>
        <v>0</v>
      </c>
      <c r="BW35" s="163">
        <f t="shared" si="30"/>
        <v>0</v>
      </c>
      <c r="BX35" s="163">
        <f t="shared" si="30"/>
        <v>2.3596434983333929</v>
      </c>
      <c r="BZ35" s="138"/>
      <c r="CA35" s="138"/>
    </row>
    <row r="36" spans="1:85" ht="16.2" thickBot="1">
      <c r="A36" s="854"/>
      <c r="B36" s="164" t="s">
        <v>54</v>
      </c>
      <c r="C36" s="165"/>
      <c r="D36" s="220">
        <f t="shared" ref="D36:P36" si="31">SUM(D34:D35)</f>
        <v>13882.504585231964</v>
      </c>
      <c r="E36" s="220">
        <f t="shared" si="31"/>
        <v>12390.254423605116</v>
      </c>
      <c r="F36" s="220">
        <f t="shared" si="31"/>
        <v>15292.126016720935</v>
      </c>
      <c r="G36" s="220">
        <f t="shared" si="31"/>
        <v>16056.750812467582</v>
      </c>
      <c r="H36" s="220">
        <f t="shared" si="31"/>
        <v>17395.451383164098</v>
      </c>
      <c r="I36" s="220">
        <f t="shared" si="31"/>
        <v>17071.764497166932</v>
      </c>
      <c r="J36" s="220">
        <f t="shared" si="31"/>
        <v>18431.954485728456</v>
      </c>
      <c r="K36" s="220">
        <f t="shared" si="31"/>
        <v>18259.895464254208</v>
      </c>
      <c r="L36" s="220">
        <f t="shared" si="31"/>
        <v>19265.222657366983</v>
      </c>
      <c r="M36" s="220">
        <f t="shared" si="31"/>
        <v>20671.348441437578</v>
      </c>
      <c r="N36" s="220">
        <f t="shared" si="31"/>
        <v>19729.663754779453</v>
      </c>
      <c r="O36" s="220">
        <f t="shared" si="31"/>
        <v>20804.477540091008</v>
      </c>
      <c r="P36" s="220">
        <f t="shared" si="31"/>
        <v>209251.41406201432</v>
      </c>
      <c r="Q36" s="187"/>
      <c r="R36" s="220">
        <f t="shared" ref="R36:AD36" si="32">SUM(R34:R35)</f>
        <v>17239.805999999997</v>
      </c>
      <c r="S36" s="220">
        <f t="shared" si="32"/>
        <v>16223.650000000001</v>
      </c>
      <c r="T36" s="221">
        <f t="shared" si="32"/>
        <v>38199.729999999996</v>
      </c>
      <c r="U36" s="221">
        <f t="shared" si="32"/>
        <v>121615.76999999999</v>
      </c>
      <c r="V36" s="221">
        <f t="shared" si="32"/>
        <v>176027.96000000002</v>
      </c>
      <c r="W36" s="221">
        <f t="shared" si="32"/>
        <v>0</v>
      </c>
      <c r="X36" s="221">
        <f t="shared" si="32"/>
        <v>0</v>
      </c>
      <c r="Y36" s="221">
        <f t="shared" si="32"/>
        <v>0</v>
      </c>
      <c r="Z36" s="221">
        <f t="shared" si="32"/>
        <v>0</v>
      </c>
      <c r="AA36" s="221">
        <f t="shared" si="32"/>
        <v>0</v>
      </c>
      <c r="AB36" s="221">
        <f t="shared" si="32"/>
        <v>0</v>
      </c>
      <c r="AC36" s="221">
        <f t="shared" si="32"/>
        <v>0</v>
      </c>
      <c r="AD36" s="220">
        <f t="shared" si="32"/>
        <v>369306.91600000003</v>
      </c>
      <c r="AE36" s="238"/>
      <c r="AF36" s="220">
        <f t="shared" ref="AF36:AR36" si="33">SUM(AF34:AF35)</f>
        <v>3357.3014147680351</v>
      </c>
      <c r="AG36" s="220">
        <f t="shared" si="33"/>
        <v>3833.3955763948852</v>
      </c>
      <c r="AH36" s="220">
        <f t="shared" si="33"/>
        <v>22907.603983279063</v>
      </c>
      <c r="AI36" s="220">
        <f t="shared" si="33"/>
        <v>105559.01918753241</v>
      </c>
      <c r="AJ36" s="220">
        <f t="shared" si="33"/>
        <v>158632.50861683593</v>
      </c>
      <c r="AK36" s="220">
        <f t="shared" si="33"/>
        <v>-17071.764497166932</v>
      </c>
      <c r="AL36" s="220">
        <f t="shared" si="33"/>
        <v>-18431.954485728456</v>
      </c>
      <c r="AM36" s="220">
        <f t="shared" si="33"/>
        <v>-18259.895464254208</v>
      </c>
      <c r="AN36" s="220">
        <f t="shared" si="33"/>
        <v>-19265.222657366983</v>
      </c>
      <c r="AO36" s="220">
        <f t="shared" si="33"/>
        <v>-20671.348441437578</v>
      </c>
      <c r="AP36" s="220">
        <f t="shared" si="33"/>
        <v>-19729.663754779453</v>
      </c>
      <c r="AQ36" s="220">
        <f t="shared" si="33"/>
        <v>-20804.477540091008</v>
      </c>
      <c r="AR36" s="220">
        <f t="shared" si="33"/>
        <v>160055.50193798571</v>
      </c>
      <c r="AS36" s="151"/>
      <c r="AT36" s="184">
        <f t="shared" si="29"/>
        <v>1.241836866982885</v>
      </c>
      <c r="AU36" s="184">
        <f t="shared" si="29"/>
        <v>1.3093879629373668</v>
      </c>
      <c r="AV36" s="184">
        <f t="shared" si="29"/>
        <v>2.497999948354539</v>
      </c>
      <c r="AW36" s="184">
        <f t="shared" si="29"/>
        <v>7.5741207807478093</v>
      </c>
      <c r="AX36" s="184">
        <f t="shared" si="29"/>
        <v>10.119194732156579</v>
      </c>
      <c r="AY36" s="184">
        <f t="shared" si="29"/>
        <v>0</v>
      </c>
      <c r="AZ36" s="184">
        <f t="shared" si="29"/>
        <v>0</v>
      </c>
      <c r="BA36" s="184">
        <f t="shared" si="29"/>
        <v>0</v>
      </c>
      <c r="BB36" s="184">
        <f t="shared" si="29"/>
        <v>0</v>
      </c>
      <c r="BC36" s="184">
        <f t="shared" si="29"/>
        <v>0</v>
      </c>
      <c r="BD36" s="184">
        <f t="shared" si="29"/>
        <v>0</v>
      </c>
      <c r="BE36" s="184">
        <f t="shared" si="29"/>
        <v>0</v>
      </c>
      <c r="BF36" s="185">
        <f>(AD36-P36)/P36</f>
        <v>0.76489567659767987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297643.73000000004</v>
      </c>
      <c r="BP36" s="224">
        <f>SUM(BP34:BP35)</f>
        <v>0</v>
      </c>
      <c r="BQ36" s="243">
        <f>SUM(BQ34:BQ35)</f>
        <v>0</v>
      </c>
      <c r="BR36" s="171">
        <f>SUM(BN36:BQ36)</f>
        <v>369306.91600000003</v>
      </c>
      <c r="BT36" s="172">
        <f t="shared" si="30"/>
        <v>1.724128094085541</v>
      </c>
      <c r="BU36" s="172">
        <f t="shared" si="30"/>
        <v>5.8911393836071158</v>
      </c>
      <c r="BV36" s="172">
        <f t="shared" si="30"/>
        <v>0</v>
      </c>
      <c r="BW36" s="172">
        <f t="shared" si="30"/>
        <v>0</v>
      </c>
      <c r="BX36" s="172">
        <f t="shared" si="30"/>
        <v>1.76489567659768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55" t="s">
        <v>55</v>
      </c>
      <c r="B38" s="855"/>
      <c r="C38" s="244"/>
      <c r="D38" s="245">
        <f>SUM(D24,D28,D32,D36)</f>
        <v>168676.17978830374</v>
      </c>
      <c r="E38" s="245">
        <f t="shared" ref="E38:AR38" si="34">SUM(E24,E28,E32,E36)</f>
        <v>150544.93733083975</v>
      </c>
      <c r="F38" s="245">
        <f t="shared" si="34"/>
        <v>185803.46086006478</v>
      </c>
      <c r="G38" s="245">
        <f t="shared" si="34"/>
        <v>195093.85862122654</v>
      </c>
      <c r="H38" s="245">
        <f t="shared" si="34"/>
        <v>211359.43208163226</v>
      </c>
      <c r="I38" s="245">
        <f t="shared" si="34"/>
        <v>207426.54900261966</v>
      </c>
      <c r="J38" s="245">
        <f t="shared" si="34"/>
        <v>223953.22469346874</v>
      </c>
      <c r="K38" s="245">
        <f t="shared" si="34"/>
        <v>221862.66111668717</v>
      </c>
      <c r="L38" s="245">
        <f t="shared" si="34"/>
        <v>234077.65800939139</v>
      </c>
      <c r="M38" s="245">
        <f t="shared" si="34"/>
        <v>251162.46602099258</v>
      </c>
      <c r="N38" s="245">
        <f t="shared" si="34"/>
        <v>239720.74276886345</v>
      </c>
      <c r="O38" s="245">
        <f t="shared" si="34"/>
        <v>252780.02052217451</v>
      </c>
      <c r="P38" s="245">
        <f t="shared" si="34"/>
        <v>2542461.1908162646</v>
      </c>
      <c r="Q38" s="168"/>
      <c r="R38" s="245">
        <f t="shared" si="34"/>
        <v>165609.076</v>
      </c>
      <c r="S38" s="245">
        <f t="shared" si="34"/>
        <v>134437.31</v>
      </c>
      <c r="T38" s="245">
        <f t="shared" si="34"/>
        <v>206346.56</v>
      </c>
      <c r="U38" s="245">
        <f t="shared" si="34"/>
        <v>291906.32</v>
      </c>
      <c r="V38" s="245">
        <f t="shared" si="34"/>
        <v>382814.50000000006</v>
      </c>
      <c r="W38" s="245">
        <f t="shared" si="34"/>
        <v>0</v>
      </c>
      <c r="X38" s="245">
        <f t="shared" si="34"/>
        <v>0</v>
      </c>
      <c r="Y38" s="245">
        <f t="shared" si="34"/>
        <v>0</v>
      </c>
      <c r="Z38" s="245">
        <f t="shared" si="34"/>
        <v>0</v>
      </c>
      <c r="AA38" s="245">
        <f t="shared" si="34"/>
        <v>0</v>
      </c>
      <c r="AB38" s="245">
        <f t="shared" si="34"/>
        <v>0</v>
      </c>
      <c r="AC38" s="245">
        <f t="shared" si="34"/>
        <v>0</v>
      </c>
      <c r="AD38" s="245">
        <f t="shared" si="34"/>
        <v>1181113.7660000001</v>
      </c>
      <c r="AE38" s="246"/>
      <c r="AF38" s="245">
        <f t="shared" si="34"/>
        <v>-3067.1037883037407</v>
      </c>
      <c r="AG38" s="245">
        <f t="shared" si="34"/>
        <v>-16107.627330839767</v>
      </c>
      <c r="AH38" s="245">
        <f t="shared" si="34"/>
        <v>20543.099139935195</v>
      </c>
      <c r="AI38" s="245">
        <f t="shared" si="34"/>
        <v>96812.461378773471</v>
      </c>
      <c r="AJ38" s="245">
        <f t="shared" si="34"/>
        <v>171455.0679183678</v>
      </c>
      <c r="AK38" s="245">
        <f t="shared" si="34"/>
        <v>-207426.54900261966</v>
      </c>
      <c r="AL38" s="245">
        <f t="shared" si="34"/>
        <v>-223953.22469346874</v>
      </c>
      <c r="AM38" s="245">
        <f t="shared" si="34"/>
        <v>-221862.66111668717</v>
      </c>
      <c r="AN38" s="245">
        <f t="shared" si="34"/>
        <v>-234077.65800939139</v>
      </c>
      <c r="AO38" s="245">
        <f t="shared" si="34"/>
        <v>-251162.46602099258</v>
      </c>
      <c r="AP38" s="245">
        <f t="shared" si="34"/>
        <v>-239720.74276886345</v>
      </c>
      <c r="AQ38" s="245">
        <f t="shared" si="34"/>
        <v>-252780.02052217451</v>
      </c>
      <c r="AR38" s="245">
        <f t="shared" si="34"/>
        <v>-1361347.4248162645</v>
      </c>
      <c r="AS38" s="247"/>
      <c r="AT38" s="193">
        <f t="shared" ref="AT38:BF38" si="35">R38/D38</f>
        <v>0.98181661576546797</v>
      </c>
      <c r="AU38" s="193">
        <f t="shared" si="35"/>
        <v>0.89300452332421254</v>
      </c>
      <c r="AV38" s="193">
        <f t="shared" si="35"/>
        <v>1.1105635979267736</v>
      </c>
      <c r="AW38" s="193">
        <f t="shared" si="35"/>
        <v>1.4962353098296868</v>
      </c>
      <c r="AX38" s="193">
        <f t="shared" si="35"/>
        <v>1.8112014033617747</v>
      </c>
      <c r="AY38" s="193">
        <f t="shared" si="35"/>
        <v>0</v>
      </c>
      <c r="AZ38" s="193">
        <f t="shared" si="35"/>
        <v>0</v>
      </c>
      <c r="BA38" s="193">
        <f t="shared" si="35"/>
        <v>0</v>
      </c>
      <c r="BB38" s="193">
        <f t="shared" si="35"/>
        <v>0</v>
      </c>
      <c r="BC38" s="193">
        <f t="shared" si="35"/>
        <v>0</v>
      </c>
      <c r="BD38" s="193">
        <f t="shared" si="35"/>
        <v>0</v>
      </c>
      <c r="BE38" s="193">
        <f t="shared" si="35"/>
        <v>0</v>
      </c>
      <c r="BF38" s="193">
        <f t="shared" si="35"/>
        <v>0.46455527827380527</v>
      </c>
      <c r="BH38" s="245">
        <f t="shared" ref="BH38:BL38" si="36">SUM(BH24,BH28,BH32,BH36)</f>
        <v>505024.57797920826</v>
      </c>
      <c r="BI38" s="245">
        <f t="shared" si="36"/>
        <v>613879.83970547852</v>
      </c>
      <c r="BJ38" s="245">
        <f t="shared" si="36"/>
        <v>679893.54381954717</v>
      </c>
      <c r="BK38" s="245">
        <f t="shared" si="36"/>
        <v>743663.2293120306</v>
      </c>
      <c r="BL38" s="245">
        <f t="shared" si="36"/>
        <v>2542461.1908162646</v>
      </c>
      <c r="BN38" s="245">
        <f t="shared" ref="BN38:BR38" si="37">SUM(BN24,BN28,BN32,BN36)</f>
        <v>506392.946</v>
      </c>
      <c r="BO38" s="245">
        <f t="shared" si="37"/>
        <v>674720.82000000007</v>
      </c>
      <c r="BP38" s="245">
        <f t="shared" si="37"/>
        <v>0</v>
      </c>
      <c r="BQ38" s="245">
        <f t="shared" si="37"/>
        <v>0</v>
      </c>
      <c r="BR38" s="245">
        <f t="shared" si="37"/>
        <v>1181113.7660000001</v>
      </c>
      <c r="BT38" s="248">
        <f t="shared" ref="BT38:BX38" si="38">BN38/BH38</f>
        <v>1.0027095077753783</v>
      </c>
      <c r="BU38" s="248">
        <f t="shared" si="38"/>
        <v>1.0991089401530294</v>
      </c>
      <c r="BV38" s="248">
        <f t="shared" si="38"/>
        <v>0</v>
      </c>
      <c r="BW38" s="248">
        <f t="shared" si="38"/>
        <v>0</v>
      </c>
      <c r="BX38" s="248">
        <f t="shared" si="38"/>
        <v>0.46455527827380527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168.67617978830373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856" t="s">
        <v>56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857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857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857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857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857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857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857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857"/>
      <c r="B48" s="150" t="s">
        <v>49</v>
      </c>
      <c r="C48" s="151"/>
      <c r="D48" s="268">
        <f t="shared" ref="D48:P49" si="39">D30/D12</f>
        <v>1.9033167084063054E-4</v>
      </c>
      <c r="E48" s="268">
        <f t="shared" si="39"/>
        <v>1.9033167084063049E-4</v>
      </c>
      <c r="F48" s="268">
        <f t="shared" si="39"/>
        <v>1.9033167084063049E-4</v>
      </c>
      <c r="G48" s="268">
        <f t="shared" si="39"/>
        <v>1.9033167084063057E-4</v>
      </c>
      <c r="H48" s="268">
        <f t="shared" si="39"/>
        <v>1.9033167084063049E-4</v>
      </c>
      <c r="I48" s="268">
        <f t="shared" si="39"/>
        <v>1.9033167084063054E-4</v>
      </c>
      <c r="J48" s="268">
        <f t="shared" si="39"/>
        <v>1.9033167084063051E-4</v>
      </c>
      <c r="K48" s="268">
        <f t="shared" si="39"/>
        <v>1.9033167084063051E-4</v>
      </c>
      <c r="L48" s="268">
        <f t="shared" si="39"/>
        <v>1.9033167084063051E-4</v>
      </c>
      <c r="M48" s="268">
        <f t="shared" si="39"/>
        <v>1.9033167084063049E-4</v>
      </c>
      <c r="N48" s="268">
        <f t="shared" si="39"/>
        <v>1.9033167084063051E-4</v>
      </c>
      <c r="O48" s="268">
        <f t="shared" si="39"/>
        <v>1.9033167084063051E-4</v>
      </c>
      <c r="P48" s="268">
        <f t="shared" si="39"/>
        <v>1.9033167084063054E-4</v>
      </c>
      <c r="Q48" s="151"/>
      <c r="R48" s="268">
        <f>R30/R12</f>
        <v>1.9271916338608013E-4</v>
      </c>
      <c r="S48" s="268">
        <f t="shared" ref="S48:AD49" si="40">S30/S12</f>
        <v>1.6871166583865786E-4</v>
      </c>
      <c r="T48" s="268">
        <f t="shared" si="40"/>
        <v>2.2733137532162854E-4</v>
      </c>
      <c r="U48" s="268">
        <f t="shared" si="40"/>
        <v>2.1281263206471984E-4</v>
      </c>
      <c r="V48" s="268">
        <f t="shared" si="40"/>
        <v>2.1120000493311708E-4</v>
      </c>
      <c r="W48" s="268" t="e">
        <f t="shared" si="40"/>
        <v>#DIV/0!</v>
      </c>
      <c r="X48" s="268" t="e">
        <f t="shared" si="40"/>
        <v>#DIV/0!</v>
      </c>
      <c r="Y48" s="268" t="e">
        <f t="shared" si="40"/>
        <v>#DIV/0!</v>
      </c>
      <c r="Z48" s="268" t="e">
        <f t="shared" si="40"/>
        <v>#DIV/0!</v>
      </c>
      <c r="AA48" s="268" t="e">
        <f t="shared" si="40"/>
        <v>#DIV/0!</v>
      </c>
      <c r="AB48" s="268" t="e">
        <f t="shared" si="40"/>
        <v>#DIV/0!</v>
      </c>
      <c r="AC48" s="268" t="e">
        <f t="shared" si="40"/>
        <v>#DIV/0!</v>
      </c>
      <c r="AD48" s="268">
        <f t="shared" si="40"/>
        <v>2.0236409130763457E-4</v>
      </c>
      <c r="AE48" s="151"/>
      <c r="AF48" s="268">
        <f t="shared" ref="AF48:AR49" si="41">R48-D48</f>
        <v>2.3874925454495924E-6</v>
      </c>
      <c r="AG48" s="268">
        <f t="shared" si="41"/>
        <v>-2.1620005001972631E-5</v>
      </c>
      <c r="AH48" s="268">
        <f t="shared" si="41"/>
        <v>3.6999704480998049E-5</v>
      </c>
      <c r="AI48" s="268">
        <f t="shared" si="41"/>
        <v>2.2480961224089272E-5</v>
      </c>
      <c r="AJ48" s="268">
        <f t="shared" si="41"/>
        <v>2.086833409248659E-5</v>
      </c>
      <c r="AK48" s="268" t="e">
        <f t="shared" si="41"/>
        <v>#DIV/0!</v>
      </c>
      <c r="AL48" s="268" t="e">
        <f t="shared" si="41"/>
        <v>#DIV/0!</v>
      </c>
      <c r="AM48" s="268" t="e">
        <f t="shared" si="41"/>
        <v>#DIV/0!</v>
      </c>
      <c r="AN48" s="268" t="e">
        <f t="shared" si="41"/>
        <v>#DIV/0!</v>
      </c>
      <c r="AO48" s="268" t="e">
        <f t="shared" si="41"/>
        <v>#DIV/0!</v>
      </c>
      <c r="AP48" s="268" t="e">
        <f t="shared" si="41"/>
        <v>#DIV/0!</v>
      </c>
      <c r="AQ48" s="268" t="e">
        <f t="shared" si="41"/>
        <v>#DIV/0!</v>
      </c>
      <c r="AR48" s="268">
        <f t="shared" si="41"/>
        <v>1.2032420467004024E-5</v>
      </c>
      <c r="AS48" s="151"/>
      <c r="AT48" s="184">
        <f>(R48-D48)/D48</f>
        <v>1.2543853237376871E-2</v>
      </c>
      <c r="AU48" s="258">
        <f t="shared" ref="AU48:BF49" si="42">S48/E48</f>
        <v>0.88640878889737895</v>
      </c>
      <c r="AV48" s="258">
        <f t="shared" si="42"/>
        <v>1.1943959421865151</v>
      </c>
      <c r="AW48" s="258">
        <f t="shared" si="42"/>
        <v>1.1181146633389938</v>
      </c>
      <c r="AX48" s="258">
        <f t="shared" si="42"/>
        <v>1.1096419424067379</v>
      </c>
      <c r="AY48" s="258" t="e">
        <f t="shared" si="42"/>
        <v>#DIV/0!</v>
      </c>
      <c r="AZ48" s="258" t="e">
        <f t="shared" si="42"/>
        <v>#DIV/0!</v>
      </c>
      <c r="BA48" s="258" t="e">
        <f t="shared" si="42"/>
        <v>#DIV/0!</v>
      </c>
      <c r="BB48" s="258" t="e">
        <f t="shared" si="42"/>
        <v>#DIV/0!</v>
      </c>
      <c r="BC48" s="258" t="e">
        <f t="shared" si="42"/>
        <v>#DIV/0!</v>
      </c>
      <c r="BD48" s="258" t="e">
        <f t="shared" si="42"/>
        <v>#DIV/0!</v>
      </c>
      <c r="BE48" s="258" t="e">
        <f t="shared" si="42"/>
        <v>#DIV/0!</v>
      </c>
      <c r="BF48" s="258">
        <f t="shared" si="42"/>
        <v>1.0632181728551056</v>
      </c>
      <c r="BH48" s="258">
        <f t="shared" ref="BH48:BL49" si="43">AF48/R48</f>
        <v>1.2388454284988028E-2</v>
      </c>
      <c r="BI48" s="258">
        <f t="shared" si="43"/>
        <v>-0.12814765887409499</v>
      </c>
      <c r="BJ48" s="258">
        <f t="shared" si="43"/>
        <v>0.16275670011959786</v>
      </c>
      <c r="BK48" s="258">
        <f t="shared" si="43"/>
        <v>0.10563734401467503</v>
      </c>
      <c r="BL48" s="258">
        <f t="shared" si="43"/>
        <v>9.8808397751198845E-2</v>
      </c>
      <c r="BN48" s="258" t="e">
        <f t="shared" ref="BN48:BR49" si="44">AL48/X48</f>
        <v>#DIV/0!</v>
      </c>
      <c r="BO48" s="258" t="e">
        <f t="shared" si="44"/>
        <v>#DIV/0!</v>
      </c>
      <c r="BP48" s="258" t="e">
        <f t="shared" si="44"/>
        <v>#DIV/0!</v>
      </c>
      <c r="BQ48" s="258" t="e">
        <f t="shared" si="44"/>
        <v>#DIV/0!</v>
      </c>
      <c r="BR48" s="258" t="e">
        <f t="shared" si="44"/>
        <v>#DIV/0!</v>
      </c>
      <c r="BT48" s="156" t="e">
        <f t="shared" ref="BT48:BX50" si="45">BN48/BH48</f>
        <v>#DIV/0!</v>
      </c>
      <c r="BU48" s="156" t="e">
        <f t="shared" si="45"/>
        <v>#DIV/0!</v>
      </c>
      <c r="BV48" s="156" t="e">
        <f t="shared" si="45"/>
        <v>#DIV/0!</v>
      </c>
      <c r="BW48" s="156" t="e">
        <f t="shared" si="45"/>
        <v>#DIV/0!</v>
      </c>
      <c r="BX48" s="156" t="e">
        <f t="shared" si="45"/>
        <v>#DIV/0!</v>
      </c>
      <c r="BZ48" s="138"/>
      <c r="CA48" s="138"/>
    </row>
    <row r="49" spans="1:79">
      <c r="A49" s="857"/>
      <c r="B49" s="157" t="s">
        <v>50</v>
      </c>
      <c r="C49" s="158"/>
      <c r="D49" s="268">
        <f t="shared" si="39"/>
        <v>5.6702815725121088E-4</v>
      </c>
      <c r="E49" s="268">
        <f t="shared" si="39"/>
        <v>5.6702815725121077E-4</v>
      </c>
      <c r="F49" s="268">
        <f t="shared" si="39"/>
        <v>5.6702815725121077E-4</v>
      </c>
      <c r="G49" s="268">
        <f t="shared" si="39"/>
        <v>5.6702815725121088E-4</v>
      </c>
      <c r="H49" s="268">
        <f t="shared" si="39"/>
        <v>5.6702815725121066E-4</v>
      </c>
      <c r="I49" s="268">
        <f t="shared" si="39"/>
        <v>5.6702815725121077E-4</v>
      </c>
      <c r="J49" s="268">
        <f t="shared" si="39"/>
        <v>5.6702815725121077E-4</v>
      </c>
      <c r="K49" s="268">
        <f t="shared" si="39"/>
        <v>5.6702815725121088E-4</v>
      </c>
      <c r="L49" s="268">
        <f t="shared" si="39"/>
        <v>5.6702815725121077E-4</v>
      </c>
      <c r="M49" s="268">
        <f t="shared" si="39"/>
        <v>5.6702815725121077E-4</v>
      </c>
      <c r="N49" s="268">
        <f t="shared" si="39"/>
        <v>5.6702815725121077E-4</v>
      </c>
      <c r="O49" s="268">
        <f t="shared" si="39"/>
        <v>5.6702815725121077E-4</v>
      </c>
      <c r="P49" s="268">
        <f t="shared" si="39"/>
        <v>5.6702815725121088E-4</v>
      </c>
      <c r="Q49" s="151"/>
      <c r="R49" s="261">
        <f>R31/R13</f>
        <v>2.9178327116334655E-4</v>
      </c>
      <c r="S49" s="261">
        <f t="shared" si="40"/>
        <v>2.9512278932005179E-4</v>
      </c>
      <c r="T49" s="261">
        <f t="shared" si="40"/>
        <v>3.8277813124159036E-4</v>
      </c>
      <c r="U49" s="261">
        <f t="shared" si="40"/>
        <v>3.6798273207660836E-4</v>
      </c>
      <c r="V49" s="261">
        <f t="shared" si="40"/>
        <v>3.8945078219425929E-4</v>
      </c>
      <c r="W49" s="261" t="e">
        <f t="shared" si="40"/>
        <v>#DIV/0!</v>
      </c>
      <c r="X49" s="261" t="e">
        <f t="shared" si="40"/>
        <v>#DIV/0!</v>
      </c>
      <c r="Y49" s="261" t="e">
        <f t="shared" si="40"/>
        <v>#DIV/0!</v>
      </c>
      <c r="Z49" s="261" t="e">
        <f t="shared" si="40"/>
        <v>#DIV/0!</v>
      </c>
      <c r="AA49" s="261" t="e">
        <f t="shared" si="40"/>
        <v>#DIV/0!</v>
      </c>
      <c r="AB49" s="261" t="e">
        <f t="shared" si="40"/>
        <v>#DIV/0!</v>
      </c>
      <c r="AC49" s="261" t="e">
        <f t="shared" si="40"/>
        <v>#DIV/0!</v>
      </c>
      <c r="AD49" s="261">
        <f t="shared" si="40"/>
        <v>3.5581187032098177E-4</v>
      </c>
      <c r="AE49" s="151"/>
      <c r="AF49" s="261">
        <f t="shared" si="41"/>
        <v>-2.7524488608786433E-4</v>
      </c>
      <c r="AG49" s="261">
        <f t="shared" si="41"/>
        <v>-2.7190536793115898E-4</v>
      </c>
      <c r="AH49" s="261">
        <f t="shared" si="41"/>
        <v>-1.8425002600962041E-4</v>
      </c>
      <c r="AI49" s="261">
        <f t="shared" si="41"/>
        <v>-1.9904542517460252E-4</v>
      </c>
      <c r="AJ49" s="261">
        <f t="shared" si="41"/>
        <v>-1.7757737505695137E-4</v>
      </c>
      <c r="AK49" s="261" t="e">
        <f t="shared" si="41"/>
        <v>#DIV/0!</v>
      </c>
      <c r="AL49" s="261" t="e">
        <f t="shared" si="41"/>
        <v>#DIV/0!</v>
      </c>
      <c r="AM49" s="261" t="e">
        <f t="shared" si="41"/>
        <v>#DIV/0!</v>
      </c>
      <c r="AN49" s="261" t="e">
        <f t="shared" si="41"/>
        <v>#DIV/0!</v>
      </c>
      <c r="AO49" s="261" t="e">
        <f t="shared" si="41"/>
        <v>#DIV/0!</v>
      </c>
      <c r="AP49" s="261" t="e">
        <f t="shared" si="41"/>
        <v>#DIV/0!</v>
      </c>
      <c r="AQ49" s="261" t="e">
        <f t="shared" si="41"/>
        <v>#DIV/0!</v>
      </c>
      <c r="AR49" s="261">
        <f t="shared" si="41"/>
        <v>-2.1121628693022911E-4</v>
      </c>
      <c r="AS49" s="151"/>
      <c r="AT49" s="184">
        <f>(R49-D49)/D49</f>
        <v>-0.48541661038875428</v>
      </c>
      <c r="AU49" s="184">
        <f t="shared" si="42"/>
        <v>0.52047289988335343</v>
      </c>
      <c r="AV49" s="184">
        <f t="shared" si="42"/>
        <v>0.67506018236764209</v>
      </c>
      <c r="AW49" s="184">
        <f t="shared" si="42"/>
        <v>0.64896729972014544</v>
      </c>
      <c r="AX49" s="184">
        <f t="shared" si="42"/>
        <v>0.68682794181192808</v>
      </c>
      <c r="AY49" s="184" t="e">
        <f t="shared" si="42"/>
        <v>#DIV/0!</v>
      </c>
      <c r="AZ49" s="184" t="e">
        <f t="shared" si="42"/>
        <v>#DIV/0!</v>
      </c>
      <c r="BA49" s="184" t="e">
        <f t="shared" si="42"/>
        <v>#DIV/0!</v>
      </c>
      <c r="BB49" s="184" t="e">
        <f t="shared" si="42"/>
        <v>#DIV/0!</v>
      </c>
      <c r="BC49" s="184" t="e">
        <f t="shared" si="42"/>
        <v>#DIV/0!</v>
      </c>
      <c r="BD49" s="184" t="e">
        <f t="shared" si="42"/>
        <v>#DIV/0!</v>
      </c>
      <c r="BE49" s="184" t="e">
        <f t="shared" si="42"/>
        <v>#DIV/0!</v>
      </c>
      <c r="BF49" s="184">
        <f t="shared" si="42"/>
        <v>0.62750300099003054</v>
      </c>
      <c r="BH49" s="184">
        <f t="shared" si="43"/>
        <v>-0.94331962552361792</v>
      </c>
      <c r="BI49" s="184">
        <f t="shared" si="43"/>
        <v>-0.92132962201128354</v>
      </c>
      <c r="BJ49" s="184">
        <f t="shared" si="43"/>
        <v>-0.48134940575623175</v>
      </c>
      <c r="BK49" s="184">
        <f t="shared" si="43"/>
        <v>-0.54090968902628922</v>
      </c>
      <c r="BL49" s="184">
        <f t="shared" si="43"/>
        <v>-0.45596872101896357</v>
      </c>
      <c r="BN49" s="184" t="e">
        <f t="shared" si="44"/>
        <v>#DIV/0!</v>
      </c>
      <c r="BO49" s="184" t="e">
        <f t="shared" si="44"/>
        <v>#DIV/0!</v>
      </c>
      <c r="BP49" s="184" t="e">
        <f t="shared" si="44"/>
        <v>#DIV/0!</v>
      </c>
      <c r="BQ49" s="184" t="e">
        <f t="shared" si="44"/>
        <v>#DIV/0!</v>
      </c>
      <c r="BR49" s="184" t="e">
        <f t="shared" si="44"/>
        <v>#DIV/0!</v>
      </c>
      <c r="BT49" s="163" t="e">
        <f t="shared" si="45"/>
        <v>#DIV/0!</v>
      </c>
      <c r="BU49" s="163" t="e">
        <f t="shared" si="45"/>
        <v>#DIV/0!</v>
      </c>
      <c r="BV49" s="163" t="e">
        <f t="shared" si="45"/>
        <v>#DIV/0!</v>
      </c>
      <c r="BW49" s="163" t="e">
        <f t="shared" si="45"/>
        <v>#DIV/0!</v>
      </c>
      <c r="BX49" s="163" t="e">
        <f t="shared" si="45"/>
        <v>#DIV/0!</v>
      </c>
      <c r="BZ49" s="138"/>
      <c r="CA49" s="138"/>
    </row>
    <row r="50" spans="1:79" ht="16.2" thickBot="1">
      <c r="A50" s="857"/>
      <c r="B50" s="164" t="s">
        <v>57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45"/>
        <v>#DIV/0!</v>
      </c>
      <c r="BU50" s="172" t="e">
        <f t="shared" si="45"/>
        <v>#DIV/0!</v>
      </c>
      <c r="BV50" s="172" t="e">
        <f t="shared" si="45"/>
        <v>#DIV/0!</v>
      </c>
      <c r="BW50" s="172" t="e">
        <f t="shared" si="45"/>
        <v>#DIV/0!</v>
      </c>
      <c r="BX50" s="172" t="e">
        <f t="shared" si="45"/>
        <v>#DIV/0!</v>
      </c>
    </row>
    <row r="51" spans="1:79" ht="16.2" thickTop="1">
      <c r="A51" s="857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57"/>
      <c r="B52" s="150" t="s">
        <v>49</v>
      </c>
      <c r="C52" s="151"/>
      <c r="D52" s="268">
        <f t="shared" ref="D52:P53" si="46">D34/D16</f>
        <v>7.8971620814351478E-5</v>
      </c>
      <c r="E52" s="268">
        <f t="shared" si="46"/>
        <v>7.8971620814351478E-5</v>
      </c>
      <c r="F52" s="268">
        <f t="shared" si="46"/>
        <v>7.8971620814351464E-5</v>
      </c>
      <c r="G52" s="268">
        <f t="shared" si="46"/>
        <v>7.8971620814351491E-5</v>
      </c>
      <c r="H52" s="268">
        <f t="shared" si="46"/>
        <v>7.8971620814351464E-5</v>
      </c>
      <c r="I52" s="268">
        <f t="shared" si="46"/>
        <v>7.8971620814351464E-5</v>
      </c>
      <c r="J52" s="268">
        <f t="shared" si="46"/>
        <v>7.8971620814351491E-5</v>
      </c>
      <c r="K52" s="268">
        <f t="shared" si="46"/>
        <v>7.8971620814351464E-5</v>
      </c>
      <c r="L52" s="268">
        <f t="shared" si="46"/>
        <v>7.8971620814351464E-5</v>
      </c>
      <c r="M52" s="268">
        <f t="shared" si="46"/>
        <v>7.8971620814351491E-5</v>
      </c>
      <c r="N52" s="268">
        <f t="shared" si="46"/>
        <v>7.8971620814351464E-5</v>
      </c>
      <c r="O52" s="268">
        <f t="shared" si="46"/>
        <v>7.8971620814351464E-5</v>
      </c>
      <c r="P52" s="268">
        <f t="shared" si="46"/>
        <v>7.8971620814351478E-5</v>
      </c>
      <c r="Q52" s="151"/>
      <c r="R52" s="268">
        <f t="shared" ref="R52:AD53" si="47">R34/R16</f>
        <v>8.790366187271892E-5</v>
      </c>
      <c r="S52" s="268">
        <f t="shared" si="47"/>
        <v>8.9887832571540805E-5</v>
      </c>
      <c r="T52" s="268">
        <f t="shared" si="47"/>
        <v>1.1728003459816152E-4</v>
      </c>
      <c r="U52" s="268">
        <f t="shared" si="47"/>
        <v>1.288512977705049E-4</v>
      </c>
      <c r="V52" s="268">
        <f t="shared" si="47"/>
        <v>1.4394687905613211E-4</v>
      </c>
      <c r="W52" s="268" t="e">
        <f t="shared" si="47"/>
        <v>#DIV/0!</v>
      </c>
      <c r="X52" s="268" t="e">
        <f t="shared" si="47"/>
        <v>#DIV/0!</v>
      </c>
      <c r="Y52" s="268" t="e">
        <f t="shared" si="47"/>
        <v>#DIV/0!</v>
      </c>
      <c r="Z52" s="268" t="e">
        <f t="shared" si="47"/>
        <v>#DIV/0!</v>
      </c>
      <c r="AA52" s="268" t="e">
        <f t="shared" si="47"/>
        <v>#DIV/0!</v>
      </c>
      <c r="AB52" s="268" t="e">
        <f t="shared" si="47"/>
        <v>#DIV/0!</v>
      </c>
      <c r="AC52" s="268" t="e">
        <f t="shared" si="47"/>
        <v>#DIV/0!</v>
      </c>
      <c r="AD52" s="268">
        <f t="shared" si="47"/>
        <v>1.1867975884040504E-4</v>
      </c>
      <c r="AE52" s="151"/>
      <c r="AF52" s="268">
        <f t="shared" ref="AF52:AQ53" si="48">R52-D52</f>
        <v>8.9320410583674419E-6</v>
      </c>
      <c r="AG52" s="268">
        <f t="shared" si="48"/>
        <v>1.0916211757189327E-5</v>
      </c>
      <c r="AH52" s="268">
        <f t="shared" si="48"/>
        <v>3.8308413783810059E-5</v>
      </c>
      <c r="AI52" s="268">
        <f t="shared" si="48"/>
        <v>4.9879676956153407E-5</v>
      </c>
      <c r="AJ52" s="268">
        <f t="shared" si="48"/>
        <v>6.4975258241780642E-5</v>
      </c>
      <c r="AK52" s="268" t="e">
        <f t="shared" si="48"/>
        <v>#DIV/0!</v>
      </c>
      <c r="AL52" s="268" t="e">
        <f t="shared" si="48"/>
        <v>#DIV/0!</v>
      </c>
      <c r="AM52" s="268" t="e">
        <f t="shared" si="48"/>
        <v>#DIV/0!</v>
      </c>
      <c r="AN52" s="268" t="e">
        <f t="shared" si="48"/>
        <v>#DIV/0!</v>
      </c>
      <c r="AO52" s="268" t="e">
        <f t="shared" si="48"/>
        <v>#DIV/0!</v>
      </c>
      <c r="AP52" s="268" t="e">
        <f t="shared" si="48"/>
        <v>#DIV/0!</v>
      </c>
      <c r="AQ52" s="268" t="e">
        <f t="shared" si="48"/>
        <v>#DIV/0!</v>
      </c>
      <c r="AR52" s="268">
        <f>AR34/AR16</f>
        <v>1.4297432923635218E-5</v>
      </c>
      <c r="AS52" s="151"/>
      <c r="AT52" s="184">
        <f>(R52-D52)/D52</f>
        <v>0.11310444139629747</v>
      </c>
      <c r="AU52" s="258">
        <f t="shared" ref="AU52:AY53" si="49">S52/E52</f>
        <v>1.1382295518899306</v>
      </c>
      <c r="AV52" s="258">
        <f t="shared" si="49"/>
        <v>1.4850908894711237</v>
      </c>
      <c r="AW52" s="258">
        <f t="shared" si="49"/>
        <v>1.6316152111580922</v>
      </c>
      <c r="AX52" s="258">
        <f t="shared" si="49"/>
        <v>1.8227671861329295</v>
      </c>
      <c r="AY52" s="258" t="e">
        <f t="shared" si="49"/>
        <v>#DIV/0!</v>
      </c>
      <c r="AZ52" s="184" t="e">
        <f t="shared" ref="AZ52:BF53" si="50">(X52-J52)/J52</f>
        <v>#DIV/0!</v>
      </c>
      <c r="BA52" s="184" t="e">
        <f t="shared" si="50"/>
        <v>#DIV/0!</v>
      </c>
      <c r="BB52" s="184" t="e">
        <f t="shared" si="50"/>
        <v>#DIV/0!</v>
      </c>
      <c r="BC52" s="184" t="e">
        <f t="shared" si="50"/>
        <v>#DIV/0!</v>
      </c>
      <c r="BD52" s="184" t="e">
        <f t="shared" si="50"/>
        <v>#DIV/0!</v>
      </c>
      <c r="BE52" s="184" t="e">
        <f t="shared" si="50"/>
        <v>#DIV/0!</v>
      </c>
      <c r="BF52" s="184">
        <f t="shared" si="50"/>
        <v>0.50281528499206674</v>
      </c>
      <c r="BH52" s="268">
        <f t="shared" ref="BH52:BL53" si="51">BH34/BH16</f>
        <v>7.8971620814351491E-5</v>
      </c>
      <c r="BI52" s="268">
        <f t="shared" si="51"/>
        <v>7.8971620814351478E-5</v>
      </c>
      <c r="BJ52" s="268">
        <f t="shared" si="51"/>
        <v>7.8971620814351478E-5</v>
      </c>
      <c r="BK52" s="268">
        <f t="shared" si="51"/>
        <v>7.8971620814351478E-5</v>
      </c>
      <c r="BL52" s="268">
        <f t="shared" si="51"/>
        <v>7.8971620814351478E-5</v>
      </c>
      <c r="BN52" s="268">
        <f t="shared" ref="BN52:BR53" si="52">BN34/BN16</f>
        <v>1.0160677851076025E-4</v>
      </c>
      <c r="BO52" s="268">
        <f t="shared" si="52"/>
        <v>1.3578118386120265E-4</v>
      </c>
      <c r="BP52" s="268" t="e">
        <f t="shared" si="52"/>
        <v>#DIV/0!</v>
      </c>
      <c r="BQ52" s="268" t="e">
        <f t="shared" si="52"/>
        <v>#DIV/0!</v>
      </c>
      <c r="BR52" s="268">
        <f t="shared" si="52"/>
        <v>1.1867975884040507E-4</v>
      </c>
      <c r="BT52" s="156">
        <f t="shared" ref="BT52:BX54" si="53">BN52/BH52</f>
        <v>1.2866239474762722</v>
      </c>
      <c r="BU52" s="156">
        <f t="shared" si="53"/>
        <v>1.7193668112802263</v>
      </c>
      <c r="BV52" s="156" t="e">
        <f t="shared" si="53"/>
        <v>#DIV/0!</v>
      </c>
      <c r="BW52" s="156" t="e">
        <f t="shared" si="53"/>
        <v>#DIV/0!</v>
      </c>
      <c r="BX52" s="156">
        <f t="shared" si="53"/>
        <v>1.5028152849920671</v>
      </c>
      <c r="BZ52" s="138"/>
      <c r="CA52" s="138"/>
    </row>
    <row r="53" spans="1:79">
      <c r="A53" s="857"/>
      <c r="B53" s="157" t="s">
        <v>50</v>
      </c>
      <c r="C53" s="158"/>
      <c r="D53" s="261">
        <f t="shared" si="46"/>
        <v>8.3183241975371151E-4</v>
      </c>
      <c r="E53" s="261">
        <f t="shared" si="46"/>
        <v>8.3183241975371162E-4</v>
      </c>
      <c r="F53" s="261">
        <f t="shared" si="46"/>
        <v>8.3183241975371151E-4</v>
      </c>
      <c r="G53" s="261">
        <f t="shared" si="46"/>
        <v>8.3183241975371173E-4</v>
      </c>
      <c r="H53" s="261">
        <f t="shared" si="46"/>
        <v>8.318324197537114E-4</v>
      </c>
      <c r="I53" s="261">
        <f t="shared" si="46"/>
        <v>8.3183241975371151E-4</v>
      </c>
      <c r="J53" s="261">
        <f t="shared" si="46"/>
        <v>8.3183241975371151E-4</v>
      </c>
      <c r="K53" s="261">
        <f t="shared" si="46"/>
        <v>8.3183241975371151E-4</v>
      </c>
      <c r="L53" s="261">
        <f t="shared" si="46"/>
        <v>8.3183241975371162E-4</v>
      </c>
      <c r="M53" s="261">
        <f t="shared" si="46"/>
        <v>8.3183241975371151E-4</v>
      </c>
      <c r="N53" s="261">
        <f t="shared" si="46"/>
        <v>8.3183241975371151E-4</v>
      </c>
      <c r="O53" s="261">
        <f t="shared" si="46"/>
        <v>8.3183241975371151E-4</v>
      </c>
      <c r="P53" s="261">
        <f t="shared" si="46"/>
        <v>8.3183241975371162E-4</v>
      </c>
      <c r="Q53" s="151"/>
      <c r="R53" s="261">
        <f t="shared" si="47"/>
        <v>3.3159658378644521E-4</v>
      </c>
      <c r="S53" s="261">
        <f t="shared" si="47"/>
        <v>6.424761324157793E-4</v>
      </c>
      <c r="T53" s="261">
        <f t="shared" si="47"/>
        <v>1.2466133717114662E-3</v>
      </c>
      <c r="U53" s="261">
        <f t="shared" si="47"/>
        <v>5.6219098373809474E-4</v>
      </c>
      <c r="V53" s="261">
        <f t="shared" si="47"/>
        <v>6.2781603915197041E-4</v>
      </c>
      <c r="W53" s="261" t="e">
        <f t="shared" si="47"/>
        <v>#DIV/0!</v>
      </c>
      <c r="X53" s="261" t="e">
        <f t="shared" si="47"/>
        <v>#DIV/0!</v>
      </c>
      <c r="Y53" s="261" t="e">
        <f t="shared" si="47"/>
        <v>#DIV/0!</v>
      </c>
      <c r="Z53" s="261" t="e">
        <f t="shared" si="47"/>
        <v>#DIV/0!</v>
      </c>
      <c r="AA53" s="261" t="e">
        <f t="shared" si="47"/>
        <v>#DIV/0!</v>
      </c>
      <c r="AB53" s="261" t="e">
        <f t="shared" si="47"/>
        <v>#DIV/0!</v>
      </c>
      <c r="AC53" s="261" t="e">
        <f t="shared" si="47"/>
        <v>#DIV/0!</v>
      </c>
      <c r="AD53" s="261">
        <f t="shared" si="47"/>
        <v>6.0941171665633337E-4</v>
      </c>
      <c r="AE53" s="151"/>
      <c r="AF53" s="261">
        <f t="shared" si="48"/>
        <v>-5.0023583596726625E-4</v>
      </c>
      <c r="AG53" s="261">
        <f t="shared" si="48"/>
        <v>-1.8935628733793232E-4</v>
      </c>
      <c r="AH53" s="261">
        <f t="shared" si="48"/>
        <v>4.1478095195775471E-4</v>
      </c>
      <c r="AI53" s="261">
        <f t="shared" si="48"/>
        <v>-2.6964143601561699E-4</v>
      </c>
      <c r="AJ53" s="261">
        <f t="shared" si="48"/>
        <v>-2.0401638060174099E-4</v>
      </c>
      <c r="AK53" s="261" t="e">
        <f t="shared" si="48"/>
        <v>#DIV/0!</v>
      </c>
      <c r="AL53" s="261" t="e">
        <f t="shared" si="48"/>
        <v>#DIV/0!</v>
      </c>
      <c r="AM53" s="261" t="e">
        <f t="shared" si="48"/>
        <v>#DIV/0!</v>
      </c>
      <c r="AN53" s="261" t="e">
        <f t="shared" si="48"/>
        <v>#DIV/0!</v>
      </c>
      <c r="AO53" s="261" t="e">
        <f t="shared" si="48"/>
        <v>#DIV/0!</v>
      </c>
      <c r="AP53" s="261" t="e">
        <f t="shared" si="48"/>
        <v>#DIV/0!</v>
      </c>
      <c r="AQ53" s="261" t="e">
        <f t="shared" si="48"/>
        <v>#DIV/0!</v>
      </c>
      <c r="AR53" s="261">
        <f>AR35/AR17</f>
        <v>5.092608701865246E-4</v>
      </c>
      <c r="AS53" s="151"/>
      <c r="AT53" s="184">
        <f>(R53-D53)/D53</f>
        <v>-0.60136612145433788</v>
      </c>
      <c r="AU53" s="184">
        <f t="shared" si="49"/>
        <v>0.77236245806096759</v>
      </c>
      <c r="AV53" s="184">
        <f t="shared" si="49"/>
        <v>1.4986352324192447</v>
      </c>
      <c r="AW53" s="184">
        <f t="shared" si="49"/>
        <v>0.67584644501418667</v>
      </c>
      <c r="AX53" s="184">
        <f t="shared" si="49"/>
        <v>0.75473860388592928</v>
      </c>
      <c r="AY53" s="184" t="e">
        <f t="shared" si="49"/>
        <v>#DIV/0!</v>
      </c>
      <c r="AZ53" s="184" t="e">
        <f t="shared" si="50"/>
        <v>#DIV/0!</v>
      </c>
      <c r="BA53" s="184" t="e">
        <f t="shared" si="50"/>
        <v>#DIV/0!</v>
      </c>
      <c r="BB53" s="184" t="e">
        <f t="shared" si="50"/>
        <v>#DIV/0!</v>
      </c>
      <c r="BC53" s="184" t="e">
        <f t="shared" si="50"/>
        <v>#DIV/0!</v>
      </c>
      <c r="BD53" s="184" t="e">
        <f t="shared" si="50"/>
        <v>#DIV/0!</v>
      </c>
      <c r="BE53" s="184" t="e">
        <f t="shared" si="50"/>
        <v>#DIV/0!</v>
      </c>
      <c r="BF53" s="184">
        <f t="shared" si="50"/>
        <v>-0.26738643242978244</v>
      </c>
      <c r="BH53" s="261">
        <f t="shared" si="51"/>
        <v>8.3183241975371162E-4</v>
      </c>
      <c r="BI53" s="261">
        <f t="shared" si="51"/>
        <v>8.3183241975371151E-4</v>
      </c>
      <c r="BJ53" s="261">
        <f t="shared" si="51"/>
        <v>8.318324197537114E-4</v>
      </c>
      <c r="BK53" s="261">
        <f t="shared" si="51"/>
        <v>8.3183241975371151E-4</v>
      </c>
      <c r="BL53" s="261">
        <f t="shared" si="51"/>
        <v>8.3183241975371151E-4</v>
      </c>
      <c r="BN53" s="261">
        <f t="shared" si="52"/>
        <v>6.7765902249261373E-4</v>
      </c>
      <c r="BO53" s="261">
        <f t="shared" si="52"/>
        <v>6.0052811721982935E-4</v>
      </c>
      <c r="BP53" s="261" t="e">
        <f t="shared" si="52"/>
        <v>#DIV/0!</v>
      </c>
      <c r="BQ53" s="261" t="e">
        <f t="shared" si="52"/>
        <v>#DIV/0!</v>
      </c>
      <c r="BR53" s="261">
        <f t="shared" si="52"/>
        <v>6.0941171665633337E-4</v>
      </c>
      <c r="BT53" s="163">
        <f t="shared" si="53"/>
        <v>0.81465810468562228</v>
      </c>
      <c r="BU53" s="163">
        <f t="shared" si="53"/>
        <v>0.72193401334085217</v>
      </c>
      <c r="BV53" s="163" t="e">
        <f t="shared" si="53"/>
        <v>#DIV/0!</v>
      </c>
      <c r="BW53" s="163" t="e">
        <f t="shared" si="53"/>
        <v>#DIV/0!</v>
      </c>
      <c r="BX53" s="163">
        <f t="shared" si="53"/>
        <v>0.73261356757021767</v>
      </c>
      <c r="BZ53" s="138"/>
      <c r="CA53" s="138"/>
    </row>
    <row r="54" spans="1:79" ht="16.2" thickBot="1">
      <c r="A54" s="858"/>
      <c r="B54" s="164" t="s">
        <v>54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53"/>
        <v>#DIV/0!</v>
      </c>
      <c r="BU54" s="172" t="e">
        <f t="shared" si="53"/>
        <v>#DIV/0!</v>
      </c>
      <c r="BV54" s="172" t="e">
        <f t="shared" si="53"/>
        <v>#DIV/0!</v>
      </c>
      <c r="BW54" s="172" t="e">
        <f t="shared" si="53"/>
        <v>#DIV/0!</v>
      </c>
      <c r="BX54" s="172" t="e">
        <f t="shared" si="53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58</v>
      </c>
    </row>
    <row r="57" spans="1:79" ht="16.05" hidden="1" customHeight="1">
      <c r="A57" s="851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852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851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852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851" t="s">
        <v>57</v>
      </c>
      <c r="B63" s="271" t="s">
        <v>49</v>
      </c>
      <c r="C63" s="272"/>
      <c r="D63" s="281">
        <f t="shared" ref="D63:P64" si="54">D48*1000</f>
        <v>0.19033167084063055</v>
      </c>
      <c r="E63" s="281">
        <f t="shared" si="54"/>
        <v>0.19033167084063049</v>
      </c>
      <c r="F63" s="281">
        <f t="shared" si="54"/>
        <v>0.19033167084063049</v>
      </c>
      <c r="G63" s="281">
        <f t="shared" si="54"/>
        <v>0.19033167084063057</v>
      </c>
      <c r="H63" s="281">
        <f t="shared" si="54"/>
        <v>0.19033167084063049</v>
      </c>
      <c r="I63" s="281">
        <f t="shared" si="54"/>
        <v>0.19033167084063055</v>
      </c>
      <c r="J63" s="281">
        <f t="shared" si="54"/>
        <v>0.19033167084063052</v>
      </c>
      <c r="K63" s="281">
        <f t="shared" si="54"/>
        <v>0.19033167084063052</v>
      </c>
      <c r="L63" s="281">
        <f t="shared" si="54"/>
        <v>0.19033167084063052</v>
      </c>
      <c r="M63" s="281">
        <f t="shared" si="54"/>
        <v>0.19033167084063049</v>
      </c>
      <c r="N63" s="281">
        <f t="shared" si="54"/>
        <v>0.19033167084063052</v>
      </c>
      <c r="O63" s="281">
        <f t="shared" si="54"/>
        <v>0.19033167084063052</v>
      </c>
      <c r="P63" s="281">
        <f t="shared" si="54"/>
        <v>0.19033167084063055</v>
      </c>
      <c r="Q63" s="257"/>
      <c r="R63" s="281">
        <f t="shared" ref="R63:AD64" si="55">R48*1000</f>
        <v>0.19271916338608014</v>
      </c>
      <c r="S63" s="281">
        <f t="shared" si="55"/>
        <v>0.16871166583865785</v>
      </c>
      <c r="T63" s="281">
        <f t="shared" si="55"/>
        <v>0.22733137532162853</v>
      </c>
      <c r="U63" s="281">
        <f t="shared" si="55"/>
        <v>0.21281263206471984</v>
      </c>
      <c r="V63" s="281">
        <f t="shared" si="55"/>
        <v>0.21120000493311708</v>
      </c>
      <c r="W63" s="281" t="e">
        <f t="shared" si="55"/>
        <v>#DIV/0!</v>
      </c>
      <c r="X63" s="281" t="e">
        <f t="shared" si="55"/>
        <v>#DIV/0!</v>
      </c>
      <c r="Y63" s="281" t="e">
        <f t="shared" si="55"/>
        <v>#DIV/0!</v>
      </c>
      <c r="Z63" s="281" t="e">
        <f t="shared" si="55"/>
        <v>#DIV/0!</v>
      </c>
      <c r="AA63" s="281" t="e">
        <f t="shared" si="55"/>
        <v>#DIV/0!</v>
      </c>
      <c r="AB63" s="281" t="e">
        <f t="shared" si="55"/>
        <v>#DIV/0!</v>
      </c>
      <c r="AC63" s="281" t="e">
        <f t="shared" si="55"/>
        <v>#DIV/0!</v>
      </c>
      <c r="AD63" s="281">
        <f t="shared" si="55"/>
        <v>0.20236409130763455</v>
      </c>
      <c r="AE63" s="257"/>
      <c r="AF63" s="256">
        <f t="shared" ref="AF63:AR64" si="56">R63-D63</f>
        <v>2.3874925454495932E-3</v>
      </c>
      <c r="AG63" s="256">
        <f t="shared" si="56"/>
        <v>-2.1620005001972642E-2</v>
      </c>
      <c r="AH63" s="256">
        <f t="shared" si="56"/>
        <v>3.6999704480998041E-2</v>
      </c>
      <c r="AI63" s="256">
        <f t="shared" si="56"/>
        <v>2.2480961224089269E-2</v>
      </c>
      <c r="AJ63" s="256">
        <f t="shared" si="56"/>
        <v>2.086833409248659E-2</v>
      </c>
      <c r="AK63" s="256" t="e">
        <f t="shared" si="56"/>
        <v>#DIV/0!</v>
      </c>
      <c r="AL63" s="256" t="e">
        <f t="shared" si="56"/>
        <v>#DIV/0!</v>
      </c>
      <c r="AM63" s="256" t="e">
        <f t="shared" si="56"/>
        <v>#DIV/0!</v>
      </c>
      <c r="AN63" s="256" t="e">
        <f t="shared" si="56"/>
        <v>#DIV/0!</v>
      </c>
      <c r="AO63" s="256" t="e">
        <f t="shared" si="56"/>
        <v>#DIV/0!</v>
      </c>
      <c r="AP63" s="256" t="e">
        <f t="shared" si="56"/>
        <v>#DIV/0!</v>
      </c>
      <c r="AQ63" s="256" t="e">
        <f t="shared" si="56"/>
        <v>#DIV/0!</v>
      </c>
      <c r="AR63" s="256">
        <f t="shared" si="56"/>
        <v>1.2032420467004007E-2</v>
      </c>
      <c r="AS63" s="257"/>
      <c r="AT63" s="258">
        <f t="shared" ref="AT63:BF64" si="57">R63/D63</f>
        <v>1.0125438532373769</v>
      </c>
      <c r="AU63" s="258">
        <f t="shared" si="57"/>
        <v>0.88640878889737895</v>
      </c>
      <c r="AV63" s="258">
        <f t="shared" si="57"/>
        <v>1.1943959421865151</v>
      </c>
      <c r="AW63" s="258">
        <f t="shared" si="57"/>
        <v>1.1181146633389938</v>
      </c>
      <c r="AX63" s="258">
        <f t="shared" si="57"/>
        <v>1.1096419424067379</v>
      </c>
      <c r="AY63" s="258" t="e">
        <f t="shared" si="57"/>
        <v>#DIV/0!</v>
      </c>
      <c r="AZ63" s="258" t="e">
        <f t="shared" si="57"/>
        <v>#DIV/0!</v>
      </c>
      <c r="BA63" s="258" t="e">
        <f t="shared" si="57"/>
        <v>#DIV/0!</v>
      </c>
      <c r="BB63" s="258" t="e">
        <f t="shared" si="57"/>
        <v>#DIV/0!</v>
      </c>
      <c r="BC63" s="258" t="e">
        <f t="shared" si="57"/>
        <v>#DIV/0!</v>
      </c>
      <c r="BD63" s="258" t="e">
        <f t="shared" si="57"/>
        <v>#DIV/0!</v>
      </c>
      <c r="BE63" s="258" t="e">
        <f t="shared" si="57"/>
        <v>#DIV/0!</v>
      </c>
      <c r="BF63" s="258">
        <f t="shared" si="57"/>
        <v>1.0632181728551053</v>
      </c>
      <c r="BH63" s="282">
        <f t="shared" ref="BH63:BL64" si="58">BH48*1000</f>
        <v>12.388454284988027</v>
      </c>
      <c r="BI63" s="282">
        <f t="shared" si="58"/>
        <v>-128.14765887409499</v>
      </c>
      <c r="BJ63" s="282">
        <f t="shared" si="58"/>
        <v>162.75670011959787</v>
      </c>
      <c r="BK63" s="282">
        <f t="shared" si="58"/>
        <v>105.63734401467504</v>
      </c>
      <c r="BL63" s="282">
        <f t="shared" si="58"/>
        <v>98.808397751198839</v>
      </c>
      <c r="BN63" s="274" t="e">
        <f t="shared" ref="BN63:BR64" si="59">BN48*1000</f>
        <v>#DIV/0!</v>
      </c>
      <c r="BO63" s="274" t="e">
        <f t="shared" si="59"/>
        <v>#DIV/0!</v>
      </c>
      <c r="BP63" s="274" t="e">
        <f t="shared" si="59"/>
        <v>#DIV/0!</v>
      </c>
      <c r="BQ63" s="274" t="e">
        <f t="shared" si="59"/>
        <v>#DIV/0!</v>
      </c>
      <c r="BR63" s="274" t="e">
        <f t="shared" si="59"/>
        <v>#DIV/0!</v>
      </c>
      <c r="BT63" s="212" t="e">
        <f t="shared" ref="BT63:BX64" si="60">BN63/BH63</f>
        <v>#DIV/0!</v>
      </c>
      <c r="BU63" s="212" t="e">
        <f t="shared" si="60"/>
        <v>#DIV/0!</v>
      </c>
      <c r="BV63" s="212" t="e">
        <f t="shared" si="60"/>
        <v>#DIV/0!</v>
      </c>
      <c r="BW63" s="212" t="e">
        <f t="shared" si="60"/>
        <v>#DIV/0!</v>
      </c>
      <c r="BX63" s="212" t="e">
        <f t="shared" si="60"/>
        <v>#DIV/0!</v>
      </c>
      <c r="BZ63" s="138"/>
      <c r="CA63" s="138"/>
    </row>
    <row r="64" spans="1:79" ht="15.6" thickBot="1">
      <c r="A64" s="852"/>
      <c r="B64" s="275" t="s">
        <v>50</v>
      </c>
      <c r="C64" s="276"/>
      <c r="D64" s="283">
        <f t="shared" si="54"/>
        <v>0.56702815725121092</v>
      </c>
      <c r="E64" s="283">
        <f t="shared" si="54"/>
        <v>0.56702815725121081</v>
      </c>
      <c r="F64" s="283">
        <f t="shared" si="54"/>
        <v>0.56702815725121081</v>
      </c>
      <c r="G64" s="283">
        <f t="shared" si="54"/>
        <v>0.56702815725121092</v>
      </c>
      <c r="H64" s="283">
        <f t="shared" si="54"/>
        <v>0.5670281572512107</v>
      </c>
      <c r="I64" s="283">
        <f t="shared" si="54"/>
        <v>0.56702815725121081</v>
      </c>
      <c r="J64" s="283">
        <f t="shared" si="54"/>
        <v>0.56702815725121081</v>
      </c>
      <c r="K64" s="283">
        <f t="shared" si="54"/>
        <v>0.56702815725121092</v>
      </c>
      <c r="L64" s="283">
        <f t="shared" si="54"/>
        <v>0.56702815725121081</v>
      </c>
      <c r="M64" s="283">
        <f t="shared" si="54"/>
        <v>0.56702815725121081</v>
      </c>
      <c r="N64" s="283">
        <f t="shared" si="54"/>
        <v>0.56702815725121081</v>
      </c>
      <c r="O64" s="283">
        <f t="shared" si="54"/>
        <v>0.56702815725121081</v>
      </c>
      <c r="P64" s="283">
        <f t="shared" si="54"/>
        <v>0.56702815725121092</v>
      </c>
      <c r="Q64" s="257"/>
      <c r="R64" s="283">
        <f t="shared" si="55"/>
        <v>0.29178327116334657</v>
      </c>
      <c r="S64" s="283">
        <f t="shared" si="55"/>
        <v>0.29512278932005181</v>
      </c>
      <c r="T64" s="283">
        <f t="shared" si="55"/>
        <v>0.38277813124159038</v>
      </c>
      <c r="U64" s="283">
        <f t="shared" si="55"/>
        <v>0.36798273207660837</v>
      </c>
      <c r="V64" s="283">
        <f t="shared" si="55"/>
        <v>0.38945078219425927</v>
      </c>
      <c r="W64" s="283" t="e">
        <f t="shared" si="55"/>
        <v>#DIV/0!</v>
      </c>
      <c r="X64" s="283" t="e">
        <f t="shared" si="55"/>
        <v>#DIV/0!</v>
      </c>
      <c r="Y64" s="283" t="e">
        <f t="shared" si="55"/>
        <v>#DIV/0!</v>
      </c>
      <c r="Z64" s="283" t="e">
        <f t="shared" si="55"/>
        <v>#DIV/0!</v>
      </c>
      <c r="AA64" s="283" t="e">
        <f t="shared" si="55"/>
        <v>#DIV/0!</v>
      </c>
      <c r="AB64" s="283" t="e">
        <f t="shared" si="55"/>
        <v>#DIV/0!</v>
      </c>
      <c r="AC64" s="283" t="e">
        <f t="shared" si="55"/>
        <v>#DIV/0!</v>
      </c>
      <c r="AD64" s="283">
        <f t="shared" si="55"/>
        <v>0.35581187032098177</v>
      </c>
      <c r="AE64" s="257"/>
      <c r="AF64" s="261">
        <f t="shared" si="56"/>
        <v>-0.27524488608786435</v>
      </c>
      <c r="AG64" s="261">
        <f t="shared" si="56"/>
        <v>-0.27190536793115899</v>
      </c>
      <c r="AH64" s="261">
        <f t="shared" si="56"/>
        <v>-0.18425002600962043</v>
      </c>
      <c r="AI64" s="261">
        <f t="shared" si="56"/>
        <v>-0.19904542517460255</v>
      </c>
      <c r="AJ64" s="261">
        <f t="shared" si="56"/>
        <v>-0.17757737505695143</v>
      </c>
      <c r="AK64" s="261" t="e">
        <f t="shared" si="56"/>
        <v>#DIV/0!</v>
      </c>
      <c r="AL64" s="261" t="e">
        <f t="shared" si="56"/>
        <v>#DIV/0!</v>
      </c>
      <c r="AM64" s="261" t="e">
        <f t="shared" si="56"/>
        <v>#DIV/0!</v>
      </c>
      <c r="AN64" s="261" t="e">
        <f t="shared" si="56"/>
        <v>#DIV/0!</v>
      </c>
      <c r="AO64" s="261" t="e">
        <f t="shared" si="56"/>
        <v>#DIV/0!</v>
      </c>
      <c r="AP64" s="261" t="e">
        <f t="shared" si="56"/>
        <v>#DIV/0!</v>
      </c>
      <c r="AQ64" s="261" t="e">
        <f t="shared" si="56"/>
        <v>#DIV/0!</v>
      </c>
      <c r="AR64" s="261">
        <f t="shared" si="56"/>
        <v>-0.21121628693022915</v>
      </c>
      <c r="AS64" s="257"/>
      <c r="AT64" s="184">
        <f t="shared" si="57"/>
        <v>0.51458338961124572</v>
      </c>
      <c r="AU64" s="184">
        <f t="shared" si="57"/>
        <v>0.52047289988335343</v>
      </c>
      <c r="AV64" s="184">
        <f t="shared" si="57"/>
        <v>0.67506018236764209</v>
      </c>
      <c r="AW64" s="184">
        <f t="shared" si="57"/>
        <v>0.64896729972014544</v>
      </c>
      <c r="AX64" s="184">
        <f t="shared" si="57"/>
        <v>0.68682794181192797</v>
      </c>
      <c r="AY64" s="184" t="e">
        <f t="shared" si="57"/>
        <v>#DIV/0!</v>
      </c>
      <c r="AZ64" s="184" t="e">
        <f t="shared" si="57"/>
        <v>#DIV/0!</v>
      </c>
      <c r="BA64" s="184" t="e">
        <f t="shared" si="57"/>
        <v>#DIV/0!</v>
      </c>
      <c r="BB64" s="184" t="e">
        <f t="shared" si="57"/>
        <v>#DIV/0!</v>
      </c>
      <c r="BC64" s="184" t="e">
        <f t="shared" si="57"/>
        <v>#DIV/0!</v>
      </c>
      <c r="BD64" s="184" t="e">
        <f t="shared" si="57"/>
        <v>#DIV/0!</v>
      </c>
      <c r="BE64" s="184" t="e">
        <f t="shared" si="57"/>
        <v>#DIV/0!</v>
      </c>
      <c r="BF64" s="184">
        <f t="shared" si="57"/>
        <v>0.62750300099003054</v>
      </c>
      <c r="BH64" s="284">
        <f t="shared" si="58"/>
        <v>-943.3196255236179</v>
      </c>
      <c r="BI64" s="284">
        <f t="shared" si="58"/>
        <v>-921.3296220112835</v>
      </c>
      <c r="BJ64" s="284">
        <f t="shared" si="58"/>
        <v>-481.34940575623176</v>
      </c>
      <c r="BK64" s="284">
        <f t="shared" si="58"/>
        <v>-540.90968902628924</v>
      </c>
      <c r="BL64" s="284">
        <f t="shared" si="58"/>
        <v>-455.96872101896355</v>
      </c>
      <c r="BN64" s="274" t="e">
        <f t="shared" si="59"/>
        <v>#DIV/0!</v>
      </c>
      <c r="BO64" s="274" t="e">
        <f t="shared" si="59"/>
        <v>#DIV/0!</v>
      </c>
      <c r="BP64" s="274" t="e">
        <f t="shared" si="59"/>
        <v>#DIV/0!</v>
      </c>
      <c r="BQ64" s="274" t="e">
        <f t="shared" si="59"/>
        <v>#DIV/0!</v>
      </c>
      <c r="BR64" s="274" t="e">
        <f t="shared" si="59"/>
        <v>#DIV/0!</v>
      </c>
      <c r="BT64" s="163" t="e">
        <f t="shared" si="60"/>
        <v>#DIV/0!</v>
      </c>
      <c r="BU64" s="163" t="e">
        <f t="shared" si="60"/>
        <v>#DIV/0!</v>
      </c>
      <c r="BV64" s="163" t="e">
        <f t="shared" si="60"/>
        <v>#DIV/0!</v>
      </c>
      <c r="BW64" s="163" t="e">
        <f t="shared" si="60"/>
        <v>#DIV/0!</v>
      </c>
      <c r="BX64" s="163" t="e">
        <f t="shared" si="60"/>
        <v>#DIV/0!</v>
      </c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51" t="s">
        <v>54</v>
      </c>
      <c r="B66" s="271" t="s">
        <v>49</v>
      </c>
      <c r="C66" s="272"/>
      <c r="D66" s="281">
        <f t="shared" ref="D66:P67" si="61">D52*1000</f>
        <v>7.8971620814351481E-2</v>
      </c>
      <c r="E66" s="281">
        <f t="shared" si="61"/>
        <v>7.8971620814351481E-2</v>
      </c>
      <c r="F66" s="281">
        <f t="shared" si="61"/>
        <v>7.8971620814351468E-2</v>
      </c>
      <c r="G66" s="281">
        <f t="shared" si="61"/>
        <v>7.8971620814351495E-2</v>
      </c>
      <c r="H66" s="281">
        <f t="shared" si="61"/>
        <v>7.8971620814351468E-2</v>
      </c>
      <c r="I66" s="281">
        <f t="shared" si="61"/>
        <v>7.8971620814351468E-2</v>
      </c>
      <c r="J66" s="281">
        <f t="shared" si="61"/>
        <v>7.8971620814351495E-2</v>
      </c>
      <c r="K66" s="281">
        <f t="shared" si="61"/>
        <v>7.8971620814351468E-2</v>
      </c>
      <c r="L66" s="281">
        <f t="shared" si="61"/>
        <v>7.8971620814351468E-2</v>
      </c>
      <c r="M66" s="281">
        <f t="shared" si="61"/>
        <v>7.8971620814351495E-2</v>
      </c>
      <c r="N66" s="281">
        <f t="shared" si="61"/>
        <v>7.8971620814351468E-2</v>
      </c>
      <c r="O66" s="281">
        <f t="shared" si="61"/>
        <v>7.8971620814351468E-2</v>
      </c>
      <c r="P66" s="281">
        <f t="shared" si="61"/>
        <v>7.8971620814351481E-2</v>
      </c>
      <c r="Q66" s="257"/>
      <c r="R66" s="281">
        <f t="shared" ref="R66:AD67" si="62">R52*1000</f>
        <v>8.7903661872718919E-2</v>
      </c>
      <c r="S66" s="281">
        <f t="shared" si="62"/>
        <v>8.9887832571540802E-2</v>
      </c>
      <c r="T66" s="281">
        <f t="shared" si="62"/>
        <v>0.11728003459816153</v>
      </c>
      <c r="U66" s="281">
        <f t="shared" si="62"/>
        <v>0.12885129777050489</v>
      </c>
      <c r="V66" s="281">
        <f t="shared" si="62"/>
        <v>0.1439468790561321</v>
      </c>
      <c r="W66" s="281" t="e">
        <f t="shared" si="62"/>
        <v>#DIV/0!</v>
      </c>
      <c r="X66" s="281" t="e">
        <f t="shared" si="62"/>
        <v>#DIV/0!</v>
      </c>
      <c r="Y66" s="281" t="e">
        <f t="shared" si="62"/>
        <v>#DIV/0!</v>
      </c>
      <c r="Z66" s="281" t="e">
        <f t="shared" si="62"/>
        <v>#DIV/0!</v>
      </c>
      <c r="AA66" s="281" t="e">
        <f t="shared" si="62"/>
        <v>#DIV/0!</v>
      </c>
      <c r="AB66" s="281" t="e">
        <f t="shared" si="62"/>
        <v>#DIV/0!</v>
      </c>
      <c r="AC66" s="281" t="e">
        <f t="shared" si="62"/>
        <v>#DIV/0!</v>
      </c>
      <c r="AD66" s="281">
        <f t="shared" si="62"/>
        <v>0.11867975884040505</v>
      </c>
      <c r="AE66" s="257"/>
      <c r="AF66" s="256">
        <f t="shared" ref="AF66:AR67" si="63">R66-D66</f>
        <v>8.9320410583674376E-3</v>
      </c>
      <c r="AG66" s="256">
        <f t="shared" si="63"/>
        <v>1.091621175718932E-2</v>
      </c>
      <c r="AH66" s="256">
        <f t="shared" si="63"/>
        <v>3.8308413783810058E-2</v>
      </c>
      <c r="AI66" s="256">
        <f t="shared" si="63"/>
        <v>4.987967695615339E-2</v>
      </c>
      <c r="AJ66" s="256">
        <f t="shared" si="63"/>
        <v>6.4975258241780631E-2</v>
      </c>
      <c r="AK66" s="256" t="e">
        <f t="shared" si="63"/>
        <v>#DIV/0!</v>
      </c>
      <c r="AL66" s="256" t="e">
        <f t="shared" si="63"/>
        <v>#DIV/0!</v>
      </c>
      <c r="AM66" s="256" t="e">
        <f t="shared" si="63"/>
        <v>#DIV/0!</v>
      </c>
      <c r="AN66" s="256" t="e">
        <f t="shared" si="63"/>
        <v>#DIV/0!</v>
      </c>
      <c r="AO66" s="256" t="e">
        <f t="shared" si="63"/>
        <v>#DIV/0!</v>
      </c>
      <c r="AP66" s="256" t="e">
        <f t="shared" si="63"/>
        <v>#DIV/0!</v>
      </c>
      <c r="AQ66" s="256" t="e">
        <f t="shared" si="63"/>
        <v>#DIV/0!</v>
      </c>
      <c r="AR66" s="256">
        <f t="shared" si="63"/>
        <v>3.9708138026053566E-2</v>
      </c>
      <c r="AS66" s="257"/>
      <c r="AT66" s="258">
        <f t="shared" ref="AT66:BF67" si="64">R66/D66</f>
        <v>1.1131044413962974</v>
      </c>
      <c r="AU66" s="258">
        <f t="shared" si="64"/>
        <v>1.1382295518899306</v>
      </c>
      <c r="AV66" s="258">
        <f t="shared" si="64"/>
        <v>1.4850908894711237</v>
      </c>
      <c r="AW66" s="258">
        <f t="shared" si="64"/>
        <v>1.6316152111580919</v>
      </c>
      <c r="AX66" s="258">
        <f t="shared" si="64"/>
        <v>1.8227671861329293</v>
      </c>
      <c r="AY66" s="258" t="e">
        <f t="shared" si="64"/>
        <v>#DIV/0!</v>
      </c>
      <c r="AZ66" s="258" t="e">
        <f t="shared" si="64"/>
        <v>#DIV/0!</v>
      </c>
      <c r="BA66" s="258" t="e">
        <f t="shared" si="64"/>
        <v>#DIV/0!</v>
      </c>
      <c r="BB66" s="258" t="e">
        <f t="shared" si="64"/>
        <v>#DIV/0!</v>
      </c>
      <c r="BC66" s="258" t="e">
        <f t="shared" si="64"/>
        <v>#DIV/0!</v>
      </c>
      <c r="BD66" s="258" t="e">
        <f t="shared" si="64"/>
        <v>#DIV/0!</v>
      </c>
      <c r="BE66" s="258" t="e">
        <f t="shared" si="64"/>
        <v>#DIV/0!</v>
      </c>
      <c r="BF66" s="258">
        <f t="shared" si="64"/>
        <v>1.5028152849920666</v>
      </c>
      <c r="BH66" s="282">
        <f t="shared" ref="BH66:BL67" si="65">BH52*1000</f>
        <v>7.8971620814351495E-2</v>
      </c>
      <c r="BI66" s="282">
        <f t="shared" si="65"/>
        <v>7.8971620814351481E-2</v>
      </c>
      <c r="BJ66" s="282">
        <f t="shared" si="65"/>
        <v>7.8971620814351481E-2</v>
      </c>
      <c r="BK66" s="282">
        <f t="shared" si="65"/>
        <v>7.8971620814351481E-2</v>
      </c>
      <c r="BL66" s="282">
        <f t="shared" si="65"/>
        <v>7.8971620814351481E-2</v>
      </c>
      <c r="BN66" s="274">
        <f t="shared" ref="BN66:BR67" si="66">BN52*1000</f>
        <v>0.10160677851076025</v>
      </c>
      <c r="BO66" s="274">
        <f t="shared" si="66"/>
        <v>0.13578118386120264</v>
      </c>
      <c r="BP66" s="274" t="e">
        <f t="shared" si="66"/>
        <v>#DIV/0!</v>
      </c>
      <c r="BQ66" s="274" t="e">
        <f t="shared" si="66"/>
        <v>#DIV/0!</v>
      </c>
      <c r="BR66" s="274">
        <f t="shared" si="66"/>
        <v>0.11867975884040508</v>
      </c>
      <c r="BT66" s="212">
        <f t="shared" ref="BT66:BX67" si="67">BN66/BH66</f>
        <v>1.286623947476272</v>
      </c>
      <c r="BU66" s="212">
        <f t="shared" si="67"/>
        <v>1.7193668112802261</v>
      </c>
      <c r="BV66" s="212" t="e">
        <f t="shared" si="67"/>
        <v>#DIV/0!</v>
      </c>
      <c r="BW66" s="212" t="e">
        <f t="shared" si="67"/>
        <v>#DIV/0!</v>
      </c>
      <c r="BX66" s="212">
        <f t="shared" si="67"/>
        <v>1.5028152849920671</v>
      </c>
      <c r="BZ66" s="138"/>
      <c r="CA66" s="138"/>
    </row>
    <row r="67" spans="1:79" ht="15.6" thickBot="1">
      <c r="A67" s="852"/>
      <c r="B67" s="275" t="s">
        <v>50</v>
      </c>
      <c r="C67" s="276"/>
      <c r="D67" s="283">
        <f t="shared" si="61"/>
        <v>0.83183241975371147</v>
      </c>
      <c r="E67" s="283">
        <f t="shared" si="61"/>
        <v>0.83183241975371158</v>
      </c>
      <c r="F67" s="283">
        <f t="shared" si="61"/>
        <v>0.83183241975371147</v>
      </c>
      <c r="G67" s="283">
        <f t="shared" si="61"/>
        <v>0.83183241975371169</v>
      </c>
      <c r="H67" s="283">
        <f t="shared" si="61"/>
        <v>0.83183241975371136</v>
      </c>
      <c r="I67" s="283">
        <f t="shared" si="61"/>
        <v>0.83183241975371147</v>
      </c>
      <c r="J67" s="283">
        <f t="shared" si="61"/>
        <v>0.83183241975371147</v>
      </c>
      <c r="K67" s="283">
        <f t="shared" si="61"/>
        <v>0.83183241975371147</v>
      </c>
      <c r="L67" s="283">
        <f t="shared" si="61"/>
        <v>0.83183241975371158</v>
      </c>
      <c r="M67" s="283">
        <f t="shared" si="61"/>
        <v>0.83183241975371147</v>
      </c>
      <c r="N67" s="283">
        <f t="shared" si="61"/>
        <v>0.83183241975371147</v>
      </c>
      <c r="O67" s="283">
        <f t="shared" si="61"/>
        <v>0.83183241975371147</v>
      </c>
      <c r="P67" s="283">
        <f t="shared" si="61"/>
        <v>0.83183241975371158</v>
      </c>
      <c r="Q67" s="257"/>
      <c r="R67" s="283">
        <f t="shared" si="62"/>
        <v>0.33159658378644519</v>
      </c>
      <c r="S67" s="283">
        <f t="shared" si="62"/>
        <v>0.64247613241577928</v>
      </c>
      <c r="T67" s="283">
        <f t="shared" si="62"/>
        <v>1.2466133717114662</v>
      </c>
      <c r="U67" s="283">
        <f t="shared" si="62"/>
        <v>0.56219098373809473</v>
      </c>
      <c r="V67" s="283">
        <f t="shared" si="62"/>
        <v>0.62781603915197037</v>
      </c>
      <c r="W67" s="283" t="e">
        <f t="shared" si="62"/>
        <v>#DIV/0!</v>
      </c>
      <c r="X67" s="283" t="e">
        <f t="shared" si="62"/>
        <v>#DIV/0!</v>
      </c>
      <c r="Y67" s="283" t="e">
        <f t="shared" si="62"/>
        <v>#DIV/0!</v>
      </c>
      <c r="Z67" s="283" t="e">
        <f t="shared" si="62"/>
        <v>#DIV/0!</v>
      </c>
      <c r="AA67" s="283" t="e">
        <f t="shared" si="62"/>
        <v>#DIV/0!</v>
      </c>
      <c r="AB67" s="283" t="e">
        <f t="shared" si="62"/>
        <v>#DIV/0!</v>
      </c>
      <c r="AC67" s="283" t="e">
        <f t="shared" si="62"/>
        <v>#DIV/0!</v>
      </c>
      <c r="AD67" s="283">
        <f t="shared" si="62"/>
        <v>0.60941171665633331</v>
      </c>
      <c r="AE67" s="257"/>
      <c r="AF67" s="261">
        <f t="shared" si="63"/>
        <v>-0.50023583596726628</v>
      </c>
      <c r="AG67" s="261">
        <f t="shared" si="63"/>
        <v>-0.18935628733793231</v>
      </c>
      <c r="AH67" s="261">
        <f t="shared" si="63"/>
        <v>0.41478095195775477</v>
      </c>
      <c r="AI67" s="261">
        <f t="shared" si="63"/>
        <v>-0.26964143601561696</v>
      </c>
      <c r="AJ67" s="261">
        <f t="shared" si="63"/>
        <v>-0.20401638060174099</v>
      </c>
      <c r="AK67" s="261" t="e">
        <f t="shared" si="63"/>
        <v>#DIV/0!</v>
      </c>
      <c r="AL67" s="261" t="e">
        <f t="shared" si="63"/>
        <v>#DIV/0!</v>
      </c>
      <c r="AM67" s="261" t="e">
        <f t="shared" si="63"/>
        <v>#DIV/0!</v>
      </c>
      <c r="AN67" s="261" t="e">
        <f t="shared" si="63"/>
        <v>#DIV/0!</v>
      </c>
      <c r="AO67" s="261" t="e">
        <f t="shared" si="63"/>
        <v>#DIV/0!</v>
      </c>
      <c r="AP67" s="261" t="e">
        <f t="shared" si="63"/>
        <v>#DIV/0!</v>
      </c>
      <c r="AQ67" s="261" t="e">
        <f t="shared" si="63"/>
        <v>#DIV/0!</v>
      </c>
      <c r="AR67" s="261">
        <f t="shared" si="63"/>
        <v>-0.22242070309737827</v>
      </c>
      <c r="AS67" s="257"/>
      <c r="AT67" s="184">
        <f t="shared" si="64"/>
        <v>0.39863387854566207</v>
      </c>
      <c r="AU67" s="184">
        <f t="shared" si="64"/>
        <v>0.77236245806096759</v>
      </c>
      <c r="AV67" s="184">
        <f t="shared" si="64"/>
        <v>1.4986352324192449</v>
      </c>
      <c r="AW67" s="184">
        <f t="shared" si="64"/>
        <v>0.67584644501418667</v>
      </c>
      <c r="AX67" s="184">
        <f t="shared" si="64"/>
        <v>0.75473860388592928</v>
      </c>
      <c r="AY67" s="184" t="e">
        <f t="shared" si="64"/>
        <v>#DIV/0!</v>
      </c>
      <c r="AZ67" s="184" t="e">
        <f t="shared" si="64"/>
        <v>#DIV/0!</v>
      </c>
      <c r="BA67" s="184" t="e">
        <f t="shared" si="64"/>
        <v>#DIV/0!</v>
      </c>
      <c r="BB67" s="184" t="e">
        <f t="shared" si="64"/>
        <v>#DIV/0!</v>
      </c>
      <c r="BC67" s="184" t="e">
        <f t="shared" si="64"/>
        <v>#DIV/0!</v>
      </c>
      <c r="BD67" s="184" t="e">
        <f t="shared" si="64"/>
        <v>#DIV/0!</v>
      </c>
      <c r="BE67" s="184" t="e">
        <f t="shared" si="64"/>
        <v>#DIV/0!</v>
      </c>
      <c r="BF67" s="184">
        <f t="shared" si="64"/>
        <v>0.73261356757021756</v>
      </c>
      <c r="BH67" s="284">
        <f t="shared" si="65"/>
        <v>0.83183241975371158</v>
      </c>
      <c r="BI67" s="284">
        <f t="shared" si="65"/>
        <v>0.83183241975371147</v>
      </c>
      <c r="BJ67" s="284">
        <f t="shared" si="65"/>
        <v>0.83183241975371136</v>
      </c>
      <c r="BK67" s="284">
        <f t="shared" si="65"/>
        <v>0.83183241975371147</v>
      </c>
      <c r="BL67" s="284">
        <f t="shared" si="65"/>
        <v>0.83183241975371147</v>
      </c>
      <c r="BN67" s="274">
        <f t="shared" si="66"/>
        <v>0.67765902249261367</v>
      </c>
      <c r="BO67" s="274">
        <f t="shared" si="66"/>
        <v>0.60052811721982935</v>
      </c>
      <c r="BP67" s="274" t="e">
        <f t="shared" si="66"/>
        <v>#DIV/0!</v>
      </c>
      <c r="BQ67" s="274" t="e">
        <f t="shared" si="66"/>
        <v>#DIV/0!</v>
      </c>
      <c r="BR67" s="274">
        <f t="shared" si="66"/>
        <v>0.60941171665633331</v>
      </c>
      <c r="BT67" s="163">
        <f t="shared" si="67"/>
        <v>0.81465810468562228</v>
      </c>
      <c r="BU67" s="163">
        <f t="shared" si="67"/>
        <v>0.72193401334085228</v>
      </c>
      <c r="BV67" s="163" t="e">
        <f t="shared" si="67"/>
        <v>#DIV/0!</v>
      </c>
      <c r="BW67" s="163" t="e">
        <f t="shared" si="67"/>
        <v>#DIV/0!</v>
      </c>
      <c r="BX67" s="163">
        <f t="shared" si="67"/>
        <v>0.73261356757021756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59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851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852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851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852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>
      <c r="A76" s="851" t="s">
        <v>57</v>
      </c>
      <c r="B76" s="271" t="s">
        <v>49</v>
      </c>
      <c r="C76" s="272"/>
      <c r="D76" s="299">
        <f t="shared" ref="D76:P76" si="68">D12/D14</f>
        <v>0.94218605787428555</v>
      </c>
      <c r="E76" s="299">
        <f t="shared" si="68"/>
        <v>0.94218605787428544</v>
      </c>
      <c r="F76" s="299">
        <f t="shared" si="68"/>
        <v>0.94218605787428555</v>
      </c>
      <c r="G76" s="299">
        <f t="shared" si="68"/>
        <v>0.94218605787428533</v>
      </c>
      <c r="H76" s="299">
        <f t="shared" si="68"/>
        <v>0.94218605787428533</v>
      </c>
      <c r="I76" s="299">
        <f t="shared" si="68"/>
        <v>0.94218605787428544</v>
      </c>
      <c r="J76" s="299">
        <f t="shared" si="68"/>
        <v>0.94218605787428533</v>
      </c>
      <c r="K76" s="299">
        <f t="shared" si="68"/>
        <v>0.94218605787428544</v>
      </c>
      <c r="L76" s="299">
        <f t="shared" si="68"/>
        <v>0.94218605787428544</v>
      </c>
      <c r="M76" s="299">
        <f t="shared" si="68"/>
        <v>0.94218605787428544</v>
      </c>
      <c r="N76" s="299">
        <f t="shared" si="68"/>
        <v>0.94218605787428544</v>
      </c>
      <c r="O76" s="299">
        <f t="shared" si="68"/>
        <v>0.94218605787428544</v>
      </c>
      <c r="P76" s="299">
        <f t="shared" si="68"/>
        <v>0.94218605787428544</v>
      </c>
      <c r="Q76" s="257"/>
      <c r="R76" s="299">
        <f>R12/R14</f>
        <v>0.8425928160388565</v>
      </c>
      <c r="S76" s="299">
        <f t="shared" ref="S76:AD76" si="69">S12/S14</f>
        <v>0.87425876595595564</v>
      </c>
      <c r="T76" s="299">
        <f t="shared" si="69"/>
        <v>0.83187995685088134</v>
      </c>
      <c r="U76" s="299">
        <f t="shared" si="69"/>
        <v>0.78976363047051035</v>
      </c>
      <c r="V76" s="299">
        <f t="shared" si="69"/>
        <v>0.72817659632902565</v>
      </c>
      <c r="W76" s="299" t="e">
        <f t="shared" si="69"/>
        <v>#DIV/0!</v>
      </c>
      <c r="X76" s="299" t="e">
        <f t="shared" si="69"/>
        <v>#DIV/0!</v>
      </c>
      <c r="Y76" s="299" t="e">
        <f t="shared" si="69"/>
        <v>#DIV/0!</v>
      </c>
      <c r="Z76" s="299" t="e">
        <f t="shared" si="69"/>
        <v>#DIV/0!</v>
      </c>
      <c r="AA76" s="299" t="e">
        <f t="shared" si="69"/>
        <v>#DIV/0!</v>
      </c>
      <c r="AB76" s="299" t="e">
        <f t="shared" si="69"/>
        <v>#DIV/0!</v>
      </c>
      <c r="AC76" s="299" t="e">
        <f t="shared" si="69"/>
        <v>#DIV/0!</v>
      </c>
      <c r="AD76" s="299">
        <f t="shared" si="69"/>
        <v>0.80990669922385616</v>
      </c>
      <c r="AE76" s="257"/>
      <c r="AF76" s="301">
        <f t="shared" ref="AF76:AR77" si="70">R76-D76</f>
        <v>-9.9593241835429058E-2</v>
      </c>
      <c r="AG76" s="301">
        <f t="shared" si="70"/>
        <v>-6.7927291918329802E-2</v>
      </c>
      <c r="AH76" s="301">
        <f t="shared" si="70"/>
        <v>-0.11030610102340421</v>
      </c>
      <c r="AI76" s="301">
        <f t="shared" si="70"/>
        <v>-0.15242242740377498</v>
      </c>
      <c r="AJ76" s="301">
        <f t="shared" si="70"/>
        <v>-0.21400946154525968</v>
      </c>
      <c r="AK76" s="301" t="e">
        <f t="shared" si="70"/>
        <v>#DIV/0!</v>
      </c>
      <c r="AL76" s="301" t="e">
        <f t="shared" si="70"/>
        <v>#DIV/0!</v>
      </c>
      <c r="AM76" s="301" t="e">
        <f t="shared" si="70"/>
        <v>#DIV/0!</v>
      </c>
      <c r="AN76" s="301" t="e">
        <f t="shared" si="70"/>
        <v>#DIV/0!</v>
      </c>
      <c r="AO76" s="301" t="e">
        <f t="shared" si="70"/>
        <v>#DIV/0!</v>
      </c>
      <c r="AP76" s="301" t="e">
        <f t="shared" si="70"/>
        <v>#DIV/0!</v>
      </c>
      <c r="AQ76" s="301" t="e">
        <f t="shared" si="70"/>
        <v>#DIV/0!</v>
      </c>
      <c r="AR76" s="301">
        <f t="shared" si="70"/>
        <v>-0.13227935865042928</v>
      </c>
      <c r="AS76" s="257"/>
      <c r="AT76" s="299">
        <f t="shared" ref="AT76:BF76" si="71">AT12/AT14</f>
        <v>0.89429556826586198</v>
      </c>
      <c r="AU76" s="299">
        <f t="shared" si="71"/>
        <v>0.92790458811120169</v>
      </c>
      <c r="AV76" s="299">
        <f t="shared" si="71"/>
        <v>0.88292535205597134</v>
      </c>
      <c r="AW76" s="299">
        <f t="shared" si="71"/>
        <v>0.83822470505702107</v>
      </c>
      <c r="AX76" s="299">
        <f t="shared" si="71"/>
        <v>0.77285859862106476</v>
      </c>
      <c r="AY76" s="299" t="e">
        <f t="shared" si="71"/>
        <v>#DIV/0!</v>
      </c>
      <c r="AZ76" s="299" t="e">
        <f t="shared" si="71"/>
        <v>#DIV/0!</v>
      </c>
      <c r="BA76" s="299" t="e">
        <f t="shared" si="71"/>
        <v>#DIV/0!</v>
      </c>
      <c r="BB76" s="299" t="e">
        <f t="shared" si="71"/>
        <v>#DIV/0!</v>
      </c>
      <c r="BC76" s="299" t="e">
        <f t="shared" si="71"/>
        <v>#DIV/0!</v>
      </c>
      <c r="BD76" s="299" t="e">
        <f t="shared" si="71"/>
        <v>#DIV/0!</v>
      </c>
      <c r="BE76" s="299" t="e">
        <f t="shared" si="71"/>
        <v>#DIV/0!</v>
      </c>
      <c r="BF76" s="299">
        <f t="shared" si="71"/>
        <v>0.85960378255981451</v>
      </c>
      <c r="BH76" s="308" t="e">
        <f>#REF!/#REF!</f>
        <v>#REF!</v>
      </c>
      <c r="BI76" s="308" t="e">
        <f>#REF!/#REF!</f>
        <v>#REF!</v>
      </c>
      <c r="BJ76" s="308" t="e">
        <f>#REF!/#REF!</f>
        <v>#REF!</v>
      </c>
      <c r="BK76" s="308" t="e">
        <f>#REF!/#REF!</f>
        <v>#REF!</v>
      </c>
      <c r="BL76" s="308" t="e">
        <f>#REF!/#REF!</f>
        <v>#REF!</v>
      </c>
      <c r="BN76" s="309" t="e">
        <f>#REF!/#REF!</f>
        <v>#REF!</v>
      </c>
      <c r="BO76" s="309" t="e">
        <f>#REF!/#REF!</f>
        <v>#REF!</v>
      </c>
      <c r="BP76" s="308" t="e">
        <f>#REF!/#REF!</f>
        <v>#REF!</v>
      </c>
      <c r="BQ76" s="308" t="e">
        <f>#REF!/#REF!</f>
        <v>#REF!</v>
      </c>
      <c r="BR76" s="308" t="e">
        <f>#REF!/#REF!</f>
        <v>#REF!</v>
      </c>
      <c r="BT76" s="212" t="e">
        <f t="shared" ref="BT76:BX77" si="72">BN76/BH76</f>
        <v>#REF!</v>
      </c>
      <c r="BU76" s="212" t="e">
        <f t="shared" si="72"/>
        <v>#REF!</v>
      </c>
      <c r="BV76" s="212" t="e">
        <f t="shared" si="72"/>
        <v>#REF!</v>
      </c>
      <c r="BW76" s="212" t="e">
        <f t="shared" si="72"/>
        <v>#REF!</v>
      </c>
      <c r="BX76" s="212" t="e">
        <f t="shared" si="72"/>
        <v>#REF!</v>
      </c>
    </row>
    <row r="77" spans="1:79" ht="15.6" thickBot="1">
      <c r="A77" s="852"/>
      <c r="B77" s="275" t="s">
        <v>50</v>
      </c>
      <c r="C77" s="276"/>
      <c r="D77" s="299">
        <f t="shared" ref="D77:P77" si="73">D13/D14</f>
        <v>5.7813942125714564E-2</v>
      </c>
      <c r="E77" s="299">
        <f t="shared" si="73"/>
        <v>5.7813942125714564E-2</v>
      </c>
      <c r="F77" s="299">
        <f t="shared" si="73"/>
        <v>5.7813942125714557E-2</v>
      </c>
      <c r="G77" s="299">
        <f t="shared" si="73"/>
        <v>5.7813942125714564E-2</v>
      </c>
      <c r="H77" s="299">
        <f t="shared" si="73"/>
        <v>5.7813942125714564E-2</v>
      </c>
      <c r="I77" s="299">
        <f t="shared" si="73"/>
        <v>5.7813942125714564E-2</v>
      </c>
      <c r="J77" s="299">
        <f t="shared" si="73"/>
        <v>5.7813942125714564E-2</v>
      </c>
      <c r="K77" s="299">
        <f t="shared" si="73"/>
        <v>5.7813942125714564E-2</v>
      </c>
      <c r="L77" s="299">
        <f t="shared" si="73"/>
        <v>5.7813942125714564E-2</v>
      </c>
      <c r="M77" s="299">
        <f t="shared" si="73"/>
        <v>5.7813942125714564E-2</v>
      </c>
      <c r="N77" s="299">
        <f t="shared" si="73"/>
        <v>5.7813942125714564E-2</v>
      </c>
      <c r="O77" s="299">
        <f t="shared" si="73"/>
        <v>5.7813942125714564E-2</v>
      </c>
      <c r="P77" s="299">
        <f t="shared" si="73"/>
        <v>5.7813942125714564E-2</v>
      </c>
      <c r="Q77" s="257"/>
      <c r="R77" s="303">
        <f>R13/R14</f>
        <v>0.15740718396114353</v>
      </c>
      <c r="S77" s="303">
        <f t="shared" ref="S77:AD77" si="74">S13/S14</f>
        <v>0.12574123404404433</v>
      </c>
      <c r="T77" s="303">
        <f t="shared" si="74"/>
        <v>0.16812004314911869</v>
      </c>
      <c r="U77" s="303">
        <f t="shared" si="74"/>
        <v>0.21023636952948971</v>
      </c>
      <c r="V77" s="303">
        <f t="shared" si="74"/>
        <v>0.2718234036709743</v>
      </c>
      <c r="W77" s="303" t="e">
        <f t="shared" si="74"/>
        <v>#DIV/0!</v>
      </c>
      <c r="X77" s="303" t="e">
        <f t="shared" si="74"/>
        <v>#DIV/0!</v>
      </c>
      <c r="Y77" s="303" t="e">
        <f t="shared" si="74"/>
        <v>#DIV/0!</v>
      </c>
      <c r="Z77" s="303" t="e">
        <f t="shared" si="74"/>
        <v>#DIV/0!</v>
      </c>
      <c r="AA77" s="303" t="e">
        <f t="shared" si="74"/>
        <v>#DIV/0!</v>
      </c>
      <c r="AB77" s="303" t="e">
        <f t="shared" si="74"/>
        <v>#DIV/0!</v>
      </c>
      <c r="AC77" s="303" t="e">
        <f t="shared" si="74"/>
        <v>#DIV/0!</v>
      </c>
      <c r="AD77" s="303">
        <f t="shared" si="74"/>
        <v>0.19009330077614386</v>
      </c>
      <c r="AE77" s="257"/>
      <c r="AF77" s="305">
        <f t="shared" si="70"/>
        <v>9.9593241835428975E-2</v>
      </c>
      <c r="AG77" s="305">
        <f t="shared" si="70"/>
        <v>6.7927291918329774E-2</v>
      </c>
      <c r="AH77" s="305">
        <f t="shared" si="70"/>
        <v>0.11030610102340413</v>
      </c>
      <c r="AI77" s="305">
        <f t="shared" si="70"/>
        <v>0.15242242740377515</v>
      </c>
      <c r="AJ77" s="305">
        <f t="shared" si="70"/>
        <v>0.21400946154525974</v>
      </c>
      <c r="AK77" s="305" t="e">
        <f t="shared" si="70"/>
        <v>#DIV/0!</v>
      </c>
      <c r="AL77" s="305" t="e">
        <f t="shared" si="70"/>
        <v>#DIV/0!</v>
      </c>
      <c r="AM77" s="305" t="e">
        <f t="shared" si="70"/>
        <v>#DIV/0!</v>
      </c>
      <c r="AN77" s="305" t="e">
        <f t="shared" si="70"/>
        <v>#DIV/0!</v>
      </c>
      <c r="AO77" s="305" t="e">
        <f t="shared" si="70"/>
        <v>#DIV/0!</v>
      </c>
      <c r="AP77" s="305" t="e">
        <f t="shared" si="70"/>
        <v>#DIV/0!</v>
      </c>
      <c r="AQ77" s="305" t="e">
        <f t="shared" si="70"/>
        <v>#DIV/0!</v>
      </c>
      <c r="AR77" s="305">
        <f t="shared" si="70"/>
        <v>0.13227935865042931</v>
      </c>
      <c r="AS77" s="257"/>
      <c r="AT77" s="303">
        <f t="shared" ref="AT77:BF77" si="75">AT13/AT14</f>
        <v>2.7226509415128044</v>
      </c>
      <c r="AU77" s="303">
        <f t="shared" si="75"/>
        <v>2.17492925444565</v>
      </c>
      <c r="AV77" s="303">
        <f t="shared" si="75"/>
        <v>2.9079498295332824</v>
      </c>
      <c r="AW77" s="303">
        <f t="shared" si="75"/>
        <v>3.6364302761492628</v>
      </c>
      <c r="AX77" s="303">
        <f t="shared" si="75"/>
        <v>4.7016929425068952</v>
      </c>
      <c r="AY77" s="303" t="e">
        <f t="shared" si="75"/>
        <v>#DIV/0!</v>
      </c>
      <c r="AZ77" s="303" t="e">
        <f t="shared" si="75"/>
        <v>#DIV/0!</v>
      </c>
      <c r="BA77" s="303" t="e">
        <f t="shared" si="75"/>
        <v>#DIV/0!</v>
      </c>
      <c r="BB77" s="303" t="e">
        <f t="shared" si="75"/>
        <v>#DIV/0!</v>
      </c>
      <c r="BC77" s="303" t="e">
        <f t="shared" si="75"/>
        <v>#DIV/0!</v>
      </c>
      <c r="BD77" s="303" t="e">
        <f t="shared" si="75"/>
        <v>#DIV/0!</v>
      </c>
      <c r="BE77" s="303" t="e">
        <f t="shared" si="75"/>
        <v>#DIV/0!</v>
      </c>
      <c r="BF77" s="303">
        <f t="shared" si="75"/>
        <v>3.2880183185362464</v>
      </c>
      <c r="BH77" s="310" t="e">
        <f>#REF!/#REF!</f>
        <v>#REF!</v>
      </c>
      <c r="BI77" s="310" t="e">
        <f>#REF!/#REF!</f>
        <v>#REF!</v>
      </c>
      <c r="BJ77" s="310" t="e">
        <f>#REF!/#REF!</f>
        <v>#REF!</v>
      </c>
      <c r="BK77" s="310" t="e">
        <f>#REF!/#REF!</f>
        <v>#REF!</v>
      </c>
      <c r="BL77" s="310" t="e">
        <f>#REF!/#REF!</f>
        <v>#REF!</v>
      </c>
      <c r="BN77" s="311" t="e">
        <f>#REF!/#REF!</f>
        <v>#REF!</v>
      </c>
      <c r="BO77" s="311" t="e">
        <f>#REF!/#REF!</f>
        <v>#REF!</v>
      </c>
      <c r="BP77" s="310" t="e">
        <f>#REF!/#REF!</f>
        <v>#REF!</v>
      </c>
      <c r="BQ77" s="310" t="e">
        <f>#REF!/#REF!</f>
        <v>#REF!</v>
      </c>
      <c r="BR77" s="310" t="e">
        <f>#REF!/#REF!</f>
        <v>#REF!</v>
      </c>
      <c r="BT77" s="163" t="e">
        <f t="shared" si="72"/>
        <v>#REF!</v>
      </c>
      <c r="BU77" s="163" t="e">
        <f t="shared" si="72"/>
        <v>#REF!</v>
      </c>
      <c r="BV77" s="163" t="e">
        <f t="shared" si="72"/>
        <v>#REF!</v>
      </c>
      <c r="BW77" s="163" t="e">
        <f t="shared" si="72"/>
        <v>#REF!</v>
      </c>
      <c r="BX77" s="163" t="e">
        <f t="shared" si="72"/>
        <v>#REF!</v>
      </c>
    </row>
    <row r="78" spans="1:79" ht="16.2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51" t="s">
        <v>54</v>
      </c>
      <c r="B79" s="271" t="s">
        <v>49</v>
      </c>
      <c r="C79" s="272"/>
      <c r="D79" s="299">
        <f t="shared" ref="D79:P79" si="76">D16/D18</f>
        <v>0.8825420176480957</v>
      </c>
      <c r="E79" s="299">
        <f t="shared" si="76"/>
        <v>0.88254201764809559</v>
      </c>
      <c r="F79" s="299">
        <f t="shared" si="76"/>
        <v>0.8825420176480957</v>
      </c>
      <c r="G79" s="299">
        <f t="shared" si="76"/>
        <v>0.8825420176480957</v>
      </c>
      <c r="H79" s="299">
        <f t="shared" si="76"/>
        <v>0.88254201764809559</v>
      </c>
      <c r="I79" s="299">
        <f t="shared" si="76"/>
        <v>0.88254201764809559</v>
      </c>
      <c r="J79" s="299">
        <f t="shared" si="76"/>
        <v>0.88254201764809559</v>
      </c>
      <c r="K79" s="299">
        <f t="shared" si="76"/>
        <v>0.88254201764809559</v>
      </c>
      <c r="L79" s="299">
        <f t="shared" si="76"/>
        <v>0.8825420176480957</v>
      </c>
      <c r="M79" s="299">
        <f t="shared" si="76"/>
        <v>0.8825420176480957</v>
      </c>
      <c r="N79" s="299">
        <f t="shared" si="76"/>
        <v>0.88254201764809559</v>
      </c>
      <c r="O79" s="299">
        <f t="shared" si="76"/>
        <v>0.8825420176480957</v>
      </c>
      <c r="P79" s="299">
        <f t="shared" si="76"/>
        <v>0.8825420176480957</v>
      </c>
      <c r="Q79" s="257"/>
      <c r="R79" s="299">
        <f t="shared" ref="R79:AD79" si="77">R16/R18</f>
        <v>0.7992061757660478</v>
      </c>
      <c r="S79" s="299">
        <f t="shared" si="77"/>
        <v>0.87112377218870363</v>
      </c>
      <c r="T79" s="299">
        <f t="shared" si="77"/>
        <v>0.90466308517193872</v>
      </c>
      <c r="U79" s="299">
        <f t="shared" si="77"/>
        <v>0.51495040987561713</v>
      </c>
      <c r="V79" s="299">
        <f t="shared" si="77"/>
        <v>0.39072784102808228</v>
      </c>
      <c r="W79" s="299" t="e">
        <f t="shared" si="77"/>
        <v>#DIV/0!</v>
      </c>
      <c r="X79" s="300" t="e">
        <f t="shared" si="77"/>
        <v>#DIV/0!</v>
      </c>
      <c r="Y79" s="299" t="e">
        <f t="shared" si="77"/>
        <v>#DIV/0!</v>
      </c>
      <c r="Z79" s="299" t="e">
        <f t="shared" si="77"/>
        <v>#DIV/0!</v>
      </c>
      <c r="AA79" s="299" t="e">
        <f t="shared" si="77"/>
        <v>#DIV/0!</v>
      </c>
      <c r="AB79" s="299" t="e">
        <f t="shared" si="77"/>
        <v>#DIV/0!</v>
      </c>
      <c r="AC79" s="299" t="e">
        <f t="shared" si="77"/>
        <v>#DIV/0!</v>
      </c>
      <c r="AD79" s="299">
        <f t="shared" si="77"/>
        <v>0.59106748893277905</v>
      </c>
      <c r="AE79" s="257"/>
      <c r="AF79" s="301">
        <f t="shared" ref="AF79:AR80" si="78">R79-D79</f>
        <v>-8.3335841882047901E-2</v>
      </c>
      <c r="AG79" s="301">
        <f t="shared" si="78"/>
        <v>-1.1418245459391962E-2</v>
      </c>
      <c r="AH79" s="301">
        <f t="shared" si="78"/>
        <v>2.2121067523843019E-2</v>
      </c>
      <c r="AI79" s="301">
        <f t="shared" si="78"/>
        <v>-0.36759160777247857</v>
      </c>
      <c r="AJ79" s="301">
        <f t="shared" si="78"/>
        <v>-0.49181417662001331</v>
      </c>
      <c r="AK79" s="301" t="e">
        <f t="shared" si="78"/>
        <v>#DIV/0!</v>
      </c>
      <c r="AL79" s="301" t="e">
        <f t="shared" si="78"/>
        <v>#DIV/0!</v>
      </c>
      <c r="AM79" s="301" t="e">
        <f t="shared" si="78"/>
        <v>#DIV/0!</v>
      </c>
      <c r="AN79" s="301" t="e">
        <f t="shared" si="78"/>
        <v>#DIV/0!</v>
      </c>
      <c r="AO79" s="301" t="e">
        <f t="shared" si="78"/>
        <v>#DIV/0!</v>
      </c>
      <c r="AP79" s="301" t="e">
        <f t="shared" si="78"/>
        <v>#DIV/0!</v>
      </c>
      <c r="AQ79" s="301" t="e">
        <f t="shared" si="78"/>
        <v>#DIV/0!</v>
      </c>
      <c r="AR79" s="301">
        <f t="shared" si="78"/>
        <v>-0.29147452871531665</v>
      </c>
      <c r="AS79" s="257"/>
      <c r="AT79" s="299">
        <f t="shared" ref="AT79:BF79" si="79">AT16/AT18</f>
        <v>0.90557294699222235</v>
      </c>
      <c r="AU79" s="299">
        <f t="shared" si="79"/>
        <v>0.98706209423340474</v>
      </c>
      <c r="AV79" s="299">
        <f t="shared" si="79"/>
        <v>1.0542459811138156</v>
      </c>
      <c r="AW79" s="299">
        <f t="shared" si="79"/>
        <v>0.43145600905626119</v>
      </c>
      <c r="AX79" s="299">
        <f t="shared" si="79"/>
        <v>0.24793792790093136</v>
      </c>
      <c r="AY79" s="299">
        <f t="shared" si="79"/>
        <v>1</v>
      </c>
      <c r="AZ79" s="299">
        <f t="shared" si="79"/>
        <v>1</v>
      </c>
      <c r="BA79" s="299">
        <f t="shared" si="79"/>
        <v>1</v>
      </c>
      <c r="BB79" s="299">
        <f t="shared" si="79"/>
        <v>1</v>
      </c>
      <c r="BC79" s="299">
        <f t="shared" si="79"/>
        <v>1</v>
      </c>
      <c r="BD79" s="299">
        <f t="shared" si="79"/>
        <v>1</v>
      </c>
      <c r="BE79" s="299">
        <f t="shared" si="79"/>
        <v>1</v>
      </c>
      <c r="BF79" s="299">
        <f t="shared" si="79"/>
        <v>0.66973297261010523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0.44936573673518265</v>
      </c>
      <c r="BP79" s="308" t="e">
        <f>BP16/BP18</f>
        <v>#DIV/0!</v>
      </c>
      <c r="BQ79" s="308" t="e">
        <f>BQ16/BQ18</f>
        <v>#DIV/0!</v>
      </c>
      <c r="BR79" s="308">
        <f>BR16/BR18</f>
        <v>0.59106748893277905</v>
      </c>
      <c r="BT79" s="212">
        <f t="shared" ref="BT79:BX80" si="80">BN79/BH79</f>
        <v>0.97744516788060076</v>
      </c>
      <c r="BU79" s="212">
        <f t="shared" si="80"/>
        <v>0.50917205951588196</v>
      </c>
      <c r="BV79" s="212" t="e">
        <f t="shared" si="80"/>
        <v>#DIV/0!</v>
      </c>
      <c r="BW79" s="212" t="e">
        <f t="shared" si="80"/>
        <v>#DIV/0!</v>
      </c>
      <c r="BX79" s="212">
        <f t="shared" si="80"/>
        <v>0.66973297261010523</v>
      </c>
    </row>
    <row r="80" spans="1:79" ht="15.6" thickBot="1">
      <c r="A80" s="852"/>
      <c r="B80" s="275" t="s">
        <v>50</v>
      </c>
      <c r="C80" s="276"/>
      <c r="D80" s="303">
        <f t="shared" ref="D80:P80" si="81">D17/D18</f>
        <v>0.11745798235190434</v>
      </c>
      <c r="E80" s="303">
        <f t="shared" si="81"/>
        <v>0.11745798235190434</v>
      </c>
      <c r="F80" s="303">
        <f t="shared" si="81"/>
        <v>0.11745798235190434</v>
      </c>
      <c r="G80" s="303">
        <f t="shared" si="81"/>
        <v>0.11745798235190436</v>
      </c>
      <c r="H80" s="303">
        <f t="shared" si="81"/>
        <v>0.11745798235190433</v>
      </c>
      <c r="I80" s="303">
        <f t="shared" si="81"/>
        <v>0.11745798235190434</v>
      </c>
      <c r="J80" s="303">
        <f t="shared" si="81"/>
        <v>0.11745798235190434</v>
      </c>
      <c r="K80" s="303">
        <f t="shared" si="81"/>
        <v>0.11745798235190433</v>
      </c>
      <c r="L80" s="303">
        <f t="shared" si="81"/>
        <v>0.11745798235190434</v>
      </c>
      <c r="M80" s="303">
        <f t="shared" si="81"/>
        <v>0.11745798235190434</v>
      </c>
      <c r="N80" s="303">
        <f t="shared" si="81"/>
        <v>0.11745798235190434</v>
      </c>
      <c r="O80" s="303">
        <f t="shared" si="81"/>
        <v>0.11745798235190434</v>
      </c>
      <c r="P80" s="303">
        <f t="shared" si="81"/>
        <v>0.11745798235190434</v>
      </c>
      <c r="Q80" s="257"/>
      <c r="R80" s="303">
        <f t="shared" ref="R80:AD80" si="82">R17/R18</f>
        <v>0.20079382423395217</v>
      </c>
      <c r="S80" s="303">
        <f t="shared" si="82"/>
        <v>0.12887622781129635</v>
      </c>
      <c r="T80" s="303">
        <f t="shared" si="82"/>
        <v>9.5336914828061253E-2</v>
      </c>
      <c r="U80" s="303">
        <f t="shared" si="82"/>
        <v>0.48504959012438287</v>
      </c>
      <c r="V80" s="303">
        <f t="shared" si="82"/>
        <v>0.60927215897191767</v>
      </c>
      <c r="W80" s="303" t="e">
        <f t="shared" si="82"/>
        <v>#DIV/0!</v>
      </c>
      <c r="X80" s="304" t="e">
        <f t="shared" si="82"/>
        <v>#DIV/0!</v>
      </c>
      <c r="Y80" s="303" t="e">
        <f t="shared" si="82"/>
        <v>#DIV/0!</v>
      </c>
      <c r="Z80" s="303" t="e">
        <f t="shared" si="82"/>
        <v>#DIV/0!</v>
      </c>
      <c r="AA80" s="303" t="e">
        <f t="shared" si="82"/>
        <v>#DIV/0!</v>
      </c>
      <c r="AB80" s="303" t="e">
        <f t="shared" si="82"/>
        <v>#DIV/0!</v>
      </c>
      <c r="AC80" s="303" t="e">
        <f t="shared" si="82"/>
        <v>#DIV/0!</v>
      </c>
      <c r="AD80" s="303">
        <f t="shared" si="82"/>
        <v>0.40893251106722101</v>
      </c>
      <c r="AE80" s="257"/>
      <c r="AF80" s="305">
        <f t="shared" si="78"/>
        <v>8.3335841882047831E-2</v>
      </c>
      <c r="AG80" s="305">
        <f t="shared" si="78"/>
        <v>1.1418245459392004E-2</v>
      </c>
      <c r="AH80" s="305">
        <f t="shared" si="78"/>
        <v>-2.2121067523843088E-2</v>
      </c>
      <c r="AI80" s="305">
        <f t="shared" si="78"/>
        <v>0.36759160777247851</v>
      </c>
      <c r="AJ80" s="305">
        <f t="shared" si="78"/>
        <v>0.49181417662001337</v>
      </c>
      <c r="AK80" s="305" t="e">
        <f t="shared" si="78"/>
        <v>#DIV/0!</v>
      </c>
      <c r="AL80" s="305" t="e">
        <f t="shared" si="78"/>
        <v>#DIV/0!</v>
      </c>
      <c r="AM80" s="305" t="e">
        <f t="shared" si="78"/>
        <v>#DIV/0!</v>
      </c>
      <c r="AN80" s="305" t="e">
        <f t="shared" si="78"/>
        <v>#DIV/0!</v>
      </c>
      <c r="AO80" s="305" t="e">
        <f t="shared" si="78"/>
        <v>#DIV/0!</v>
      </c>
      <c r="AP80" s="305" t="e">
        <f t="shared" si="78"/>
        <v>#DIV/0!</v>
      </c>
      <c r="AQ80" s="305" t="e">
        <f t="shared" si="78"/>
        <v>#DIV/0!</v>
      </c>
      <c r="AR80" s="305">
        <f t="shared" si="78"/>
        <v>0.29147452871531665</v>
      </c>
      <c r="AS80" s="257"/>
      <c r="AT80" s="303">
        <f t="shared" ref="AT80:BF80" si="83">AT17/AT18</f>
        <v>1.7094949207655679</v>
      </c>
      <c r="AU80" s="303">
        <f t="shared" si="83"/>
        <v>1.0972113195779485</v>
      </c>
      <c r="AV80" s="303">
        <f t="shared" si="83"/>
        <v>0.59241290661663426</v>
      </c>
      <c r="AW80" s="303">
        <f t="shared" si="83"/>
        <v>5.2718591860866644</v>
      </c>
      <c r="AX80" s="303">
        <f t="shared" si="83"/>
        <v>6.6507558295901452</v>
      </c>
      <c r="AY80" s="303">
        <f t="shared" si="83"/>
        <v>1</v>
      </c>
      <c r="AZ80" s="303">
        <f t="shared" si="83"/>
        <v>1</v>
      </c>
      <c r="BA80" s="303">
        <f t="shared" si="83"/>
        <v>1</v>
      </c>
      <c r="BB80" s="303">
        <f t="shared" si="83"/>
        <v>1</v>
      </c>
      <c r="BC80" s="303">
        <f t="shared" si="83"/>
        <v>1</v>
      </c>
      <c r="BD80" s="303">
        <f t="shared" si="83"/>
        <v>1</v>
      </c>
      <c r="BE80" s="303">
        <f t="shared" si="83"/>
        <v>1</v>
      </c>
      <c r="BF80" s="303">
        <f t="shared" si="83"/>
        <v>3.4815216716566644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0.55063426326481735</v>
      </c>
      <c r="BP80" s="310" t="e">
        <f>BP17/BP18</f>
        <v>#DIV/0!</v>
      </c>
      <c r="BQ80" s="310" t="e">
        <f>BQ17/BQ18</f>
        <v>#DIV/0!</v>
      </c>
      <c r="BR80" s="310">
        <f>BR17/BR18</f>
        <v>0.40893251106722101</v>
      </c>
      <c r="BT80" s="163">
        <f t="shared" si="80"/>
        <v>1.1694698533704715</v>
      </c>
      <c r="BU80" s="163">
        <f t="shared" si="80"/>
        <v>4.6879254371585919</v>
      </c>
      <c r="BV80" s="163" t="e">
        <f t="shared" si="80"/>
        <v>#DIV/0!</v>
      </c>
      <c r="BW80" s="163" t="e">
        <f t="shared" si="80"/>
        <v>#DIV/0!</v>
      </c>
      <c r="BX80" s="163">
        <f t="shared" si="80"/>
        <v>3.4815216716566644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851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852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H43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2.44140625" style="318" bestFit="1" customWidth="1"/>
    <col min="23" max="23" width="12.109375" style="318" customWidth="1"/>
    <col min="24" max="24" width="12.109375" style="178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61"/>
      <c r="S2" s="861"/>
      <c r="T2" s="861"/>
      <c r="U2" s="861"/>
      <c r="V2" s="862"/>
      <c r="W2" s="862"/>
      <c r="X2" s="862"/>
      <c r="Y2" s="862"/>
      <c r="Z2" s="862"/>
      <c r="AA2" s="862"/>
      <c r="AB2" s="862"/>
      <c r="AC2" s="862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63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8"/>
      <c r="S5" s="698"/>
      <c r="T5" s="698"/>
      <c r="U5" s="698"/>
      <c r="V5" s="698"/>
      <c r="W5" s="698"/>
      <c r="X5" s="698"/>
      <c r="Y5" s="698"/>
      <c r="Z5" s="698"/>
      <c r="AA5" s="698"/>
      <c r="AB5" s="698"/>
      <c r="AC5" s="698"/>
      <c r="AD5" s="698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64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8"/>
      <c r="S6" s="698"/>
      <c r="T6" s="698"/>
      <c r="U6" s="698"/>
      <c r="V6" s="698"/>
      <c r="W6" s="698"/>
      <c r="X6" s="698"/>
      <c r="Y6" s="698"/>
      <c r="Z6" s="698"/>
      <c r="AA6" s="698"/>
      <c r="AB6" s="698"/>
      <c r="AC6" s="698"/>
      <c r="AD6" s="698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64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699"/>
      <c r="S7" s="699"/>
      <c r="T7" s="699"/>
      <c r="U7" s="699"/>
      <c r="V7" s="699"/>
      <c r="W7" s="699"/>
      <c r="X7" s="699"/>
      <c r="Y7" s="699"/>
      <c r="Z7" s="699"/>
      <c r="AA7" s="699"/>
      <c r="AB7" s="699"/>
      <c r="AC7" s="699"/>
      <c r="AD7" s="699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64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64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8"/>
      <c r="S9" s="698"/>
      <c r="T9" s="698"/>
      <c r="U9" s="698"/>
      <c r="V9" s="698"/>
      <c r="W9" s="698"/>
      <c r="X9" s="698"/>
      <c r="Y9" s="698"/>
      <c r="Z9" s="698"/>
      <c r="AA9" s="698"/>
      <c r="AB9" s="698"/>
      <c r="AC9" s="698"/>
      <c r="AD9" s="698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64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8"/>
      <c r="S10" s="698"/>
      <c r="T10" s="698"/>
      <c r="U10" s="698"/>
      <c r="V10" s="698"/>
      <c r="W10" s="698"/>
      <c r="X10" s="698"/>
      <c r="Y10" s="698"/>
      <c r="Z10" s="698"/>
      <c r="AA10" s="698"/>
      <c r="AB10" s="698"/>
      <c r="AC10" s="698"/>
      <c r="AD10" s="698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64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699"/>
      <c r="S11" s="699"/>
      <c r="T11" s="699"/>
      <c r="U11" s="699"/>
      <c r="V11" s="699"/>
      <c r="W11" s="699"/>
      <c r="X11" s="699"/>
      <c r="Y11" s="699"/>
      <c r="Z11" s="699"/>
      <c r="AA11" s="699"/>
      <c r="AB11" s="699"/>
      <c r="AC11" s="699"/>
      <c r="AD11" s="699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64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64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64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64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64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64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64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64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64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64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64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64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64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64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8"/>
      <c r="S25" s="698"/>
      <c r="T25" s="698"/>
      <c r="U25" s="698"/>
      <c r="V25" s="698"/>
      <c r="W25" s="698"/>
      <c r="X25" s="698"/>
      <c r="Y25" s="698"/>
      <c r="Z25" s="698"/>
      <c r="AA25" s="698"/>
      <c r="AB25" s="698"/>
      <c r="AC25" s="698"/>
      <c r="AD25" s="698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64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8"/>
      <c r="S26" s="698"/>
      <c r="T26" s="698"/>
      <c r="U26" s="698"/>
      <c r="V26" s="698"/>
      <c r="W26" s="698"/>
      <c r="X26" s="698"/>
      <c r="Y26" s="698"/>
      <c r="Z26" s="698"/>
      <c r="AA26" s="698"/>
      <c r="AB26" s="698"/>
      <c r="AC26" s="698"/>
      <c r="AD26" s="698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64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699"/>
      <c r="S27" s="699"/>
      <c r="T27" s="699"/>
      <c r="U27" s="699"/>
      <c r="V27" s="699"/>
      <c r="W27" s="699"/>
      <c r="X27" s="699"/>
      <c r="Y27" s="699"/>
      <c r="Z27" s="699"/>
      <c r="AA27" s="699"/>
      <c r="AB27" s="699"/>
      <c r="AC27" s="699"/>
      <c r="AD27" s="699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6"/>
      <c r="E28" s="566"/>
      <c r="F28" s="566"/>
      <c r="G28" s="566"/>
      <c r="H28" s="566"/>
      <c r="I28" s="566"/>
      <c r="J28" s="566"/>
      <c r="K28" s="566"/>
      <c r="L28" s="566"/>
      <c r="M28" s="566"/>
      <c r="N28" s="566"/>
      <c r="O28" s="566"/>
      <c r="P28" s="566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63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0"/>
      <c r="S30" s="700"/>
      <c r="T30" s="700"/>
      <c r="U30" s="700"/>
      <c r="V30" s="700"/>
      <c r="W30" s="700"/>
      <c r="X30" s="700"/>
      <c r="Y30" s="700"/>
      <c r="Z30" s="700"/>
      <c r="AA30" s="700"/>
      <c r="AB30" s="700"/>
      <c r="AC30" s="700"/>
      <c r="AD30" s="700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64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1"/>
      <c r="S31" s="701"/>
      <c r="T31" s="701"/>
      <c r="U31" s="701"/>
      <c r="V31" s="701"/>
      <c r="W31" s="701"/>
      <c r="X31" s="701"/>
      <c r="Y31" s="701"/>
      <c r="Z31" s="701"/>
      <c r="AA31" s="701"/>
      <c r="AB31" s="701"/>
      <c r="AC31" s="701"/>
      <c r="AD31" s="701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64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2"/>
      <c r="S32" s="702"/>
      <c r="T32" s="702"/>
      <c r="U32" s="702"/>
      <c r="V32" s="702"/>
      <c r="W32" s="702"/>
      <c r="X32" s="702"/>
      <c r="Y32" s="702"/>
      <c r="Z32" s="702"/>
      <c r="AA32" s="702"/>
      <c r="AB32" s="702"/>
      <c r="AC32" s="702"/>
      <c r="AD32" s="702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64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64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0"/>
      <c r="S34" s="700"/>
      <c r="T34" s="700"/>
      <c r="U34" s="700"/>
      <c r="V34" s="700"/>
      <c r="W34" s="700"/>
      <c r="X34" s="700"/>
      <c r="Y34" s="700"/>
      <c r="Z34" s="700"/>
      <c r="AA34" s="700"/>
      <c r="AB34" s="700"/>
      <c r="AC34" s="700"/>
      <c r="AD34" s="700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64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1"/>
      <c r="S35" s="701"/>
      <c r="T35" s="701"/>
      <c r="U35" s="701"/>
      <c r="V35" s="701"/>
      <c r="W35" s="701"/>
      <c r="X35" s="701"/>
      <c r="Y35" s="701"/>
      <c r="Z35" s="701"/>
      <c r="AA35" s="701"/>
      <c r="AB35" s="701"/>
      <c r="AC35" s="701"/>
      <c r="AD35" s="701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64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2"/>
      <c r="S36" s="702"/>
      <c r="T36" s="702"/>
      <c r="U36" s="702"/>
      <c r="V36" s="702"/>
      <c r="W36" s="702"/>
      <c r="X36" s="702"/>
      <c r="Y36" s="702"/>
      <c r="Z36" s="702"/>
      <c r="AA36" s="702"/>
      <c r="AB36" s="702"/>
      <c r="AC36" s="702"/>
      <c r="AD36" s="702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64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64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64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64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64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64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64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64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64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64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64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64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64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64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0"/>
      <c r="S50" s="700"/>
      <c r="T50" s="700"/>
      <c r="U50" s="700"/>
      <c r="V50" s="700"/>
      <c r="W50" s="700"/>
      <c r="X50" s="700"/>
      <c r="Y50" s="700"/>
      <c r="Z50" s="700"/>
      <c r="AA50" s="700"/>
      <c r="AB50" s="700"/>
      <c r="AC50" s="700"/>
      <c r="AD50" s="700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64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1"/>
      <c r="S51" s="701"/>
      <c r="T51" s="701"/>
      <c r="U51" s="701"/>
      <c r="V51" s="701"/>
      <c r="W51" s="701"/>
      <c r="X51" s="701"/>
      <c r="Y51" s="701"/>
      <c r="Z51" s="701"/>
      <c r="AA51" s="701"/>
      <c r="AB51" s="701"/>
      <c r="AC51" s="701"/>
      <c r="AD51" s="701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64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2"/>
      <c r="S52" s="702"/>
      <c r="T52" s="702"/>
      <c r="U52" s="702"/>
      <c r="V52" s="702"/>
      <c r="W52" s="702"/>
      <c r="X52" s="702"/>
      <c r="Y52" s="702"/>
      <c r="Z52" s="702"/>
      <c r="AA52" s="702"/>
      <c r="AB52" s="702"/>
      <c r="AC52" s="702"/>
      <c r="AD52" s="702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65"/>
      <c r="B53" s="865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66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67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67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67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67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67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67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67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67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67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67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67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67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67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67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67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67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67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68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59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60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59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60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59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60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59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60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59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60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59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60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59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60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59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60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59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60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59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60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59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60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637" t="s">
        <v>1</v>
      </c>
      <c r="C2" s="634" t="s">
        <v>32</v>
      </c>
      <c r="D2" s="634" t="s">
        <v>33</v>
      </c>
      <c r="E2" s="634" t="s">
        <v>34</v>
      </c>
      <c r="F2" s="635" t="s">
        <v>123</v>
      </c>
      <c r="K2" s="637" t="s">
        <v>24</v>
      </c>
      <c r="L2" s="634" t="s">
        <v>32</v>
      </c>
      <c r="M2" s="634" t="s">
        <v>33</v>
      </c>
      <c r="N2" s="634" t="s">
        <v>34</v>
      </c>
      <c r="O2" s="635" t="s">
        <v>123</v>
      </c>
    </row>
    <row r="3" spans="2:15">
      <c r="B3" s="116" t="s">
        <v>81</v>
      </c>
      <c r="C3" s="555">
        <f>'Revenue Summary'!E6</f>
        <v>118464.40869439059</v>
      </c>
      <c r="D3" s="555">
        <f>'Revenue Summary'!F6</f>
        <v>105730.50092321732</v>
      </c>
      <c r="E3" s="555">
        <f>'Revenue Summary'!G6</f>
        <v>130493.21576872235</v>
      </c>
      <c r="F3" s="636">
        <f>SUM(C3:E3)</f>
        <v>354688.12538633024</v>
      </c>
      <c r="K3" s="116" t="s">
        <v>81</v>
      </c>
      <c r="L3" s="555">
        <f>'Revenue Summary'!E7</f>
        <v>13623.456484334463</v>
      </c>
      <c r="M3" s="555">
        <f>'Revenue Summary'!F7</f>
        <v>12159.051771492457</v>
      </c>
      <c r="N3" s="555">
        <f>'Revenue Summary'!G7</f>
        <v>15006.774322507856</v>
      </c>
      <c r="O3" s="636">
        <f>SUM(L3:N3)</f>
        <v>40789.28257833478</v>
      </c>
    </row>
    <row r="4" spans="2:15">
      <c r="B4" s="116" t="s">
        <v>26</v>
      </c>
      <c r="C4" s="555">
        <f>'Revenue Summary'!AS6</f>
        <v>146115.793493</v>
      </c>
      <c r="D4" s="555">
        <f>'Revenue Summary'!AT6</f>
        <v>116245.57551000001</v>
      </c>
      <c r="E4" s="555">
        <f>'Revenue Summary'!AU6</f>
        <v>166621.43036999996</v>
      </c>
      <c r="F4" s="636">
        <f>SUM(C4:E4)</f>
        <v>428982.79937299999</v>
      </c>
      <c r="K4" s="116" t="s">
        <v>26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6">
        <f>SUM(L4:N4)</f>
        <v>68546.82512199998</v>
      </c>
    </row>
    <row r="5" spans="2:15">
      <c r="B5" s="638" t="s">
        <v>63</v>
      </c>
      <c r="C5" s="639">
        <f>C4/C3</f>
        <v>1.233415125296774</v>
      </c>
      <c r="D5" s="639">
        <f>D4/D3</f>
        <v>1.0994516671629018</v>
      </c>
      <c r="E5" s="639">
        <f>E4/E3</f>
        <v>1.2768589492446021</v>
      </c>
      <c r="F5" s="640">
        <f>F4/F3</f>
        <v>1.2094647908095235</v>
      </c>
      <c r="K5" s="638" t="s">
        <v>63</v>
      </c>
      <c r="L5" s="639">
        <f>L4/L3</f>
        <v>1.1442750233705874</v>
      </c>
      <c r="M5" s="639">
        <f>M4/M3</f>
        <v>1.32377001097548</v>
      </c>
      <c r="N5" s="639">
        <f>N4/N3</f>
        <v>2.4563610570669119</v>
      </c>
      <c r="O5" s="640">
        <f>O4/O3</f>
        <v>1.6805106829314183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25</v>
      </c>
      <c r="R2" s="514" t="s">
        <v>26</v>
      </c>
      <c r="AF2" s="514" t="s">
        <v>62</v>
      </c>
      <c r="AT2" s="514" t="s">
        <v>63</v>
      </c>
    </row>
    <row r="3" spans="1:58">
      <c r="D3" s="516" t="s">
        <v>32</v>
      </c>
      <c r="E3" s="516" t="s">
        <v>33</v>
      </c>
      <c r="F3" s="516" t="s">
        <v>34</v>
      </c>
      <c r="G3" s="516" t="s">
        <v>35</v>
      </c>
      <c r="H3" s="516" t="s">
        <v>36</v>
      </c>
      <c r="I3" s="516" t="s">
        <v>37</v>
      </c>
      <c r="J3" s="516" t="s">
        <v>38</v>
      </c>
      <c r="K3" s="516" t="s">
        <v>39</v>
      </c>
      <c r="L3" s="516" t="s">
        <v>40</v>
      </c>
      <c r="M3" s="516" t="s">
        <v>41</v>
      </c>
      <c r="N3" s="516" t="s">
        <v>42</v>
      </c>
      <c r="O3" s="516" t="s">
        <v>43</v>
      </c>
      <c r="P3" s="516" t="s">
        <v>64</v>
      </c>
      <c r="R3" s="517" t="s">
        <v>32</v>
      </c>
      <c r="S3" s="517" t="s">
        <v>33</v>
      </c>
      <c r="T3" s="517" t="s">
        <v>34</v>
      </c>
      <c r="U3" s="517" t="s">
        <v>35</v>
      </c>
      <c r="V3" s="517" t="s">
        <v>36</v>
      </c>
      <c r="W3" s="517" t="s">
        <v>37</v>
      </c>
      <c r="X3" s="517" t="s">
        <v>38</v>
      </c>
      <c r="Y3" s="517" t="s">
        <v>39</v>
      </c>
      <c r="Z3" s="517" t="s">
        <v>40</v>
      </c>
      <c r="AA3" s="517" t="s">
        <v>41</v>
      </c>
      <c r="AB3" s="517" t="s">
        <v>42</v>
      </c>
      <c r="AC3" s="517" t="s">
        <v>43</v>
      </c>
      <c r="AD3" s="517" t="s">
        <v>65</v>
      </c>
      <c r="AF3" s="518" t="s">
        <v>32</v>
      </c>
      <c r="AG3" s="518" t="s">
        <v>33</v>
      </c>
      <c r="AH3" s="518" t="s">
        <v>34</v>
      </c>
      <c r="AI3" s="518" t="s">
        <v>35</v>
      </c>
      <c r="AJ3" s="518" t="s">
        <v>36</v>
      </c>
      <c r="AK3" s="518" t="s">
        <v>37</v>
      </c>
      <c r="AL3" s="518" t="s">
        <v>38</v>
      </c>
      <c r="AM3" s="518" t="s">
        <v>39</v>
      </c>
      <c r="AN3" s="518" t="s">
        <v>40</v>
      </c>
      <c r="AO3" s="518" t="s">
        <v>41</v>
      </c>
      <c r="AP3" s="518" t="s">
        <v>42</v>
      </c>
      <c r="AQ3" s="518" t="s">
        <v>43</v>
      </c>
      <c r="AR3" s="518" t="s">
        <v>65</v>
      </c>
      <c r="AT3" s="515" t="s">
        <v>32</v>
      </c>
      <c r="AU3" s="515" t="s">
        <v>33</v>
      </c>
      <c r="AV3" s="515" t="s">
        <v>34</v>
      </c>
      <c r="AW3" s="515" t="s">
        <v>35</v>
      </c>
      <c r="AX3" s="515" t="s">
        <v>36</v>
      </c>
      <c r="AY3" s="515" t="s">
        <v>37</v>
      </c>
      <c r="AZ3" s="515" t="s">
        <v>38</v>
      </c>
      <c r="BA3" s="515" t="s">
        <v>39</v>
      </c>
      <c r="BB3" s="515" t="s">
        <v>40</v>
      </c>
      <c r="BC3" s="515" t="s">
        <v>41</v>
      </c>
      <c r="BD3" s="515" t="s">
        <v>42</v>
      </c>
      <c r="BE3" s="515" t="s">
        <v>43</v>
      </c>
      <c r="BF3" s="515" t="s">
        <v>65</v>
      </c>
    </row>
    <row r="4" spans="1:58">
      <c r="A4" s="514" t="s">
        <v>66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67</v>
      </c>
    </row>
    <row r="6" spans="1:58">
      <c r="C6" s="515" t="s">
        <v>68</v>
      </c>
      <c r="D6" s="520">
        <f>'2018 VN YouTube View'!D6</f>
        <v>0</v>
      </c>
      <c r="E6" s="520">
        <f>'2018 VN YouTube View'!E6</f>
        <v>0</v>
      </c>
      <c r="F6" s="520">
        <f>'2018 VN YouTube View'!F6</f>
        <v>0</v>
      </c>
      <c r="G6" s="520">
        <f>'2018 VN YouTube View'!G6</f>
        <v>0</v>
      </c>
      <c r="H6" s="520">
        <f>'2018 VN YouTube View'!H6</f>
        <v>0</v>
      </c>
      <c r="I6" s="520">
        <f>'2018 VN YouTube View'!I6</f>
        <v>0</v>
      </c>
      <c r="J6" s="520">
        <f>'2018 VN YouTube View'!J6</f>
        <v>0</v>
      </c>
      <c r="K6" s="520">
        <f>'2018 VN YouTube View'!K6</f>
        <v>0</v>
      </c>
      <c r="L6" s="520">
        <f>'2018 VN YouTube View'!L6</f>
        <v>0</v>
      </c>
      <c r="M6" s="520">
        <f>'2018 VN YouTube View'!M6</f>
        <v>0</v>
      </c>
      <c r="N6" s="520">
        <f>'2018 VN YouTube View'!N6</f>
        <v>0</v>
      </c>
      <c r="O6" s="520">
        <f>'2018 VN YouTube View'!O6</f>
        <v>0</v>
      </c>
      <c r="P6" s="521">
        <f>SUM(D6:O6)</f>
        <v>0</v>
      </c>
      <c r="R6" s="520">
        <f>'2018 VN YouTube View'!R6</f>
        <v>0</v>
      </c>
      <c r="S6" s="520">
        <f>'2018 VN YouTube View'!S6</f>
        <v>0</v>
      </c>
      <c r="T6" s="520">
        <f>'2018 VN YouTube View'!T6</f>
        <v>0</v>
      </c>
      <c r="U6" s="520">
        <f>'2018 VN YouTube View'!U6</f>
        <v>0</v>
      </c>
      <c r="V6" s="520">
        <f>'2018 VN YouTube View'!V6</f>
        <v>0</v>
      </c>
      <c r="W6" s="520">
        <f>'2018 VN YouTube View'!W6</f>
        <v>0</v>
      </c>
      <c r="X6" s="520">
        <f>'2018 VN YouTube View'!X6</f>
        <v>0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0</v>
      </c>
      <c r="AF6" s="522">
        <f>R6-D6</f>
        <v>0</v>
      </c>
      <c r="AG6" s="522">
        <f t="shared" ref="AG6:AQ9" si="0">S6-E6</f>
        <v>0</v>
      </c>
      <c r="AH6" s="522">
        <f t="shared" si="0"/>
        <v>0</v>
      </c>
      <c r="AI6" s="522">
        <f t="shared" si="0"/>
        <v>0</v>
      </c>
      <c r="AJ6" s="522">
        <f t="shared" si="0"/>
        <v>0</v>
      </c>
      <c r="AK6" s="522">
        <f t="shared" si="0"/>
        <v>0</v>
      </c>
      <c r="AL6" s="522">
        <f t="shared" si="0"/>
        <v>0</v>
      </c>
      <c r="AM6" s="522">
        <f t="shared" si="0"/>
        <v>0</v>
      </c>
      <c r="AN6" s="522">
        <f t="shared" si="0"/>
        <v>0</v>
      </c>
      <c r="AO6" s="522">
        <f t="shared" si="0"/>
        <v>0</v>
      </c>
      <c r="AP6" s="522">
        <f t="shared" si="0"/>
        <v>0</v>
      </c>
      <c r="AQ6" s="522">
        <f t="shared" si="0"/>
        <v>0</v>
      </c>
      <c r="AR6" s="521">
        <f>SUM(AF6:AQ6)</f>
        <v>0</v>
      </c>
      <c r="AT6" s="523" t="e">
        <f>R6/D6</f>
        <v>#DIV/0!</v>
      </c>
      <c r="AU6" s="523" t="e">
        <f t="shared" ref="AU6:BF10" si="1">S6/E6</f>
        <v>#DIV/0!</v>
      </c>
      <c r="AV6" s="523" t="e">
        <f t="shared" si="1"/>
        <v>#DIV/0!</v>
      </c>
      <c r="AW6" s="523" t="e">
        <f t="shared" si="1"/>
        <v>#DIV/0!</v>
      </c>
      <c r="AX6" s="523" t="e">
        <f t="shared" si="1"/>
        <v>#DIV/0!</v>
      </c>
      <c r="AY6" s="523" t="e">
        <f t="shared" si="1"/>
        <v>#DIV/0!</v>
      </c>
      <c r="AZ6" s="523" t="e">
        <f t="shared" si="1"/>
        <v>#DIV/0!</v>
      </c>
      <c r="BA6" s="523" t="e">
        <f t="shared" si="1"/>
        <v>#DIV/0!</v>
      </c>
      <c r="BB6" s="523" t="e">
        <f t="shared" si="1"/>
        <v>#DIV/0!</v>
      </c>
      <c r="BC6" s="523" t="e">
        <f t="shared" si="1"/>
        <v>#DIV/0!</v>
      </c>
      <c r="BD6" s="523" t="e">
        <f t="shared" si="1"/>
        <v>#DIV/0!</v>
      </c>
      <c r="BE6" s="523" t="e">
        <f t="shared" si="1"/>
        <v>#DIV/0!</v>
      </c>
      <c r="BF6" s="523" t="e">
        <f t="shared" si="1"/>
        <v>#DIV/0!</v>
      </c>
    </row>
    <row r="7" spans="1:58">
      <c r="C7" s="515" t="s">
        <v>69</v>
      </c>
      <c r="D7" s="520">
        <f>'2018 VN YouTube View'!D10</f>
        <v>0</v>
      </c>
      <c r="E7" s="520">
        <f>'2018 VN YouTube View'!E10</f>
        <v>0</v>
      </c>
      <c r="F7" s="520">
        <f>'2018 VN YouTube View'!F10</f>
        <v>0</v>
      </c>
      <c r="G7" s="520">
        <f>'2018 VN YouTube View'!G10</f>
        <v>0</v>
      </c>
      <c r="H7" s="520">
        <f>'2018 VN YouTube View'!H10</f>
        <v>0</v>
      </c>
      <c r="I7" s="520">
        <f>'2018 VN YouTube View'!I10</f>
        <v>0</v>
      </c>
      <c r="J7" s="520">
        <f>'2018 VN YouTube View'!J10</f>
        <v>0</v>
      </c>
      <c r="K7" s="520">
        <f>'2018 VN YouTube View'!K10</f>
        <v>0</v>
      </c>
      <c r="L7" s="520">
        <f>'2018 VN YouTube View'!L10</f>
        <v>0</v>
      </c>
      <c r="M7" s="520">
        <f>'2018 VN YouTube View'!M10</f>
        <v>0</v>
      </c>
      <c r="N7" s="520">
        <f>'2018 VN YouTube View'!N10</f>
        <v>0</v>
      </c>
      <c r="O7" s="520">
        <f>'2018 VN YouTube View'!O10</f>
        <v>0</v>
      </c>
      <c r="P7" s="521">
        <f>SUM(D7:O7)</f>
        <v>0</v>
      </c>
      <c r="R7" s="520">
        <f>'2018 VN YouTube View'!R10</f>
        <v>0</v>
      </c>
      <c r="S7" s="520">
        <f>'2018 VN YouTube View'!S10</f>
        <v>0</v>
      </c>
      <c r="T7" s="520">
        <f>'2018 VN YouTube View'!T10</f>
        <v>0</v>
      </c>
      <c r="U7" s="520">
        <f>'2018 VN YouTube View'!U10</f>
        <v>0</v>
      </c>
      <c r="V7" s="520">
        <f>'2018 VN YouTube View'!V10</f>
        <v>0</v>
      </c>
      <c r="W7" s="520">
        <f>'2018 VN YouTube View'!W10</f>
        <v>0</v>
      </c>
      <c r="X7" s="520">
        <f>'2018 VN YouTube View'!X10</f>
        <v>0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0</v>
      </c>
      <c r="AF7" s="522">
        <f>R7-D7</f>
        <v>0</v>
      </c>
      <c r="AG7" s="522">
        <f t="shared" si="0"/>
        <v>0</v>
      </c>
      <c r="AH7" s="522">
        <f t="shared" si="0"/>
        <v>0</v>
      </c>
      <c r="AI7" s="522">
        <f t="shared" si="0"/>
        <v>0</v>
      </c>
      <c r="AJ7" s="522">
        <f t="shared" si="0"/>
        <v>0</v>
      </c>
      <c r="AK7" s="522">
        <f t="shared" si="0"/>
        <v>0</v>
      </c>
      <c r="AL7" s="522">
        <f t="shared" si="0"/>
        <v>0</v>
      </c>
      <c r="AM7" s="522">
        <f t="shared" si="0"/>
        <v>0</v>
      </c>
      <c r="AN7" s="522">
        <f t="shared" si="0"/>
        <v>0</v>
      </c>
      <c r="AO7" s="522">
        <f t="shared" si="0"/>
        <v>0</v>
      </c>
      <c r="AP7" s="522">
        <f t="shared" si="0"/>
        <v>0</v>
      </c>
      <c r="AQ7" s="522">
        <f t="shared" si="0"/>
        <v>0</v>
      </c>
      <c r="AR7" s="521">
        <f>SUM(AF7:AQ7)</f>
        <v>0</v>
      </c>
      <c r="AT7" s="523" t="e">
        <f t="shared" ref="AT7:AT10" si="2">R7/D7</f>
        <v>#DIV/0!</v>
      </c>
      <c r="AU7" s="523" t="e">
        <f t="shared" si="1"/>
        <v>#DIV/0!</v>
      </c>
      <c r="AV7" s="523" t="e">
        <f t="shared" si="1"/>
        <v>#DIV/0!</v>
      </c>
      <c r="AW7" s="523" t="e">
        <f t="shared" si="1"/>
        <v>#DIV/0!</v>
      </c>
      <c r="AX7" s="523" t="e">
        <f t="shared" si="1"/>
        <v>#DIV/0!</v>
      </c>
      <c r="AY7" s="523" t="e">
        <f t="shared" si="1"/>
        <v>#DIV/0!</v>
      </c>
      <c r="AZ7" s="523" t="e">
        <f t="shared" si="1"/>
        <v>#DIV/0!</v>
      </c>
      <c r="BA7" s="523" t="e">
        <f t="shared" si="1"/>
        <v>#DIV/0!</v>
      </c>
      <c r="BB7" s="523" t="e">
        <f t="shared" si="1"/>
        <v>#DIV/0!</v>
      </c>
      <c r="BC7" s="523" t="e">
        <f t="shared" si="1"/>
        <v>#DIV/0!</v>
      </c>
      <c r="BD7" s="523" t="e">
        <f t="shared" si="1"/>
        <v>#DIV/0!</v>
      </c>
      <c r="BE7" s="523" t="e">
        <f t="shared" si="1"/>
        <v>#DIV/0!</v>
      </c>
      <c r="BF7" s="523" t="e">
        <f t="shared" si="1"/>
        <v>#DIV/0!</v>
      </c>
    </row>
    <row r="8" spans="1:58">
      <c r="C8" s="515" t="s">
        <v>70</v>
      </c>
      <c r="D8" s="520">
        <f>'2018 VN YouTube View'!D14</f>
        <v>729780255.59385121</v>
      </c>
      <c r="E8" s="520">
        <f>'2018 VN YouTube View'!E14</f>
        <v>651335138.02331662</v>
      </c>
      <c r="F8" s="520">
        <f>'2018 VN YouTube View'!F14</f>
        <v>803881717.779351</v>
      </c>
      <c r="G8" s="520">
        <f>'2018 VN YouTube View'!G14</f>
        <v>844076775.91511309</v>
      </c>
      <c r="H8" s="520">
        <f>'2018 VN YouTube View'!H14</f>
        <v>914450046.00110424</v>
      </c>
      <c r="I8" s="520">
        <f>'2018 VN YouTube View'!I14</f>
        <v>897434362.91992033</v>
      </c>
      <c r="J8" s="520">
        <f>'2018 VN YouTube View'!J14</f>
        <v>968937296.08405435</v>
      </c>
      <c r="K8" s="520">
        <f>'2018 VN YouTube View'!K14</f>
        <v>959892438.51546562</v>
      </c>
      <c r="L8" s="520">
        <f>'2018 VN YouTube View'!L14</f>
        <v>1012740822.7130661</v>
      </c>
      <c r="M8" s="520">
        <f>'2018 VN YouTube View'!M14</f>
        <v>1086658524.5078678</v>
      </c>
      <c r="N8" s="520">
        <f>'2018 VN YouTube View'!N14</f>
        <v>1037155721.386215</v>
      </c>
      <c r="O8" s="520">
        <f>'2018 VN YouTube View'!O14</f>
        <v>1093656900.5606754</v>
      </c>
      <c r="P8" s="521">
        <f>SUM(D8:O8)</f>
        <v>11000000000</v>
      </c>
      <c r="R8" s="520">
        <f>'2018 VN YouTube View'!R14</f>
        <v>712243496</v>
      </c>
      <c r="S8" s="520">
        <f>'2018 VN YouTube View'!S14</f>
        <v>640353919</v>
      </c>
      <c r="T8" s="520">
        <f>'2018 VN YouTube View'!T14</f>
        <v>663392460</v>
      </c>
      <c r="U8" s="520">
        <f>'2018 VN YouTube View'!U14</f>
        <v>693831478</v>
      </c>
      <c r="V8" s="520">
        <f>'2018 VN YouTube View'!V14</f>
        <v>796396532</v>
      </c>
      <c r="W8" s="520">
        <f>'2018 VN YouTube View'!W14</f>
        <v>0</v>
      </c>
      <c r="X8" s="520">
        <f>'2018 VN YouTube View'!X14</f>
        <v>0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3506217885</v>
      </c>
      <c r="AF8" s="522">
        <f>R8-D8</f>
        <v>-17536759.593851209</v>
      </c>
      <c r="AG8" s="522">
        <f t="shared" si="0"/>
        <v>-10981219.023316622</v>
      </c>
      <c r="AH8" s="522">
        <f t="shared" si="0"/>
        <v>-140489257.779351</v>
      </c>
      <c r="AI8" s="522">
        <f t="shared" si="0"/>
        <v>-150245297.91511309</v>
      </c>
      <c r="AJ8" s="522">
        <f t="shared" si="0"/>
        <v>-118053514.00110424</v>
      </c>
      <c r="AK8" s="522">
        <f t="shared" si="0"/>
        <v>-897434362.91992033</v>
      </c>
      <c r="AL8" s="522">
        <f t="shared" si="0"/>
        <v>-968937296.08405435</v>
      </c>
      <c r="AM8" s="522">
        <f t="shared" si="0"/>
        <v>-959892438.51546562</v>
      </c>
      <c r="AN8" s="522">
        <f t="shared" si="0"/>
        <v>-1012740822.7130661</v>
      </c>
      <c r="AO8" s="522">
        <f t="shared" si="0"/>
        <v>-1086658524.5078678</v>
      </c>
      <c r="AP8" s="522">
        <f t="shared" si="0"/>
        <v>-1037155721.386215</v>
      </c>
      <c r="AQ8" s="522">
        <f t="shared" si="0"/>
        <v>-1093656900.5606754</v>
      </c>
      <c r="AR8" s="521">
        <f>SUM(AF8:AQ8)</f>
        <v>-7493782115.000001</v>
      </c>
      <c r="AT8" s="523">
        <f t="shared" si="2"/>
        <v>0.97596980809027112</v>
      </c>
      <c r="AU8" s="523">
        <f t="shared" si="1"/>
        <v>0.98314044739449702</v>
      </c>
      <c r="AV8" s="523">
        <f t="shared" si="1"/>
        <v>0.82523640646109031</v>
      </c>
      <c r="AW8" s="523">
        <f t="shared" si="1"/>
        <v>0.82200043621360941</v>
      </c>
      <c r="AX8" s="523">
        <f t="shared" si="1"/>
        <v>0.8709021728225036</v>
      </c>
      <c r="AY8" s="523">
        <f t="shared" si="1"/>
        <v>0</v>
      </c>
      <c r="AZ8" s="523">
        <f t="shared" si="1"/>
        <v>0</v>
      </c>
      <c r="BA8" s="523">
        <f t="shared" si="1"/>
        <v>0</v>
      </c>
      <c r="BB8" s="523">
        <f t="shared" si="1"/>
        <v>0</v>
      </c>
      <c r="BC8" s="523">
        <f t="shared" si="1"/>
        <v>0</v>
      </c>
      <c r="BD8" s="523">
        <f t="shared" si="1"/>
        <v>0</v>
      </c>
      <c r="BE8" s="523">
        <f t="shared" si="1"/>
        <v>0</v>
      </c>
      <c r="BF8" s="523">
        <f t="shared" si="1"/>
        <v>0.31874708045454547</v>
      </c>
    </row>
    <row r="9" spans="1:58">
      <c r="C9" s="515" t="s">
        <v>71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0</v>
      </c>
      <c r="X9" s="520">
        <f>'2018 VN YouTube View'!X18</f>
        <v>0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1156411352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-101981177.60453641</v>
      </c>
      <c r="AL9" s="522">
        <f t="shared" si="0"/>
        <v>-110106510.91864255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-93588648.000000164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0</v>
      </c>
      <c r="AZ9" s="523">
        <f t="shared" si="1"/>
        <v>0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0.92512908159999996</v>
      </c>
    </row>
    <row r="10" spans="1:58" s="514" customFormat="1">
      <c r="C10" s="514" t="s">
        <v>44</v>
      </c>
      <c r="D10" s="524">
        <f>SUM(D6:D9)</f>
        <v>812709830.09315252</v>
      </c>
      <c r="E10" s="524">
        <f t="shared" ref="E10:P10" si="3">SUM(E6:E9)</f>
        <v>725350494.61687529</v>
      </c>
      <c r="F10" s="524">
        <f t="shared" si="3"/>
        <v>895231912.98154998</v>
      </c>
      <c r="G10" s="524">
        <f t="shared" si="3"/>
        <v>939994591.36001229</v>
      </c>
      <c r="H10" s="524">
        <f t="shared" si="3"/>
        <v>1018364823.9557753</v>
      </c>
      <c r="I10" s="524">
        <f t="shared" si="3"/>
        <v>999415540.52445674</v>
      </c>
      <c r="J10" s="524">
        <f t="shared" si="3"/>
        <v>1079043807.002697</v>
      </c>
      <c r="K10" s="524">
        <f t="shared" si="3"/>
        <v>1068971124.7104049</v>
      </c>
      <c r="L10" s="524">
        <f t="shared" si="3"/>
        <v>1127825007.1122782</v>
      </c>
      <c r="M10" s="524">
        <f t="shared" si="3"/>
        <v>1210142447.7473981</v>
      </c>
      <c r="N10" s="524">
        <f t="shared" si="3"/>
        <v>1155014326.0891938</v>
      </c>
      <c r="O10" s="524">
        <f t="shared" si="3"/>
        <v>1217936093.8062067</v>
      </c>
      <c r="P10" s="524">
        <f t="shared" si="3"/>
        <v>12250000000</v>
      </c>
      <c r="R10" s="524">
        <f t="shared" ref="R10:AD10" si="4">SUM(R6:R9)</f>
        <v>838232595</v>
      </c>
      <c r="S10" s="524">
        <f t="shared" si="4"/>
        <v>741057301</v>
      </c>
      <c r="T10" s="524">
        <f t="shared" si="4"/>
        <v>833208895</v>
      </c>
      <c r="U10" s="524">
        <f t="shared" si="4"/>
        <v>1052535055</v>
      </c>
      <c r="V10" s="524">
        <f t="shared" si="4"/>
        <v>1197595391</v>
      </c>
      <c r="W10" s="524">
        <f t="shared" si="4"/>
        <v>0</v>
      </c>
      <c r="X10" s="524">
        <f t="shared" si="4"/>
        <v>0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4662629237</v>
      </c>
      <c r="AE10" s="525"/>
      <c r="AF10" s="524">
        <f>SUM(AF6:AF9)</f>
        <v>25522764.906847507</v>
      </c>
      <c r="AG10" s="524">
        <f t="shared" ref="AG10:AR10" si="5">SUM(AG6:AG9)</f>
        <v>15706806.383124664</v>
      </c>
      <c r="AH10" s="524">
        <f t="shared" si="5"/>
        <v>-62023017.981549978</v>
      </c>
      <c r="AI10" s="524">
        <f t="shared" si="5"/>
        <v>112540463.63998771</v>
      </c>
      <c r="AJ10" s="524">
        <f t="shared" si="5"/>
        <v>179230567.0442248</v>
      </c>
      <c r="AK10" s="524">
        <f t="shared" si="5"/>
        <v>-999415540.52445674</v>
      </c>
      <c r="AL10" s="524">
        <f t="shared" si="5"/>
        <v>-1079043807.002697</v>
      </c>
      <c r="AM10" s="524">
        <f t="shared" si="5"/>
        <v>-1068971124.7104049</v>
      </c>
      <c r="AN10" s="524">
        <f t="shared" si="5"/>
        <v>-1127825007.1122782</v>
      </c>
      <c r="AO10" s="524">
        <f t="shared" si="5"/>
        <v>-1210142447.7473981</v>
      </c>
      <c r="AP10" s="524">
        <f t="shared" si="5"/>
        <v>-1155014326.0891938</v>
      </c>
      <c r="AQ10" s="524">
        <f t="shared" si="5"/>
        <v>-1217936093.8062067</v>
      </c>
      <c r="AR10" s="524">
        <f t="shared" si="5"/>
        <v>-7587370763.000001</v>
      </c>
      <c r="AT10" s="523">
        <f t="shared" si="2"/>
        <v>1.0314045234372544</v>
      </c>
      <c r="AU10" s="523">
        <f t="shared" si="1"/>
        <v>1.0216540920557597</v>
      </c>
      <c r="AV10" s="523">
        <f t="shared" si="1"/>
        <v>0.93071849083777225</v>
      </c>
      <c r="AW10" s="523">
        <f t="shared" si="1"/>
        <v>1.119724586369333</v>
      </c>
      <c r="AX10" s="523">
        <f t="shared" si="1"/>
        <v>1.175998387638739</v>
      </c>
      <c r="AY10" s="523">
        <f t="shared" si="1"/>
        <v>0</v>
      </c>
      <c r="AZ10" s="523">
        <f t="shared" si="1"/>
        <v>0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0.38062279485714284</v>
      </c>
    </row>
    <row r="11" spans="1:58">
      <c r="AD11" s="514"/>
      <c r="AR11" s="514"/>
    </row>
    <row r="12" spans="1:58">
      <c r="B12" s="515" t="s">
        <v>72</v>
      </c>
      <c r="AD12" s="514"/>
      <c r="AR12" s="514"/>
    </row>
    <row r="13" spans="1:58">
      <c r="C13" s="515" t="s">
        <v>68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69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71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60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44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73</v>
      </c>
      <c r="AD19" s="514"/>
      <c r="AR19" s="514"/>
    </row>
    <row r="20" spans="1:58">
      <c r="C20" s="515" t="s">
        <v>68</v>
      </c>
      <c r="D20" s="522">
        <f>D6+D13</f>
        <v>0</v>
      </c>
      <c r="E20" s="522">
        <f t="shared" ref="E20:O21" si="16">E6+E13</f>
        <v>0</v>
      </c>
      <c r="F20" s="522">
        <f t="shared" si="16"/>
        <v>0</v>
      </c>
      <c r="G20" s="522">
        <f t="shared" si="16"/>
        <v>0</v>
      </c>
      <c r="H20" s="522">
        <f t="shared" si="16"/>
        <v>0</v>
      </c>
      <c r="I20" s="522">
        <f t="shared" si="16"/>
        <v>0</v>
      </c>
      <c r="J20" s="522">
        <f t="shared" si="16"/>
        <v>0</v>
      </c>
      <c r="K20" s="522">
        <f t="shared" si="16"/>
        <v>0</v>
      </c>
      <c r="L20" s="522">
        <f t="shared" si="16"/>
        <v>0</v>
      </c>
      <c r="M20" s="522">
        <f t="shared" si="16"/>
        <v>0</v>
      </c>
      <c r="N20" s="522">
        <f t="shared" si="16"/>
        <v>0</v>
      </c>
      <c r="O20" s="522">
        <f t="shared" si="16"/>
        <v>0</v>
      </c>
      <c r="P20" s="521">
        <f t="shared" ref="P20:P24" si="17">SUM(D20:O20)</f>
        <v>0</v>
      </c>
      <c r="R20" s="522">
        <f t="shared" ref="R20:AC21" si="18">R6+R13</f>
        <v>0</v>
      </c>
      <c r="S20" s="522">
        <f t="shared" si="18"/>
        <v>0</v>
      </c>
      <c r="T20" s="522">
        <f t="shared" si="18"/>
        <v>0</v>
      </c>
      <c r="U20" s="522">
        <f t="shared" si="18"/>
        <v>0</v>
      </c>
      <c r="V20" s="522">
        <f t="shared" si="18"/>
        <v>0</v>
      </c>
      <c r="W20" s="522">
        <f t="shared" si="18"/>
        <v>0</v>
      </c>
      <c r="X20" s="522">
        <f t="shared" si="18"/>
        <v>0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0</v>
      </c>
      <c r="AF20" s="522">
        <f t="shared" ref="AF20:AQ24" si="20">R20-D20</f>
        <v>0</v>
      </c>
      <c r="AG20" s="522">
        <f t="shared" si="20"/>
        <v>0</v>
      </c>
      <c r="AH20" s="522">
        <f t="shared" si="20"/>
        <v>0</v>
      </c>
      <c r="AI20" s="522">
        <f t="shared" si="20"/>
        <v>0</v>
      </c>
      <c r="AJ20" s="522">
        <f t="shared" si="20"/>
        <v>0</v>
      </c>
      <c r="AK20" s="522">
        <f t="shared" si="20"/>
        <v>0</v>
      </c>
      <c r="AL20" s="522">
        <f t="shared" si="20"/>
        <v>0</v>
      </c>
      <c r="AM20" s="522">
        <f t="shared" si="20"/>
        <v>0</v>
      </c>
      <c r="AN20" s="522">
        <f t="shared" si="20"/>
        <v>0</v>
      </c>
      <c r="AO20" s="522">
        <f t="shared" si="20"/>
        <v>0</v>
      </c>
      <c r="AP20" s="522">
        <f t="shared" si="20"/>
        <v>0</v>
      </c>
      <c r="AQ20" s="522">
        <f t="shared" si="20"/>
        <v>0</v>
      </c>
      <c r="AR20" s="521">
        <f t="shared" ref="AR20:AR24" si="21">SUM(AF20:AQ20)</f>
        <v>0</v>
      </c>
      <c r="AT20" s="523" t="e">
        <f>R20/D20</f>
        <v>#DIV/0!</v>
      </c>
      <c r="AU20" s="523" t="e">
        <f t="shared" ref="AU20:BF25" si="22">S20/E20</f>
        <v>#DIV/0!</v>
      </c>
      <c r="AV20" s="523" t="e">
        <f t="shared" si="22"/>
        <v>#DIV/0!</v>
      </c>
      <c r="AW20" s="523" t="e">
        <f t="shared" si="22"/>
        <v>#DIV/0!</v>
      </c>
      <c r="AX20" s="523" t="e">
        <f t="shared" si="22"/>
        <v>#DIV/0!</v>
      </c>
      <c r="AY20" s="523" t="e">
        <f t="shared" si="22"/>
        <v>#DIV/0!</v>
      </c>
      <c r="AZ20" s="523" t="e">
        <f t="shared" si="22"/>
        <v>#DIV/0!</v>
      </c>
      <c r="BA20" s="523" t="e">
        <f t="shared" si="22"/>
        <v>#DIV/0!</v>
      </c>
      <c r="BB20" s="523" t="e">
        <f t="shared" si="22"/>
        <v>#DIV/0!</v>
      </c>
      <c r="BC20" s="523" t="e">
        <f t="shared" si="22"/>
        <v>#DIV/0!</v>
      </c>
      <c r="BD20" s="523" t="e">
        <f t="shared" si="22"/>
        <v>#DIV/0!</v>
      </c>
      <c r="BE20" s="523" t="e">
        <f t="shared" si="22"/>
        <v>#DIV/0!</v>
      </c>
      <c r="BF20" s="523" t="e">
        <f t="shared" si="22"/>
        <v>#DIV/0!</v>
      </c>
    </row>
    <row r="21" spans="1:58">
      <c r="C21" s="515" t="s">
        <v>69</v>
      </c>
      <c r="D21" s="522">
        <f>D7+D14</f>
        <v>0</v>
      </c>
      <c r="E21" s="522">
        <f t="shared" si="16"/>
        <v>0</v>
      </c>
      <c r="F21" s="522">
        <f t="shared" si="16"/>
        <v>0</v>
      </c>
      <c r="G21" s="522">
        <f t="shared" si="16"/>
        <v>0</v>
      </c>
      <c r="H21" s="522">
        <f t="shared" si="16"/>
        <v>0</v>
      </c>
      <c r="I21" s="522">
        <f t="shared" si="16"/>
        <v>0</v>
      </c>
      <c r="J21" s="522">
        <f t="shared" si="16"/>
        <v>0</v>
      </c>
      <c r="K21" s="522">
        <f t="shared" si="16"/>
        <v>0</v>
      </c>
      <c r="L21" s="522">
        <f t="shared" si="16"/>
        <v>0</v>
      </c>
      <c r="M21" s="522">
        <f t="shared" si="16"/>
        <v>0</v>
      </c>
      <c r="N21" s="522">
        <f t="shared" si="16"/>
        <v>0</v>
      </c>
      <c r="O21" s="522">
        <f t="shared" si="16"/>
        <v>0</v>
      </c>
      <c r="P21" s="521">
        <f t="shared" si="17"/>
        <v>0</v>
      </c>
      <c r="R21" s="522">
        <f t="shared" si="18"/>
        <v>0</v>
      </c>
      <c r="S21" s="522">
        <f t="shared" si="18"/>
        <v>0</v>
      </c>
      <c r="T21" s="522">
        <f t="shared" si="18"/>
        <v>0</v>
      </c>
      <c r="U21" s="522">
        <f t="shared" si="18"/>
        <v>0</v>
      </c>
      <c r="V21" s="522">
        <f t="shared" si="18"/>
        <v>0</v>
      </c>
      <c r="W21" s="522">
        <f t="shared" si="18"/>
        <v>0</v>
      </c>
      <c r="X21" s="522">
        <f t="shared" si="18"/>
        <v>0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0</v>
      </c>
      <c r="AF21" s="522">
        <f t="shared" si="20"/>
        <v>0</v>
      </c>
      <c r="AG21" s="522">
        <f t="shared" si="20"/>
        <v>0</v>
      </c>
      <c r="AH21" s="522">
        <f t="shared" si="20"/>
        <v>0</v>
      </c>
      <c r="AI21" s="522">
        <f t="shared" si="20"/>
        <v>0</v>
      </c>
      <c r="AJ21" s="522">
        <f t="shared" si="20"/>
        <v>0</v>
      </c>
      <c r="AK21" s="522">
        <f t="shared" si="20"/>
        <v>0</v>
      </c>
      <c r="AL21" s="522">
        <f t="shared" si="20"/>
        <v>0</v>
      </c>
      <c r="AM21" s="522">
        <f t="shared" si="20"/>
        <v>0</v>
      </c>
      <c r="AN21" s="522">
        <f t="shared" si="20"/>
        <v>0</v>
      </c>
      <c r="AO21" s="522">
        <f t="shared" si="20"/>
        <v>0</v>
      </c>
      <c r="AP21" s="522">
        <f t="shared" si="20"/>
        <v>0</v>
      </c>
      <c r="AQ21" s="522">
        <f t="shared" si="20"/>
        <v>0</v>
      </c>
      <c r="AR21" s="521">
        <f t="shared" si="21"/>
        <v>0</v>
      </c>
      <c r="AT21" s="523" t="e">
        <f t="shared" ref="AT21:AT25" si="23">R21/D21</f>
        <v>#DIV/0!</v>
      </c>
      <c r="AU21" s="523" t="e">
        <f t="shared" si="22"/>
        <v>#DIV/0!</v>
      </c>
      <c r="AV21" s="523" t="e">
        <f t="shared" si="22"/>
        <v>#DIV/0!</v>
      </c>
      <c r="AW21" s="523" t="e">
        <f t="shared" si="22"/>
        <v>#DIV/0!</v>
      </c>
      <c r="AX21" s="523" t="e">
        <f t="shared" si="22"/>
        <v>#DIV/0!</v>
      </c>
      <c r="AY21" s="523" t="e">
        <f t="shared" si="22"/>
        <v>#DIV/0!</v>
      </c>
      <c r="AZ21" s="523" t="e">
        <f t="shared" si="22"/>
        <v>#DIV/0!</v>
      </c>
      <c r="BA21" s="523" t="e">
        <f t="shared" si="22"/>
        <v>#DIV/0!</v>
      </c>
      <c r="BB21" s="523" t="e">
        <f t="shared" si="22"/>
        <v>#DIV/0!</v>
      </c>
      <c r="BC21" s="523" t="e">
        <f t="shared" si="22"/>
        <v>#DIV/0!</v>
      </c>
      <c r="BD21" s="523" t="e">
        <f t="shared" si="22"/>
        <v>#DIV/0!</v>
      </c>
      <c r="BE21" s="523" t="e">
        <f t="shared" si="22"/>
        <v>#DIV/0!</v>
      </c>
      <c r="BF21" s="523" t="e">
        <f t="shared" si="22"/>
        <v>#DIV/0!</v>
      </c>
    </row>
    <row r="22" spans="1:58">
      <c r="C22" s="515" t="s">
        <v>70</v>
      </c>
      <c r="D22" s="522">
        <f>D8</f>
        <v>729780255.59385121</v>
      </c>
      <c r="E22" s="522">
        <f t="shared" ref="E22:O22" si="24">E8</f>
        <v>651335138.02331662</v>
      </c>
      <c r="F22" s="522">
        <f t="shared" si="24"/>
        <v>803881717.779351</v>
      </c>
      <c r="G22" s="522">
        <f t="shared" si="24"/>
        <v>844076775.91511309</v>
      </c>
      <c r="H22" s="522">
        <f t="shared" si="24"/>
        <v>914450046.00110424</v>
      </c>
      <c r="I22" s="522">
        <f t="shared" si="24"/>
        <v>897434362.91992033</v>
      </c>
      <c r="J22" s="522">
        <f t="shared" si="24"/>
        <v>968937296.08405435</v>
      </c>
      <c r="K22" s="522">
        <f t="shared" si="24"/>
        <v>959892438.51546562</v>
      </c>
      <c r="L22" s="522">
        <f t="shared" si="24"/>
        <v>1012740822.7130661</v>
      </c>
      <c r="M22" s="522">
        <f t="shared" si="24"/>
        <v>1086658524.5078678</v>
      </c>
      <c r="N22" s="522">
        <f t="shared" si="24"/>
        <v>1037155721.386215</v>
      </c>
      <c r="O22" s="522">
        <f t="shared" si="24"/>
        <v>1093656900.5606754</v>
      </c>
      <c r="P22" s="521">
        <f t="shared" si="17"/>
        <v>11000000000</v>
      </c>
      <c r="R22" s="522">
        <f t="shared" ref="R22:AC22" si="25">R8</f>
        <v>712243496</v>
      </c>
      <c r="S22" s="522">
        <f t="shared" si="25"/>
        <v>640353919</v>
      </c>
      <c r="T22" s="522">
        <f t="shared" si="25"/>
        <v>663392460</v>
      </c>
      <c r="U22" s="522">
        <f t="shared" si="25"/>
        <v>693831478</v>
      </c>
      <c r="V22" s="522">
        <f t="shared" si="25"/>
        <v>796396532</v>
      </c>
      <c r="W22" s="522">
        <f t="shared" si="25"/>
        <v>0</v>
      </c>
      <c r="X22" s="522">
        <f t="shared" si="25"/>
        <v>0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3506217885</v>
      </c>
      <c r="AF22" s="522">
        <f t="shared" si="20"/>
        <v>-17536759.593851209</v>
      </c>
      <c r="AG22" s="522">
        <f t="shared" si="20"/>
        <v>-10981219.023316622</v>
      </c>
      <c r="AH22" s="522">
        <f t="shared" si="20"/>
        <v>-140489257.779351</v>
      </c>
      <c r="AI22" s="522">
        <f t="shared" si="20"/>
        <v>-150245297.91511309</v>
      </c>
      <c r="AJ22" s="522">
        <f t="shared" si="20"/>
        <v>-118053514.00110424</v>
      </c>
      <c r="AK22" s="522">
        <f t="shared" si="20"/>
        <v>-897434362.91992033</v>
      </c>
      <c r="AL22" s="522">
        <f t="shared" si="20"/>
        <v>-968937296.08405435</v>
      </c>
      <c r="AM22" s="522">
        <f t="shared" si="20"/>
        <v>-959892438.51546562</v>
      </c>
      <c r="AN22" s="522">
        <f t="shared" si="20"/>
        <v>-1012740822.7130661</v>
      </c>
      <c r="AO22" s="522">
        <f t="shared" si="20"/>
        <v>-1086658524.5078678</v>
      </c>
      <c r="AP22" s="522">
        <f t="shared" si="20"/>
        <v>-1037155721.386215</v>
      </c>
      <c r="AQ22" s="522">
        <f t="shared" si="20"/>
        <v>-1093656900.5606754</v>
      </c>
      <c r="AR22" s="521">
        <f t="shared" si="21"/>
        <v>-7493782115.000001</v>
      </c>
      <c r="AT22" s="523">
        <f t="shared" si="23"/>
        <v>0.97596980809027112</v>
      </c>
      <c r="AU22" s="523">
        <f t="shared" si="22"/>
        <v>0.98314044739449702</v>
      </c>
      <c r="AV22" s="523">
        <f t="shared" si="22"/>
        <v>0.82523640646109031</v>
      </c>
      <c r="AW22" s="523">
        <f t="shared" si="22"/>
        <v>0.82200043621360941</v>
      </c>
      <c r="AX22" s="523">
        <f t="shared" si="22"/>
        <v>0.8709021728225036</v>
      </c>
      <c r="AY22" s="523">
        <f t="shared" si="22"/>
        <v>0</v>
      </c>
      <c r="AZ22" s="523">
        <f t="shared" si="22"/>
        <v>0</v>
      </c>
      <c r="BA22" s="523">
        <f t="shared" si="22"/>
        <v>0</v>
      </c>
      <c r="BB22" s="523">
        <f t="shared" si="22"/>
        <v>0</v>
      </c>
      <c r="BC22" s="523">
        <f t="shared" si="22"/>
        <v>0</v>
      </c>
      <c r="BD22" s="523">
        <f t="shared" si="22"/>
        <v>0</v>
      </c>
      <c r="BE22" s="523">
        <f t="shared" si="22"/>
        <v>0</v>
      </c>
      <c r="BF22" s="523">
        <f t="shared" si="22"/>
        <v>0.31874708045454547</v>
      </c>
    </row>
    <row r="23" spans="1:58">
      <c r="C23" s="515" t="s">
        <v>71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401198859</v>
      </c>
      <c r="W23" s="522">
        <f t="shared" si="27"/>
        <v>0</v>
      </c>
      <c r="X23" s="522">
        <f t="shared" si="27"/>
        <v>0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1156411352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297284081.04532903</v>
      </c>
      <c r="AK23" s="522">
        <f t="shared" si="20"/>
        <v>-101981177.60453641</v>
      </c>
      <c r="AL23" s="522">
        <f t="shared" si="20"/>
        <v>-110106510.91864255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-93588648.000000164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3.8608450780216108</v>
      </c>
      <c r="AY23" s="523">
        <f t="shared" si="22"/>
        <v>0</v>
      </c>
      <c r="AZ23" s="523">
        <f t="shared" si="22"/>
        <v>0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0.92512908159999996</v>
      </c>
    </row>
    <row r="24" spans="1:58">
      <c r="C24" s="515" t="s">
        <v>60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44</v>
      </c>
      <c r="D25" s="524">
        <f>SUM(D20:D24)</f>
        <v>812709830.09315252</v>
      </c>
      <c r="E25" s="524">
        <f t="shared" ref="E25:P25" si="30">SUM(E20:E24)</f>
        <v>725350494.61687529</v>
      </c>
      <c r="F25" s="524">
        <f t="shared" si="30"/>
        <v>895231912.98154998</v>
      </c>
      <c r="G25" s="524">
        <f t="shared" si="30"/>
        <v>939994591.36001229</v>
      </c>
      <c r="H25" s="524">
        <f t="shared" si="30"/>
        <v>1018364823.9557753</v>
      </c>
      <c r="I25" s="524">
        <f t="shared" si="30"/>
        <v>999415540.52445674</v>
      </c>
      <c r="J25" s="524">
        <f t="shared" si="30"/>
        <v>1079043807.002697</v>
      </c>
      <c r="K25" s="524">
        <f t="shared" si="30"/>
        <v>1068971124.7104049</v>
      </c>
      <c r="L25" s="524">
        <f t="shared" si="30"/>
        <v>1127825007.1122782</v>
      </c>
      <c r="M25" s="524">
        <f t="shared" si="30"/>
        <v>1210142447.7473981</v>
      </c>
      <c r="N25" s="524">
        <f t="shared" si="30"/>
        <v>1155014326.0891938</v>
      </c>
      <c r="O25" s="524">
        <f t="shared" si="30"/>
        <v>1217936093.8062067</v>
      </c>
      <c r="P25" s="524">
        <f t="shared" si="30"/>
        <v>12250000000</v>
      </c>
      <c r="R25" s="524">
        <f>SUM(R20:R24)</f>
        <v>838232595</v>
      </c>
      <c r="S25" s="524">
        <f t="shared" ref="S25:AD25" si="31">SUM(S20:S24)</f>
        <v>741057301</v>
      </c>
      <c r="T25" s="524">
        <f t="shared" si="31"/>
        <v>833208895</v>
      </c>
      <c r="U25" s="524">
        <f t="shared" si="31"/>
        <v>1052535055</v>
      </c>
      <c r="V25" s="524">
        <f t="shared" si="31"/>
        <v>1197595391</v>
      </c>
      <c r="W25" s="524">
        <f t="shared" si="31"/>
        <v>0</v>
      </c>
      <c r="X25" s="524">
        <f t="shared" si="31"/>
        <v>0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4662629237</v>
      </c>
      <c r="AE25" s="526"/>
      <c r="AF25" s="524">
        <f>SUM(AF20:AF24)</f>
        <v>25522764.906847507</v>
      </c>
      <c r="AG25" s="524">
        <f t="shared" ref="AG25:AR25" si="32">SUM(AG20:AG24)</f>
        <v>15706806.383124664</v>
      </c>
      <c r="AH25" s="524">
        <f t="shared" si="32"/>
        <v>-62023017.981549978</v>
      </c>
      <c r="AI25" s="524">
        <f t="shared" si="32"/>
        <v>112540463.63998771</v>
      </c>
      <c r="AJ25" s="524">
        <f t="shared" si="32"/>
        <v>179230567.0442248</v>
      </c>
      <c r="AK25" s="524">
        <f t="shared" si="32"/>
        <v>-999415540.52445674</v>
      </c>
      <c r="AL25" s="524">
        <f t="shared" si="32"/>
        <v>-1079043807.002697</v>
      </c>
      <c r="AM25" s="524">
        <f t="shared" si="32"/>
        <v>-1068971124.7104049</v>
      </c>
      <c r="AN25" s="524">
        <f t="shared" si="32"/>
        <v>-1127825007.1122782</v>
      </c>
      <c r="AO25" s="524">
        <f t="shared" si="32"/>
        <v>-1210142447.7473981</v>
      </c>
      <c r="AP25" s="524">
        <f t="shared" si="32"/>
        <v>-1155014326.0891938</v>
      </c>
      <c r="AQ25" s="524">
        <f t="shared" si="32"/>
        <v>-1217936093.8062067</v>
      </c>
      <c r="AR25" s="524">
        <f t="shared" si="32"/>
        <v>-7587370763.000001</v>
      </c>
      <c r="AT25" s="523">
        <f t="shared" si="23"/>
        <v>1.0314045234372544</v>
      </c>
      <c r="AU25" s="523">
        <f t="shared" si="22"/>
        <v>1.0216540920557597</v>
      </c>
      <c r="AV25" s="523">
        <f t="shared" si="22"/>
        <v>0.93071849083777225</v>
      </c>
      <c r="AW25" s="523">
        <f t="shared" si="22"/>
        <v>1.119724586369333</v>
      </c>
      <c r="AX25" s="523">
        <f t="shared" si="22"/>
        <v>1.175998387638739</v>
      </c>
      <c r="AY25" s="523">
        <f t="shared" si="22"/>
        <v>0</v>
      </c>
      <c r="AZ25" s="523">
        <f t="shared" si="22"/>
        <v>0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0.38062279485714284</v>
      </c>
    </row>
    <row r="26" spans="1:58">
      <c r="AE26" s="527"/>
    </row>
    <row r="27" spans="1:58">
      <c r="A27" s="514" t="s">
        <v>74</v>
      </c>
    </row>
    <row r="28" spans="1:58">
      <c r="B28" s="515" t="s">
        <v>67</v>
      </c>
    </row>
    <row r="29" spans="1:58">
      <c r="C29" s="515" t="s">
        <v>68</v>
      </c>
      <c r="D29" s="522">
        <f>SUM(D6:F6)</f>
        <v>0</v>
      </c>
      <c r="G29" s="522">
        <f>SUM(G6:I6)</f>
        <v>0</v>
      </c>
      <c r="J29" s="522">
        <f>SUM(J6:L6)</f>
        <v>0</v>
      </c>
      <c r="M29" s="522">
        <f>SUM(M6:O6)</f>
        <v>0</v>
      </c>
      <c r="P29" s="521">
        <f t="shared" ref="P29:P32" si="33">SUM(D29:O29)</f>
        <v>0</v>
      </c>
      <c r="R29" s="522">
        <f>SUM(R6:T6)</f>
        <v>0</v>
      </c>
      <c r="U29" s="522">
        <f>SUM(U6:W6)</f>
        <v>0</v>
      </c>
      <c r="X29" s="522">
        <f>SUM(X6:Z6)</f>
        <v>0</v>
      </c>
      <c r="AA29" s="522">
        <f>SUM(AA6:AC6)</f>
        <v>0</v>
      </c>
      <c r="AB29" s="522"/>
      <c r="AD29" s="521">
        <f t="shared" ref="AD29:AD32" si="34">SUM(R29:AC29)</f>
        <v>0</v>
      </c>
      <c r="AF29" s="522">
        <f t="shared" ref="AF29:AO32" si="35">R29-D29</f>
        <v>0</v>
      </c>
      <c r="AG29" s="522"/>
      <c r="AH29" s="522"/>
      <c r="AI29" s="522">
        <f t="shared" si="35"/>
        <v>0</v>
      </c>
      <c r="AJ29" s="522"/>
      <c r="AK29" s="522"/>
      <c r="AL29" s="522">
        <f t="shared" si="35"/>
        <v>0</v>
      </c>
      <c r="AM29" s="522"/>
      <c r="AN29" s="522"/>
      <c r="AO29" s="522">
        <f t="shared" si="35"/>
        <v>0</v>
      </c>
      <c r="AP29" s="522"/>
      <c r="AQ29" s="522"/>
      <c r="AR29" s="521">
        <f t="shared" ref="AR29:AR31" si="36">SUM(AF29:AQ29)</f>
        <v>0</v>
      </c>
      <c r="AT29" s="523" t="e">
        <f>R29/D29</f>
        <v>#DIV/0!</v>
      </c>
      <c r="AU29" s="523"/>
      <c r="AV29" s="523"/>
      <c r="AW29" s="523" t="e">
        <f t="shared" ref="AW29:AW33" si="37">U29/G29</f>
        <v>#DIV/0!</v>
      </c>
      <c r="AX29" s="523"/>
      <c r="AY29" s="523"/>
      <c r="AZ29" s="523" t="e">
        <f t="shared" ref="AZ29:AZ33" si="38">X29/J29</f>
        <v>#DIV/0!</v>
      </c>
      <c r="BA29" s="523"/>
      <c r="BB29" s="523"/>
      <c r="BC29" s="523" t="e">
        <f t="shared" ref="BC29:BC33" si="39">AA29/M29</f>
        <v>#DIV/0!</v>
      </c>
      <c r="BD29" s="523"/>
      <c r="BE29" s="523"/>
      <c r="BF29" s="523" t="e">
        <f t="shared" ref="BF29:BF33" si="40">AD29/P29</f>
        <v>#DIV/0!</v>
      </c>
    </row>
    <row r="30" spans="1:58">
      <c r="C30" s="515" t="s">
        <v>69</v>
      </c>
      <c r="D30" s="522">
        <f>SUM(D7:F7)</f>
        <v>0</v>
      </c>
      <c r="G30" s="522">
        <f>SUM(G7:I7)</f>
        <v>0</v>
      </c>
      <c r="J30" s="522">
        <f>SUM(J7:L7)</f>
        <v>0</v>
      </c>
      <c r="M30" s="522">
        <f>SUM(M7:O7)</f>
        <v>0</v>
      </c>
      <c r="P30" s="521">
        <f t="shared" si="33"/>
        <v>0</v>
      </c>
      <c r="R30" s="522">
        <f>SUM(R7:T7)</f>
        <v>0</v>
      </c>
      <c r="U30" s="522">
        <f>SUM(U7:W7)</f>
        <v>0</v>
      </c>
      <c r="X30" s="522">
        <f>SUM(X7:Z7)</f>
        <v>0</v>
      </c>
      <c r="AA30" s="522">
        <f>SUM(AA7:AC7)</f>
        <v>0</v>
      </c>
      <c r="AB30" s="522"/>
      <c r="AD30" s="521">
        <f t="shared" si="34"/>
        <v>0</v>
      </c>
      <c r="AF30" s="522">
        <f t="shared" si="35"/>
        <v>0</v>
      </c>
      <c r="AG30" s="522"/>
      <c r="AH30" s="522"/>
      <c r="AI30" s="522">
        <f t="shared" si="35"/>
        <v>0</v>
      </c>
      <c r="AJ30" s="522"/>
      <c r="AK30" s="522"/>
      <c r="AL30" s="522">
        <f t="shared" si="35"/>
        <v>0</v>
      </c>
      <c r="AM30" s="522"/>
      <c r="AN30" s="522"/>
      <c r="AO30" s="522">
        <f t="shared" si="35"/>
        <v>0</v>
      </c>
      <c r="AP30" s="522"/>
      <c r="AQ30" s="522"/>
      <c r="AR30" s="521">
        <f t="shared" si="36"/>
        <v>0</v>
      </c>
      <c r="AT30" s="523" t="e">
        <f t="shared" ref="AT30:AT33" si="41">R30/D30</f>
        <v>#DIV/0!</v>
      </c>
      <c r="AU30" s="523"/>
      <c r="AV30" s="523"/>
      <c r="AW30" s="523" t="e">
        <f t="shared" si="37"/>
        <v>#DIV/0!</v>
      </c>
      <c r="AX30" s="523"/>
      <c r="AY30" s="523"/>
      <c r="AZ30" s="523" t="e">
        <f t="shared" si="38"/>
        <v>#DIV/0!</v>
      </c>
      <c r="BA30" s="523"/>
      <c r="BB30" s="523"/>
      <c r="BC30" s="523" t="e">
        <f t="shared" si="39"/>
        <v>#DIV/0!</v>
      </c>
      <c r="BD30" s="523"/>
      <c r="BE30" s="523"/>
      <c r="BF30" s="523" t="e">
        <f t="shared" si="40"/>
        <v>#DIV/0!</v>
      </c>
    </row>
    <row r="31" spans="1:58">
      <c r="C31" s="515" t="s">
        <v>70</v>
      </c>
      <c r="D31" s="522">
        <f>SUM(D8:F8)</f>
        <v>2184997111.3965187</v>
      </c>
      <c r="G31" s="522">
        <f>SUM(G8:I8)</f>
        <v>2655961184.8361378</v>
      </c>
      <c r="J31" s="522">
        <f>SUM(J8:L8)</f>
        <v>2941570557.3125858</v>
      </c>
      <c r="M31" s="522">
        <f>SUM(M8:O8)</f>
        <v>3217471146.4547582</v>
      </c>
      <c r="P31" s="521">
        <f t="shared" si="33"/>
        <v>11000000000</v>
      </c>
      <c r="R31" s="522">
        <f>SUM(R8:T8)</f>
        <v>2015989875</v>
      </c>
      <c r="U31" s="522">
        <f>SUM(U8:W8)</f>
        <v>1490228010</v>
      </c>
      <c r="X31" s="522">
        <f>SUM(X8:Z8)</f>
        <v>0</v>
      </c>
      <c r="AA31" s="522">
        <f>SUM(AA8:AC8)</f>
        <v>0</v>
      </c>
      <c r="AB31" s="522"/>
      <c r="AD31" s="521">
        <f t="shared" si="34"/>
        <v>3506217885</v>
      </c>
      <c r="AF31" s="522">
        <f t="shared" si="35"/>
        <v>-169007236.39651871</v>
      </c>
      <c r="AG31" s="522"/>
      <c r="AH31" s="522"/>
      <c r="AI31" s="522">
        <f t="shared" si="35"/>
        <v>-1165733174.8361378</v>
      </c>
      <c r="AJ31" s="522"/>
      <c r="AK31" s="522"/>
      <c r="AL31" s="522">
        <f t="shared" si="35"/>
        <v>-2941570557.3125858</v>
      </c>
      <c r="AM31" s="522"/>
      <c r="AN31" s="522"/>
      <c r="AO31" s="522">
        <f t="shared" si="35"/>
        <v>-3217471146.4547582</v>
      </c>
      <c r="AP31" s="522"/>
      <c r="AQ31" s="522"/>
      <c r="AR31" s="521">
        <f t="shared" si="36"/>
        <v>-7493782115</v>
      </c>
      <c r="AT31" s="523">
        <f t="shared" si="41"/>
        <v>0.9226510481341097</v>
      </c>
      <c r="AU31" s="523"/>
      <c r="AV31" s="523"/>
      <c r="AW31" s="523">
        <f t="shared" si="37"/>
        <v>0.56108802286278181</v>
      </c>
      <c r="AX31" s="523"/>
      <c r="AY31" s="523"/>
      <c r="AZ31" s="523">
        <f t="shared" si="38"/>
        <v>0</v>
      </c>
      <c r="BA31" s="523"/>
      <c r="BB31" s="523"/>
      <c r="BC31" s="523">
        <f t="shared" si="39"/>
        <v>0</v>
      </c>
      <c r="BD31" s="523"/>
      <c r="BE31" s="523"/>
      <c r="BF31" s="523">
        <f t="shared" si="40"/>
        <v>0.31874708045454547</v>
      </c>
    </row>
    <row r="32" spans="1:58">
      <c r="C32" s="515" t="s">
        <v>71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759902436</v>
      </c>
      <c r="X32" s="522">
        <f>SUM(X9:Z9)</f>
        <v>0</v>
      </c>
      <c r="AA32" s="522">
        <f>SUM(AA9:AC9)</f>
        <v>0</v>
      </c>
      <c r="AB32" s="522"/>
      <c r="AD32" s="521">
        <f t="shared" si="34"/>
        <v>1156411352</v>
      </c>
      <c r="AF32" s="522">
        <f>R32-D32</f>
        <v>148213789.70494103</v>
      </c>
      <c r="AG32" s="522"/>
      <c r="AH32" s="522"/>
      <c r="AI32" s="522">
        <f t="shared" si="35"/>
        <v>458088664.99589342</v>
      </c>
      <c r="AJ32" s="522"/>
      <c r="AK32" s="522"/>
      <c r="AL32" s="522">
        <f t="shared" si="35"/>
        <v>-334269381.5127939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-93588648.000000119</v>
      </c>
      <c r="AT32" s="523">
        <f t="shared" si="41"/>
        <v>1.5969258918469977</v>
      </c>
      <c r="AU32" s="523"/>
      <c r="AV32" s="523"/>
      <c r="AW32" s="523">
        <f t="shared" si="37"/>
        <v>2.5177858302219764</v>
      </c>
      <c r="AX32" s="523"/>
      <c r="AY32" s="523"/>
      <c r="AZ32" s="523">
        <f t="shared" si="38"/>
        <v>0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0.92512908159999996</v>
      </c>
    </row>
    <row r="33" spans="2:58">
      <c r="C33" s="514" t="s">
        <v>44</v>
      </c>
      <c r="D33" s="521">
        <f>SUM(D29:D32)</f>
        <v>2433292237.6915779</v>
      </c>
      <c r="G33" s="521">
        <f>SUM(G29:G32)</f>
        <v>2957774955.8402443</v>
      </c>
      <c r="J33" s="521">
        <f>SUM(J29:J32)</f>
        <v>3275839938.8253798</v>
      </c>
      <c r="M33" s="521">
        <f>SUM(M29:M32)</f>
        <v>3583092867.6427989</v>
      </c>
      <c r="P33" s="521">
        <f>SUM(P29:P32)</f>
        <v>12250000000</v>
      </c>
      <c r="R33" s="521">
        <f>SUM(R29:R32)</f>
        <v>2412498791</v>
      </c>
      <c r="U33" s="521">
        <f>SUM(U29:U32)</f>
        <v>2250130446</v>
      </c>
      <c r="X33" s="521">
        <f>SUM(X29:X32)</f>
        <v>0</v>
      </c>
      <c r="AA33" s="521">
        <f>SUM(AA29:AA32)</f>
        <v>0</v>
      </c>
      <c r="AB33" s="521"/>
      <c r="AD33" s="521">
        <f>SUM(AD29:AD32)</f>
        <v>4662629237</v>
      </c>
      <c r="AF33" s="521">
        <f>SUM(AF29:AF32)</f>
        <v>-20793446.691577673</v>
      </c>
      <c r="AI33" s="521">
        <f>SUM(AI29:AI32)</f>
        <v>-707644509.84024429</v>
      </c>
      <c r="AL33" s="521">
        <f>SUM(AL29:AL32)</f>
        <v>-3275839938.8253798</v>
      </c>
      <c r="AO33" s="521">
        <f>SUM(AO29:AO32)</f>
        <v>-3583092867.6427989</v>
      </c>
      <c r="AR33" s="521">
        <f>SUM(AR29:AR32)</f>
        <v>-7587370763</v>
      </c>
      <c r="AT33" s="523">
        <f t="shared" si="41"/>
        <v>0.99145460361501658</v>
      </c>
      <c r="AU33" s="523"/>
      <c r="AV33" s="523"/>
      <c r="AW33" s="523">
        <f t="shared" si="37"/>
        <v>0.76075106443004659</v>
      </c>
      <c r="AX33" s="523"/>
      <c r="AY33" s="523"/>
      <c r="AZ33" s="523">
        <f t="shared" si="38"/>
        <v>0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0.38062279485714284</v>
      </c>
    </row>
    <row r="34" spans="2:58">
      <c r="AD34" s="514"/>
      <c r="AR34" s="514"/>
    </row>
    <row r="35" spans="2:58">
      <c r="B35" s="515" t="s">
        <v>72</v>
      </c>
      <c r="AD35" s="514"/>
      <c r="AR35" s="514"/>
    </row>
    <row r="36" spans="2:58">
      <c r="C36" s="515" t="s">
        <v>68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69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71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60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44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73</v>
      </c>
      <c r="AD42" s="514"/>
      <c r="AR42" s="514"/>
    </row>
    <row r="43" spans="2:58">
      <c r="C43" s="515" t="s">
        <v>68</v>
      </c>
      <c r="D43" s="522">
        <f>D29+D36</f>
        <v>0</v>
      </c>
      <c r="G43" s="522">
        <f>G29+G36</f>
        <v>0</v>
      </c>
      <c r="J43" s="522">
        <f>J29+J36</f>
        <v>0</v>
      </c>
      <c r="M43" s="522">
        <f>M29+M36</f>
        <v>0</v>
      </c>
      <c r="P43" s="521">
        <f t="shared" ref="P43:P47" si="50">SUM(D43:O43)</f>
        <v>0</v>
      </c>
      <c r="R43" s="522">
        <f>SUM(R20:T20)</f>
        <v>0</v>
      </c>
      <c r="U43" s="522">
        <f>SUM(U20:W20)</f>
        <v>0</v>
      </c>
      <c r="X43" s="522">
        <f>SUM(X20:Z20)</f>
        <v>0</v>
      </c>
      <c r="AA43" s="522">
        <f>SUM(AA20:AC20)</f>
        <v>0</v>
      </c>
      <c r="AB43" s="522"/>
      <c r="AD43" s="521">
        <f t="shared" ref="AD43:AD47" si="51">SUM(R43:AC43)</f>
        <v>0</v>
      </c>
      <c r="AF43" s="522">
        <f t="shared" ref="AF43:AO47" si="52">R43-D43</f>
        <v>0</v>
      </c>
      <c r="AG43" s="522"/>
      <c r="AH43" s="522"/>
      <c r="AI43" s="522">
        <f t="shared" si="52"/>
        <v>0</v>
      </c>
      <c r="AJ43" s="522"/>
      <c r="AK43" s="522"/>
      <c r="AL43" s="522">
        <f t="shared" si="52"/>
        <v>0</v>
      </c>
      <c r="AM43" s="522"/>
      <c r="AN43" s="522"/>
      <c r="AO43" s="522">
        <f t="shared" si="52"/>
        <v>0</v>
      </c>
      <c r="AP43" s="522"/>
      <c r="AQ43" s="522"/>
      <c r="AR43" s="521">
        <f t="shared" ref="AR43:AR47" si="53">SUM(AF43:AQ43)</f>
        <v>0</v>
      </c>
      <c r="AT43" s="523" t="e">
        <f>R43/D43</f>
        <v>#DIV/0!</v>
      </c>
      <c r="AU43" s="523"/>
      <c r="AV43" s="523"/>
      <c r="AW43" s="523" t="e">
        <f t="shared" ref="AW43:AW48" si="54">U43/G43</f>
        <v>#DIV/0!</v>
      </c>
      <c r="AX43" s="523"/>
      <c r="AY43" s="523"/>
      <c r="AZ43" s="523" t="e">
        <f t="shared" ref="AZ43:AZ48" si="55">X43/J43</f>
        <v>#DIV/0!</v>
      </c>
      <c r="BA43" s="523"/>
      <c r="BB43" s="523"/>
      <c r="BC43" s="523" t="e">
        <f t="shared" ref="BC43:BC48" si="56">AA43/M43</f>
        <v>#DIV/0!</v>
      </c>
      <c r="BD43" s="523"/>
      <c r="BE43" s="523"/>
      <c r="BF43" s="523" t="e">
        <f t="shared" ref="BF43:BF48" si="57">AD43/P43</f>
        <v>#DIV/0!</v>
      </c>
    </row>
    <row r="44" spans="2:58">
      <c r="C44" s="515" t="s">
        <v>69</v>
      </c>
      <c r="D44" s="522">
        <f>D30+D37</f>
        <v>0</v>
      </c>
      <c r="G44" s="522">
        <f>G30+G37</f>
        <v>0</v>
      </c>
      <c r="J44" s="522">
        <f>J30+J37</f>
        <v>0</v>
      </c>
      <c r="M44" s="522">
        <f>M30+M37</f>
        <v>0</v>
      </c>
      <c r="P44" s="521">
        <f t="shared" si="50"/>
        <v>0</v>
      </c>
      <c r="R44" s="522">
        <f>SUM(R21:T21)</f>
        <v>0</v>
      </c>
      <c r="U44" s="522">
        <f>SUM(U21:W21)</f>
        <v>0</v>
      </c>
      <c r="X44" s="522">
        <f>SUM(X21:Z21)</f>
        <v>0</v>
      </c>
      <c r="AA44" s="522">
        <f>SUM(AA21:AC21)</f>
        <v>0</v>
      </c>
      <c r="AB44" s="522"/>
      <c r="AD44" s="521">
        <f t="shared" si="51"/>
        <v>0</v>
      </c>
      <c r="AF44" s="522">
        <f t="shared" si="52"/>
        <v>0</v>
      </c>
      <c r="AG44" s="522"/>
      <c r="AH44" s="522"/>
      <c r="AI44" s="522">
        <f t="shared" si="52"/>
        <v>0</v>
      </c>
      <c r="AJ44" s="522"/>
      <c r="AK44" s="522"/>
      <c r="AL44" s="522">
        <f t="shared" si="52"/>
        <v>0</v>
      </c>
      <c r="AM44" s="522"/>
      <c r="AN44" s="522"/>
      <c r="AO44" s="522">
        <f t="shared" si="52"/>
        <v>0</v>
      </c>
      <c r="AP44" s="522"/>
      <c r="AQ44" s="522"/>
      <c r="AR44" s="521">
        <f t="shared" si="53"/>
        <v>0</v>
      </c>
      <c r="AT44" s="523" t="e">
        <f t="shared" ref="AT44:AT48" si="58">R44/D44</f>
        <v>#DIV/0!</v>
      </c>
      <c r="AU44" s="523"/>
      <c r="AV44" s="523"/>
      <c r="AW44" s="523" t="e">
        <f t="shared" si="54"/>
        <v>#DIV/0!</v>
      </c>
      <c r="AX44" s="523"/>
      <c r="AY44" s="523"/>
      <c r="AZ44" s="523" t="e">
        <f t="shared" si="55"/>
        <v>#DIV/0!</v>
      </c>
      <c r="BA44" s="523"/>
      <c r="BB44" s="523"/>
      <c r="BC44" s="523" t="e">
        <f t="shared" si="56"/>
        <v>#DIV/0!</v>
      </c>
      <c r="BD44" s="523"/>
      <c r="BE44" s="523"/>
      <c r="BF44" s="523" t="e">
        <f t="shared" si="57"/>
        <v>#DIV/0!</v>
      </c>
    </row>
    <row r="45" spans="2:58">
      <c r="C45" s="515" t="s">
        <v>70</v>
      </c>
      <c r="D45" s="522">
        <f>D31</f>
        <v>2184997111.3965187</v>
      </c>
      <c r="G45" s="522">
        <f>G31</f>
        <v>2655961184.8361378</v>
      </c>
      <c r="J45" s="522">
        <f>J31</f>
        <v>2941570557.3125858</v>
      </c>
      <c r="M45" s="522">
        <f>M31</f>
        <v>3217471146.4547582</v>
      </c>
      <c r="P45" s="521">
        <f t="shared" si="50"/>
        <v>11000000000</v>
      </c>
      <c r="R45" s="522">
        <f>SUM(R22:T22)</f>
        <v>2015989875</v>
      </c>
      <c r="U45" s="522">
        <f>SUM(U22:W22)</f>
        <v>1490228010</v>
      </c>
      <c r="X45" s="522">
        <f>SUM(X22:Z22)</f>
        <v>0</v>
      </c>
      <c r="AA45" s="522">
        <f>SUM(AA22:AC22)</f>
        <v>0</v>
      </c>
      <c r="AB45" s="522"/>
      <c r="AD45" s="521">
        <f t="shared" si="51"/>
        <v>3506217885</v>
      </c>
      <c r="AF45" s="522">
        <f t="shared" si="52"/>
        <v>-169007236.39651871</v>
      </c>
      <c r="AG45" s="522"/>
      <c r="AH45" s="522"/>
      <c r="AI45" s="522">
        <f t="shared" si="52"/>
        <v>-1165733174.8361378</v>
      </c>
      <c r="AJ45" s="522"/>
      <c r="AK45" s="522"/>
      <c r="AL45" s="522">
        <f t="shared" si="52"/>
        <v>-2941570557.3125858</v>
      </c>
      <c r="AM45" s="522"/>
      <c r="AN45" s="522"/>
      <c r="AO45" s="522">
        <f t="shared" si="52"/>
        <v>-3217471146.4547582</v>
      </c>
      <c r="AP45" s="522"/>
      <c r="AQ45" s="522"/>
      <c r="AR45" s="521">
        <f t="shared" si="53"/>
        <v>-7493782115</v>
      </c>
      <c r="AT45" s="523">
        <f t="shared" si="58"/>
        <v>0.9226510481341097</v>
      </c>
      <c r="AU45" s="523"/>
      <c r="AV45" s="523"/>
      <c r="AW45" s="523">
        <f t="shared" si="54"/>
        <v>0.56108802286278181</v>
      </c>
      <c r="AX45" s="523"/>
      <c r="AY45" s="523"/>
      <c r="AZ45" s="523">
        <f t="shared" si="55"/>
        <v>0</v>
      </c>
      <c r="BA45" s="523"/>
      <c r="BB45" s="523"/>
      <c r="BC45" s="523">
        <f t="shared" si="56"/>
        <v>0</v>
      </c>
      <c r="BD45" s="523"/>
      <c r="BE45" s="523"/>
      <c r="BF45" s="523">
        <f t="shared" si="57"/>
        <v>0.31874708045454547</v>
      </c>
    </row>
    <row r="46" spans="2:58">
      <c r="C46" s="515" t="s">
        <v>75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759902436</v>
      </c>
      <c r="X46" s="522">
        <f t="shared" ref="X46:X47" si="61">SUM(X23:Z23)</f>
        <v>0</v>
      </c>
      <c r="AA46" s="522">
        <f t="shared" ref="AA46:AA47" si="62">SUM(AA23:AC23)</f>
        <v>0</v>
      </c>
      <c r="AB46" s="522"/>
      <c r="AD46" s="521">
        <f t="shared" si="51"/>
        <v>1156411352</v>
      </c>
      <c r="AF46" s="522">
        <f t="shared" si="52"/>
        <v>148213789.70494103</v>
      </c>
      <c r="AG46" s="522"/>
      <c r="AH46" s="522"/>
      <c r="AI46" s="522">
        <f t="shared" si="52"/>
        <v>458088664.99589342</v>
      </c>
      <c r="AJ46" s="522"/>
      <c r="AK46" s="522"/>
      <c r="AL46" s="522">
        <f t="shared" si="52"/>
        <v>-334269381.5127939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-93588648.000000119</v>
      </c>
      <c r="AT46" s="523">
        <f t="shared" si="58"/>
        <v>1.5969258918469977</v>
      </c>
      <c r="AU46" s="523"/>
      <c r="AV46" s="523"/>
      <c r="AW46" s="523">
        <f t="shared" si="54"/>
        <v>2.5177858302219764</v>
      </c>
      <c r="AX46" s="523"/>
      <c r="AY46" s="523"/>
      <c r="AZ46" s="523">
        <f t="shared" si="55"/>
        <v>0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0.92512908159999996</v>
      </c>
    </row>
    <row r="47" spans="2:58">
      <c r="C47" s="515" t="s">
        <v>60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44</v>
      </c>
      <c r="D48" s="521">
        <f>SUM(D43:D47)</f>
        <v>2433292237.6915779</v>
      </c>
      <c r="G48" s="521">
        <f>SUM(G43:G47)</f>
        <v>2957774955.8402443</v>
      </c>
      <c r="J48" s="521">
        <f>SUM(J43:J47)</f>
        <v>3275839938.8253798</v>
      </c>
      <c r="M48" s="521">
        <f>SUM(M43:M47)</f>
        <v>3583092867.6427989</v>
      </c>
      <c r="P48" s="521">
        <f>SUM(P43:P47)</f>
        <v>12250000000</v>
      </c>
      <c r="R48" s="521">
        <f>SUM(R43:R47)</f>
        <v>2412498791</v>
      </c>
      <c r="U48" s="521">
        <f>SUM(U43:U47)</f>
        <v>2250130446</v>
      </c>
      <c r="X48" s="521">
        <f>SUM(X43:X47)</f>
        <v>0</v>
      </c>
      <c r="AA48" s="521">
        <f>SUM(AA43:AA47)</f>
        <v>0</v>
      </c>
      <c r="AB48" s="521"/>
      <c r="AD48" s="521">
        <f>SUM(AD43:AD47)</f>
        <v>4662629237</v>
      </c>
      <c r="AF48" s="521">
        <f>SUM(AF43:AF47)</f>
        <v>-20793446.691577673</v>
      </c>
      <c r="AI48" s="521">
        <f>SUM(AI43:AI47)</f>
        <v>-707644509.84024429</v>
      </c>
      <c r="AL48" s="521">
        <f>SUM(AL43:AL47)</f>
        <v>-3275839938.8253798</v>
      </c>
      <c r="AO48" s="521">
        <f>SUM(AO43:AO47)</f>
        <v>-3583092867.6427989</v>
      </c>
      <c r="AR48" s="521">
        <f>SUM(AR43:AR47)</f>
        <v>-7587370763</v>
      </c>
      <c r="AT48" s="523">
        <f t="shared" si="58"/>
        <v>0.99145460361501658</v>
      </c>
      <c r="AU48" s="523"/>
      <c r="AV48" s="523"/>
      <c r="AW48" s="523">
        <f t="shared" si="54"/>
        <v>0.76075106443004659</v>
      </c>
      <c r="AX48" s="523"/>
      <c r="AY48" s="523"/>
      <c r="AZ48" s="523">
        <f t="shared" si="55"/>
        <v>0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0.38062279485714284</v>
      </c>
    </row>
    <row r="50" spans="1:58">
      <c r="R50" s="522"/>
    </row>
    <row r="51" spans="1:58">
      <c r="A51" s="514" t="s">
        <v>76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67</v>
      </c>
    </row>
    <row r="53" spans="1:58">
      <c r="C53" s="515" t="s">
        <v>68</v>
      </c>
      <c r="D53" s="528">
        <f>'2018 VN YouTube View'!D24</f>
        <v>0</v>
      </c>
      <c r="E53" s="528">
        <f>'2018 VN YouTube View'!E24</f>
        <v>0</v>
      </c>
      <c r="F53" s="528">
        <f>'2018 VN YouTube View'!F24</f>
        <v>0</v>
      </c>
      <c r="G53" s="528">
        <f>'2018 VN YouTube View'!G24</f>
        <v>0</v>
      </c>
      <c r="H53" s="528">
        <f>'2018 VN YouTube View'!H24</f>
        <v>0</v>
      </c>
      <c r="I53" s="528">
        <f>'2018 VN YouTube View'!I24</f>
        <v>0</v>
      </c>
      <c r="J53" s="528">
        <f>'2018 VN YouTube View'!J24</f>
        <v>0</v>
      </c>
      <c r="K53" s="528">
        <f>'2018 VN YouTube View'!K24</f>
        <v>0</v>
      </c>
      <c r="L53" s="528">
        <f>'2018 VN YouTube View'!L24</f>
        <v>0</v>
      </c>
      <c r="M53" s="528">
        <f>'2018 VN YouTube View'!M24</f>
        <v>0</v>
      </c>
      <c r="N53" s="528">
        <f>'2018 VN YouTube View'!N24</f>
        <v>0</v>
      </c>
      <c r="O53" s="528">
        <f>'2018 VN YouTube View'!O24</f>
        <v>0</v>
      </c>
      <c r="P53" s="529">
        <f>SUM(D53:O53)</f>
        <v>0</v>
      </c>
      <c r="R53" s="528">
        <f>'2018 VN YouTube View'!R24</f>
        <v>0</v>
      </c>
      <c r="S53" s="528">
        <f>'2018 VN YouTube View'!S24</f>
        <v>0</v>
      </c>
      <c r="T53" s="528">
        <f>'2018 VN YouTube View'!T24</f>
        <v>0</v>
      </c>
      <c r="U53" s="528">
        <f>'2018 VN YouTube View'!U24</f>
        <v>0</v>
      </c>
      <c r="V53" s="528">
        <f>'2018 VN YouTube View'!V24</f>
        <v>0</v>
      </c>
      <c r="W53" s="528">
        <f>'2018 VN YouTube View'!W24</f>
        <v>0</v>
      </c>
      <c r="X53" s="528">
        <f>'2018 VN YouTube View'!X24</f>
        <v>0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0</v>
      </c>
      <c r="AF53" s="522">
        <f>R53-D53</f>
        <v>0</v>
      </c>
      <c r="AG53" s="522">
        <f t="shared" ref="AG53:AQ56" si="63">S53-E53</f>
        <v>0</v>
      </c>
      <c r="AH53" s="522">
        <f t="shared" si="63"/>
        <v>0</v>
      </c>
      <c r="AI53" s="522">
        <f t="shared" si="63"/>
        <v>0</v>
      </c>
      <c r="AJ53" s="522">
        <f t="shared" si="63"/>
        <v>0</v>
      </c>
      <c r="AK53" s="522">
        <f t="shared" si="63"/>
        <v>0</v>
      </c>
      <c r="AL53" s="522">
        <f t="shared" si="63"/>
        <v>0</v>
      </c>
      <c r="AM53" s="522">
        <f t="shared" si="63"/>
        <v>0</v>
      </c>
      <c r="AN53" s="522">
        <f t="shared" si="63"/>
        <v>0</v>
      </c>
      <c r="AO53" s="522">
        <f t="shared" si="63"/>
        <v>0</v>
      </c>
      <c r="AP53" s="522">
        <f t="shared" si="63"/>
        <v>0</v>
      </c>
      <c r="AQ53" s="522">
        <f t="shared" si="63"/>
        <v>0</v>
      </c>
      <c r="AR53" s="521">
        <f>SUM(AF53:AQ53)</f>
        <v>0</v>
      </c>
      <c r="AT53" s="523" t="e">
        <f>R53/D53</f>
        <v>#DIV/0!</v>
      </c>
      <c r="AU53" s="523" t="e">
        <f t="shared" ref="AU53:BF57" si="64">S53/E53</f>
        <v>#DIV/0!</v>
      </c>
      <c r="AV53" s="523" t="e">
        <f t="shared" si="64"/>
        <v>#DIV/0!</v>
      </c>
      <c r="AW53" s="523" t="e">
        <f t="shared" si="64"/>
        <v>#DIV/0!</v>
      </c>
      <c r="AX53" s="523" t="e">
        <f t="shared" si="64"/>
        <v>#DIV/0!</v>
      </c>
      <c r="AY53" s="523" t="e">
        <f t="shared" si="64"/>
        <v>#DIV/0!</v>
      </c>
      <c r="AZ53" s="523" t="e">
        <f t="shared" si="64"/>
        <v>#DIV/0!</v>
      </c>
      <c r="BA53" s="523" t="e">
        <f t="shared" si="64"/>
        <v>#DIV/0!</v>
      </c>
      <c r="BB53" s="523" t="e">
        <f t="shared" si="64"/>
        <v>#DIV/0!</v>
      </c>
      <c r="BC53" s="523" t="e">
        <f t="shared" si="64"/>
        <v>#DIV/0!</v>
      </c>
      <c r="BD53" s="523" t="e">
        <f t="shared" si="64"/>
        <v>#DIV/0!</v>
      </c>
      <c r="BE53" s="523" t="e">
        <f t="shared" si="64"/>
        <v>#DIV/0!</v>
      </c>
      <c r="BF53" s="523" t="e">
        <f t="shared" si="64"/>
        <v>#DIV/0!</v>
      </c>
    </row>
    <row r="54" spans="1:58">
      <c r="C54" s="515" t="s">
        <v>69</v>
      </c>
      <c r="D54" s="528">
        <f>'2018 VN YouTube View'!D28</f>
        <v>0</v>
      </c>
      <c r="E54" s="528">
        <f>'2018 VN YouTube View'!E28</f>
        <v>0</v>
      </c>
      <c r="F54" s="528">
        <f>'2018 VN YouTube View'!F28</f>
        <v>0</v>
      </c>
      <c r="G54" s="528">
        <f>'2018 VN YouTube View'!G28</f>
        <v>0</v>
      </c>
      <c r="H54" s="528">
        <f>'2018 VN YouTube View'!H28</f>
        <v>0</v>
      </c>
      <c r="I54" s="528">
        <f>'2018 VN YouTube View'!I28</f>
        <v>0</v>
      </c>
      <c r="J54" s="528">
        <f>'2018 VN YouTube View'!J28</f>
        <v>0</v>
      </c>
      <c r="K54" s="528">
        <f>'2018 VN YouTube View'!K28</f>
        <v>0</v>
      </c>
      <c r="L54" s="528">
        <f>'2018 VN YouTube View'!L28</f>
        <v>0</v>
      </c>
      <c r="M54" s="528">
        <f>'2018 VN YouTube View'!M28</f>
        <v>0</v>
      </c>
      <c r="N54" s="528">
        <f>'2018 VN YouTube View'!N28</f>
        <v>0</v>
      </c>
      <c r="O54" s="528">
        <f>'2018 VN YouTube View'!O28</f>
        <v>0</v>
      </c>
      <c r="P54" s="529">
        <f>SUM(D54:O54)</f>
        <v>0</v>
      </c>
      <c r="R54" s="528">
        <f>'2018 VN YouTube View'!R28</f>
        <v>0</v>
      </c>
      <c r="S54" s="528">
        <f>'2018 VN YouTube View'!S28</f>
        <v>0</v>
      </c>
      <c r="T54" s="528">
        <f>'2018 VN YouTube View'!T28</f>
        <v>0</v>
      </c>
      <c r="U54" s="528">
        <f>'2018 VN YouTube View'!U28</f>
        <v>0</v>
      </c>
      <c r="V54" s="528">
        <f>'2018 VN YouTube View'!V28</f>
        <v>0</v>
      </c>
      <c r="W54" s="528">
        <f>'2018 VN YouTube View'!W28</f>
        <v>0</v>
      </c>
      <c r="X54" s="528">
        <f>'2018 VN YouTube View'!X28</f>
        <v>0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0</v>
      </c>
      <c r="AF54" s="522">
        <f>R54-D54</f>
        <v>0</v>
      </c>
      <c r="AG54" s="522">
        <f t="shared" si="63"/>
        <v>0</v>
      </c>
      <c r="AH54" s="522">
        <f t="shared" si="63"/>
        <v>0</v>
      </c>
      <c r="AI54" s="522">
        <f t="shared" si="63"/>
        <v>0</v>
      </c>
      <c r="AJ54" s="522">
        <f t="shared" si="63"/>
        <v>0</v>
      </c>
      <c r="AK54" s="522">
        <f t="shared" si="63"/>
        <v>0</v>
      </c>
      <c r="AL54" s="522">
        <f t="shared" si="63"/>
        <v>0</v>
      </c>
      <c r="AM54" s="522">
        <f t="shared" si="63"/>
        <v>0</v>
      </c>
      <c r="AN54" s="522">
        <f t="shared" si="63"/>
        <v>0</v>
      </c>
      <c r="AO54" s="522">
        <f t="shared" si="63"/>
        <v>0</v>
      </c>
      <c r="AP54" s="522">
        <f t="shared" si="63"/>
        <v>0</v>
      </c>
      <c r="AQ54" s="522">
        <f t="shared" si="63"/>
        <v>0</v>
      </c>
      <c r="AR54" s="521">
        <f>SUM(AF54:AQ54)</f>
        <v>0</v>
      </c>
      <c r="AT54" s="523" t="e">
        <f t="shared" ref="AT54:AT57" si="65">R54/D54</f>
        <v>#DIV/0!</v>
      </c>
      <c r="AU54" s="523" t="e">
        <f t="shared" si="64"/>
        <v>#DIV/0!</v>
      </c>
      <c r="AV54" s="523" t="e">
        <f t="shared" si="64"/>
        <v>#DIV/0!</v>
      </c>
      <c r="AW54" s="523" t="e">
        <f t="shared" si="64"/>
        <v>#DIV/0!</v>
      </c>
      <c r="AX54" s="523" t="e">
        <f t="shared" si="64"/>
        <v>#DIV/0!</v>
      </c>
      <c r="AY54" s="523" t="e">
        <f t="shared" si="64"/>
        <v>#DIV/0!</v>
      </c>
      <c r="AZ54" s="523" t="e">
        <f t="shared" si="64"/>
        <v>#DIV/0!</v>
      </c>
      <c r="BA54" s="523" t="e">
        <f t="shared" si="64"/>
        <v>#DIV/0!</v>
      </c>
      <c r="BB54" s="523" t="e">
        <f t="shared" si="64"/>
        <v>#DIV/0!</v>
      </c>
      <c r="BC54" s="523" t="e">
        <f t="shared" si="64"/>
        <v>#DIV/0!</v>
      </c>
      <c r="BD54" s="523" t="e">
        <f t="shared" si="64"/>
        <v>#DIV/0!</v>
      </c>
      <c r="BE54" s="523" t="e">
        <f t="shared" si="64"/>
        <v>#DIV/0!</v>
      </c>
      <c r="BF54" s="523" t="e">
        <f t="shared" si="64"/>
        <v>#DIV/0!</v>
      </c>
    </row>
    <row r="55" spans="1:58">
      <c r="C55" s="515" t="s">
        <v>70</v>
      </c>
      <c r="D55" s="528">
        <f>'2018 VN YouTube View'!D32</f>
        <v>154793.67520307176</v>
      </c>
      <c r="E55" s="528">
        <f>'2018 VN YouTube View'!E32</f>
        <v>138154.68290723464</v>
      </c>
      <c r="F55" s="528">
        <f>'2018 VN YouTube View'!F32</f>
        <v>170511.33484334385</v>
      </c>
      <c r="G55" s="528">
        <f>'2018 VN YouTube View'!G32</f>
        <v>179037.10780875894</v>
      </c>
      <c r="H55" s="528">
        <f>'2018 VN YouTube View'!H32</f>
        <v>193963.98069846816</v>
      </c>
      <c r="I55" s="528">
        <f>'2018 VN YouTube View'!I32</f>
        <v>190354.78450545273</v>
      </c>
      <c r="J55" s="528">
        <f>'2018 VN YouTube View'!J32</f>
        <v>205521.27020774028</v>
      </c>
      <c r="K55" s="528">
        <f>'2018 VN YouTube View'!K32</f>
        <v>203602.76565243295</v>
      </c>
      <c r="L55" s="528">
        <f>'2018 VN YouTube View'!L32</f>
        <v>214812.43535202442</v>
      </c>
      <c r="M55" s="528">
        <f>'2018 VN YouTube View'!M32</f>
        <v>230491.11757955499</v>
      </c>
      <c r="N55" s="528">
        <f>'2018 VN YouTube View'!N32</f>
        <v>219991.07901408401</v>
      </c>
      <c r="O55" s="528">
        <f>'2018 VN YouTube View'!O32</f>
        <v>231975.54298208351</v>
      </c>
      <c r="P55" s="529">
        <f>SUM(D55:O55)</f>
        <v>2333209.7767542498</v>
      </c>
      <c r="R55" s="528">
        <f>'2018 VN YouTube View'!R32</f>
        <v>148369.26999999999</v>
      </c>
      <c r="S55" s="528">
        <f>'2018 VN YouTube View'!S32</f>
        <v>118213.66</v>
      </c>
      <c r="T55" s="528">
        <f>'2018 VN YouTube View'!T32</f>
        <v>168146.83</v>
      </c>
      <c r="U55" s="528">
        <f>'2018 VN YouTube View'!U32</f>
        <v>170290.55000000002</v>
      </c>
      <c r="V55" s="528">
        <f>'2018 VN YouTube View'!V32</f>
        <v>206786.54000000004</v>
      </c>
      <c r="W55" s="528">
        <f>'2018 VN YouTube View'!W32</f>
        <v>0</v>
      </c>
      <c r="X55" s="528">
        <f>'2018 VN YouTube View'!X32</f>
        <v>0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811806.85000000009</v>
      </c>
      <c r="AF55" s="522">
        <f>R55-D55</f>
        <v>-6424.4052030717721</v>
      </c>
      <c r="AG55" s="522">
        <f t="shared" si="63"/>
        <v>-19941.022907234641</v>
      </c>
      <c r="AH55" s="522">
        <f t="shared" si="63"/>
        <v>-2364.5048433438642</v>
      </c>
      <c r="AI55" s="522">
        <f t="shared" si="63"/>
        <v>-8746.5578087589238</v>
      </c>
      <c r="AJ55" s="522">
        <f t="shared" si="63"/>
        <v>12822.559301531874</v>
      </c>
      <c r="AK55" s="522">
        <f t="shared" si="63"/>
        <v>-190354.78450545273</v>
      </c>
      <c r="AL55" s="522">
        <f t="shared" si="63"/>
        <v>-205521.27020774028</v>
      </c>
      <c r="AM55" s="522">
        <f t="shared" si="63"/>
        <v>-203602.76565243295</v>
      </c>
      <c r="AN55" s="522">
        <f t="shared" si="63"/>
        <v>-214812.43535202442</v>
      </c>
      <c r="AO55" s="522">
        <f t="shared" si="63"/>
        <v>-230491.11757955499</v>
      </c>
      <c r="AP55" s="522">
        <f t="shared" si="63"/>
        <v>-219991.07901408401</v>
      </c>
      <c r="AQ55" s="522">
        <f t="shared" si="63"/>
        <v>-231975.54298208351</v>
      </c>
      <c r="AR55" s="521">
        <f>SUM(AF55:AQ55)</f>
        <v>-1521402.9267542502</v>
      </c>
      <c r="AT55" s="523">
        <f t="shared" si="65"/>
        <v>0.95849697867407258</v>
      </c>
      <c r="AU55" s="523">
        <f t="shared" si="64"/>
        <v>0.85566162154181746</v>
      </c>
      <c r="AV55" s="523">
        <f t="shared" si="64"/>
        <v>0.9861328582905281</v>
      </c>
      <c r="AW55" s="523">
        <f t="shared" si="64"/>
        <v>0.95114667615105974</v>
      </c>
      <c r="AX55" s="523">
        <f t="shared" si="64"/>
        <v>1.0661079405328637</v>
      </c>
      <c r="AY55" s="523">
        <f t="shared" si="64"/>
        <v>0</v>
      </c>
      <c r="AZ55" s="523">
        <f t="shared" si="64"/>
        <v>0</v>
      </c>
      <c r="BA55" s="523">
        <f t="shared" si="64"/>
        <v>0</v>
      </c>
      <c r="BB55" s="523">
        <f t="shared" si="64"/>
        <v>0</v>
      </c>
      <c r="BC55" s="523">
        <f t="shared" si="64"/>
        <v>0</v>
      </c>
      <c r="BD55" s="523">
        <f t="shared" si="64"/>
        <v>0</v>
      </c>
      <c r="BE55" s="523">
        <f t="shared" si="64"/>
        <v>0</v>
      </c>
      <c r="BF55" s="523">
        <f t="shared" si="64"/>
        <v>0.34793564560204798</v>
      </c>
    </row>
    <row r="56" spans="1:58">
      <c r="C56" s="515" t="s">
        <v>77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0</v>
      </c>
      <c r="X56" s="528">
        <f>'2018 VN YouTube View'!X36</f>
        <v>0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369306.91599999997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-17071.764497166932</v>
      </c>
      <c r="AL56" s="522">
        <f t="shared" si="63"/>
        <v>-18431.954485728456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160055.50193798574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0</v>
      </c>
      <c r="AZ56" s="523">
        <f t="shared" si="64"/>
        <v>0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1.7648956765976793</v>
      </c>
    </row>
    <row r="57" spans="1:58">
      <c r="C57" s="514" t="s">
        <v>44</v>
      </c>
      <c r="D57" s="530">
        <f>SUM(D53:D56)</f>
        <v>168676.17978830374</v>
      </c>
      <c r="E57" s="530">
        <f t="shared" ref="E57:P57" si="66">SUM(E53:E56)</f>
        <v>150544.93733083975</v>
      </c>
      <c r="F57" s="530">
        <f t="shared" si="66"/>
        <v>185803.46086006478</v>
      </c>
      <c r="G57" s="530">
        <f t="shared" si="66"/>
        <v>195093.85862122654</v>
      </c>
      <c r="H57" s="530">
        <f t="shared" si="66"/>
        <v>211359.43208163226</v>
      </c>
      <c r="I57" s="530">
        <f t="shared" si="66"/>
        <v>207426.54900261966</v>
      </c>
      <c r="J57" s="530">
        <f t="shared" si="66"/>
        <v>223953.22469346874</v>
      </c>
      <c r="K57" s="530">
        <f t="shared" si="66"/>
        <v>221862.66111668717</v>
      </c>
      <c r="L57" s="530">
        <f t="shared" si="66"/>
        <v>234077.65800939139</v>
      </c>
      <c r="M57" s="530">
        <f t="shared" si="66"/>
        <v>251162.46602099258</v>
      </c>
      <c r="N57" s="530">
        <f t="shared" si="66"/>
        <v>239720.74276886345</v>
      </c>
      <c r="O57" s="530">
        <f t="shared" si="66"/>
        <v>252780.02052217451</v>
      </c>
      <c r="P57" s="530">
        <f t="shared" si="66"/>
        <v>2542461.1908162641</v>
      </c>
      <c r="R57" s="530">
        <f t="shared" ref="R57:AD57" si="67">SUM(R53:R56)</f>
        <v>165609.076</v>
      </c>
      <c r="S57" s="530">
        <f t="shared" si="67"/>
        <v>134437.31</v>
      </c>
      <c r="T57" s="530">
        <f t="shared" si="67"/>
        <v>206346.56</v>
      </c>
      <c r="U57" s="530">
        <f t="shared" si="67"/>
        <v>291906.32</v>
      </c>
      <c r="V57" s="530">
        <f t="shared" si="67"/>
        <v>382814.50000000006</v>
      </c>
      <c r="W57" s="530">
        <f t="shared" si="67"/>
        <v>0</v>
      </c>
      <c r="X57" s="530">
        <f t="shared" si="67"/>
        <v>0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1181113.7660000001</v>
      </c>
      <c r="AF57" s="530">
        <f>SUM(AF53:AF56)</f>
        <v>-3067.1037883037388</v>
      </c>
      <c r="AG57" s="530">
        <f t="shared" ref="AG57:AR57" si="68">SUM(AG53:AG56)</f>
        <v>-16107.627330839756</v>
      </c>
      <c r="AH57" s="530">
        <f t="shared" si="68"/>
        <v>20543.099139935199</v>
      </c>
      <c r="AI57" s="530">
        <f t="shared" si="68"/>
        <v>96812.461378773485</v>
      </c>
      <c r="AJ57" s="530">
        <f t="shared" si="68"/>
        <v>171455.0679183678</v>
      </c>
      <c r="AK57" s="530">
        <f t="shared" si="68"/>
        <v>-207426.54900261966</v>
      </c>
      <c r="AL57" s="530">
        <f t="shared" si="68"/>
        <v>-223953.22469346874</v>
      </c>
      <c r="AM57" s="530">
        <f t="shared" si="68"/>
        <v>-221862.66111668717</v>
      </c>
      <c r="AN57" s="530">
        <f t="shared" si="68"/>
        <v>-234077.65800939139</v>
      </c>
      <c r="AO57" s="530">
        <f t="shared" si="68"/>
        <v>-251162.46602099258</v>
      </c>
      <c r="AP57" s="530">
        <f t="shared" si="68"/>
        <v>-239720.74276886345</v>
      </c>
      <c r="AQ57" s="530">
        <f t="shared" si="68"/>
        <v>-252780.02052217451</v>
      </c>
      <c r="AR57" s="530">
        <f t="shared" si="68"/>
        <v>-1361347.4248162645</v>
      </c>
      <c r="AT57" s="523">
        <f t="shared" si="65"/>
        <v>0.98181661576546797</v>
      </c>
      <c r="AU57" s="523">
        <f t="shared" si="64"/>
        <v>0.89300452332421254</v>
      </c>
      <c r="AV57" s="523">
        <f t="shared" si="64"/>
        <v>1.1105635979267736</v>
      </c>
      <c r="AW57" s="523">
        <f t="shared" si="64"/>
        <v>1.4962353098296868</v>
      </c>
      <c r="AX57" s="523">
        <f t="shared" si="64"/>
        <v>1.8112014033617747</v>
      </c>
      <c r="AY57" s="523">
        <f t="shared" si="64"/>
        <v>0</v>
      </c>
      <c r="AZ57" s="523">
        <f t="shared" si="64"/>
        <v>0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0.46455527827380533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72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68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69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71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60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44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73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68</v>
      </c>
      <c r="D67" s="531">
        <f>D53+D60</f>
        <v>0</v>
      </c>
      <c r="E67" s="531">
        <f t="shared" ref="E67:O68" si="79">E53+E60</f>
        <v>0</v>
      </c>
      <c r="F67" s="531">
        <f t="shared" si="79"/>
        <v>0</v>
      </c>
      <c r="G67" s="531">
        <f t="shared" si="79"/>
        <v>0</v>
      </c>
      <c r="H67" s="531">
        <f t="shared" si="79"/>
        <v>0</v>
      </c>
      <c r="I67" s="531">
        <f t="shared" si="79"/>
        <v>0</v>
      </c>
      <c r="J67" s="531">
        <f t="shared" si="79"/>
        <v>0</v>
      </c>
      <c r="K67" s="531">
        <f t="shared" si="79"/>
        <v>0</v>
      </c>
      <c r="L67" s="531">
        <f t="shared" si="79"/>
        <v>0</v>
      </c>
      <c r="M67" s="531">
        <f t="shared" si="79"/>
        <v>0</v>
      </c>
      <c r="N67" s="531">
        <f t="shared" si="79"/>
        <v>0</v>
      </c>
      <c r="O67" s="531">
        <f t="shared" si="79"/>
        <v>0</v>
      </c>
      <c r="P67" s="529">
        <f t="shared" ref="P67:P71" si="80">SUM(D67:O67)</f>
        <v>0</v>
      </c>
      <c r="R67" s="531">
        <f t="shared" ref="R67:AC68" si="81">R53+R60</f>
        <v>0</v>
      </c>
      <c r="S67" s="531">
        <f t="shared" si="81"/>
        <v>0</v>
      </c>
      <c r="T67" s="531">
        <f t="shared" si="81"/>
        <v>0</v>
      </c>
      <c r="U67" s="531">
        <f t="shared" si="81"/>
        <v>0</v>
      </c>
      <c r="V67" s="531">
        <f t="shared" si="81"/>
        <v>0</v>
      </c>
      <c r="W67" s="531">
        <f t="shared" si="81"/>
        <v>0</v>
      </c>
      <c r="X67" s="531">
        <f t="shared" si="81"/>
        <v>0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0</v>
      </c>
      <c r="AF67" s="522">
        <f t="shared" ref="AF67:AQ71" si="83">R67-D67</f>
        <v>0</v>
      </c>
      <c r="AG67" s="522">
        <f t="shared" si="83"/>
        <v>0</v>
      </c>
      <c r="AH67" s="522">
        <f t="shared" si="83"/>
        <v>0</v>
      </c>
      <c r="AI67" s="522">
        <f t="shared" si="83"/>
        <v>0</v>
      </c>
      <c r="AJ67" s="522">
        <f t="shared" si="83"/>
        <v>0</v>
      </c>
      <c r="AK67" s="522">
        <f t="shared" si="83"/>
        <v>0</v>
      </c>
      <c r="AL67" s="522">
        <f t="shared" si="83"/>
        <v>0</v>
      </c>
      <c r="AM67" s="522">
        <f t="shared" si="83"/>
        <v>0</v>
      </c>
      <c r="AN67" s="522">
        <f t="shared" si="83"/>
        <v>0</v>
      </c>
      <c r="AO67" s="522">
        <f t="shared" si="83"/>
        <v>0</v>
      </c>
      <c r="AP67" s="522">
        <f t="shared" si="83"/>
        <v>0</v>
      </c>
      <c r="AQ67" s="522">
        <f t="shared" si="83"/>
        <v>0</v>
      </c>
      <c r="AR67" s="521">
        <f t="shared" ref="AR67:AR71" si="84">SUM(AF67:AQ67)</f>
        <v>0</v>
      </c>
      <c r="AT67" s="523" t="e">
        <f>R67/D67</f>
        <v>#DIV/0!</v>
      </c>
      <c r="AU67" s="523" t="e">
        <f t="shared" ref="AU67:BF72" si="85">S67/E67</f>
        <v>#DIV/0!</v>
      </c>
      <c r="AV67" s="523" t="e">
        <f t="shared" si="85"/>
        <v>#DIV/0!</v>
      </c>
      <c r="AW67" s="523" t="e">
        <f t="shared" si="85"/>
        <v>#DIV/0!</v>
      </c>
      <c r="AX67" s="523" t="e">
        <f t="shared" si="85"/>
        <v>#DIV/0!</v>
      </c>
      <c r="AY67" s="523" t="e">
        <f t="shared" si="85"/>
        <v>#DIV/0!</v>
      </c>
      <c r="AZ67" s="523" t="e">
        <f t="shared" si="85"/>
        <v>#DIV/0!</v>
      </c>
      <c r="BA67" s="523" t="e">
        <f t="shared" si="85"/>
        <v>#DIV/0!</v>
      </c>
      <c r="BB67" s="523" t="e">
        <f t="shared" si="85"/>
        <v>#DIV/0!</v>
      </c>
      <c r="BC67" s="523" t="e">
        <f t="shared" si="85"/>
        <v>#DIV/0!</v>
      </c>
      <c r="BD67" s="523" t="e">
        <f t="shared" si="85"/>
        <v>#DIV/0!</v>
      </c>
      <c r="BE67" s="523" t="e">
        <f t="shared" si="85"/>
        <v>#DIV/0!</v>
      </c>
      <c r="BF67" s="523" t="e">
        <f t="shared" si="85"/>
        <v>#DIV/0!</v>
      </c>
    </row>
    <row r="68" spans="1:58">
      <c r="C68" s="515" t="s">
        <v>69</v>
      </c>
      <c r="D68" s="531">
        <f>D54+D61</f>
        <v>0</v>
      </c>
      <c r="E68" s="531">
        <f t="shared" si="79"/>
        <v>0</v>
      </c>
      <c r="F68" s="531">
        <f t="shared" si="79"/>
        <v>0</v>
      </c>
      <c r="G68" s="531">
        <f t="shared" si="79"/>
        <v>0</v>
      </c>
      <c r="H68" s="531">
        <f t="shared" si="79"/>
        <v>0</v>
      </c>
      <c r="I68" s="531">
        <f t="shared" si="79"/>
        <v>0</v>
      </c>
      <c r="J68" s="531">
        <f t="shared" si="79"/>
        <v>0</v>
      </c>
      <c r="K68" s="531">
        <f t="shared" si="79"/>
        <v>0</v>
      </c>
      <c r="L68" s="531">
        <f t="shared" si="79"/>
        <v>0</v>
      </c>
      <c r="M68" s="531">
        <f t="shared" si="79"/>
        <v>0</v>
      </c>
      <c r="N68" s="531">
        <f t="shared" si="79"/>
        <v>0</v>
      </c>
      <c r="O68" s="531">
        <f t="shared" si="79"/>
        <v>0</v>
      </c>
      <c r="P68" s="529">
        <f t="shared" si="80"/>
        <v>0</v>
      </c>
      <c r="R68" s="531">
        <f t="shared" si="81"/>
        <v>0</v>
      </c>
      <c r="S68" s="531">
        <f t="shared" si="81"/>
        <v>0</v>
      </c>
      <c r="T68" s="531">
        <f t="shared" si="81"/>
        <v>0</v>
      </c>
      <c r="U68" s="531">
        <f t="shared" si="81"/>
        <v>0</v>
      </c>
      <c r="V68" s="531">
        <f t="shared" si="81"/>
        <v>0</v>
      </c>
      <c r="W68" s="531">
        <f t="shared" si="81"/>
        <v>0</v>
      </c>
      <c r="X68" s="531">
        <f t="shared" si="81"/>
        <v>0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0</v>
      </c>
      <c r="AF68" s="522">
        <f t="shared" si="83"/>
        <v>0</v>
      </c>
      <c r="AG68" s="522">
        <f t="shared" si="83"/>
        <v>0</v>
      </c>
      <c r="AH68" s="522">
        <f t="shared" si="83"/>
        <v>0</v>
      </c>
      <c r="AI68" s="522">
        <f t="shared" si="83"/>
        <v>0</v>
      </c>
      <c r="AJ68" s="522">
        <f t="shared" si="83"/>
        <v>0</v>
      </c>
      <c r="AK68" s="522">
        <f t="shared" si="83"/>
        <v>0</v>
      </c>
      <c r="AL68" s="522">
        <f t="shared" si="83"/>
        <v>0</v>
      </c>
      <c r="AM68" s="522">
        <f t="shared" si="83"/>
        <v>0</v>
      </c>
      <c r="AN68" s="522">
        <f t="shared" si="83"/>
        <v>0</v>
      </c>
      <c r="AO68" s="522">
        <f t="shared" si="83"/>
        <v>0</v>
      </c>
      <c r="AP68" s="522">
        <f t="shared" si="83"/>
        <v>0</v>
      </c>
      <c r="AQ68" s="522">
        <f t="shared" si="83"/>
        <v>0</v>
      </c>
      <c r="AR68" s="521">
        <f t="shared" si="84"/>
        <v>0</v>
      </c>
      <c r="AT68" s="523" t="e">
        <f t="shared" ref="AT68:AT72" si="86">R68/D68</f>
        <v>#DIV/0!</v>
      </c>
      <c r="AU68" s="523" t="e">
        <f t="shared" si="85"/>
        <v>#DIV/0!</v>
      </c>
      <c r="AV68" s="523" t="e">
        <f t="shared" si="85"/>
        <v>#DIV/0!</v>
      </c>
      <c r="AW68" s="523" t="e">
        <f t="shared" si="85"/>
        <v>#DIV/0!</v>
      </c>
      <c r="AX68" s="523" t="e">
        <f t="shared" si="85"/>
        <v>#DIV/0!</v>
      </c>
      <c r="AY68" s="523" t="e">
        <f t="shared" si="85"/>
        <v>#DIV/0!</v>
      </c>
      <c r="AZ68" s="523" t="e">
        <f t="shared" si="85"/>
        <v>#DIV/0!</v>
      </c>
      <c r="BA68" s="523" t="e">
        <f t="shared" si="85"/>
        <v>#DIV/0!</v>
      </c>
      <c r="BB68" s="523" t="e">
        <f t="shared" si="85"/>
        <v>#DIV/0!</v>
      </c>
      <c r="BC68" s="523" t="e">
        <f t="shared" si="85"/>
        <v>#DIV/0!</v>
      </c>
      <c r="BD68" s="523" t="e">
        <f t="shared" si="85"/>
        <v>#DIV/0!</v>
      </c>
      <c r="BE68" s="523" t="e">
        <f t="shared" si="85"/>
        <v>#DIV/0!</v>
      </c>
      <c r="BF68" s="523" t="e">
        <f t="shared" si="85"/>
        <v>#DIV/0!</v>
      </c>
    </row>
    <row r="69" spans="1:58">
      <c r="C69" s="515" t="s">
        <v>70</v>
      </c>
      <c r="D69" s="531">
        <f>D55</f>
        <v>154793.67520307176</v>
      </c>
      <c r="E69" s="531">
        <f t="shared" ref="E69:O69" si="87">E55</f>
        <v>138154.68290723464</v>
      </c>
      <c r="F69" s="531">
        <f t="shared" si="87"/>
        <v>170511.33484334385</v>
      </c>
      <c r="G69" s="531">
        <f t="shared" si="87"/>
        <v>179037.10780875894</v>
      </c>
      <c r="H69" s="531">
        <f t="shared" si="87"/>
        <v>193963.98069846816</v>
      </c>
      <c r="I69" s="531">
        <f t="shared" si="87"/>
        <v>190354.78450545273</v>
      </c>
      <c r="J69" s="531">
        <f t="shared" si="87"/>
        <v>205521.27020774028</v>
      </c>
      <c r="K69" s="531">
        <f t="shared" si="87"/>
        <v>203602.76565243295</v>
      </c>
      <c r="L69" s="531">
        <f t="shared" si="87"/>
        <v>214812.43535202442</v>
      </c>
      <c r="M69" s="531">
        <f t="shared" si="87"/>
        <v>230491.11757955499</v>
      </c>
      <c r="N69" s="531">
        <f t="shared" si="87"/>
        <v>219991.07901408401</v>
      </c>
      <c r="O69" s="531">
        <f t="shared" si="87"/>
        <v>231975.54298208351</v>
      </c>
      <c r="P69" s="529">
        <f t="shared" si="80"/>
        <v>2333209.7767542498</v>
      </c>
      <c r="R69" s="531">
        <f t="shared" ref="R69:AC69" si="88">R55</f>
        <v>148369.26999999999</v>
      </c>
      <c r="S69" s="531">
        <f t="shared" si="88"/>
        <v>118213.66</v>
      </c>
      <c r="T69" s="531">
        <f t="shared" si="88"/>
        <v>168146.83</v>
      </c>
      <c r="U69" s="531">
        <f t="shared" si="88"/>
        <v>170290.55000000002</v>
      </c>
      <c r="V69" s="531">
        <f t="shared" si="88"/>
        <v>206786.54000000004</v>
      </c>
      <c r="W69" s="531">
        <f t="shared" si="88"/>
        <v>0</v>
      </c>
      <c r="X69" s="531">
        <f t="shared" si="88"/>
        <v>0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811806.85000000009</v>
      </c>
      <c r="AF69" s="522">
        <f t="shared" si="83"/>
        <v>-6424.4052030717721</v>
      </c>
      <c r="AG69" s="522">
        <f t="shared" si="83"/>
        <v>-19941.022907234641</v>
      </c>
      <c r="AH69" s="522">
        <f t="shared" si="83"/>
        <v>-2364.5048433438642</v>
      </c>
      <c r="AI69" s="522">
        <f t="shared" si="83"/>
        <v>-8746.5578087589238</v>
      </c>
      <c r="AJ69" s="522">
        <f t="shared" si="83"/>
        <v>12822.559301531874</v>
      </c>
      <c r="AK69" s="522">
        <f t="shared" si="83"/>
        <v>-190354.78450545273</v>
      </c>
      <c r="AL69" s="522">
        <f t="shared" si="83"/>
        <v>-205521.27020774028</v>
      </c>
      <c r="AM69" s="522">
        <f t="shared" si="83"/>
        <v>-203602.76565243295</v>
      </c>
      <c r="AN69" s="522">
        <f t="shared" si="83"/>
        <v>-214812.43535202442</v>
      </c>
      <c r="AO69" s="522">
        <f t="shared" si="83"/>
        <v>-230491.11757955499</v>
      </c>
      <c r="AP69" s="522">
        <f t="shared" si="83"/>
        <v>-219991.07901408401</v>
      </c>
      <c r="AQ69" s="522">
        <f t="shared" si="83"/>
        <v>-231975.54298208351</v>
      </c>
      <c r="AR69" s="521">
        <f t="shared" si="84"/>
        <v>-1521402.9267542502</v>
      </c>
      <c r="AT69" s="523">
        <f t="shared" si="86"/>
        <v>0.95849697867407258</v>
      </c>
      <c r="AU69" s="523">
        <f t="shared" si="85"/>
        <v>0.85566162154181746</v>
      </c>
      <c r="AV69" s="523">
        <f t="shared" si="85"/>
        <v>0.9861328582905281</v>
      </c>
      <c r="AW69" s="523">
        <f t="shared" si="85"/>
        <v>0.95114667615105974</v>
      </c>
      <c r="AX69" s="523">
        <f t="shared" si="85"/>
        <v>1.0661079405328637</v>
      </c>
      <c r="AY69" s="523">
        <f t="shared" si="85"/>
        <v>0</v>
      </c>
      <c r="AZ69" s="523">
        <f t="shared" si="85"/>
        <v>0</v>
      </c>
      <c r="BA69" s="523">
        <f t="shared" si="85"/>
        <v>0</v>
      </c>
      <c r="BB69" s="523">
        <f t="shared" si="85"/>
        <v>0</v>
      </c>
      <c r="BC69" s="523">
        <f t="shared" si="85"/>
        <v>0</v>
      </c>
      <c r="BD69" s="523">
        <f t="shared" si="85"/>
        <v>0</v>
      </c>
      <c r="BE69" s="523">
        <f t="shared" si="85"/>
        <v>0</v>
      </c>
      <c r="BF69" s="523">
        <f t="shared" si="85"/>
        <v>0.34793564560204798</v>
      </c>
    </row>
    <row r="70" spans="1:58">
      <c r="C70" s="515" t="s">
        <v>77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176027.96000000002</v>
      </c>
      <c r="W70" s="531">
        <f t="shared" si="90"/>
        <v>0</v>
      </c>
      <c r="X70" s="531">
        <f t="shared" si="90"/>
        <v>0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369306.91599999997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158632.50861683593</v>
      </c>
      <c r="AK70" s="522">
        <f t="shared" si="83"/>
        <v>-17071.764497166932</v>
      </c>
      <c r="AL70" s="522">
        <f t="shared" si="83"/>
        <v>-18431.954485728456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160055.50193798574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10.119194732156579</v>
      </c>
      <c r="AY70" s="523">
        <f t="shared" si="85"/>
        <v>0</v>
      </c>
      <c r="AZ70" s="523">
        <f t="shared" si="85"/>
        <v>0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1.7648956765976793</v>
      </c>
    </row>
    <row r="71" spans="1:58">
      <c r="C71" s="515" t="s">
        <v>60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78</v>
      </c>
      <c r="C72" s="514" t="s">
        <v>44</v>
      </c>
      <c r="D72" s="530">
        <f>SUM(D67:D71)</f>
        <v>168676.17978830374</v>
      </c>
      <c r="E72" s="530">
        <f t="shared" ref="E72:P72" si="93">SUM(E67:E71)</f>
        <v>150544.93733083975</v>
      </c>
      <c r="F72" s="530">
        <f t="shared" si="93"/>
        <v>185803.46086006478</v>
      </c>
      <c r="G72" s="530">
        <f t="shared" si="93"/>
        <v>195093.85862122654</v>
      </c>
      <c r="H72" s="530">
        <f t="shared" si="93"/>
        <v>211359.43208163226</v>
      </c>
      <c r="I72" s="530">
        <f t="shared" si="93"/>
        <v>207426.54900261966</v>
      </c>
      <c r="J72" s="530">
        <f t="shared" si="93"/>
        <v>223953.22469346874</v>
      </c>
      <c r="K72" s="530">
        <f t="shared" si="93"/>
        <v>221862.66111668717</v>
      </c>
      <c r="L72" s="530">
        <f t="shared" si="93"/>
        <v>234077.65800939139</v>
      </c>
      <c r="M72" s="530">
        <f t="shared" si="93"/>
        <v>251162.46602099258</v>
      </c>
      <c r="N72" s="530">
        <f t="shared" si="93"/>
        <v>239720.74276886345</v>
      </c>
      <c r="O72" s="530">
        <f t="shared" si="93"/>
        <v>252780.02052217451</v>
      </c>
      <c r="P72" s="530">
        <f t="shared" si="93"/>
        <v>2542461.1908162641</v>
      </c>
      <c r="R72" s="530">
        <f t="shared" ref="R72:AD72" si="94">SUM(R67:R71)</f>
        <v>165609.076</v>
      </c>
      <c r="S72" s="530">
        <f t="shared" si="94"/>
        <v>134437.31</v>
      </c>
      <c r="T72" s="530">
        <f t="shared" si="94"/>
        <v>206346.56</v>
      </c>
      <c r="U72" s="530">
        <f t="shared" si="94"/>
        <v>291906.32</v>
      </c>
      <c r="V72" s="530">
        <f t="shared" si="94"/>
        <v>382814.50000000006</v>
      </c>
      <c r="W72" s="530">
        <f t="shared" si="94"/>
        <v>0</v>
      </c>
      <c r="X72" s="530">
        <f t="shared" si="94"/>
        <v>0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1181113.7660000001</v>
      </c>
      <c r="AF72" s="530">
        <f>SUM(AF67:AF71)</f>
        <v>-3067.1037883037388</v>
      </c>
      <c r="AG72" s="530">
        <f t="shared" ref="AG72:AR72" si="95">SUM(AG67:AG71)</f>
        <v>-16107.627330839756</v>
      </c>
      <c r="AH72" s="530">
        <f t="shared" si="95"/>
        <v>20543.099139935199</v>
      </c>
      <c r="AI72" s="530">
        <f t="shared" si="95"/>
        <v>96812.461378773485</v>
      </c>
      <c r="AJ72" s="530">
        <f t="shared" si="95"/>
        <v>171455.0679183678</v>
      </c>
      <c r="AK72" s="530">
        <f t="shared" si="95"/>
        <v>-207426.54900261966</v>
      </c>
      <c r="AL72" s="530">
        <f t="shared" si="95"/>
        <v>-223953.22469346874</v>
      </c>
      <c r="AM72" s="530">
        <f t="shared" si="95"/>
        <v>-221862.66111668717</v>
      </c>
      <c r="AN72" s="530">
        <f t="shared" si="95"/>
        <v>-234077.65800939139</v>
      </c>
      <c r="AO72" s="530">
        <f t="shared" si="95"/>
        <v>-251162.46602099258</v>
      </c>
      <c r="AP72" s="530">
        <f t="shared" si="95"/>
        <v>-239720.74276886345</v>
      </c>
      <c r="AQ72" s="530">
        <f t="shared" si="95"/>
        <v>-252780.02052217451</v>
      </c>
      <c r="AR72" s="530">
        <f t="shared" si="95"/>
        <v>-1361347.4248162645</v>
      </c>
      <c r="AT72" s="523">
        <f t="shared" si="86"/>
        <v>0.98181661576546797</v>
      </c>
      <c r="AU72" s="523">
        <f t="shared" si="85"/>
        <v>0.89300452332421254</v>
      </c>
      <c r="AV72" s="523">
        <f t="shared" si="85"/>
        <v>1.1105635979267736</v>
      </c>
      <c r="AW72" s="523">
        <f t="shared" si="85"/>
        <v>1.4962353098296868</v>
      </c>
      <c r="AX72" s="523">
        <f t="shared" si="85"/>
        <v>1.8112014033617747</v>
      </c>
      <c r="AY72" s="523">
        <f t="shared" si="85"/>
        <v>0</v>
      </c>
      <c r="AZ72" s="523">
        <f t="shared" si="85"/>
        <v>0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0.46455527827380533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79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67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68</v>
      </c>
      <c r="D76" s="531">
        <f>SUM(D53:F53)</f>
        <v>0</v>
      </c>
      <c r="E76" s="531"/>
      <c r="F76" s="531"/>
      <c r="G76" s="531">
        <f>SUM(G53:I53)</f>
        <v>0</v>
      </c>
      <c r="H76" s="531"/>
      <c r="I76" s="531"/>
      <c r="J76" s="531">
        <f>SUM(J53:L53)</f>
        <v>0</v>
      </c>
      <c r="K76" s="531"/>
      <c r="L76" s="531"/>
      <c r="M76" s="531">
        <f>SUM(M53:O53)</f>
        <v>0</v>
      </c>
      <c r="N76" s="531"/>
      <c r="O76" s="531"/>
      <c r="P76" s="529">
        <f t="shared" ref="P76:P79" si="96">SUM(D76:O76)</f>
        <v>0</v>
      </c>
      <c r="R76" s="522">
        <f>SUM(R53:T53)</f>
        <v>0</v>
      </c>
      <c r="U76" s="522">
        <f>SUM(U53:W53)</f>
        <v>0</v>
      </c>
      <c r="X76" s="522">
        <f>SUM(X53:Z53)</f>
        <v>0</v>
      </c>
      <c r="AA76" s="522">
        <f>SUM(AA53:AC53)</f>
        <v>0</v>
      </c>
      <c r="AB76" s="522"/>
      <c r="AD76" s="521">
        <f t="shared" ref="AD76:AD79" si="97">SUM(R76:AC76)</f>
        <v>0</v>
      </c>
      <c r="AF76" s="522">
        <f t="shared" ref="AF76:AO79" si="98">R76-D76</f>
        <v>0</v>
      </c>
      <c r="AG76" s="522"/>
      <c r="AH76" s="522"/>
      <c r="AI76" s="522">
        <f t="shared" si="98"/>
        <v>0</v>
      </c>
      <c r="AJ76" s="522"/>
      <c r="AK76" s="522"/>
      <c r="AL76" s="522">
        <f t="shared" si="98"/>
        <v>0</v>
      </c>
      <c r="AM76" s="522"/>
      <c r="AN76" s="522"/>
      <c r="AO76" s="522">
        <f t="shared" si="98"/>
        <v>0</v>
      </c>
      <c r="AP76" s="522"/>
      <c r="AQ76" s="522"/>
      <c r="AR76" s="521">
        <f t="shared" ref="AR76:AR78" si="99">SUM(AF76:AQ76)</f>
        <v>0</v>
      </c>
      <c r="AT76" s="523" t="e">
        <f>R76/D76</f>
        <v>#DIV/0!</v>
      </c>
      <c r="AU76" s="523"/>
      <c r="AV76" s="523"/>
      <c r="AW76" s="523" t="e">
        <f t="shared" ref="AW76:AW80" si="100">U76/G76</f>
        <v>#DIV/0!</v>
      </c>
      <c r="AX76" s="523"/>
      <c r="AY76" s="523"/>
      <c r="AZ76" s="523" t="e">
        <f t="shared" ref="AZ76:AZ80" si="101">X76/J76</f>
        <v>#DIV/0!</v>
      </c>
      <c r="BA76" s="523"/>
      <c r="BB76" s="523"/>
      <c r="BC76" s="523" t="e">
        <f t="shared" ref="BC76:BC80" si="102">AA76/M76</f>
        <v>#DIV/0!</v>
      </c>
      <c r="BD76" s="523"/>
      <c r="BE76" s="523"/>
      <c r="BF76" s="523" t="e">
        <f t="shared" ref="BF76:BF80" si="103">AD76/P76</f>
        <v>#DIV/0!</v>
      </c>
    </row>
    <row r="77" spans="1:58">
      <c r="C77" s="515" t="s">
        <v>69</v>
      </c>
      <c r="D77" s="531">
        <f>SUM(D54:F54)</f>
        <v>0</v>
      </c>
      <c r="E77" s="531"/>
      <c r="F77" s="531"/>
      <c r="G77" s="531">
        <f>SUM(G54:I54)</f>
        <v>0</v>
      </c>
      <c r="H77" s="531"/>
      <c r="I77" s="531"/>
      <c r="J77" s="531">
        <f>SUM(J54:L54)</f>
        <v>0</v>
      </c>
      <c r="K77" s="531"/>
      <c r="L77" s="531"/>
      <c r="M77" s="531">
        <f>SUM(M54:O54)</f>
        <v>0</v>
      </c>
      <c r="N77" s="531"/>
      <c r="O77" s="531"/>
      <c r="P77" s="529">
        <f t="shared" si="96"/>
        <v>0</v>
      </c>
      <c r="R77" s="522">
        <f>SUM(R54:T54)</f>
        <v>0</v>
      </c>
      <c r="U77" s="522">
        <f>SUM(U54:W54)</f>
        <v>0</v>
      </c>
      <c r="X77" s="522">
        <f>SUM(X54:Z54)</f>
        <v>0</v>
      </c>
      <c r="AA77" s="522">
        <f>SUM(AA54:AC54)</f>
        <v>0</v>
      </c>
      <c r="AB77" s="522"/>
      <c r="AD77" s="521">
        <f t="shared" si="97"/>
        <v>0</v>
      </c>
      <c r="AF77" s="522">
        <f t="shared" si="98"/>
        <v>0</v>
      </c>
      <c r="AG77" s="522"/>
      <c r="AH77" s="522"/>
      <c r="AI77" s="522">
        <f t="shared" si="98"/>
        <v>0</v>
      </c>
      <c r="AJ77" s="522"/>
      <c r="AK77" s="522"/>
      <c r="AL77" s="522">
        <f t="shared" si="98"/>
        <v>0</v>
      </c>
      <c r="AM77" s="522"/>
      <c r="AN77" s="522"/>
      <c r="AO77" s="522">
        <f t="shared" si="98"/>
        <v>0</v>
      </c>
      <c r="AP77" s="522"/>
      <c r="AQ77" s="522"/>
      <c r="AR77" s="521">
        <f t="shared" si="99"/>
        <v>0</v>
      </c>
      <c r="AT77" s="523" t="e">
        <f t="shared" ref="AT77:AT80" si="104">R77/D77</f>
        <v>#DIV/0!</v>
      </c>
      <c r="AU77" s="523"/>
      <c r="AV77" s="523"/>
      <c r="AW77" s="523" t="e">
        <f t="shared" si="100"/>
        <v>#DIV/0!</v>
      </c>
      <c r="AX77" s="523"/>
      <c r="AY77" s="523"/>
      <c r="AZ77" s="523" t="e">
        <f t="shared" si="101"/>
        <v>#DIV/0!</v>
      </c>
      <c r="BA77" s="523"/>
      <c r="BB77" s="523"/>
      <c r="BC77" s="523" t="e">
        <f t="shared" si="102"/>
        <v>#DIV/0!</v>
      </c>
      <c r="BD77" s="523"/>
      <c r="BE77" s="523"/>
      <c r="BF77" s="523" t="e">
        <f t="shared" si="103"/>
        <v>#DIV/0!</v>
      </c>
    </row>
    <row r="78" spans="1:58">
      <c r="C78" s="515" t="s">
        <v>70</v>
      </c>
      <c r="D78" s="531">
        <f>SUM(D55:F55)</f>
        <v>463459.69295365026</v>
      </c>
      <c r="E78" s="531"/>
      <c r="F78" s="531"/>
      <c r="G78" s="531">
        <f>SUM(G55:I55)</f>
        <v>563355.87301267986</v>
      </c>
      <c r="H78" s="531"/>
      <c r="I78" s="531"/>
      <c r="J78" s="531">
        <f>SUM(J55:L55)</f>
        <v>623936.47121219768</v>
      </c>
      <c r="K78" s="531"/>
      <c r="L78" s="531"/>
      <c r="M78" s="531">
        <f>SUM(M55:O55)</f>
        <v>682457.73957572249</v>
      </c>
      <c r="N78" s="531"/>
      <c r="O78" s="531"/>
      <c r="P78" s="529">
        <f t="shared" si="96"/>
        <v>2333209.7767542503</v>
      </c>
      <c r="R78" s="522">
        <f>SUM(R55:T55)</f>
        <v>434729.76</v>
      </c>
      <c r="U78" s="522">
        <f>SUM(U55:W55)</f>
        <v>377077.09000000008</v>
      </c>
      <c r="X78" s="522">
        <f>SUM(X55:Z55)</f>
        <v>0</v>
      </c>
      <c r="AA78" s="522">
        <f>SUM(AA55:AC55)</f>
        <v>0</v>
      </c>
      <c r="AB78" s="522"/>
      <c r="AD78" s="521">
        <f t="shared" si="97"/>
        <v>811806.85000000009</v>
      </c>
      <c r="AF78" s="522">
        <f t="shared" si="98"/>
        <v>-28729.932953650248</v>
      </c>
      <c r="AG78" s="522"/>
      <c r="AH78" s="522"/>
      <c r="AI78" s="522">
        <f t="shared" si="98"/>
        <v>-186278.78301267978</v>
      </c>
      <c r="AJ78" s="522"/>
      <c r="AK78" s="522"/>
      <c r="AL78" s="522">
        <f t="shared" si="98"/>
        <v>-623936.47121219768</v>
      </c>
      <c r="AM78" s="522"/>
      <c r="AN78" s="522"/>
      <c r="AO78" s="522">
        <f t="shared" si="98"/>
        <v>-682457.73957572249</v>
      </c>
      <c r="AP78" s="522"/>
      <c r="AQ78" s="522"/>
      <c r="AR78" s="521">
        <f t="shared" si="99"/>
        <v>-1521402.9267542502</v>
      </c>
      <c r="AT78" s="523">
        <f t="shared" si="104"/>
        <v>0.93800985632525447</v>
      </c>
      <c r="AU78" s="523"/>
      <c r="AV78" s="523"/>
      <c r="AW78" s="523">
        <f t="shared" si="100"/>
        <v>0.66934083421104751</v>
      </c>
      <c r="AX78" s="523"/>
      <c r="AY78" s="523"/>
      <c r="AZ78" s="523">
        <f t="shared" si="101"/>
        <v>0</v>
      </c>
      <c r="BA78" s="523"/>
      <c r="BB78" s="523"/>
      <c r="BC78" s="523">
        <f t="shared" si="102"/>
        <v>0</v>
      </c>
      <c r="BD78" s="523"/>
      <c r="BE78" s="523"/>
      <c r="BF78" s="523">
        <f t="shared" si="103"/>
        <v>0.34793564560204787</v>
      </c>
    </row>
    <row r="79" spans="1:58">
      <c r="C79" s="515" t="s">
        <v>77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297643.73</v>
      </c>
      <c r="X79" s="522">
        <f>SUM(X56:Z56)</f>
        <v>0</v>
      </c>
      <c r="AA79" s="522">
        <f>SUM(AA56:AC56)</f>
        <v>0</v>
      </c>
      <c r="AB79" s="522"/>
      <c r="AD79" s="521">
        <f t="shared" si="97"/>
        <v>369306.91599999997</v>
      </c>
      <c r="AF79" s="522">
        <f>R79-D79</f>
        <v>30098.300974441976</v>
      </c>
      <c r="AG79" s="522"/>
      <c r="AH79" s="522"/>
      <c r="AI79" s="522">
        <f t="shared" si="98"/>
        <v>247119.76330720139</v>
      </c>
      <c r="AJ79" s="522"/>
      <c r="AK79" s="522"/>
      <c r="AL79" s="522">
        <f t="shared" si="98"/>
        <v>-55957.072607349648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160055.50193798565</v>
      </c>
      <c r="AT79" s="523">
        <f t="shared" si="104"/>
        <v>1.7241280940855412</v>
      </c>
      <c r="AU79" s="523"/>
      <c r="AV79" s="523"/>
      <c r="AW79" s="523">
        <f t="shared" si="100"/>
        <v>5.891139383607114</v>
      </c>
      <c r="AX79" s="523"/>
      <c r="AY79" s="523"/>
      <c r="AZ79" s="523">
        <f t="shared" si="101"/>
        <v>0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1.7648956765976795</v>
      </c>
    </row>
    <row r="80" spans="1:58">
      <c r="C80" s="514" t="s">
        <v>44</v>
      </c>
      <c r="D80" s="529">
        <f>SUM(D76:D79)</f>
        <v>505024.57797920826</v>
      </c>
      <c r="E80" s="531"/>
      <c r="F80" s="531"/>
      <c r="G80" s="529">
        <f>SUM(G76:G79)</f>
        <v>613879.83970547852</v>
      </c>
      <c r="H80" s="531"/>
      <c r="I80" s="531"/>
      <c r="J80" s="529">
        <f>SUM(J76:J79)</f>
        <v>679893.54381954728</v>
      </c>
      <c r="K80" s="531"/>
      <c r="L80" s="531"/>
      <c r="M80" s="529">
        <f>SUM(M76:M79)</f>
        <v>743663.22931203048</v>
      </c>
      <c r="N80" s="531"/>
      <c r="O80" s="531"/>
      <c r="P80" s="529">
        <f>SUM(P76:P79)</f>
        <v>2542461.1908162646</v>
      </c>
      <c r="R80" s="529">
        <f>SUM(R76:R79)</f>
        <v>506392.946</v>
      </c>
      <c r="U80" s="529">
        <f>SUM(U76:U79)</f>
        <v>674720.82000000007</v>
      </c>
      <c r="X80" s="529">
        <f>SUM(X76:X79)</f>
        <v>0</v>
      </c>
      <c r="AA80" s="529">
        <f>SUM(AA76:AA79)</f>
        <v>0</v>
      </c>
      <c r="AB80" s="529"/>
      <c r="AD80" s="529">
        <f>SUM(AD76:AD79)</f>
        <v>1181113.7660000001</v>
      </c>
      <c r="AF80" s="529">
        <f>SUM(AF76:AF79)</f>
        <v>1368.3680207917278</v>
      </c>
      <c r="AG80" s="522"/>
      <c r="AH80" s="522"/>
      <c r="AI80" s="529">
        <f>SUM(AI76:AI79)</f>
        <v>60840.980294521607</v>
      </c>
      <c r="AJ80" s="522"/>
      <c r="AK80" s="522"/>
      <c r="AL80" s="529">
        <f>SUM(AL76:AL79)</f>
        <v>-679893.54381954728</v>
      </c>
      <c r="AM80" s="522"/>
      <c r="AN80" s="522"/>
      <c r="AO80" s="529">
        <f>SUM(AO76:AO79)</f>
        <v>-743663.22931203048</v>
      </c>
      <c r="AP80" s="522"/>
      <c r="AQ80" s="522"/>
      <c r="AR80" s="529">
        <f>SUM(AR76:AR79)</f>
        <v>-1361347.4248162645</v>
      </c>
      <c r="AT80" s="523">
        <f t="shared" si="104"/>
        <v>1.0027095077753783</v>
      </c>
      <c r="AU80" s="523"/>
      <c r="AV80" s="523"/>
      <c r="AW80" s="523">
        <f t="shared" si="100"/>
        <v>1.0991089401530294</v>
      </c>
      <c r="AX80" s="523"/>
      <c r="AY80" s="523"/>
      <c r="AZ80" s="523">
        <f t="shared" si="101"/>
        <v>0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0.46455527827380527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72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68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69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71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80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44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73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68</v>
      </c>
      <c r="D90" s="531">
        <f>SUM(D67:F67)</f>
        <v>0</v>
      </c>
      <c r="E90" s="531"/>
      <c r="F90" s="531"/>
      <c r="G90" s="531">
        <f>SUM(G67:I67)</f>
        <v>0</v>
      </c>
      <c r="H90" s="531"/>
      <c r="I90" s="531"/>
      <c r="J90" s="531">
        <f>SUM(J67:L67)</f>
        <v>0</v>
      </c>
      <c r="K90" s="531"/>
      <c r="L90" s="531"/>
      <c r="M90" s="531">
        <f>SUM(M67:O67)</f>
        <v>0</v>
      </c>
      <c r="N90" s="531"/>
      <c r="O90" s="531"/>
      <c r="P90" s="529">
        <f t="shared" ref="P90:P94" si="114">SUM(D90:O90)</f>
        <v>0</v>
      </c>
      <c r="R90" s="522">
        <f>SUM(R67:T67)</f>
        <v>0</v>
      </c>
      <c r="U90" s="522">
        <f>SUM(U67:W67)</f>
        <v>0</v>
      </c>
      <c r="X90" s="522">
        <f>SUM(X67:Z67)</f>
        <v>0</v>
      </c>
      <c r="AA90" s="522">
        <f>SUM(AA67:AC67)</f>
        <v>0</v>
      </c>
      <c r="AB90" s="522"/>
      <c r="AD90" s="521">
        <f t="shared" ref="AD90:AD94" si="115">SUM(R90:AC90)</f>
        <v>0</v>
      </c>
      <c r="AF90" s="522">
        <f t="shared" ref="AF90:AO94" si="116">R90-D90</f>
        <v>0</v>
      </c>
      <c r="AG90" s="522"/>
      <c r="AH90" s="522"/>
      <c r="AI90" s="522">
        <f t="shared" si="116"/>
        <v>0</v>
      </c>
      <c r="AJ90" s="522"/>
      <c r="AK90" s="522"/>
      <c r="AL90" s="522">
        <f t="shared" si="116"/>
        <v>0</v>
      </c>
      <c r="AM90" s="522"/>
      <c r="AN90" s="522"/>
      <c r="AO90" s="522">
        <f t="shared" si="116"/>
        <v>0</v>
      </c>
      <c r="AP90" s="522"/>
      <c r="AQ90" s="522"/>
      <c r="AR90" s="521">
        <f t="shared" ref="AR90:AR94" si="117">SUM(AF90:AQ90)</f>
        <v>0</v>
      </c>
      <c r="AT90" s="523" t="e">
        <f>R90/D90</f>
        <v>#DIV/0!</v>
      </c>
      <c r="AU90" s="523"/>
      <c r="AV90" s="523"/>
      <c r="AW90" s="523" t="e">
        <f t="shared" ref="AW90:AW95" si="118">U90/G90</f>
        <v>#DIV/0!</v>
      </c>
      <c r="AX90" s="523"/>
      <c r="AY90" s="523"/>
      <c r="AZ90" s="523" t="e">
        <f t="shared" ref="AZ90:AZ95" si="119">X90/J90</f>
        <v>#DIV/0!</v>
      </c>
      <c r="BA90" s="523"/>
      <c r="BB90" s="523"/>
      <c r="BC90" s="523" t="e">
        <f t="shared" ref="BC90:BC95" si="120">AA90/M90</f>
        <v>#DIV/0!</v>
      </c>
      <c r="BD90" s="523"/>
      <c r="BE90" s="523"/>
      <c r="BF90" s="523" t="e">
        <f t="shared" ref="BF90:BF95" si="121">AD90/P90</f>
        <v>#DIV/0!</v>
      </c>
    </row>
    <row r="91" spans="2:58">
      <c r="C91" s="515" t="s">
        <v>69</v>
      </c>
      <c r="D91" s="531">
        <f>SUM(D68:F68)</f>
        <v>0</v>
      </c>
      <c r="E91" s="531"/>
      <c r="F91" s="531"/>
      <c r="G91" s="531">
        <f>SUM(G68:I68)</f>
        <v>0</v>
      </c>
      <c r="H91" s="531"/>
      <c r="I91" s="531"/>
      <c r="J91" s="531">
        <f>SUM(J68:L68)</f>
        <v>0</v>
      </c>
      <c r="K91" s="531"/>
      <c r="L91" s="531"/>
      <c r="M91" s="531">
        <f>SUM(M68:O68)</f>
        <v>0</v>
      </c>
      <c r="N91" s="531"/>
      <c r="O91" s="531"/>
      <c r="P91" s="529">
        <f t="shared" si="114"/>
        <v>0</v>
      </c>
      <c r="R91" s="522">
        <f>SUM(R68:T68)</f>
        <v>0</v>
      </c>
      <c r="U91" s="522">
        <f>SUM(U68:W68)</f>
        <v>0</v>
      </c>
      <c r="X91" s="522">
        <f>SUM(X68:Z68)</f>
        <v>0</v>
      </c>
      <c r="AA91" s="522">
        <f>SUM(AA68:AC68)</f>
        <v>0</v>
      </c>
      <c r="AB91" s="522"/>
      <c r="AD91" s="521">
        <f t="shared" si="115"/>
        <v>0</v>
      </c>
      <c r="AF91" s="522">
        <f t="shared" si="116"/>
        <v>0</v>
      </c>
      <c r="AG91" s="522"/>
      <c r="AH91" s="522"/>
      <c r="AI91" s="522">
        <f t="shared" si="116"/>
        <v>0</v>
      </c>
      <c r="AJ91" s="522"/>
      <c r="AK91" s="522"/>
      <c r="AL91" s="522">
        <f t="shared" si="116"/>
        <v>0</v>
      </c>
      <c r="AM91" s="522"/>
      <c r="AN91" s="522"/>
      <c r="AO91" s="522">
        <f t="shared" si="116"/>
        <v>0</v>
      </c>
      <c r="AP91" s="522"/>
      <c r="AQ91" s="522"/>
      <c r="AR91" s="521">
        <f t="shared" si="117"/>
        <v>0</v>
      </c>
      <c r="AT91" s="523" t="e">
        <f t="shared" ref="AT91:AT95" si="122">R91/D91</f>
        <v>#DIV/0!</v>
      </c>
      <c r="AU91" s="523"/>
      <c r="AV91" s="523"/>
      <c r="AW91" s="523" t="e">
        <f t="shared" si="118"/>
        <v>#DIV/0!</v>
      </c>
      <c r="AX91" s="523"/>
      <c r="AY91" s="523"/>
      <c r="AZ91" s="523" t="e">
        <f t="shared" si="119"/>
        <v>#DIV/0!</v>
      </c>
      <c r="BA91" s="523"/>
      <c r="BB91" s="523"/>
      <c r="BC91" s="523" t="e">
        <f t="shared" si="120"/>
        <v>#DIV/0!</v>
      </c>
      <c r="BD91" s="523"/>
      <c r="BE91" s="523"/>
      <c r="BF91" s="523" t="e">
        <f t="shared" si="121"/>
        <v>#DIV/0!</v>
      </c>
    </row>
    <row r="92" spans="2:58">
      <c r="C92" s="515" t="s">
        <v>70</v>
      </c>
      <c r="D92" s="531">
        <f>SUM(D69:F69)</f>
        <v>463459.69295365026</v>
      </c>
      <c r="E92" s="531"/>
      <c r="F92" s="531"/>
      <c r="G92" s="531">
        <f>SUM(G69:I69)</f>
        <v>563355.87301267986</v>
      </c>
      <c r="H92" s="531"/>
      <c r="I92" s="531"/>
      <c r="J92" s="531">
        <f>SUM(J69:L69)</f>
        <v>623936.47121219768</v>
      </c>
      <c r="K92" s="531"/>
      <c r="L92" s="531"/>
      <c r="M92" s="531">
        <f>SUM(M69:O69)</f>
        <v>682457.73957572249</v>
      </c>
      <c r="N92" s="531"/>
      <c r="O92" s="531"/>
      <c r="P92" s="529">
        <f t="shared" si="114"/>
        <v>2333209.7767542503</v>
      </c>
      <c r="R92" s="522">
        <f>SUM(R69:T69)</f>
        <v>434729.76</v>
      </c>
      <c r="U92" s="522">
        <f>SUM(U69:W69)</f>
        <v>377077.09000000008</v>
      </c>
      <c r="X92" s="522">
        <f>SUM(X69:Z69)</f>
        <v>0</v>
      </c>
      <c r="AA92" s="522">
        <f>SUM(AA69:AC69)</f>
        <v>0</v>
      </c>
      <c r="AB92" s="522"/>
      <c r="AD92" s="521">
        <f t="shared" si="115"/>
        <v>811806.85000000009</v>
      </c>
      <c r="AF92" s="522">
        <f t="shared" si="116"/>
        <v>-28729.932953650248</v>
      </c>
      <c r="AG92" s="522"/>
      <c r="AH92" s="522"/>
      <c r="AI92" s="522">
        <f t="shared" si="116"/>
        <v>-186278.78301267978</v>
      </c>
      <c r="AJ92" s="522"/>
      <c r="AK92" s="522"/>
      <c r="AL92" s="522">
        <f t="shared" si="116"/>
        <v>-623936.47121219768</v>
      </c>
      <c r="AM92" s="522"/>
      <c r="AN92" s="522"/>
      <c r="AO92" s="522">
        <f t="shared" si="116"/>
        <v>-682457.73957572249</v>
      </c>
      <c r="AP92" s="522"/>
      <c r="AQ92" s="522"/>
      <c r="AR92" s="521">
        <f t="shared" si="117"/>
        <v>-1521402.9267542502</v>
      </c>
      <c r="AT92" s="523">
        <f t="shared" si="122"/>
        <v>0.93800985632525447</v>
      </c>
      <c r="AU92" s="523"/>
      <c r="AV92" s="523"/>
      <c r="AW92" s="523">
        <f t="shared" si="118"/>
        <v>0.66934083421104751</v>
      </c>
      <c r="AX92" s="523"/>
      <c r="AY92" s="523"/>
      <c r="AZ92" s="523">
        <f t="shared" si="119"/>
        <v>0</v>
      </c>
      <c r="BA92" s="523"/>
      <c r="BB92" s="523"/>
      <c r="BC92" s="523">
        <f t="shared" si="120"/>
        <v>0</v>
      </c>
      <c r="BD92" s="523"/>
      <c r="BE92" s="523"/>
      <c r="BF92" s="523">
        <f t="shared" si="121"/>
        <v>0.34793564560204787</v>
      </c>
    </row>
    <row r="93" spans="2:58">
      <c r="C93" s="515" t="s">
        <v>71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297643.73</v>
      </c>
      <c r="X93" s="522">
        <f t="shared" ref="X93:X94" si="125">SUM(X70:Z70)</f>
        <v>0</v>
      </c>
      <c r="AA93" s="522">
        <f t="shared" ref="AA93:AA94" si="126">SUM(AA70:AC70)</f>
        <v>0</v>
      </c>
      <c r="AB93" s="522"/>
      <c r="AD93" s="521">
        <f t="shared" si="115"/>
        <v>369306.91599999997</v>
      </c>
      <c r="AF93" s="522">
        <f t="shared" si="116"/>
        <v>30098.300974441976</v>
      </c>
      <c r="AG93" s="522"/>
      <c r="AH93" s="522"/>
      <c r="AI93" s="522">
        <f t="shared" si="116"/>
        <v>247119.76330720139</v>
      </c>
      <c r="AJ93" s="522"/>
      <c r="AK93" s="522"/>
      <c r="AL93" s="522">
        <f t="shared" si="116"/>
        <v>-55957.072607349648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160055.50193798565</v>
      </c>
      <c r="AT93" s="523">
        <f t="shared" si="122"/>
        <v>1.7241280940855412</v>
      </c>
      <c r="AU93" s="523"/>
      <c r="AV93" s="523"/>
      <c r="AW93" s="523">
        <f t="shared" si="118"/>
        <v>5.891139383607114</v>
      </c>
      <c r="AX93" s="523"/>
      <c r="AY93" s="523"/>
      <c r="AZ93" s="523">
        <f t="shared" si="119"/>
        <v>0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1.7648956765976795</v>
      </c>
    </row>
    <row r="94" spans="2:58">
      <c r="C94" s="515" t="s">
        <v>80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44</v>
      </c>
      <c r="D95" s="529">
        <f>SUM(D90:D94)</f>
        <v>505024.57797920826</v>
      </c>
      <c r="E95" s="531"/>
      <c r="F95" s="531"/>
      <c r="G95" s="529">
        <f>SUM(G90:G94)</f>
        <v>613879.83970547852</v>
      </c>
      <c r="H95" s="531"/>
      <c r="I95" s="531"/>
      <c r="J95" s="529">
        <f>SUM(J90:J94)</f>
        <v>679893.54381954728</v>
      </c>
      <c r="K95" s="531"/>
      <c r="L95" s="531"/>
      <c r="M95" s="529">
        <f>SUM(M90:M94)</f>
        <v>743663.22931203048</v>
      </c>
      <c r="N95" s="531"/>
      <c r="O95" s="531"/>
      <c r="P95" s="529">
        <f>SUM(P90:P94)</f>
        <v>2542461.1908162646</v>
      </c>
      <c r="R95" s="529">
        <f>SUM(R90:R94)</f>
        <v>506392.946</v>
      </c>
      <c r="U95" s="529">
        <f>SUM(U90:U94)</f>
        <v>674720.82000000007</v>
      </c>
      <c r="X95" s="529">
        <f>SUM(X90:X94)</f>
        <v>0</v>
      </c>
      <c r="AA95" s="529">
        <f>SUM(AA90:AA94)</f>
        <v>0</v>
      </c>
      <c r="AB95" s="529"/>
      <c r="AD95" s="529">
        <f>SUM(AD90:AD94)</f>
        <v>1181113.7660000001</v>
      </c>
      <c r="AF95" s="529">
        <f>SUM(AF90:AF94)</f>
        <v>1368.3680207917278</v>
      </c>
      <c r="AG95" s="522"/>
      <c r="AH95" s="522"/>
      <c r="AI95" s="529">
        <f>SUM(AI90:AI94)</f>
        <v>60840.980294521607</v>
      </c>
      <c r="AJ95" s="522"/>
      <c r="AK95" s="522"/>
      <c r="AL95" s="529">
        <f>SUM(AL90:AL94)</f>
        <v>-679893.54381954728</v>
      </c>
      <c r="AM95" s="522"/>
      <c r="AN95" s="522"/>
      <c r="AO95" s="529">
        <f>SUM(AO90:AO94)</f>
        <v>-743663.22931203048</v>
      </c>
      <c r="AP95" s="522"/>
      <c r="AQ95" s="522"/>
      <c r="AR95" s="529">
        <f>SUM(AR90:AR94)</f>
        <v>-1361347.4248162645</v>
      </c>
      <c r="AT95" s="523">
        <f t="shared" si="122"/>
        <v>1.0027095077753783</v>
      </c>
      <c r="AU95" s="523"/>
      <c r="AV95" s="523"/>
      <c r="AW95" s="523">
        <f t="shared" si="118"/>
        <v>1.0991089401530294</v>
      </c>
      <c r="AX95" s="523"/>
      <c r="AY95" s="523"/>
      <c r="AZ95" s="523">
        <f t="shared" si="119"/>
        <v>0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0.46455527827380527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HeadingPairs>
  <TitlesOfParts>
    <vt:vector size="45" baseType="lpstr">
      <vt:lpstr>Current month</vt:lpstr>
      <vt:lpstr>Monthly graphs</vt:lpstr>
      <vt:lpstr>Revenue Summary</vt:lpstr>
      <vt:lpstr>VN_Graphs</vt:lpstr>
      <vt:lpstr>TH_Graphs</vt:lpstr>
      <vt:lpstr>VN_YouTube Performance</vt:lpstr>
      <vt:lpstr>TH_YouTube Performance</vt:lpstr>
      <vt:lpstr>VN_Data</vt:lpstr>
      <vt:lpstr>TH_Data</vt:lpstr>
      <vt:lpstr>Past data</vt:lpstr>
      <vt:lpstr>Playback</vt:lpstr>
      <vt:lpstr>2018 VN YouTube View</vt:lpstr>
      <vt:lpstr>2018 TH YouTube View &amp; Rev</vt:lpstr>
      <vt:lpstr>2018-Q1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2018-06-12T10:53:32Z</dcterms:modified>
</cp:coreProperties>
</file>