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charts/chart17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charts/chart18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charts/chart19.xml" ContentType="application/vnd.openxmlformats-officedocument.drawingml.chart+xml"/>
  <Override PartName="/xl/charts/style19.xml" ContentType="application/vnd.ms-office.chartstyle+xml"/>
  <Override PartName="/xl/charts/colors19.xml" ContentType="application/vnd.ms-office.chartcolorstyle+xml"/>
  <Override PartName="/xl/charts/chart20.xml" ContentType="application/vnd.openxmlformats-officedocument.drawingml.chart+xml"/>
  <Override PartName="/xl/charts/style20.xml" ContentType="application/vnd.ms-office.chartstyle+xml"/>
  <Override PartName="/xl/charts/colors20.xml" ContentType="application/vnd.ms-office.chartcolorstyle+xml"/>
  <Override PartName="/xl/charts/chart21.xml" ContentType="application/vnd.openxmlformats-officedocument.drawingml.chart+xml"/>
  <Override PartName="/xl/charts/style21.xml" ContentType="application/vnd.ms-office.chartstyle+xml"/>
  <Override PartName="/xl/charts/colors21.xml" ContentType="application/vnd.ms-office.chartcolorstyle+xml"/>
  <Override PartName="/xl/charts/chart22.xml" ContentType="application/vnd.openxmlformats-officedocument.drawingml.chart+xml"/>
  <Override PartName="/xl/charts/style22.xml" ContentType="application/vnd.ms-office.chartstyle+xml"/>
  <Override PartName="/xl/charts/colors22.xml" ContentType="application/vnd.ms-office.chartcolorstyle+xml"/>
  <Override PartName="/xl/charts/chart23.xml" ContentType="application/vnd.openxmlformats-officedocument.drawingml.chart+xml"/>
  <Override PartName="/xl/charts/style23.xml" ContentType="application/vnd.ms-office.chartstyle+xml"/>
  <Override PartName="/xl/charts/colors23.xml" ContentType="application/vnd.ms-office.chartcolorstyle+xml"/>
  <Override PartName="/xl/charts/chart24.xml" ContentType="application/vnd.openxmlformats-officedocument.drawingml.chart+xml"/>
  <Override PartName="/xl/charts/style24.xml" ContentType="application/vnd.ms-office.chartstyle+xml"/>
  <Override PartName="/xl/charts/colors24.xml" ContentType="application/vnd.ms-office.chartcolorstyle+xml"/>
  <Override PartName="/xl/charts/chart25.xml" ContentType="application/vnd.openxmlformats-officedocument.drawingml.chart+xml"/>
  <Override PartName="/xl/charts/style25.xml" ContentType="application/vnd.ms-office.chartstyle+xml"/>
  <Override PartName="/xl/charts/colors25.xml" ContentType="application/vnd.ms-office.chartcolorstyle+xml"/>
  <Override PartName="/xl/charts/chart26.xml" ContentType="application/vnd.openxmlformats-officedocument.drawingml.chart+xml"/>
  <Override PartName="/xl/charts/style26.xml" ContentType="application/vnd.ms-office.chartstyle+xml"/>
  <Override PartName="/xl/charts/colors26.xml" ContentType="application/vnd.ms-office.chartcolorstyle+xml"/>
  <Override PartName="/xl/charts/chart27.xml" ContentType="application/vnd.openxmlformats-officedocument.drawingml.chart+xml"/>
  <Override PartName="/xl/charts/style27.xml" ContentType="application/vnd.ms-office.chartstyle+xml"/>
  <Override PartName="/xl/charts/colors27.xml" ContentType="application/vnd.ms-office.chartcolorstyle+xml"/>
  <Override PartName="/xl/charts/chart28.xml" ContentType="application/vnd.openxmlformats-officedocument.drawingml.chart+xml"/>
  <Override PartName="/xl/charts/style28.xml" ContentType="application/vnd.ms-office.chartstyle+xml"/>
  <Override PartName="/xl/charts/colors28.xml" ContentType="application/vnd.ms-office.chartcolorstyle+xml"/>
  <Override PartName="/xl/charts/chart29.xml" ContentType="application/vnd.openxmlformats-officedocument.drawingml.chart+xml"/>
  <Override PartName="/xl/charts/style29.xml" ContentType="application/vnd.ms-office.chartstyle+xml"/>
  <Override PartName="/xl/charts/colors29.xml" ContentType="application/vnd.ms-office.chartcolorstyle+xml"/>
  <Override PartName="/xl/charts/chart30.xml" ContentType="application/vnd.openxmlformats-officedocument.drawingml.chart+xml"/>
  <Override PartName="/xl/charts/style30.xml" ContentType="application/vnd.ms-office.chartstyle+xml"/>
  <Override PartName="/xl/charts/colors30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giang.do\Desktop\report Aug18\"/>
    </mc:Choice>
  </mc:AlternateContent>
  <bookViews>
    <workbookView xWindow="756" yWindow="456" windowWidth="24456" windowHeight="15060" tabRatio="663"/>
  </bookViews>
  <sheets>
    <sheet name="Current month" sheetId="24" r:id="rId1"/>
    <sheet name="Revenue Summary" sheetId="23" r:id="rId2"/>
    <sheet name="VN_Graphs" sheetId="4" r:id="rId3"/>
    <sheet name="VN_YouTube Performance" sheetId="2" r:id="rId4"/>
    <sheet name="VN_Data" sheetId="3" r:id="rId5"/>
    <sheet name="Playback" sheetId="16" r:id="rId6"/>
    <sheet name="Past data" sheetId="25" r:id="rId7"/>
    <sheet name="2018 VN YouTube View" sheetId="10" r:id="rId8"/>
    <sheet name="2018 Summary" sheetId="12" state="hidden" r:id="rId9"/>
  </sheets>
  <definedNames>
    <definedName name="PAST_TH_Actual_BD_2017">'Past data'!$D$40:$Q$43</definedName>
    <definedName name="PAST_TH_Actual_YT_2017">'Past data'!$D$31:$Q$34</definedName>
    <definedName name="PAST_VN_Actual_APP_2017">'Past data'!$D$19:$Q$19</definedName>
    <definedName name="PAST_VN_Actual_BD_2017">'Past data'!$D$13:$Q$16</definedName>
    <definedName name="PAST_VN_Actual_RBT_2017">'Past data'!$D$10:$Q$10</definedName>
    <definedName name="PAST_VN_Actual_YT_2017">'Past data'!$D$4:$Q$7</definedName>
    <definedName name="RS_TH_Actual_APP">'Revenue Summary'!$AR$50:$BE$50</definedName>
    <definedName name="RS_TH_Actual_BD">'Revenue Summary'!$AR$44:$BE$47</definedName>
    <definedName name="RS_TH_Actual_RBT">'Revenue Summary'!$AR$41:$BE$41</definedName>
    <definedName name="RS_TH_Actual_YT">'Revenue Summary'!$AR$35:$BE$38</definedName>
    <definedName name="RS_TH_Forecast_APP">'Revenue Summary'!$X$50:$AK$50</definedName>
    <definedName name="RS_TH_Forecast_BD">'Revenue Summary'!$X$44:$AK$47</definedName>
    <definedName name="RS_TH_Forecast_RBT">'Revenue Summary'!$X$41:$AK$41</definedName>
    <definedName name="RS_TH_Forecast_YT">'Revenue Summary'!$X$35:$AK$38</definedName>
    <definedName name="RS_TH_Target_APP">'Revenue Summary'!$D$50:$Q$50</definedName>
    <definedName name="RS_TH_Target_BD">'Revenue Summary'!$D$44:$Q$47</definedName>
    <definedName name="RS_TH_Target_RBT">'Revenue Summary'!$D$41:$Q$41</definedName>
    <definedName name="RS_TH_Target_YT">'Revenue Summary'!$D$35:$Q$38</definedName>
    <definedName name="RS_VN_Actual_APP">'Revenue Summary'!$AR$19:$BE$19</definedName>
    <definedName name="RS_VN_Actual_BD">'Revenue Summary'!$AR$13:$BE$16</definedName>
    <definedName name="RS_VN_Actual_RBT">'Revenue Summary'!$AR$10:$BE$10</definedName>
    <definedName name="RS_VN_Actual_YT">'Revenue Summary'!$AR$4:$BE$7</definedName>
    <definedName name="RS_VN_Forecast_APP">'Revenue Summary'!$X$19:$AK$19</definedName>
    <definedName name="RS_VN_Forecast_BD">'Revenue Summary'!$X$13:$AK$16</definedName>
    <definedName name="RS_VN_Forecast_RBT">'Revenue Summary'!$X$10:$AK$10</definedName>
    <definedName name="RS_VN_Forecast_YT">'Revenue Summary'!$X$4:$AK$7</definedName>
    <definedName name="RS_VN_Target_APP">'Revenue Summary'!$D$19:$Q$19</definedName>
    <definedName name="RS_VN_Target_BD">'Revenue Summary'!$D$13:$Q$16</definedName>
    <definedName name="RS_VN_Target_RBT">'Revenue Summary'!$D$10:$Q$10</definedName>
    <definedName name="RS_VN_Target_YT">'Revenue Summary'!$D$4:$Q$7</definedName>
  </definedNames>
  <calcPr calcId="152511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Z7" i="23" l="1"/>
  <c r="AZ6" i="23"/>
  <c r="AS3" i="23" l="1"/>
  <c r="AY18" i="23"/>
  <c r="AY6" i="23"/>
  <c r="AY7" i="23"/>
  <c r="AY3" i="23"/>
  <c r="DG3" i="23" s="1"/>
  <c r="AX7" i="23"/>
  <c r="AT27" i="23"/>
  <c r="AT28" i="23"/>
  <c r="AU27" i="23"/>
  <c r="AU28" i="23"/>
  <c r="AV27" i="23"/>
  <c r="AV28" i="23"/>
  <c r="E7" i="23" a="1"/>
  <c r="F7" i="23" s="1"/>
  <c r="H7" i="23"/>
  <c r="AX28" i="23"/>
  <c r="AS27" i="23"/>
  <c r="AS28" i="23"/>
  <c r="L7" i="23"/>
  <c r="P7" i="23"/>
  <c r="E6" i="23" a="1"/>
  <c r="E6" i="23" s="1"/>
  <c r="F6" i="23"/>
  <c r="H6" i="23"/>
  <c r="P6" i="23"/>
  <c r="Q15" i="23"/>
  <c r="Y17" i="24" s="1"/>
  <c r="Q19" i="23"/>
  <c r="Y21" i="24"/>
  <c r="Y20" i="24" s="1"/>
  <c r="AX18" i="23"/>
  <c r="AX12" i="23"/>
  <c r="AX6" i="23"/>
  <c r="AX27" i="23"/>
  <c r="V15" i="23"/>
  <c r="V19" i="23"/>
  <c r="U15" i="23"/>
  <c r="U19" i="23"/>
  <c r="T15" i="23"/>
  <c r="T12" i="23" s="1"/>
  <c r="T19" i="23"/>
  <c r="S15" i="23"/>
  <c r="S19" i="23"/>
  <c r="AW7" i="23"/>
  <c r="AW28" i="23"/>
  <c r="AW6" i="23"/>
  <c r="AW27" i="23" s="1"/>
  <c r="C66" i="2"/>
  <c r="C67" i="2"/>
  <c r="C68" i="2"/>
  <c r="C69" i="2"/>
  <c r="C70" i="2"/>
  <c r="BM6" i="23"/>
  <c r="Y70" i="2"/>
  <c r="AV18" i="23"/>
  <c r="AU18" i="23"/>
  <c r="AT18" i="23"/>
  <c r="AT3" i="23"/>
  <c r="AT12" i="23"/>
  <c r="AS18" i="23"/>
  <c r="AV12" i="23"/>
  <c r="AU12" i="23"/>
  <c r="AS12" i="23"/>
  <c r="AS24" i="23" s="1"/>
  <c r="AV3" i="23"/>
  <c r="AU3" i="23"/>
  <c r="DC3" i="23" s="1"/>
  <c r="AW18" i="23"/>
  <c r="AW12" i="23"/>
  <c r="DE12" i="23" s="1"/>
  <c r="AC27" i="23"/>
  <c r="AC28" i="23"/>
  <c r="B6" i="3"/>
  <c r="AH6" i="2" s="1"/>
  <c r="AB401" i="3" s="1"/>
  <c r="B7" i="3"/>
  <c r="B8" i="3"/>
  <c r="B9" i="3"/>
  <c r="B10" i="3"/>
  <c r="B11" i="3"/>
  <c r="B12" i="3"/>
  <c r="B13" i="3"/>
  <c r="B14" i="3"/>
  <c r="B15" i="3"/>
  <c r="B16" i="3"/>
  <c r="B17" i="3"/>
  <c r="B18" i="3"/>
  <c r="B19" i="3"/>
  <c r="B20" i="3"/>
  <c r="B21" i="3"/>
  <c r="B22" i="3"/>
  <c r="B23" i="3"/>
  <c r="B24" i="3"/>
  <c r="B25" i="3"/>
  <c r="B26" i="3"/>
  <c r="B27" i="3"/>
  <c r="B28" i="3"/>
  <c r="B29" i="3"/>
  <c r="B30" i="3"/>
  <c r="B31" i="3"/>
  <c r="B32" i="3"/>
  <c r="B33" i="3"/>
  <c r="B34" i="3"/>
  <c r="B35" i="3"/>
  <c r="B36" i="3"/>
  <c r="B38" i="3"/>
  <c r="B39" i="3"/>
  <c r="B40" i="3"/>
  <c r="B41" i="3"/>
  <c r="B42" i="3"/>
  <c r="B43" i="3"/>
  <c r="B44" i="3"/>
  <c r="B45" i="3"/>
  <c r="B46" i="3"/>
  <c r="B47" i="3"/>
  <c r="B48" i="3"/>
  <c r="B49" i="3"/>
  <c r="B50" i="3"/>
  <c r="B51" i="3"/>
  <c r="B52" i="3"/>
  <c r="B53" i="3"/>
  <c r="B54" i="3"/>
  <c r="B55" i="3"/>
  <c r="B56" i="3"/>
  <c r="B57" i="3"/>
  <c r="B58" i="3"/>
  <c r="B59" i="3"/>
  <c r="B60" i="3"/>
  <c r="B61" i="3"/>
  <c r="B62" i="3"/>
  <c r="B63" i="3"/>
  <c r="B64" i="3"/>
  <c r="B65" i="3"/>
  <c r="B67" i="3"/>
  <c r="B68" i="3"/>
  <c r="B69" i="3"/>
  <c r="B70" i="3"/>
  <c r="B71" i="3"/>
  <c r="B72" i="3"/>
  <c r="B73" i="3"/>
  <c r="B74" i="3"/>
  <c r="B75" i="3"/>
  <c r="B76" i="3"/>
  <c r="B77" i="3"/>
  <c r="B78" i="3"/>
  <c r="B79" i="3"/>
  <c r="B80" i="3"/>
  <c r="B81" i="3"/>
  <c r="B82" i="3"/>
  <c r="B83" i="3"/>
  <c r="B84" i="3"/>
  <c r="B85" i="3"/>
  <c r="B86" i="3"/>
  <c r="B87" i="3"/>
  <c r="B88" i="3"/>
  <c r="B89" i="3"/>
  <c r="B90" i="3"/>
  <c r="B91" i="3"/>
  <c r="B92" i="3"/>
  <c r="B93" i="3"/>
  <c r="B94" i="3"/>
  <c r="B95" i="3"/>
  <c r="B96" i="3"/>
  <c r="B97" i="3"/>
  <c r="B99" i="3"/>
  <c r="B100" i="3"/>
  <c r="B101" i="3"/>
  <c r="B102" i="3"/>
  <c r="B103" i="3"/>
  <c r="B104" i="3"/>
  <c r="B105" i="3"/>
  <c r="B106" i="3"/>
  <c r="B107" i="3"/>
  <c r="B108" i="3"/>
  <c r="B109" i="3"/>
  <c r="B110" i="3"/>
  <c r="B111" i="3"/>
  <c r="B112" i="3"/>
  <c r="B113" i="3"/>
  <c r="B114" i="3"/>
  <c r="B115" i="3"/>
  <c r="B116" i="3"/>
  <c r="B117" i="3"/>
  <c r="B118" i="3"/>
  <c r="B119" i="3"/>
  <c r="B120" i="3"/>
  <c r="B121" i="3"/>
  <c r="B122" i="3"/>
  <c r="B123" i="3"/>
  <c r="B124" i="3"/>
  <c r="B125" i="3"/>
  <c r="B126" i="3"/>
  <c r="B127" i="3"/>
  <c r="B128" i="3"/>
  <c r="B130" i="3"/>
  <c r="B131" i="3"/>
  <c r="B132" i="3"/>
  <c r="B133" i="3"/>
  <c r="B134" i="3"/>
  <c r="B135" i="3"/>
  <c r="B136" i="3"/>
  <c r="B137" i="3"/>
  <c r="B138" i="3"/>
  <c r="B139" i="3"/>
  <c r="B140" i="3"/>
  <c r="B141" i="3"/>
  <c r="B142" i="3"/>
  <c r="B143" i="3"/>
  <c r="B144" i="3"/>
  <c r="B145" i="3"/>
  <c r="B146" i="3"/>
  <c r="B147" i="3"/>
  <c r="B148" i="3"/>
  <c r="B149" i="3"/>
  <c r="B150" i="3"/>
  <c r="B151" i="3"/>
  <c r="B152" i="3"/>
  <c r="B153" i="3"/>
  <c r="B154" i="3"/>
  <c r="B155" i="3"/>
  <c r="B156" i="3"/>
  <c r="B157" i="3"/>
  <c r="B158" i="3"/>
  <c r="B159" i="3"/>
  <c r="B160" i="3"/>
  <c r="B162" i="3"/>
  <c r="B163" i="3"/>
  <c r="B164" i="3"/>
  <c r="B165" i="3"/>
  <c r="B166" i="3"/>
  <c r="B167" i="3"/>
  <c r="B168" i="3"/>
  <c r="B169" i="3"/>
  <c r="B170" i="3"/>
  <c r="B171" i="3"/>
  <c r="B172" i="3"/>
  <c r="B173" i="3"/>
  <c r="B174" i="3"/>
  <c r="B175" i="3"/>
  <c r="B176" i="3"/>
  <c r="B177" i="3"/>
  <c r="B178" i="3"/>
  <c r="B179" i="3"/>
  <c r="B180" i="3"/>
  <c r="B181" i="3"/>
  <c r="B182" i="3"/>
  <c r="B183" i="3"/>
  <c r="B184" i="3"/>
  <c r="B185" i="3"/>
  <c r="B186" i="3"/>
  <c r="B187" i="3"/>
  <c r="B188" i="3"/>
  <c r="B189" i="3"/>
  <c r="B190" i="3"/>
  <c r="B191" i="3"/>
  <c r="B193" i="3"/>
  <c r="B194" i="3"/>
  <c r="B195" i="3"/>
  <c r="B196" i="3"/>
  <c r="B197" i="3"/>
  <c r="B198" i="3"/>
  <c r="B199" i="3"/>
  <c r="B200" i="3"/>
  <c r="B201" i="3"/>
  <c r="B202" i="3"/>
  <c r="B203" i="3"/>
  <c r="B204" i="3"/>
  <c r="B205" i="3"/>
  <c r="B206" i="3"/>
  <c r="B207" i="3"/>
  <c r="B208" i="3"/>
  <c r="B209" i="3"/>
  <c r="B210" i="3"/>
  <c r="B211" i="3"/>
  <c r="B212" i="3"/>
  <c r="B213" i="3"/>
  <c r="B214" i="3"/>
  <c r="B215" i="3"/>
  <c r="B216" i="3"/>
  <c r="B217" i="3"/>
  <c r="B218" i="3"/>
  <c r="B219" i="3"/>
  <c r="B220" i="3"/>
  <c r="B221" i="3"/>
  <c r="B222" i="3"/>
  <c r="B223" i="3"/>
  <c r="B225" i="3"/>
  <c r="B226" i="3"/>
  <c r="B227" i="3"/>
  <c r="B228" i="3"/>
  <c r="B229" i="3"/>
  <c r="B230" i="3"/>
  <c r="B231" i="3"/>
  <c r="B232" i="3"/>
  <c r="B233" i="3"/>
  <c r="B234" i="3"/>
  <c r="B235" i="3"/>
  <c r="B236" i="3"/>
  <c r="B237" i="3"/>
  <c r="B238" i="3"/>
  <c r="B239" i="3"/>
  <c r="B240" i="3"/>
  <c r="B241" i="3"/>
  <c r="B242" i="3"/>
  <c r="B243" i="3"/>
  <c r="B244" i="3"/>
  <c r="B245" i="3"/>
  <c r="B246" i="3"/>
  <c r="B247" i="3"/>
  <c r="B248" i="3"/>
  <c r="B249" i="3"/>
  <c r="B250" i="3"/>
  <c r="B251" i="3"/>
  <c r="B252" i="3"/>
  <c r="B253" i="3"/>
  <c r="B254" i="3"/>
  <c r="B255" i="3"/>
  <c r="B257" i="3"/>
  <c r="B258" i="3"/>
  <c r="B259" i="3"/>
  <c r="B260" i="3"/>
  <c r="B261" i="3"/>
  <c r="B262" i="3"/>
  <c r="B263" i="3"/>
  <c r="B264" i="3"/>
  <c r="B265" i="3"/>
  <c r="B266" i="3"/>
  <c r="B267" i="3"/>
  <c r="B268" i="3"/>
  <c r="B269" i="3"/>
  <c r="B270" i="3"/>
  <c r="B271" i="3"/>
  <c r="B272" i="3"/>
  <c r="B273" i="3"/>
  <c r="B274" i="3"/>
  <c r="B275" i="3"/>
  <c r="B276" i="3"/>
  <c r="B277" i="3"/>
  <c r="B278" i="3"/>
  <c r="B279" i="3"/>
  <c r="B280" i="3"/>
  <c r="B281" i="3"/>
  <c r="B282" i="3"/>
  <c r="B283" i="3"/>
  <c r="B284" i="3"/>
  <c r="B285" i="3"/>
  <c r="B286" i="3"/>
  <c r="B288" i="3"/>
  <c r="B289" i="3"/>
  <c r="B290" i="3"/>
  <c r="B291" i="3"/>
  <c r="B292" i="3"/>
  <c r="B293" i="3"/>
  <c r="B294" i="3"/>
  <c r="B295" i="3"/>
  <c r="B296" i="3"/>
  <c r="B297" i="3"/>
  <c r="B298" i="3"/>
  <c r="B299" i="3"/>
  <c r="B300" i="3"/>
  <c r="B301" i="3"/>
  <c r="B302" i="3"/>
  <c r="B303" i="3"/>
  <c r="B304" i="3"/>
  <c r="B305" i="3"/>
  <c r="B306" i="3"/>
  <c r="B307" i="3"/>
  <c r="B308" i="3"/>
  <c r="B309" i="3"/>
  <c r="B310" i="3"/>
  <c r="B311" i="3"/>
  <c r="B312" i="3"/>
  <c r="B313" i="3"/>
  <c r="B314" i="3"/>
  <c r="B315" i="3"/>
  <c r="B316" i="3"/>
  <c r="B317" i="3"/>
  <c r="B318" i="3"/>
  <c r="B320" i="3"/>
  <c r="B321" i="3"/>
  <c r="B322" i="3"/>
  <c r="B323" i="3"/>
  <c r="B324" i="3"/>
  <c r="B325" i="3"/>
  <c r="B326" i="3"/>
  <c r="B327" i="3"/>
  <c r="B328" i="3"/>
  <c r="B329" i="3"/>
  <c r="B330" i="3"/>
  <c r="B331" i="3"/>
  <c r="B332" i="3"/>
  <c r="B333" i="3"/>
  <c r="B334" i="3"/>
  <c r="B335" i="3"/>
  <c r="B336" i="3"/>
  <c r="B337" i="3"/>
  <c r="B338" i="3"/>
  <c r="B339" i="3"/>
  <c r="B340" i="3"/>
  <c r="B341" i="3"/>
  <c r="B342" i="3"/>
  <c r="B343" i="3"/>
  <c r="B344" i="3"/>
  <c r="B345" i="3"/>
  <c r="B346" i="3"/>
  <c r="B347" i="3"/>
  <c r="B348" i="3"/>
  <c r="B349" i="3"/>
  <c r="B351" i="3"/>
  <c r="B352" i="3"/>
  <c r="B353" i="3"/>
  <c r="B354" i="3"/>
  <c r="B355" i="3"/>
  <c r="B356" i="3"/>
  <c r="B357" i="3"/>
  <c r="B358" i="3"/>
  <c r="B359" i="3"/>
  <c r="B360" i="3"/>
  <c r="B361" i="3"/>
  <c r="B362" i="3"/>
  <c r="B363" i="3"/>
  <c r="B364" i="3"/>
  <c r="B365" i="3"/>
  <c r="B366" i="3"/>
  <c r="B367" i="3"/>
  <c r="B368" i="3"/>
  <c r="B369" i="3"/>
  <c r="B370" i="3"/>
  <c r="B371" i="3"/>
  <c r="B372" i="3"/>
  <c r="B373" i="3"/>
  <c r="B374" i="3"/>
  <c r="B375" i="3"/>
  <c r="B376" i="3"/>
  <c r="B377" i="3"/>
  <c r="B378" i="3"/>
  <c r="B379" i="3"/>
  <c r="B380" i="3"/>
  <c r="B381" i="3"/>
  <c r="G18" i="23"/>
  <c r="G12" i="23"/>
  <c r="AA6" i="3"/>
  <c r="AA7" i="3"/>
  <c r="AA5" i="3" s="1"/>
  <c r="AA8" i="3"/>
  <c r="AA9" i="3"/>
  <c r="AA10" i="3"/>
  <c r="AA11" i="3"/>
  <c r="AA12" i="3"/>
  <c r="AA13" i="3"/>
  <c r="AA14" i="3"/>
  <c r="AA15" i="3"/>
  <c r="AA16" i="3"/>
  <c r="AA17" i="3"/>
  <c r="AA18" i="3"/>
  <c r="AA19" i="3"/>
  <c r="AA20" i="3"/>
  <c r="AA21" i="3"/>
  <c r="AA22" i="3"/>
  <c r="AA23" i="3"/>
  <c r="AA24" i="3"/>
  <c r="AA25" i="3"/>
  <c r="AA26" i="3"/>
  <c r="AA27" i="3"/>
  <c r="AA28" i="3"/>
  <c r="AA29" i="3"/>
  <c r="AA30" i="3"/>
  <c r="AA31" i="3"/>
  <c r="AA32" i="3"/>
  <c r="AA33" i="3"/>
  <c r="AA34" i="3"/>
  <c r="AA35" i="3"/>
  <c r="AA36" i="3"/>
  <c r="AA38" i="3"/>
  <c r="AA39" i="3"/>
  <c r="AA37" i="3" s="1"/>
  <c r="AA40" i="3"/>
  <c r="AA41" i="3"/>
  <c r="AA42" i="3"/>
  <c r="AA43" i="3"/>
  <c r="AA44" i="3"/>
  <c r="AA45" i="3"/>
  <c r="AA46" i="3"/>
  <c r="AA47" i="3"/>
  <c r="AA48" i="3"/>
  <c r="AA49" i="3"/>
  <c r="AA50" i="3"/>
  <c r="AA51" i="3"/>
  <c r="AA52" i="3"/>
  <c r="AA53" i="3"/>
  <c r="AA54" i="3"/>
  <c r="AA55" i="3"/>
  <c r="AA56" i="3"/>
  <c r="AA57" i="3"/>
  <c r="AA58" i="3"/>
  <c r="AA59" i="3"/>
  <c r="AA60" i="3"/>
  <c r="AA61" i="3"/>
  <c r="AA62" i="3"/>
  <c r="AA63" i="3"/>
  <c r="AA64" i="3"/>
  <c r="AA65" i="3"/>
  <c r="AA67" i="3"/>
  <c r="AA68" i="3"/>
  <c r="AA66" i="3" s="1"/>
  <c r="AA69" i="3"/>
  <c r="AA70" i="3"/>
  <c r="AA71" i="3"/>
  <c r="AA72" i="3"/>
  <c r="AA73" i="3"/>
  <c r="AA74" i="3"/>
  <c r="AA75" i="3"/>
  <c r="AA76" i="3"/>
  <c r="AA77" i="3"/>
  <c r="AA78" i="3"/>
  <c r="AA79" i="3"/>
  <c r="AA80" i="3"/>
  <c r="AA81" i="3"/>
  <c r="AA82" i="3"/>
  <c r="AA83" i="3"/>
  <c r="AA84" i="3"/>
  <c r="AA85" i="3"/>
  <c r="AA86" i="3"/>
  <c r="AA87" i="3"/>
  <c r="AA88" i="3"/>
  <c r="AA89" i="3"/>
  <c r="AA90" i="3"/>
  <c r="AA91" i="3"/>
  <c r="AA92" i="3"/>
  <c r="AA93" i="3"/>
  <c r="AA94" i="3"/>
  <c r="AA95" i="3"/>
  <c r="AA96" i="3"/>
  <c r="AA97" i="3"/>
  <c r="AA99" i="3"/>
  <c r="AA100" i="3"/>
  <c r="AA101" i="3"/>
  <c r="AA98" i="3" s="1"/>
  <c r="AA102" i="3"/>
  <c r="AA103" i="3"/>
  <c r="AA104" i="3"/>
  <c r="AA105" i="3"/>
  <c r="AA106" i="3"/>
  <c r="AA107" i="3"/>
  <c r="AA108" i="3"/>
  <c r="AA109" i="3"/>
  <c r="AA110" i="3"/>
  <c r="AA111" i="3"/>
  <c r="AA112" i="3"/>
  <c r="AA113" i="3"/>
  <c r="AA114" i="3"/>
  <c r="AA115" i="3"/>
  <c r="AA116" i="3"/>
  <c r="AA117" i="3"/>
  <c r="AA118" i="3"/>
  <c r="AA119" i="3"/>
  <c r="AA120" i="3"/>
  <c r="AA121" i="3"/>
  <c r="AA122" i="3"/>
  <c r="AA123" i="3"/>
  <c r="AA124" i="3"/>
  <c r="AA125" i="3"/>
  <c r="AA126" i="3"/>
  <c r="AA127" i="3"/>
  <c r="AA128" i="3"/>
  <c r="AA130" i="3"/>
  <c r="AA131" i="3"/>
  <c r="AA132" i="3"/>
  <c r="AA133" i="3"/>
  <c r="AA134" i="3"/>
  <c r="AA135" i="3"/>
  <c r="AA136" i="3"/>
  <c r="AA137" i="3"/>
  <c r="AA138" i="3"/>
  <c r="AA139" i="3"/>
  <c r="AA140" i="3"/>
  <c r="AA141" i="3"/>
  <c r="AA142" i="3"/>
  <c r="AA143" i="3"/>
  <c r="AA144" i="3"/>
  <c r="AA145" i="3"/>
  <c r="AA146" i="3"/>
  <c r="AA147" i="3"/>
  <c r="AA148" i="3"/>
  <c r="AA149" i="3"/>
  <c r="AA150" i="3"/>
  <c r="AA151" i="3"/>
  <c r="AA152" i="3"/>
  <c r="AA153" i="3"/>
  <c r="AA154" i="3"/>
  <c r="AA155" i="3"/>
  <c r="AA156" i="3"/>
  <c r="AA157" i="3"/>
  <c r="AA158" i="3"/>
  <c r="AA159" i="3"/>
  <c r="AA160" i="3"/>
  <c r="AA162" i="3"/>
  <c r="AG71" i="2"/>
  <c r="AA163" i="3"/>
  <c r="AA164" i="3"/>
  <c r="AA165" i="3"/>
  <c r="AA166" i="3"/>
  <c r="AA161" i="3" s="1"/>
  <c r="AA167" i="3"/>
  <c r="AA168" i="3"/>
  <c r="AA169" i="3"/>
  <c r="AA170" i="3"/>
  <c r="AA171" i="3"/>
  <c r="AA172" i="3"/>
  <c r="AA173" i="3"/>
  <c r="AA174" i="3"/>
  <c r="AA175" i="3"/>
  <c r="AA176" i="3"/>
  <c r="AA177" i="3"/>
  <c r="AA178" i="3"/>
  <c r="AA179" i="3"/>
  <c r="AA180" i="3"/>
  <c r="AA181" i="3"/>
  <c r="AA182" i="3"/>
  <c r="AA183" i="3"/>
  <c r="AA184" i="3"/>
  <c r="AA185" i="3"/>
  <c r="AA186" i="3"/>
  <c r="AA187" i="3"/>
  <c r="AA188" i="3"/>
  <c r="AA189" i="3"/>
  <c r="AA190" i="3"/>
  <c r="AA191" i="3"/>
  <c r="AA193" i="3"/>
  <c r="AA194" i="3"/>
  <c r="AA195" i="3"/>
  <c r="AA192" i="3" s="1"/>
  <c r="AA196" i="3"/>
  <c r="AA197" i="3"/>
  <c r="AA198" i="3"/>
  <c r="AA199" i="3"/>
  <c r="AA200" i="3"/>
  <c r="AA201" i="3"/>
  <c r="AA202" i="3"/>
  <c r="AA203" i="3"/>
  <c r="AA204" i="3"/>
  <c r="AA205" i="3"/>
  <c r="AA206" i="3"/>
  <c r="AA207" i="3"/>
  <c r="AA208" i="3"/>
  <c r="AA209" i="3"/>
  <c r="AA210" i="3"/>
  <c r="AA211" i="3"/>
  <c r="AA212" i="3"/>
  <c r="AA213" i="3"/>
  <c r="AA214" i="3"/>
  <c r="AA215" i="3"/>
  <c r="AA216" i="3"/>
  <c r="AA217" i="3"/>
  <c r="AA218" i="3"/>
  <c r="AA219" i="3"/>
  <c r="AA220" i="3"/>
  <c r="AA221" i="3"/>
  <c r="AA222" i="3"/>
  <c r="AA223" i="3"/>
  <c r="AA225" i="3"/>
  <c r="AA226" i="3"/>
  <c r="AA227" i="3"/>
  <c r="AA228" i="3"/>
  <c r="AA229" i="3"/>
  <c r="AA230" i="3"/>
  <c r="AA231" i="3"/>
  <c r="AA232" i="3"/>
  <c r="AA233" i="3"/>
  <c r="AA234" i="3"/>
  <c r="AA235" i="3"/>
  <c r="AA236" i="3"/>
  <c r="AA237" i="3"/>
  <c r="AA238" i="3"/>
  <c r="AA239" i="3"/>
  <c r="AA240" i="3"/>
  <c r="AA241" i="3"/>
  <c r="AA242" i="3"/>
  <c r="AA243" i="3"/>
  <c r="AA244" i="3"/>
  <c r="AA245" i="3"/>
  <c r="AA246" i="3"/>
  <c r="AA247" i="3"/>
  <c r="AA248" i="3"/>
  <c r="AA249" i="3"/>
  <c r="AA250" i="3"/>
  <c r="AA251" i="3"/>
  <c r="AA252" i="3"/>
  <c r="AA253" i="3"/>
  <c r="AA254" i="3"/>
  <c r="AA255" i="3"/>
  <c r="AA257" i="3"/>
  <c r="AA258" i="3"/>
  <c r="AA259" i="3"/>
  <c r="AA260" i="3"/>
  <c r="AA261" i="3"/>
  <c r="AA262" i="3"/>
  <c r="AA263" i="3"/>
  <c r="AA264" i="3"/>
  <c r="AA265" i="3"/>
  <c r="AA266" i="3"/>
  <c r="AA267" i="3"/>
  <c r="AA268" i="3"/>
  <c r="AA269" i="3"/>
  <c r="AA270" i="3"/>
  <c r="AA271" i="3"/>
  <c r="AA272" i="3"/>
  <c r="AA273" i="3"/>
  <c r="AA274" i="3"/>
  <c r="AA275" i="3"/>
  <c r="AA276" i="3"/>
  <c r="AA277" i="3"/>
  <c r="AA278" i="3"/>
  <c r="AA279" i="3"/>
  <c r="AA280" i="3"/>
  <c r="AA281" i="3"/>
  <c r="AA282" i="3"/>
  <c r="AA283" i="3"/>
  <c r="AA284" i="3"/>
  <c r="AA285" i="3"/>
  <c r="AA286" i="3"/>
  <c r="AA288" i="3"/>
  <c r="AA289" i="3"/>
  <c r="AA290" i="3"/>
  <c r="AA291" i="3"/>
  <c r="AA292" i="3"/>
  <c r="AA293" i="3"/>
  <c r="AA294" i="3"/>
  <c r="AA295" i="3"/>
  <c r="AA296" i="3"/>
  <c r="AA297" i="3"/>
  <c r="AA298" i="3"/>
  <c r="AA299" i="3"/>
  <c r="AA300" i="3"/>
  <c r="AA301" i="3"/>
  <c r="AA302" i="3"/>
  <c r="AA303" i="3"/>
  <c r="AA304" i="3"/>
  <c r="AA305" i="3"/>
  <c r="AA306" i="3"/>
  <c r="AA307" i="3"/>
  <c r="AA308" i="3"/>
  <c r="AA309" i="3"/>
  <c r="AA310" i="3"/>
  <c r="AA311" i="3"/>
  <c r="AA312" i="3"/>
  <c r="AA313" i="3"/>
  <c r="AA314" i="3"/>
  <c r="AA315" i="3"/>
  <c r="AA316" i="3"/>
  <c r="AA317" i="3"/>
  <c r="AA318" i="3"/>
  <c r="AA320" i="3"/>
  <c r="AA321" i="3"/>
  <c r="AA322" i="3"/>
  <c r="AA323" i="3"/>
  <c r="AA319" i="3" s="1"/>
  <c r="AA324" i="3"/>
  <c r="AA325" i="3"/>
  <c r="AA326" i="3"/>
  <c r="AA327" i="3"/>
  <c r="AA328" i="3"/>
  <c r="AA329" i="3"/>
  <c r="AA330" i="3"/>
  <c r="AA331" i="3"/>
  <c r="AA332" i="3"/>
  <c r="AA333" i="3"/>
  <c r="AA334" i="3"/>
  <c r="AA335" i="3"/>
  <c r="AA336" i="3"/>
  <c r="AA337" i="3"/>
  <c r="AA338" i="3"/>
  <c r="AA339" i="3"/>
  <c r="AA340" i="3"/>
  <c r="AA341" i="3"/>
  <c r="AA342" i="3"/>
  <c r="AA343" i="3"/>
  <c r="AA344" i="3"/>
  <c r="AA345" i="3"/>
  <c r="AA346" i="3"/>
  <c r="AA347" i="3"/>
  <c r="AA348" i="3"/>
  <c r="AA349" i="3"/>
  <c r="AA351" i="3"/>
  <c r="AA352" i="3"/>
  <c r="AA350" i="3" s="1"/>
  <c r="AA353" i="3"/>
  <c r="AA354" i="3"/>
  <c r="AA355" i="3"/>
  <c r="AA356" i="3"/>
  <c r="AA357" i="3"/>
  <c r="AA358" i="3"/>
  <c r="AA359" i="3"/>
  <c r="AA360" i="3"/>
  <c r="AA361" i="3"/>
  <c r="AA362" i="3"/>
  <c r="AA363" i="3"/>
  <c r="AA364" i="3"/>
  <c r="AA365" i="3"/>
  <c r="AA366" i="3"/>
  <c r="AA367" i="3"/>
  <c r="AA368" i="3"/>
  <c r="AA369" i="3"/>
  <c r="AA370" i="3"/>
  <c r="AA371" i="3"/>
  <c r="AA372" i="3"/>
  <c r="AA373" i="3"/>
  <c r="AA374" i="3"/>
  <c r="AA375" i="3"/>
  <c r="AA376" i="3"/>
  <c r="AA377" i="3"/>
  <c r="AA378" i="3"/>
  <c r="AA379" i="3"/>
  <c r="AA380" i="3"/>
  <c r="AA381" i="3"/>
  <c r="W99" i="3"/>
  <c r="W100" i="3"/>
  <c r="W101" i="3"/>
  <c r="W98" i="3" s="1"/>
  <c r="W102" i="3"/>
  <c r="W103" i="3"/>
  <c r="W104" i="3"/>
  <c r="W105" i="3"/>
  <c r="W106" i="3"/>
  <c r="W107" i="3"/>
  <c r="W108" i="3"/>
  <c r="W109" i="3"/>
  <c r="W110" i="3"/>
  <c r="W111" i="3"/>
  <c r="W112" i="3"/>
  <c r="W113" i="3"/>
  <c r="W114" i="3"/>
  <c r="W115" i="3"/>
  <c r="W116" i="3"/>
  <c r="W117" i="3"/>
  <c r="W118" i="3"/>
  <c r="W119" i="3"/>
  <c r="W120" i="3"/>
  <c r="W121" i="3"/>
  <c r="W122" i="3"/>
  <c r="W123" i="3"/>
  <c r="W124" i="3"/>
  <c r="W125" i="3"/>
  <c r="W126" i="3"/>
  <c r="W127" i="3"/>
  <c r="W128" i="3"/>
  <c r="W6" i="3"/>
  <c r="W7" i="3"/>
  <c r="W8" i="3"/>
  <c r="W9" i="3"/>
  <c r="W10" i="3"/>
  <c r="W11" i="3"/>
  <c r="W12" i="3"/>
  <c r="W13" i="3"/>
  <c r="W14" i="3"/>
  <c r="W15" i="3"/>
  <c r="W16" i="3"/>
  <c r="W17" i="3"/>
  <c r="W18" i="3"/>
  <c r="W19" i="3"/>
  <c r="W20" i="3"/>
  <c r="W21" i="3"/>
  <c r="W22" i="3"/>
  <c r="W23" i="3"/>
  <c r="W24" i="3"/>
  <c r="W25" i="3"/>
  <c r="W26" i="3"/>
  <c r="W27" i="3"/>
  <c r="W28" i="3"/>
  <c r="W29" i="3"/>
  <c r="W30" i="3"/>
  <c r="W31" i="3"/>
  <c r="W32" i="3"/>
  <c r="W33" i="3"/>
  <c r="W34" i="3"/>
  <c r="W35" i="3"/>
  <c r="W36" i="3"/>
  <c r="W38" i="3"/>
  <c r="W39" i="3"/>
  <c r="W37" i="3" s="1"/>
  <c r="W40" i="3"/>
  <c r="W41" i="3"/>
  <c r="W42" i="3"/>
  <c r="W43" i="3"/>
  <c r="W44" i="3"/>
  <c r="W45" i="3"/>
  <c r="W46" i="3"/>
  <c r="W47" i="3"/>
  <c r="W48" i="3"/>
  <c r="W49" i="3"/>
  <c r="W50" i="3"/>
  <c r="W51" i="3"/>
  <c r="W52" i="3"/>
  <c r="W53" i="3"/>
  <c r="W54" i="3"/>
  <c r="W55" i="3"/>
  <c r="W56" i="3"/>
  <c r="W57" i="3"/>
  <c r="W58" i="3"/>
  <c r="W59" i="3"/>
  <c r="W60" i="3"/>
  <c r="W61" i="3"/>
  <c r="W62" i="3"/>
  <c r="W63" i="3"/>
  <c r="W64" i="3"/>
  <c r="W65" i="3"/>
  <c r="W67" i="3"/>
  <c r="W68" i="3"/>
  <c r="W66" i="3" s="1"/>
  <c r="W69" i="3"/>
  <c r="W70" i="3"/>
  <c r="W71" i="3"/>
  <c r="W72" i="3"/>
  <c r="W73" i="3"/>
  <c r="W74" i="3"/>
  <c r="W75" i="3"/>
  <c r="W76" i="3"/>
  <c r="W77" i="3"/>
  <c r="W78" i="3"/>
  <c r="W79" i="3"/>
  <c r="W80" i="3"/>
  <c r="W81" i="3"/>
  <c r="W82" i="3"/>
  <c r="W83" i="3"/>
  <c r="W84" i="3"/>
  <c r="W85" i="3"/>
  <c r="W86" i="3"/>
  <c r="W87" i="3"/>
  <c r="W88" i="3"/>
  <c r="W89" i="3"/>
  <c r="W90" i="3"/>
  <c r="W91" i="3"/>
  <c r="W92" i="3"/>
  <c r="W93" i="3"/>
  <c r="W94" i="3"/>
  <c r="W95" i="3"/>
  <c r="W96" i="3"/>
  <c r="W97" i="3"/>
  <c r="W130" i="3"/>
  <c r="W131" i="3"/>
  <c r="W132" i="3"/>
  <c r="W133" i="3"/>
  <c r="W134" i="3"/>
  <c r="W135" i="3"/>
  <c r="W136" i="3"/>
  <c r="W137" i="3"/>
  <c r="W138" i="3"/>
  <c r="W139" i="3"/>
  <c r="W140" i="3"/>
  <c r="W141" i="3"/>
  <c r="W142" i="3"/>
  <c r="W143" i="3"/>
  <c r="W144" i="3"/>
  <c r="W145" i="3"/>
  <c r="W146" i="3"/>
  <c r="W147" i="3"/>
  <c r="W148" i="3"/>
  <c r="W149" i="3"/>
  <c r="W150" i="3"/>
  <c r="W151" i="3"/>
  <c r="W152" i="3"/>
  <c r="W153" i="3"/>
  <c r="W154" i="3"/>
  <c r="W155" i="3"/>
  <c r="W156" i="3"/>
  <c r="W157" i="3"/>
  <c r="W158" i="3"/>
  <c r="W159" i="3"/>
  <c r="W160" i="3"/>
  <c r="W162" i="3"/>
  <c r="W163" i="3"/>
  <c r="W164" i="3"/>
  <c r="W161" i="3" s="1"/>
  <c r="AC71" i="2"/>
  <c r="AC69" i="2"/>
  <c r="AC70" i="2"/>
  <c r="W165" i="3"/>
  <c r="W166" i="3"/>
  <c r="W167" i="3"/>
  <c r="W168" i="3"/>
  <c r="W169" i="3"/>
  <c r="W170" i="3"/>
  <c r="W171" i="3"/>
  <c r="W172" i="3"/>
  <c r="W173" i="3"/>
  <c r="W174" i="3"/>
  <c r="W175" i="3"/>
  <c r="W176" i="3"/>
  <c r="W177" i="3"/>
  <c r="W178" i="3"/>
  <c r="W179" i="3"/>
  <c r="W180" i="3"/>
  <c r="W181" i="3"/>
  <c r="W182" i="3"/>
  <c r="W183" i="3"/>
  <c r="W184" i="3"/>
  <c r="W185" i="3"/>
  <c r="W186" i="3"/>
  <c r="W187" i="3"/>
  <c r="W188" i="3"/>
  <c r="W189" i="3"/>
  <c r="W190" i="3"/>
  <c r="W191" i="3"/>
  <c r="W193" i="3"/>
  <c r="W194" i="3"/>
  <c r="W195" i="3"/>
  <c r="W196" i="3"/>
  <c r="W197" i="3"/>
  <c r="W198" i="3"/>
  <c r="W199" i="3"/>
  <c r="W200" i="3"/>
  <c r="W201" i="3"/>
  <c r="W202" i="3"/>
  <c r="W203" i="3"/>
  <c r="W204" i="3"/>
  <c r="W205" i="3"/>
  <c r="W206" i="3"/>
  <c r="W207" i="3"/>
  <c r="W208" i="3"/>
  <c r="W209" i="3"/>
  <c r="W210" i="3"/>
  <c r="W211" i="3"/>
  <c r="W212" i="3"/>
  <c r="W213" i="3"/>
  <c r="W214" i="3"/>
  <c r="W215" i="3"/>
  <c r="W216" i="3"/>
  <c r="W217" i="3"/>
  <c r="W218" i="3"/>
  <c r="W219" i="3"/>
  <c r="W220" i="3"/>
  <c r="W221" i="3"/>
  <c r="W222" i="3"/>
  <c r="W223" i="3"/>
  <c r="W225" i="3"/>
  <c r="W226" i="3"/>
  <c r="W227" i="3"/>
  <c r="W228" i="3"/>
  <c r="W229" i="3"/>
  <c r="W230" i="3"/>
  <c r="W231" i="3"/>
  <c r="W232" i="3"/>
  <c r="W233" i="3"/>
  <c r="W234" i="3"/>
  <c r="W235" i="3"/>
  <c r="W236" i="3"/>
  <c r="W237" i="3"/>
  <c r="W238" i="3"/>
  <c r="W239" i="3"/>
  <c r="W240" i="3"/>
  <c r="W241" i="3"/>
  <c r="W242" i="3"/>
  <c r="W243" i="3"/>
  <c r="W244" i="3"/>
  <c r="W245" i="3"/>
  <c r="W246" i="3"/>
  <c r="W247" i="3"/>
  <c r="W248" i="3"/>
  <c r="W249" i="3"/>
  <c r="W250" i="3"/>
  <c r="W251" i="3"/>
  <c r="W252" i="3"/>
  <c r="W253" i="3"/>
  <c r="W254" i="3"/>
  <c r="W255" i="3"/>
  <c r="W257" i="3"/>
  <c r="W258" i="3"/>
  <c r="W259" i="3"/>
  <c r="W260" i="3"/>
  <c r="W261" i="3"/>
  <c r="W262" i="3"/>
  <c r="W263" i="3"/>
  <c r="W264" i="3"/>
  <c r="W265" i="3"/>
  <c r="W266" i="3"/>
  <c r="W267" i="3"/>
  <c r="W268" i="3"/>
  <c r="W269" i="3"/>
  <c r="W270" i="3"/>
  <c r="W271" i="3"/>
  <c r="W272" i="3"/>
  <c r="W273" i="3"/>
  <c r="W274" i="3"/>
  <c r="W275" i="3"/>
  <c r="W276" i="3"/>
  <c r="W277" i="3"/>
  <c r="W278" i="3"/>
  <c r="W279" i="3"/>
  <c r="W280" i="3"/>
  <c r="W281" i="3"/>
  <c r="W282" i="3"/>
  <c r="W283" i="3"/>
  <c r="W284" i="3"/>
  <c r="W285" i="3"/>
  <c r="W286" i="3"/>
  <c r="W288" i="3"/>
  <c r="W289" i="3"/>
  <c r="W290" i="3"/>
  <c r="W291" i="3"/>
  <c r="W292" i="3"/>
  <c r="W293" i="3"/>
  <c r="W294" i="3"/>
  <c r="W295" i="3"/>
  <c r="W296" i="3"/>
  <c r="W297" i="3"/>
  <c r="W298" i="3"/>
  <c r="W299" i="3"/>
  <c r="W300" i="3"/>
  <c r="W301" i="3"/>
  <c r="W302" i="3"/>
  <c r="W303" i="3"/>
  <c r="W304" i="3"/>
  <c r="W305" i="3"/>
  <c r="W306" i="3"/>
  <c r="W307" i="3"/>
  <c r="W308" i="3"/>
  <c r="W309" i="3"/>
  <c r="W310" i="3"/>
  <c r="W311" i="3"/>
  <c r="W312" i="3"/>
  <c r="W313" i="3"/>
  <c r="W314" i="3"/>
  <c r="W315" i="3"/>
  <c r="W316" i="3"/>
  <c r="W317" i="3"/>
  <c r="W318" i="3"/>
  <c r="W320" i="3"/>
  <c r="W321" i="3"/>
  <c r="W322" i="3"/>
  <c r="W323" i="3"/>
  <c r="W324" i="3"/>
  <c r="W325" i="3"/>
  <c r="W326" i="3"/>
  <c r="W327" i="3"/>
  <c r="W328" i="3"/>
  <c r="W329" i="3"/>
  <c r="W330" i="3"/>
  <c r="W331" i="3"/>
  <c r="W332" i="3"/>
  <c r="W333" i="3"/>
  <c r="W334" i="3"/>
  <c r="W335" i="3"/>
  <c r="W336" i="3"/>
  <c r="W337" i="3"/>
  <c r="W338" i="3"/>
  <c r="W339" i="3"/>
  <c r="W340" i="3"/>
  <c r="W341" i="3"/>
  <c r="W342" i="3"/>
  <c r="W343" i="3"/>
  <c r="W344" i="3"/>
  <c r="W345" i="3"/>
  <c r="W346" i="3"/>
  <c r="W347" i="3"/>
  <c r="W348" i="3"/>
  <c r="W349" i="3"/>
  <c r="W351" i="3"/>
  <c r="W350" i="3" s="1"/>
  <c r="W352" i="3"/>
  <c r="W353" i="3"/>
  <c r="W354" i="3"/>
  <c r="W355" i="3"/>
  <c r="W356" i="3"/>
  <c r="W357" i="3"/>
  <c r="W358" i="3"/>
  <c r="W359" i="3"/>
  <c r="W360" i="3"/>
  <c r="W361" i="3"/>
  <c r="W362" i="3"/>
  <c r="W363" i="3"/>
  <c r="W364" i="3"/>
  <c r="W365" i="3"/>
  <c r="W366" i="3"/>
  <c r="W367" i="3"/>
  <c r="W368" i="3"/>
  <c r="W369" i="3"/>
  <c r="W370" i="3"/>
  <c r="W371" i="3"/>
  <c r="W372" i="3"/>
  <c r="W373" i="3"/>
  <c r="W374" i="3"/>
  <c r="W375" i="3"/>
  <c r="W376" i="3"/>
  <c r="W377" i="3"/>
  <c r="W378" i="3"/>
  <c r="W379" i="3"/>
  <c r="W380" i="3"/>
  <c r="W381" i="3"/>
  <c r="X141" i="3"/>
  <c r="X142" i="3"/>
  <c r="X143" i="3"/>
  <c r="X144" i="3"/>
  <c r="X145" i="3"/>
  <c r="X146" i="3"/>
  <c r="X147" i="3"/>
  <c r="X148" i="3"/>
  <c r="X130" i="3"/>
  <c r="X131" i="3"/>
  <c r="X129" i="3" s="1"/>
  <c r="X132" i="3"/>
  <c r="X133" i="3"/>
  <c r="X134" i="3"/>
  <c r="X135" i="3"/>
  <c r="X136" i="3"/>
  <c r="X137" i="3"/>
  <c r="X138" i="3"/>
  <c r="X139" i="3"/>
  <c r="X140" i="3"/>
  <c r="X149" i="3"/>
  <c r="X150" i="3"/>
  <c r="X151" i="3"/>
  <c r="X152" i="3"/>
  <c r="X153" i="3"/>
  <c r="X154" i="3"/>
  <c r="X155" i="3"/>
  <c r="X156" i="3"/>
  <c r="X157" i="3"/>
  <c r="X158" i="3"/>
  <c r="X159" i="3"/>
  <c r="X160" i="3"/>
  <c r="X162" i="3"/>
  <c r="X163" i="3"/>
  <c r="X164" i="3"/>
  <c r="X161" i="3" s="1"/>
  <c r="X165" i="3"/>
  <c r="X166" i="3"/>
  <c r="X167" i="3"/>
  <c r="X168" i="3"/>
  <c r="X169" i="3"/>
  <c r="X170" i="3"/>
  <c r="X171" i="3"/>
  <c r="X172" i="3"/>
  <c r="X173" i="3"/>
  <c r="X174" i="3"/>
  <c r="X175" i="3"/>
  <c r="X176" i="3"/>
  <c r="X177" i="3"/>
  <c r="X178" i="3"/>
  <c r="X179" i="3"/>
  <c r="X180" i="3"/>
  <c r="X181" i="3"/>
  <c r="X182" i="3"/>
  <c r="X183" i="3"/>
  <c r="X184" i="3"/>
  <c r="X185" i="3"/>
  <c r="X186" i="3"/>
  <c r="X187" i="3"/>
  <c r="X188" i="3"/>
  <c r="X189" i="3"/>
  <c r="X190" i="3"/>
  <c r="X191" i="3"/>
  <c r="X6" i="3"/>
  <c r="X7" i="3"/>
  <c r="X8" i="3"/>
  <c r="X9" i="3"/>
  <c r="X10" i="3"/>
  <c r="X11" i="3"/>
  <c r="X12" i="3"/>
  <c r="X13" i="3"/>
  <c r="X14" i="3"/>
  <c r="X15" i="3"/>
  <c r="X16" i="3"/>
  <c r="X17" i="3"/>
  <c r="X18" i="3"/>
  <c r="X19" i="3"/>
  <c r="X20" i="3"/>
  <c r="X21" i="3"/>
  <c r="X22" i="3"/>
  <c r="X23" i="3"/>
  <c r="X24" i="3"/>
  <c r="X25" i="3"/>
  <c r="X26" i="3"/>
  <c r="X27" i="3"/>
  <c r="X28" i="3"/>
  <c r="X29" i="3"/>
  <c r="X30" i="3"/>
  <c r="X31" i="3"/>
  <c r="X32" i="3"/>
  <c r="X33" i="3"/>
  <c r="X34" i="3"/>
  <c r="X35" i="3"/>
  <c r="X36" i="3"/>
  <c r="X38" i="3"/>
  <c r="X39" i="3"/>
  <c r="X37" i="3" s="1"/>
  <c r="X40" i="3"/>
  <c r="X41" i="3"/>
  <c r="X42" i="3"/>
  <c r="X43" i="3"/>
  <c r="X44" i="3"/>
  <c r="X45" i="3"/>
  <c r="X46" i="3"/>
  <c r="X47" i="3"/>
  <c r="X48" i="3"/>
  <c r="X49" i="3"/>
  <c r="X50" i="3"/>
  <c r="X51" i="3"/>
  <c r="X52" i="3"/>
  <c r="X53" i="3"/>
  <c r="X54" i="3"/>
  <c r="X55" i="3"/>
  <c r="X56" i="3"/>
  <c r="X57" i="3"/>
  <c r="X58" i="3"/>
  <c r="X59" i="3"/>
  <c r="X60" i="3"/>
  <c r="X61" i="3"/>
  <c r="X62" i="3"/>
  <c r="X63" i="3"/>
  <c r="X64" i="3"/>
  <c r="X65" i="3"/>
  <c r="X67" i="3"/>
  <c r="X68" i="3"/>
  <c r="X66" i="3" s="1"/>
  <c r="X69" i="3"/>
  <c r="X70" i="3"/>
  <c r="X71" i="3"/>
  <c r="X72" i="3"/>
  <c r="X73" i="3"/>
  <c r="X74" i="3"/>
  <c r="X75" i="3"/>
  <c r="X76" i="3"/>
  <c r="X77" i="3"/>
  <c r="X78" i="3"/>
  <c r="X79" i="3"/>
  <c r="X80" i="3"/>
  <c r="X81" i="3"/>
  <c r="X82" i="3"/>
  <c r="X83" i="3"/>
  <c r="X84" i="3"/>
  <c r="X85" i="3"/>
  <c r="X86" i="3"/>
  <c r="X87" i="3"/>
  <c r="X88" i="3"/>
  <c r="X89" i="3"/>
  <c r="X90" i="3"/>
  <c r="X91" i="3"/>
  <c r="X92" i="3"/>
  <c r="X93" i="3"/>
  <c r="X94" i="3"/>
  <c r="X95" i="3"/>
  <c r="X96" i="3"/>
  <c r="X97" i="3"/>
  <c r="X99" i="3"/>
  <c r="X100" i="3"/>
  <c r="X101" i="3"/>
  <c r="X98" i="3" s="1"/>
  <c r="X102" i="3"/>
  <c r="X103" i="3"/>
  <c r="X104" i="3"/>
  <c r="X105" i="3"/>
  <c r="X106" i="3"/>
  <c r="X107" i="3"/>
  <c r="X108" i="3"/>
  <c r="X109" i="3"/>
  <c r="X110" i="3"/>
  <c r="X111" i="3"/>
  <c r="X112" i="3"/>
  <c r="X113" i="3"/>
  <c r="X114" i="3"/>
  <c r="X115" i="3"/>
  <c r="X116" i="3"/>
  <c r="X117" i="3"/>
  <c r="X118" i="3"/>
  <c r="X119" i="3"/>
  <c r="X120" i="3"/>
  <c r="X121" i="3"/>
  <c r="X122" i="3"/>
  <c r="X123" i="3"/>
  <c r="X124" i="3"/>
  <c r="X125" i="3"/>
  <c r="X126" i="3"/>
  <c r="X127" i="3"/>
  <c r="X128" i="3"/>
  <c r="X193" i="3"/>
  <c r="X192" i="3" s="1"/>
  <c r="X194" i="3"/>
  <c r="X195" i="3"/>
  <c r="X196" i="3"/>
  <c r="X197" i="3"/>
  <c r="X198" i="3"/>
  <c r="X199" i="3"/>
  <c r="X200" i="3"/>
  <c r="X201" i="3"/>
  <c r="X202" i="3"/>
  <c r="X203" i="3"/>
  <c r="X204" i="3"/>
  <c r="X205" i="3"/>
  <c r="X206" i="3"/>
  <c r="X207" i="3"/>
  <c r="X208" i="3"/>
  <c r="X209" i="3"/>
  <c r="X210" i="3"/>
  <c r="X211" i="3"/>
  <c r="X212" i="3"/>
  <c r="X213" i="3"/>
  <c r="X214" i="3"/>
  <c r="X215" i="3"/>
  <c r="X216" i="3"/>
  <c r="X217" i="3"/>
  <c r="X218" i="3"/>
  <c r="X219" i="3"/>
  <c r="X220" i="3"/>
  <c r="X221" i="3"/>
  <c r="X222" i="3"/>
  <c r="X223" i="3"/>
  <c r="X225" i="3"/>
  <c r="X226" i="3"/>
  <c r="X227" i="3"/>
  <c r="X228" i="3"/>
  <c r="X229" i="3"/>
  <c r="X230" i="3"/>
  <c r="X231" i="3"/>
  <c r="X232" i="3"/>
  <c r="X233" i="3"/>
  <c r="X234" i="3"/>
  <c r="X235" i="3"/>
  <c r="X236" i="3"/>
  <c r="X237" i="3"/>
  <c r="X238" i="3"/>
  <c r="X239" i="3"/>
  <c r="X240" i="3"/>
  <c r="X241" i="3"/>
  <c r="X242" i="3"/>
  <c r="X243" i="3"/>
  <c r="X244" i="3"/>
  <c r="X245" i="3"/>
  <c r="X246" i="3"/>
  <c r="X247" i="3"/>
  <c r="X248" i="3"/>
  <c r="X249" i="3"/>
  <c r="X250" i="3"/>
  <c r="X251" i="3"/>
  <c r="X252" i="3"/>
  <c r="X253" i="3"/>
  <c r="X254" i="3"/>
  <c r="X255" i="3"/>
  <c r="X257" i="3"/>
  <c r="X258" i="3"/>
  <c r="X259" i="3"/>
  <c r="X260" i="3"/>
  <c r="X261" i="3"/>
  <c r="X262" i="3"/>
  <c r="X263" i="3"/>
  <c r="X264" i="3"/>
  <c r="X265" i="3"/>
  <c r="X266" i="3"/>
  <c r="X267" i="3"/>
  <c r="X268" i="3"/>
  <c r="X269" i="3"/>
  <c r="X270" i="3"/>
  <c r="X271" i="3"/>
  <c r="X272" i="3"/>
  <c r="X273" i="3"/>
  <c r="X274" i="3"/>
  <c r="X275" i="3"/>
  <c r="X276" i="3"/>
  <c r="X277" i="3"/>
  <c r="X278" i="3"/>
  <c r="X279" i="3"/>
  <c r="X280" i="3"/>
  <c r="X281" i="3"/>
  <c r="X282" i="3"/>
  <c r="X283" i="3"/>
  <c r="X284" i="3"/>
  <c r="X285" i="3"/>
  <c r="X286" i="3"/>
  <c r="X288" i="3"/>
  <c r="X287" i="3" s="1"/>
  <c r="X289" i="3"/>
  <c r="X290" i="3"/>
  <c r="X291" i="3"/>
  <c r="X292" i="3"/>
  <c r="X293" i="3"/>
  <c r="X294" i="3"/>
  <c r="X295" i="3"/>
  <c r="X296" i="3"/>
  <c r="X297" i="3"/>
  <c r="X298" i="3"/>
  <c r="X299" i="3"/>
  <c r="X300" i="3"/>
  <c r="X301" i="3"/>
  <c r="X302" i="3"/>
  <c r="X303" i="3"/>
  <c r="X304" i="3"/>
  <c r="X305" i="3"/>
  <c r="X306" i="3"/>
  <c r="X307" i="3"/>
  <c r="X308" i="3"/>
  <c r="X309" i="3"/>
  <c r="X310" i="3"/>
  <c r="X311" i="3"/>
  <c r="X312" i="3"/>
  <c r="X313" i="3"/>
  <c r="X314" i="3"/>
  <c r="X315" i="3"/>
  <c r="X316" i="3"/>
  <c r="X317" i="3"/>
  <c r="X318" i="3"/>
  <c r="X320" i="3"/>
  <c r="X321" i="3"/>
  <c r="X322" i="3"/>
  <c r="X323" i="3"/>
  <c r="X324" i="3"/>
  <c r="X325" i="3"/>
  <c r="X326" i="3"/>
  <c r="X327" i="3"/>
  <c r="X328" i="3"/>
  <c r="X329" i="3"/>
  <c r="X330" i="3"/>
  <c r="X331" i="3"/>
  <c r="X332" i="3"/>
  <c r="X333" i="3"/>
  <c r="X334" i="3"/>
  <c r="X335" i="3"/>
  <c r="X336" i="3"/>
  <c r="X337" i="3"/>
  <c r="X338" i="3"/>
  <c r="X339" i="3"/>
  <c r="X340" i="3"/>
  <c r="X341" i="3"/>
  <c r="X342" i="3"/>
  <c r="X343" i="3"/>
  <c r="X344" i="3"/>
  <c r="X345" i="3"/>
  <c r="X346" i="3"/>
  <c r="X347" i="3"/>
  <c r="X348" i="3"/>
  <c r="X349" i="3"/>
  <c r="X351" i="3"/>
  <c r="X352" i="3"/>
  <c r="X353" i="3"/>
  <c r="X354" i="3"/>
  <c r="X355" i="3"/>
  <c r="X356" i="3"/>
  <c r="X357" i="3"/>
  <c r="X358" i="3"/>
  <c r="X359" i="3"/>
  <c r="X360" i="3"/>
  <c r="X361" i="3"/>
  <c r="X362" i="3"/>
  <c r="X363" i="3"/>
  <c r="X364" i="3"/>
  <c r="X365" i="3"/>
  <c r="X366" i="3"/>
  <c r="X367" i="3"/>
  <c r="X368" i="3"/>
  <c r="X369" i="3"/>
  <c r="X370" i="3"/>
  <c r="X371" i="3"/>
  <c r="X372" i="3"/>
  <c r="X373" i="3"/>
  <c r="X374" i="3"/>
  <c r="X375" i="3"/>
  <c r="X376" i="3"/>
  <c r="X377" i="3"/>
  <c r="X378" i="3"/>
  <c r="X379" i="3"/>
  <c r="X380" i="3"/>
  <c r="X381" i="3"/>
  <c r="AC76" i="2"/>
  <c r="AB141" i="3"/>
  <c r="AB142" i="3"/>
  <c r="AB143" i="3"/>
  <c r="AB144" i="3"/>
  <c r="AB145" i="3"/>
  <c r="AB146" i="3"/>
  <c r="AB147" i="3"/>
  <c r="AB148" i="3"/>
  <c r="AB130" i="3"/>
  <c r="AB131" i="3"/>
  <c r="AB132" i="3"/>
  <c r="AB133" i="3"/>
  <c r="AB129" i="3" s="1"/>
  <c r="AB134" i="3"/>
  <c r="AB135" i="3"/>
  <c r="AB136" i="3"/>
  <c r="AB137" i="3"/>
  <c r="AB138" i="3"/>
  <c r="AB139" i="3"/>
  <c r="AB140" i="3"/>
  <c r="AB149" i="3"/>
  <c r="AB150" i="3"/>
  <c r="AB151" i="3"/>
  <c r="AB152" i="3"/>
  <c r="AB153" i="3"/>
  <c r="AB154" i="3"/>
  <c r="AB155" i="3"/>
  <c r="AB156" i="3"/>
  <c r="AB157" i="3"/>
  <c r="AB158" i="3"/>
  <c r="AB159" i="3"/>
  <c r="AB160" i="3"/>
  <c r="AB162" i="3"/>
  <c r="AB161" i="3" s="1"/>
  <c r="AB163" i="3"/>
  <c r="AB164" i="3"/>
  <c r="AB165" i="3"/>
  <c r="AB6" i="3"/>
  <c r="AB5" i="3" s="1"/>
  <c r="AB7" i="3"/>
  <c r="AB8" i="3"/>
  <c r="AB9" i="3"/>
  <c r="AB10" i="3"/>
  <c r="AB11" i="3"/>
  <c r="AB12" i="3"/>
  <c r="AB13" i="3"/>
  <c r="AB14" i="3"/>
  <c r="AB15" i="3"/>
  <c r="AB16" i="3"/>
  <c r="AB17" i="3"/>
  <c r="AB18" i="3"/>
  <c r="AB19" i="3"/>
  <c r="AB20" i="3"/>
  <c r="AB21" i="3"/>
  <c r="AB22" i="3"/>
  <c r="AB23" i="3"/>
  <c r="AB24" i="3"/>
  <c r="AB25" i="3"/>
  <c r="AB26" i="3"/>
  <c r="AB27" i="3"/>
  <c r="AB28" i="3"/>
  <c r="AB29" i="3"/>
  <c r="AB30" i="3"/>
  <c r="AB31" i="3"/>
  <c r="AB32" i="3"/>
  <c r="AB33" i="3"/>
  <c r="AB34" i="3"/>
  <c r="AB35" i="3"/>
  <c r="AB36" i="3"/>
  <c r="AB38" i="3"/>
  <c r="AB39" i="3"/>
  <c r="AB40" i="3"/>
  <c r="AB41" i="3"/>
  <c r="AB42" i="3"/>
  <c r="AB43" i="3"/>
  <c r="AB44" i="3"/>
  <c r="AB45" i="3"/>
  <c r="AB46" i="3"/>
  <c r="AB47" i="3"/>
  <c r="AB48" i="3"/>
  <c r="AB49" i="3"/>
  <c r="AB50" i="3"/>
  <c r="AB51" i="3"/>
  <c r="AB52" i="3"/>
  <c r="AB53" i="3"/>
  <c r="AB54" i="3"/>
  <c r="AB55" i="3"/>
  <c r="AB56" i="3"/>
  <c r="AB57" i="3"/>
  <c r="AB58" i="3"/>
  <c r="AB59" i="3"/>
  <c r="AB60" i="3"/>
  <c r="AB61" i="3"/>
  <c r="AB62" i="3"/>
  <c r="AB63" i="3"/>
  <c r="AB64" i="3"/>
  <c r="AB65" i="3"/>
  <c r="AB67" i="3"/>
  <c r="AB68" i="3"/>
  <c r="AB66" i="3" s="1"/>
  <c r="AB69" i="3"/>
  <c r="AB70" i="3"/>
  <c r="AB71" i="3"/>
  <c r="AB72" i="3"/>
  <c r="AB73" i="3"/>
  <c r="AB74" i="3"/>
  <c r="AB75" i="3"/>
  <c r="AB76" i="3"/>
  <c r="AB77" i="3"/>
  <c r="AB78" i="3"/>
  <c r="AB79" i="3"/>
  <c r="AB80" i="3"/>
  <c r="AB81" i="3"/>
  <c r="AB82" i="3"/>
  <c r="AB83" i="3"/>
  <c r="AB84" i="3"/>
  <c r="AB85" i="3"/>
  <c r="AB86" i="3"/>
  <c r="AB87" i="3"/>
  <c r="AB88" i="3"/>
  <c r="AB89" i="3"/>
  <c r="AB90" i="3"/>
  <c r="AB91" i="3"/>
  <c r="AB92" i="3"/>
  <c r="AB93" i="3"/>
  <c r="AB94" i="3"/>
  <c r="AB95" i="3"/>
  <c r="AB96" i="3"/>
  <c r="AB97" i="3"/>
  <c r="AB99" i="3"/>
  <c r="AB100" i="3"/>
  <c r="AB101" i="3"/>
  <c r="AB102" i="3"/>
  <c r="AB103" i="3"/>
  <c r="AB104" i="3"/>
  <c r="AB105" i="3"/>
  <c r="AB106" i="3"/>
  <c r="AB107" i="3"/>
  <c r="AB108" i="3"/>
  <c r="AB109" i="3"/>
  <c r="AB110" i="3"/>
  <c r="AB111" i="3"/>
  <c r="AB112" i="3"/>
  <c r="AB113" i="3"/>
  <c r="AB114" i="3"/>
  <c r="AB115" i="3"/>
  <c r="AB116" i="3"/>
  <c r="AB117" i="3"/>
  <c r="AB118" i="3"/>
  <c r="AB119" i="3"/>
  <c r="AB120" i="3"/>
  <c r="AB121" i="3"/>
  <c r="AB122" i="3"/>
  <c r="AB123" i="3"/>
  <c r="AB124" i="3"/>
  <c r="AB125" i="3"/>
  <c r="AB126" i="3"/>
  <c r="AB127" i="3"/>
  <c r="AB128" i="3"/>
  <c r="AB166" i="3"/>
  <c r="AB167" i="3"/>
  <c r="AB168" i="3"/>
  <c r="AB169" i="3"/>
  <c r="AB170" i="3"/>
  <c r="AB171" i="3"/>
  <c r="AB172" i="3"/>
  <c r="AB173" i="3"/>
  <c r="AB174" i="3"/>
  <c r="AB175" i="3"/>
  <c r="AB176" i="3"/>
  <c r="AB177" i="3"/>
  <c r="AB178" i="3"/>
  <c r="AB179" i="3"/>
  <c r="AB180" i="3"/>
  <c r="AB181" i="3"/>
  <c r="AB182" i="3"/>
  <c r="AB183" i="3"/>
  <c r="AB184" i="3"/>
  <c r="AB185" i="3"/>
  <c r="AB186" i="3"/>
  <c r="AB187" i="3"/>
  <c r="AB188" i="3"/>
  <c r="AB189" i="3"/>
  <c r="AB190" i="3"/>
  <c r="AB191" i="3"/>
  <c r="AB193" i="3"/>
  <c r="AB194" i="3"/>
  <c r="AB195" i="3"/>
  <c r="AB192" i="3" s="1"/>
  <c r="AB196" i="3"/>
  <c r="AB197" i="3"/>
  <c r="AB198" i="3"/>
  <c r="AB199" i="3"/>
  <c r="AB200" i="3"/>
  <c r="AB201" i="3"/>
  <c r="AB202" i="3"/>
  <c r="AB203" i="3"/>
  <c r="AB204" i="3"/>
  <c r="AB205" i="3"/>
  <c r="AB206" i="3"/>
  <c r="AB207" i="3"/>
  <c r="AB208" i="3"/>
  <c r="AB209" i="3"/>
  <c r="AB210" i="3"/>
  <c r="AB211" i="3"/>
  <c r="AB212" i="3"/>
  <c r="AB213" i="3"/>
  <c r="AB214" i="3"/>
  <c r="AB215" i="3"/>
  <c r="AB216" i="3"/>
  <c r="AB217" i="3"/>
  <c r="AB218" i="3"/>
  <c r="AB219" i="3"/>
  <c r="AB220" i="3"/>
  <c r="AB221" i="3"/>
  <c r="AB222" i="3"/>
  <c r="AB223" i="3"/>
  <c r="AB225" i="3"/>
  <c r="AB226" i="3"/>
  <c r="AB227" i="3"/>
  <c r="AB228" i="3"/>
  <c r="AB229" i="3"/>
  <c r="AB230" i="3"/>
  <c r="AB231" i="3"/>
  <c r="AB232" i="3"/>
  <c r="AB233" i="3"/>
  <c r="AB234" i="3"/>
  <c r="AB235" i="3"/>
  <c r="AB236" i="3"/>
  <c r="AB237" i="3"/>
  <c r="AB238" i="3"/>
  <c r="AB239" i="3"/>
  <c r="AB240" i="3"/>
  <c r="AB241" i="3"/>
  <c r="AB242" i="3"/>
  <c r="AB243" i="3"/>
  <c r="AB244" i="3"/>
  <c r="AB245" i="3"/>
  <c r="AB246" i="3"/>
  <c r="AB247" i="3"/>
  <c r="AB248" i="3"/>
  <c r="AB249" i="3"/>
  <c r="AB250" i="3"/>
  <c r="AB251" i="3"/>
  <c r="AB252" i="3"/>
  <c r="AB253" i="3"/>
  <c r="AB254" i="3"/>
  <c r="AB255" i="3"/>
  <c r="AB257" i="3"/>
  <c r="AB258" i="3"/>
  <c r="AB259" i="3"/>
  <c r="AB260" i="3"/>
  <c r="AB261" i="3"/>
  <c r="AB262" i="3"/>
  <c r="AB263" i="3"/>
  <c r="AB264" i="3"/>
  <c r="AB265" i="3"/>
  <c r="AB266" i="3"/>
  <c r="AB267" i="3"/>
  <c r="AB268" i="3"/>
  <c r="AB269" i="3"/>
  <c r="AB270" i="3"/>
  <c r="AB271" i="3"/>
  <c r="AB272" i="3"/>
  <c r="AB273" i="3"/>
  <c r="AB274" i="3"/>
  <c r="AB275" i="3"/>
  <c r="AB276" i="3"/>
  <c r="AB277" i="3"/>
  <c r="AB278" i="3"/>
  <c r="AB279" i="3"/>
  <c r="AB280" i="3"/>
  <c r="AB281" i="3"/>
  <c r="AB282" i="3"/>
  <c r="AB283" i="3"/>
  <c r="AB284" i="3"/>
  <c r="AB285" i="3"/>
  <c r="AB286" i="3"/>
  <c r="AB288" i="3"/>
  <c r="AB289" i="3"/>
  <c r="AB290" i="3"/>
  <c r="AB291" i="3"/>
  <c r="AB292" i="3"/>
  <c r="AB293" i="3"/>
  <c r="AB294" i="3"/>
  <c r="AB295" i="3"/>
  <c r="AB296" i="3"/>
  <c r="AB297" i="3"/>
  <c r="AB298" i="3"/>
  <c r="AB299" i="3"/>
  <c r="AB300" i="3"/>
  <c r="AB301" i="3"/>
  <c r="AB302" i="3"/>
  <c r="AB303" i="3"/>
  <c r="AB304" i="3"/>
  <c r="AB305" i="3"/>
  <c r="AB306" i="3"/>
  <c r="AB307" i="3"/>
  <c r="AB308" i="3"/>
  <c r="AB309" i="3"/>
  <c r="AB310" i="3"/>
  <c r="AB311" i="3"/>
  <c r="AB312" i="3"/>
  <c r="AB313" i="3"/>
  <c r="AB314" i="3"/>
  <c r="AB315" i="3"/>
  <c r="AB316" i="3"/>
  <c r="AB317" i="3"/>
  <c r="AB318" i="3"/>
  <c r="AB320" i="3"/>
  <c r="AB321" i="3"/>
  <c r="AB322" i="3"/>
  <c r="AB323" i="3"/>
  <c r="AB319" i="3" s="1"/>
  <c r="AB324" i="3"/>
  <c r="AB325" i="3"/>
  <c r="AB326" i="3"/>
  <c r="AB327" i="3"/>
  <c r="AB328" i="3"/>
  <c r="AB329" i="3"/>
  <c r="AB330" i="3"/>
  <c r="AB331" i="3"/>
  <c r="AB332" i="3"/>
  <c r="AB333" i="3"/>
  <c r="AB334" i="3"/>
  <c r="AB335" i="3"/>
  <c r="AB336" i="3"/>
  <c r="AB337" i="3"/>
  <c r="AB338" i="3"/>
  <c r="AB339" i="3"/>
  <c r="AB340" i="3"/>
  <c r="AB341" i="3"/>
  <c r="AB342" i="3"/>
  <c r="AB343" i="3"/>
  <c r="AB344" i="3"/>
  <c r="AB345" i="3"/>
  <c r="AB346" i="3"/>
  <c r="AB347" i="3"/>
  <c r="AB348" i="3"/>
  <c r="AB349" i="3"/>
  <c r="AB351" i="3"/>
  <c r="AB352" i="3"/>
  <c r="AB350" i="3" s="1"/>
  <c r="AB353" i="3"/>
  <c r="AB354" i="3"/>
  <c r="AB355" i="3"/>
  <c r="AB356" i="3"/>
  <c r="AB357" i="3"/>
  <c r="AB358" i="3"/>
  <c r="AB359" i="3"/>
  <c r="AB360" i="3"/>
  <c r="AB361" i="3"/>
  <c r="AB362" i="3"/>
  <c r="AB363" i="3"/>
  <c r="AB364" i="3"/>
  <c r="AB365" i="3"/>
  <c r="AB366" i="3"/>
  <c r="AB367" i="3"/>
  <c r="AB368" i="3"/>
  <c r="AB369" i="3"/>
  <c r="AB370" i="3"/>
  <c r="AB371" i="3"/>
  <c r="AB372" i="3"/>
  <c r="AB373" i="3"/>
  <c r="AB374" i="3"/>
  <c r="AB375" i="3"/>
  <c r="AB376" i="3"/>
  <c r="AB377" i="3"/>
  <c r="AB378" i="3"/>
  <c r="AB379" i="3"/>
  <c r="AB380" i="3"/>
  <c r="AB381" i="3"/>
  <c r="L8" i="24"/>
  <c r="L9" i="24"/>
  <c r="L30" i="24" s="1"/>
  <c r="J9" i="24"/>
  <c r="J30" i="24" s="1"/>
  <c r="F17" i="24"/>
  <c r="G17" i="24"/>
  <c r="F21" i="24"/>
  <c r="G21" i="24"/>
  <c r="L21" i="24"/>
  <c r="L17" i="24"/>
  <c r="AD162" i="3"/>
  <c r="AE162" i="3"/>
  <c r="AD163" i="3"/>
  <c r="AE163" i="3"/>
  <c r="AD164" i="3"/>
  <c r="AE164" i="3"/>
  <c r="AD165" i="3"/>
  <c r="AE165" i="3"/>
  <c r="AD166" i="3"/>
  <c r="AE166" i="3"/>
  <c r="AD167" i="3"/>
  <c r="AE167" i="3"/>
  <c r="AD168" i="3"/>
  <c r="AE168" i="3"/>
  <c r="AD169" i="3"/>
  <c r="AE169" i="3"/>
  <c r="AD170" i="3"/>
  <c r="AE170" i="3"/>
  <c r="AD171" i="3"/>
  <c r="AE171" i="3"/>
  <c r="AD172" i="3"/>
  <c r="AE172" i="3"/>
  <c r="AD173" i="3"/>
  <c r="AE173" i="3"/>
  <c r="AD174" i="3"/>
  <c r="AE174" i="3"/>
  <c r="AD175" i="3"/>
  <c r="AE175" i="3"/>
  <c r="AD176" i="3"/>
  <c r="AE176" i="3"/>
  <c r="AD177" i="3"/>
  <c r="AE177" i="3"/>
  <c r="AD178" i="3"/>
  <c r="AE178" i="3"/>
  <c r="AD179" i="3"/>
  <c r="AE179" i="3"/>
  <c r="AD180" i="3"/>
  <c r="AE180" i="3"/>
  <c r="AD181" i="3"/>
  <c r="AE181" i="3"/>
  <c r="AD182" i="3"/>
  <c r="AE182" i="3"/>
  <c r="AD183" i="3"/>
  <c r="AE183" i="3"/>
  <c r="AD184" i="3"/>
  <c r="AE184" i="3"/>
  <c r="AD185" i="3"/>
  <c r="AE185" i="3"/>
  <c r="AD186" i="3"/>
  <c r="AE186" i="3"/>
  <c r="AD187" i="3"/>
  <c r="AE187" i="3"/>
  <c r="AD188" i="3"/>
  <c r="AE188" i="3"/>
  <c r="AD189" i="3"/>
  <c r="AE189" i="3"/>
  <c r="AD190" i="3"/>
  <c r="AE190" i="3"/>
  <c r="AD191" i="3"/>
  <c r="AE191" i="3"/>
  <c r="AD193" i="3"/>
  <c r="AE193" i="3"/>
  <c r="AD194" i="3"/>
  <c r="AE194" i="3"/>
  <c r="AD195" i="3"/>
  <c r="AE195" i="3"/>
  <c r="AD196" i="3"/>
  <c r="AE196" i="3"/>
  <c r="AD197" i="3"/>
  <c r="AE197" i="3"/>
  <c r="AD198" i="3"/>
  <c r="AE198" i="3"/>
  <c r="AD199" i="3"/>
  <c r="AE199" i="3"/>
  <c r="AD200" i="3"/>
  <c r="AE200" i="3"/>
  <c r="AD201" i="3"/>
  <c r="AE201" i="3"/>
  <c r="AD202" i="3"/>
  <c r="AE202" i="3"/>
  <c r="AD203" i="3"/>
  <c r="AE203" i="3"/>
  <c r="AD204" i="3"/>
  <c r="AE204" i="3"/>
  <c r="AD205" i="3"/>
  <c r="AE205" i="3"/>
  <c r="AD206" i="3"/>
  <c r="AE206" i="3"/>
  <c r="AD207" i="3"/>
  <c r="AE207" i="3"/>
  <c r="AD208" i="3"/>
  <c r="AE208" i="3"/>
  <c r="AD209" i="3"/>
  <c r="AE209" i="3"/>
  <c r="AD210" i="3"/>
  <c r="AE210" i="3"/>
  <c r="AD211" i="3"/>
  <c r="AE211" i="3"/>
  <c r="AD212" i="3"/>
  <c r="AE212" i="3"/>
  <c r="AD213" i="3"/>
  <c r="AE213" i="3"/>
  <c r="AD214" i="3"/>
  <c r="AE214" i="3"/>
  <c r="AD215" i="3"/>
  <c r="AE215" i="3"/>
  <c r="AD216" i="3"/>
  <c r="AE216" i="3"/>
  <c r="AD217" i="3"/>
  <c r="AE217" i="3"/>
  <c r="AD218" i="3"/>
  <c r="AE218" i="3"/>
  <c r="AD219" i="3"/>
  <c r="AE219" i="3"/>
  <c r="AD220" i="3"/>
  <c r="AE220" i="3"/>
  <c r="AD221" i="3"/>
  <c r="AE221" i="3"/>
  <c r="AD222" i="3"/>
  <c r="AE222" i="3"/>
  <c r="AD223" i="3"/>
  <c r="AE223" i="3"/>
  <c r="AD225" i="3"/>
  <c r="AE225" i="3"/>
  <c r="AD226" i="3"/>
  <c r="AE226" i="3"/>
  <c r="AD227" i="3"/>
  <c r="AE227" i="3"/>
  <c r="AD228" i="3"/>
  <c r="AE228" i="3"/>
  <c r="AD229" i="3"/>
  <c r="AE229" i="3"/>
  <c r="AD230" i="3"/>
  <c r="AE230" i="3"/>
  <c r="AD231" i="3"/>
  <c r="AE231" i="3"/>
  <c r="AD232" i="3"/>
  <c r="AE232" i="3"/>
  <c r="AD233" i="3"/>
  <c r="AE233" i="3"/>
  <c r="AD234" i="3"/>
  <c r="AE234" i="3"/>
  <c r="AD235" i="3"/>
  <c r="AE235" i="3"/>
  <c r="AD236" i="3"/>
  <c r="AE236" i="3"/>
  <c r="AD237" i="3"/>
  <c r="AE237" i="3"/>
  <c r="AD238" i="3"/>
  <c r="AE238" i="3"/>
  <c r="AD239" i="3"/>
  <c r="AE239" i="3"/>
  <c r="AD240" i="3"/>
  <c r="AE240" i="3"/>
  <c r="AD241" i="3"/>
  <c r="AE241" i="3"/>
  <c r="AD242" i="3"/>
  <c r="AE242" i="3"/>
  <c r="AD243" i="3"/>
  <c r="AE243" i="3"/>
  <c r="AD244" i="3"/>
  <c r="AE244" i="3"/>
  <c r="AD245" i="3"/>
  <c r="AE245" i="3"/>
  <c r="AD246" i="3"/>
  <c r="AE246" i="3"/>
  <c r="AD247" i="3"/>
  <c r="AE247" i="3"/>
  <c r="AD248" i="3"/>
  <c r="AE248" i="3"/>
  <c r="AD249" i="3"/>
  <c r="AE249" i="3"/>
  <c r="AD250" i="3"/>
  <c r="AE250" i="3"/>
  <c r="AD251" i="3"/>
  <c r="AE251" i="3"/>
  <c r="AD252" i="3"/>
  <c r="AE252" i="3"/>
  <c r="AD253" i="3"/>
  <c r="AE253" i="3"/>
  <c r="AD254" i="3"/>
  <c r="AE254" i="3"/>
  <c r="AD255" i="3"/>
  <c r="AE255" i="3"/>
  <c r="AD257" i="3"/>
  <c r="AE257" i="3"/>
  <c r="AD258" i="3"/>
  <c r="AE258" i="3"/>
  <c r="AD259" i="3"/>
  <c r="AE259" i="3"/>
  <c r="AD260" i="3"/>
  <c r="AE260" i="3"/>
  <c r="AD261" i="3"/>
  <c r="AE261" i="3"/>
  <c r="AD262" i="3"/>
  <c r="AE262" i="3"/>
  <c r="AD263" i="3"/>
  <c r="AE263" i="3"/>
  <c r="AD264" i="3"/>
  <c r="AE264" i="3"/>
  <c r="AD265" i="3"/>
  <c r="AE265" i="3"/>
  <c r="AD266" i="3"/>
  <c r="AE266" i="3"/>
  <c r="AD267" i="3"/>
  <c r="AE267" i="3"/>
  <c r="AD268" i="3"/>
  <c r="AE268" i="3"/>
  <c r="AD269" i="3"/>
  <c r="AE269" i="3"/>
  <c r="AD270" i="3"/>
  <c r="AE270" i="3"/>
  <c r="AD271" i="3"/>
  <c r="AE271" i="3"/>
  <c r="AD272" i="3"/>
  <c r="AE272" i="3"/>
  <c r="AD273" i="3"/>
  <c r="AE273" i="3"/>
  <c r="AD274" i="3"/>
  <c r="AE274" i="3"/>
  <c r="AD275" i="3"/>
  <c r="AE275" i="3"/>
  <c r="AD276" i="3"/>
  <c r="AE276" i="3"/>
  <c r="AD277" i="3"/>
  <c r="AE277" i="3"/>
  <c r="AD278" i="3"/>
  <c r="AE278" i="3"/>
  <c r="AD279" i="3"/>
  <c r="AE279" i="3"/>
  <c r="AD280" i="3"/>
  <c r="AE280" i="3"/>
  <c r="AD281" i="3"/>
  <c r="AE281" i="3"/>
  <c r="AD282" i="3"/>
  <c r="AE282" i="3"/>
  <c r="AD283" i="3"/>
  <c r="AE283" i="3"/>
  <c r="AD284" i="3"/>
  <c r="AE284" i="3"/>
  <c r="AD285" i="3"/>
  <c r="AE285" i="3"/>
  <c r="AD286" i="3"/>
  <c r="AE286" i="3"/>
  <c r="AD288" i="3"/>
  <c r="AE288" i="3"/>
  <c r="AD289" i="3"/>
  <c r="AE289" i="3"/>
  <c r="AD290" i="3"/>
  <c r="AE290" i="3"/>
  <c r="AD291" i="3"/>
  <c r="AE291" i="3"/>
  <c r="AD292" i="3"/>
  <c r="AE292" i="3"/>
  <c r="AD293" i="3"/>
  <c r="AE293" i="3"/>
  <c r="AD294" i="3"/>
  <c r="AE294" i="3"/>
  <c r="AD295" i="3"/>
  <c r="AE295" i="3"/>
  <c r="AD296" i="3"/>
  <c r="AE296" i="3"/>
  <c r="AD297" i="3"/>
  <c r="AE297" i="3"/>
  <c r="AD298" i="3"/>
  <c r="AE298" i="3"/>
  <c r="AD299" i="3"/>
  <c r="AE299" i="3"/>
  <c r="AD300" i="3"/>
  <c r="AE300" i="3"/>
  <c r="AD301" i="3"/>
  <c r="AE301" i="3"/>
  <c r="AD302" i="3"/>
  <c r="AE302" i="3"/>
  <c r="AD303" i="3"/>
  <c r="AE303" i="3"/>
  <c r="AD304" i="3"/>
  <c r="AE304" i="3"/>
  <c r="AD305" i="3"/>
  <c r="AE305" i="3"/>
  <c r="AD306" i="3"/>
  <c r="AE306" i="3"/>
  <c r="AD307" i="3"/>
  <c r="AE307" i="3"/>
  <c r="AD308" i="3"/>
  <c r="AE308" i="3"/>
  <c r="AD309" i="3"/>
  <c r="AE309" i="3"/>
  <c r="AD310" i="3"/>
  <c r="AE310" i="3"/>
  <c r="AD311" i="3"/>
  <c r="AE311" i="3"/>
  <c r="AD312" i="3"/>
  <c r="AE312" i="3"/>
  <c r="AD313" i="3"/>
  <c r="AE313" i="3"/>
  <c r="AD314" i="3"/>
  <c r="AE314" i="3"/>
  <c r="AD315" i="3"/>
  <c r="AE315" i="3"/>
  <c r="AD316" i="3"/>
  <c r="AE316" i="3"/>
  <c r="AD317" i="3"/>
  <c r="AE317" i="3"/>
  <c r="AD318" i="3"/>
  <c r="AE318" i="3"/>
  <c r="AD320" i="3"/>
  <c r="AE320" i="3"/>
  <c r="AD321" i="3"/>
  <c r="AE321" i="3"/>
  <c r="AD322" i="3"/>
  <c r="AE322" i="3"/>
  <c r="AD323" i="3"/>
  <c r="AE323" i="3"/>
  <c r="AD324" i="3"/>
  <c r="AE324" i="3"/>
  <c r="AD325" i="3"/>
  <c r="AE325" i="3"/>
  <c r="AD326" i="3"/>
  <c r="AE326" i="3"/>
  <c r="AD327" i="3"/>
  <c r="AE327" i="3"/>
  <c r="AD328" i="3"/>
  <c r="AE328" i="3"/>
  <c r="AD329" i="3"/>
  <c r="AE329" i="3"/>
  <c r="AD330" i="3"/>
  <c r="AE330" i="3"/>
  <c r="AD331" i="3"/>
  <c r="AE331" i="3"/>
  <c r="AD332" i="3"/>
  <c r="AE332" i="3"/>
  <c r="AD333" i="3"/>
  <c r="AE333" i="3"/>
  <c r="AD334" i="3"/>
  <c r="AE334" i="3"/>
  <c r="AD335" i="3"/>
  <c r="AE335" i="3"/>
  <c r="AD336" i="3"/>
  <c r="AE336" i="3"/>
  <c r="AD337" i="3"/>
  <c r="AE337" i="3"/>
  <c r="AD338" i="3"/>
  <c r="AE338" i="3"/>
  <c r="AD339" i="3"/>
  <c r="AE339" i="3"/>
  <c r="AD340" i="3"/>
  <c r="AE340" i="3"/>
  <c r="AD341" i="3"/>
  <c r="AE341" i="3"/>
  <c r="AD342" i="3"/>
  <c r="AE342" i="3"/>
  <c r="AD343" i="3"/>
  <c r="AE343" i="3"/>
  <c r="AD344" i="3"/>
  <c r="AE344" i="3"/>
  <c r="AD345" i="3"/>
  <c r="AE345" i="3"/>
  <c r="AD346" i="3"/>
  <c r="AE346" i="3"/>
  <c r="AD347" i="3"/>
  <c r="AE347" i="3"/>
  <c r="AD348" i="3"/>
  <c r="AE348" i="3"/>
  <c r="AD349" i="3"/>
  <c r="AE349" i="3"/>
  <c r="AS8" i="23"/>
  <c r="AT8" i="23"/>
  <c r="AU8" i="23"/>
  <c r="AV8" i="23"/>
  <c r="AW8" i="23"/>
  <c r="AX8" i="23"/>
  <c r="AY8" i="23"/>
  <c r="AZ8" i="23"/>
  <c r="BA8" i="23"/>
  <c r="BB8" i="23"/>
  <c r="BC8" i="23"/>
  <c r="BD8" i="23"/>
  <c r="AK7" i="23"/>
  <c r="AB9" i="24" s="1"/>
  <c r="AB30" i="24" s="1"/>
  <c r="AK6" i="23"/>
  <c r="AB8" i="24"/>
  <c r="AK15" i="23"/>
  <c r="AB17" i="24" s="1"/>
  <c r="AK19" i="23"/>
  <c r="AB21" i="24"/>
  <c r="AB20" i="24" s="1"/>
  <c r="AB5" i="24"/>
  <c r="AJ8" i="23"/>
  <c r="AI8" i="23"/>
  <c r="AH8" i="23"/>
  <c r="AG8" i="23"/>
  <c r="AF8" i="23"/>
  <c r="AE8" i="23"/>
  <c r="AD8" i="23"/>
  <c r="AC8" i="23"/>
  <c r="AB8" i="23"/>
  <c r="AA8" i="23"/>
  <c r="Z8" i="23"/>
  <c r="Y8" i="23"/>
  <c r="P8" i="23"/>
  <c r="O8" i="23"/>
  <c r="N8" i="23"/>
  <c r="M8" i="23"/>
  <c r="L8" i="23"/>
  <c r="K8" i="23"/>
  <c r="J8" i="23"/>
  <c r="I8" i="23"/>
  <c r="H8" i="23"/>
  <c r="G8" i="23"/>
  <c r="F8" i="23"/>
  <c r="E8" i="23"/>
  <c r="P8" i="25"/>
  <c r="O8" i="25"/>
  <c r="N8" i="25"/>
  <c r="M8" i="25"/>
  <c r="L8" i="25"/>
  <c r="K8" i="25"/>
  <c r="J8" i="25"/>
  <c r="I8" i="25"/>
  <c r="H8" i="25"/>
  <c r="G8" i="25"/>
  <c r="F8" i="25"/>
  <c r="E8" i="25"/>
  <c r="E25" i="25"/>
  <c r="F25" i="25"/>
  <c r="G25" i="25"/>
  <c r="H25" i="25"/>
  <c r="I25" i="25"/>
  <c r="J25" i="25"/>
  <c r="K25" i="25"/>
  <c r="L25" i="25"/>
  <c r="M25" i="25"/>
  <c r="N25" i="25"/>
  <c r="O25" i="25"/>
  <c r="P25" i="25"/>
  <c r="V7" i="25"/>
  <c r="V25" i="25"/>
  <c r="U7" i="25"/>
  <c r="T7" i="25"/>
  <c r="T25" i="25"/>
  <c r="S7" i="25"/>
  <c r="S25" i="25"/>
  <c r="E24" i="25"/>
  <c r="F24" i="25"/>
  <c r="G24" i="25"/>
  <c r="H24" i="25"/>
  <c r="I24" i="25"/>
  <c r="J24" i="25"/>
  <c r="K24" i="25"/>
  <c r="L24" i="25"/>
  <c r="M24" i="25"/>
  <c r="N24" i="25"/>
  <c r="O24" i="25"/>
  <c r="P24" i="25"/>
  <c r="V6" i="25"/>
  <c r="V15" i="25"/>
  <c r="V24" i="25" s="1"/>
  <c r="V19" i="25"/>
  <c r="V18" i="25"/>
  <c r="U6" i="25"/>
  <c r="U24" i="25" s="1"/>
  <c r="U15" i="25"/>
  <c r="U19" i="25"/>
  <c r="T6" i="25"/>
  <c r="T15" i="25"/>
  <c r="T19" i="25"/>
  <c r="T18" i="25" s="1"/>
  <c r="S6" i="25"/>
  <c r="S15" i="25"/>
  <c r="S19" i="25"/>
  <c r="S18" i="25" s="1"/>
  <c r="Q19" i="25"/>
  <c r="Q18" i="25"/>
  <c r="Q15" i="25"/>
  <c r="Q6" i="25"/>
  <c r="Q7" i="25"/>
  <c r="Q3" i="25"/>
  <c r="P18" i="25"/>
  <c r="P12" i="25"/>
  <c r="P3" i="25"/>
  <c r="O18" i="25"/>
  <c r="O12" i="25"/>
  <c r="O3" i="25"/>
  <c r="O21" i="25" s="1"/>
  <c r="N18" i="25"/>
  <c r="N12" i="25"/>
  <c r="N3" i="25"/>
  <c r="M18" i="25"/>
  <c r="M12" i="25"/>
  <c r="M3" i="25"/>
  <c r="L18" i="25"/>
  <c r="L12" i="25"/>
  <c r="L3" i="25"/>
  <c r="K18" i="25"/>
  <c r="K12" i="25"/>
  <c r="K3" i="25"/>
  <c r="J18" i="25"/>
  <c r="J12" i="25"/>
  <c r="J3" i="25"/>
  <c r="I18" i="25"/>
  <c r="I12" i="25"/>
  <c r="I3" i="25"/>
  <c r="H18" i="25"/>
  <c r="H12" i="25"/>
  <c r="H3" i="25"/>
  <c r="G18" i="25"/>
  <c r="G12" i="25"/>
  <c r="G3" i="25"/>
  <c r="F18" i="25"/>
  <c r="F12" i="25"/>
  <c r="F3" i="25"/>
  <c r="E18" i="25"/>
  <c r="E12" i="25"/>
  <c r="E3" i="25"/>
  <c r="U18" i="25"/>
  <c r="T3" i="25"/>
  <c r="J8" i="24"/>
  <c r="J17" i="24"/>
  <c r="J21" i="24"/>
  <c r="J20" i="24" s="1"/>
  <c r="BQ19" i="23"/>
  <c r="BQ12" i="23"/>
  <c r="BQ15" i="23"/>
  <c r="BP15" i="23"/>
  <c r="CB15" i="23" s="1"/>
  <c r="BS27" i="23"/>
  <c r="BT27" i="23"/>
  <c r="CD7" i="23"/>
  <c r="AP7" i="23"/>
  <c r="AP28" i="23" s="1"/>
  <c r="CC7" i="23"/>
  <c r="CC28" i="23"/>
  <c r="CD6" i="23"/>
  <c r="CD15" i="23"/>
  <c r="DR15" i="23" s="1"/>
  <c r="AP15" i="23"/>
  <c r="CD19" i="23"/>
  <c r="CC6" i="23"/>
  <c r="AO6" i="23"/>
  <c r="DQ6" i="23"/>
  <c r="CC15" i="23"/>
  <c r="CC12" i="23" s="1"/>
  <c r="CC19" i="23"/>
  <c r="BP19" i="23"/>
  <c r="CB19" i="23" s="1"/>
  <c r="BM15" i="23"/>
  <c r="BY15" i="23" s="1"/>
  <c r="BN15" i="23"/>
  <c r="BO15" i="23"/>
  <c r="BM19" i="23"/>
  <c r="BN19" i="23"/>
  <c r="BN18" i="23" s="1"/>
  <c r="BO19" i="23"/>
  <c r="BN12" i="23"/>
  <c r="BN6" i="23"/>
  <c r="BR28" i="23"/>
  <c r="BS28" i="23"/>
  <c r="BT28" i="23"/>
  <c r="BU28" i="23"/>
  <c r="BV28" i="23"/>
  <c r="BW28" i="23"/>
  <c r="BX28" i="23"/>
  <c r="BR27" i="23"/>
  <c r="BU27" i="23"/>
  <c r="BV27" i="23"/>
  <c r="BW27" i="23"/>
  <c r="BX27" i="23"/>
  <c r="BG7" i="23"/>
  <c r="BG28" i="23"/>
  <c r="BJ15" i="23"/>
  <c r="BJ19" i="23"/>
  <c r="BI15" i="23"/>
  <c r="CW15" i="23" s="1"/>
  <c r="BI19" i="23"/>
  <c r="BH15" i="23"/>
  <c r="CV15" i="23" s="1"/>
  <c r="BH19" i="23"/>
  <c r="BG6" i="23"/>
  <c r="BG15" i="23"/>
  <c r="CU15" i="23" s="1"/>
  <c r="BG19" i="23"/>
  <c r="AO7" i="23"/>
  <c r="AO28" i="23" s="1"/>
  <c r="AN7" i="23"/>
  <c r="AN28" i="23"/>
  <c r="AM7" i="23"/>
  <c r="AM28" i="23" s="1"/>
  <c r="AP6" i="23"/>
  <c r="AP19" i="23"/>
  <c r="AO15" i="23"/>
  <c r="AO19" i="23"/>
  <c r="AN6" i="23"/>
  <c r="AN15" i="23"/>
  <c r="DP15" i="23" s="1"/>
  <c r="AN19" i="23"/>
  <c r="AM6" i="23"/>
  <c r="AM27" i="23" s="1"/>
  <c r="AM15" i="23"/>
  <c r="AM19" i="23"/>
  <c r="AO12" i="23"/>
  <c r="AM3" i="23"/>
  <c r="AM12" i="23"/>
  <c r="AM24" i="23" s="1"/>
  <c r="AM18" i="23"/>
  <c r="Y28" i="23"/>
  <c r="Z28" i="23"/>
  <c r="DB28" i="23" s="1"/>
  <c r="AA28" i="23"/>
  <c r="AB28" i="23"/>
  <c r="AD28" i="23"/>
  <c r="AE28" i="23"/>
  <c r="AF28" i="23"/>
  <c r="AG28" i="23"/>
  <c r="AH28" i="23"/>
  <c r="AI28" i="23"/>
  <c r="AJ28" i="23"/>
  <c r="Y27" i="23"/>
  <c r="Z27" i="23"/>
  <c r="AA27" i="23"/>
  <c r="AB27" i="23"/>
  <c r="AD27" i="23"/>
  <c r="AE27" i="23"/>
  <c r="AF27" i="23"/>
  <c r="AG27" i="23"/>
  <c r="AH27" i="23"/>
  <c r="AI27" i="23"/>
  <c r="AJ27" i="23"/>
  <c r="BE15" i="23"/>
  <c r="BE19" i="23"/>
  <c r="BE18" i="23" s="1"/>
  <c r="AK18" i="23"/>
  <c r="BD18" i="23"/>
  <c r="BD12" i="23"/>
  <c r="AJ12" i="23"/>
  <c r="AJ18" i="23"/>
  <c r="AJ3" i="23"/>
  <c r="BC18" i="23"/>
  <c r="CQ18" i="23" s="1"/>
  <c r="O18" i="23"/>
  <c r="BC12" i="23"/>
  <c r="AI18" i="23"/>
  <c r="AI12" i="23"/>
  <c r="AI3" i="23"/>
  <c r="BB18" i="23"/>
  <c r="BB12" i="23"/>
  <c r="AH12" i="23"/>
  <c r="AH24" i="23" s="1"/>
  <c r="AH18" i="23"/>
  <c r="AH3" i="23"/>
  <c r="BA18" i="23"/>
  <c r="BA12" i="23"/>
  <c r="AG18" i="23"/>
  <c r="DI18" i="23" s="1"/>
  <c r="AG12" i="23"/>
  <c r="AG3" i="23"/>
  <c r="AZ18" i="23"/>
  <c r="AZ12" i="23"/>
  <c r="AF12" i="23"/>
  <c r="AF24" i="23" s="1"/>
  <c r="AF18" i="23"/>
  <c r="AF3" i="23"/>
  <c r="AY12" i="23"/>
  <c r="AE18" i="23"/>
  <c r="DG18" i="23" s="1"/>
  <c r="AE12" i="23"/>
  <c r="AE3" i="23"/>
  <c r="J18" i="23"/>
  <c r="CL18" i="23" s="1"/>
  <c r="AD12" i="23"/>
  <c r="AD18" i="23"/>
  <c r="AD3" i="23"/>
  <c r="AC18" i="23"/>
  <c r="DE18" i="23"/>
  <c r="AC12" i="23"/>
  <c r="AC24" i="23"/>
  <c r="AC3" i="23"/>
  <c r="AB18" i="23"/>
  <c r="AB12" i="23"/>
  <c r="AB3" i="23"/>
  <c r="AA18" i="23"/>
  <c r="DC18" i="23"/>
  <c r="AA12" i="23"/>
  <c r="AA3" i="23"/>
  <c r="AA24" i="23" s="1"/>
  <c r="Z18" i="23"/>
  <c r="Z12" i="23"/>
  <c r="Z3" i="23"/>
  <c r="Y18" i="23"/>
  <c r="DA18" i="23"/>
  <c r="Y12" i="23"/>
  <c r="Y3" i="23"/>
  <c r="DL19" i="23"/>
  <c r="DK19" i="23"/>
  <c r="DJ19" i="23"/>
  <c r="DI19" i="23"/>
  <c r="DH19" i="23"/>
  <c r="DG19" i="23"/>
  <c r="DF19" i="23"/>
  <c r="DE19" i="23"/>
  <c r="DD19" i="23"/>
  <c r="DC19" i="23"/>
  <c r="DB19" i="23"/>
  <c r="DA19" i="23"/>
  <c r="DL18" i="23"/>
  <c r="DJ18" i="23"/>
  <c r="DF18" i="23"/>
  <c r="DD18" i="23"/>
  <c r="DB18" i="23"/>
  <c r="DL15" i="23"/>
  <c r="DK15" i="23"/>
  <c r="DJ15" i="23"/>
  <c r="DI15" i="23"/>
  <c r="DH15" i="23"/>
  <c r="DG15" i="23"/>
  <c r="DF15" i="23"/>
  <c r="DE15" i="23"/>
  <c r="DD15" i="23"/>
  <c r="DC15" i="23"/>
  <c r="DB15" i="23"/>
  <c r="DA15" i="23"/>
  <c r="DA12" i="23"/>
  <c r="DC7" i="23"/>
  <c r="DB7" i="23"/>
  <c r="DA7" i="23"/>
  <c r="DC6" i="23"/>
  <c r="DB6" i="23"/>
  <c r="DA6" i="23"/>
  <c r="DA3" i="23"/>
  <c r="AP12" i="23"/>
  <c r="CD18" i="23"/>
  <c r="AP18" i="23"/>
  <c r="CC18" i="23"/>
  <c r="AO18" i="23"/>
  <c r="AO3" i="23"/>
  <c r="DQ3" i="23" s="1"/>
  <c r="AN3" i="23"/>
  <c r="AN18" i="23"/>
  <c r="DR19" i="23"/>
  <c r="DQ19" i="23"/>
  <c r="DR18" i="23"/>
  <c r="DQ7" i="23"/>
  <c r="CR19" i="23"/>
  <c r="CQ19" i="23"/>
  <c r="CP19" i="23"/>
  <c r="CO19" i="23"/>
  <c r="CN19" i="23"/>
  <c r="CM19" i="23"/>
  <c r="CL19" i="23"/>
  <c r="CK19" i="23"/>
  <c r="CJ19" i="23"/>
  <c r="CI19" i="23"/>
  <c r="CH19" i="23"/>
  <c r="CG19" i="23"/>
  <c r="BO18" i="23"/>
  <c r="BJ18" i="23"/>
  <c r="CX18" i="23" s="1"/>
  <c r="V18" i="23"/>
  <c r="U18" i="23"/>
  <c r="Q18" i="23"/>
  <c r="BX18" i="23"/>
  <c r="BW18" i="23"/>
  <c r="BW12" i="23"/>
  <c r="BW3" i="23"/>
  <c r="BV18" i="23"/>
  <c r="BV12" i="23"/>
  <c r="BV3" i="23"/>
  <c r="BU18" i="23"/>
  <c r="BT18" i="23"/>
  <c r="BS18" i="23"/>
  <c r="BS12" i="23"/>
  <c r="BS24" i="23" s="1"/>
  <c r="BS3" i="23"/>
  <c r="BR18" i="23"/>
  <c r="BQ18" i="23"/>
  <c r="BP18" i="23"/>
  <c r="BG18" i="23"/>
  <c r="CU18" i="23" s="1"/>
  <c r="S18" i="23"/>
  <c r="T18" i="23"/>
  <c r="P18" i="23"/>
  <c r="N18" i="23"/>
  <c r="M18" i="23"/>
  <c r="CO18" i="23" s="1"/>
  <c r="L18" i="23"/>
  <c r="K18" i="23"/>
  <c r="CM18" i="23" s="1"/>
  <c r="I18" i="23"/>
  <c r="CK18" i="23"/>
  <c r="H18" i="23"/>
  <c r="F18" i="23"/>
  <c r="CH18" i="23" s="1"/>
  <c r="E18" i="23"/>
  <c r="CG18" i="23" s="1"/>
  <c r="CR15" i="23"/>
  <c r="CQ15" i="23"/>
  <c r="CP15" i="23"/>
  <c r="CO15" i="23"/>
  <c r="CN15" i="23"/>
  <c r="CM15" i="23"/>
  <c r="CL15" i="23"/>
  <c r="CK15" i="23"/>
  <c r="CJ15" i="23"/>
  <c r="CI15" i="23"/>
  <c r="CH15" i="23"/>
  <c r="CG15" i="23"/>
  <c r="U12" i="23"/>
  <c r="BX12" i="23"/>
  <c r="BX24" i="23" s="1"/>
  <c r="BU12" i="23"/>
  <c r="BU3" i="23"/>
  <c r="BT12" i="23"/>
  <c r="BR12" i="23"/>
  <c r="P12" i="23"/>
  <c r="O12" i="23"/>
  <c r="N12" i="23"/>
  <c r="CP12" i="23" s="1"/>
  <c r="M12" i="23"/>
  <c r="L12" i="23"/>
  <c r="K12" i="23"/>
  <c r="J12" i="23"/>
  <c r="I12" i="23"/>
  <c r="H12" i="23"/>
  <c r="F12" i="23"/>
  <c r="E12" i="23"/>
  <c r="CG12" i="23" s="1"/>
  <c r="BX3" i="23"/>
  <c r="BR3" i="23"/>
  <c r="BT3" i="23"/>
  <c r="CU19" i="23"/>
  <c r="S12" i="23"/>
  <c r="CP18" i="23"/>
  <c r="CV19" i="23"/>
  <c r="BH18" i="23"/>
  <c r="CV18" i="23"/>
  <c r="CX15" i="23"/>
  <c r="CJ18" i="23"/>
  <c r="CR18" i="23"/>
  <c r="CW19" i="23"/>
  <c r="CX19" i="23"/>
  <c r="BI18" i="23"/>
  <c r="CW18" i="23" s="1"/>
  <c r="CI18" i="23"/>
  <c r="A2" i="4"/>
  <c r="CY4" i="4" s="1"/>
  <c r="D36" i="10"/>
  <c r="E36" i="10"/>
  <c r="F36" i="10"/>
  <c r="G36" i="10"/>
  <c r="H36" i="10"/>
  <c r="I36" i="10"/>
  <c r="J36" i="10"/>
  <c r="K36" i="10"/>
  <c r="L36" i="10"/>
  <c r="M36" i="10"/>
  <c r="N36" i="10"/>
  <c r="O36" i="10"/>
  <c r="W75" i="2"/>
  <c r="AH75" i="2"/>
  <c r="W76" i="2"/>
  <c r="AH76" i="2"/>
  <c r="W77" i="2"/>
  <c r="R412" i="3"/>
  <c r="AG69" i="2"/>
  <c r="AG75" i="2"/>
  <c r="AG76" i="2"/>
  <c r="AG77" i="2"/>
  <c r="S75" i="2"/>
  <c r="S76" i="2"/>
  <c r="AD76" i="2" s="1"/>
  <c r="W411" i="3" s="1"/>
  <c r="S77" i="2"/>
  <c r="AD77" i="2" s="1"/>
  <c r="W412" i="3" s="1"/>
  <c r="AC75" i="2"/>
  <c r="W394" i="3" s="1"/>
  <c r="AC77" i="2"/>
  <c r="V82" i="2"/>
  <c r="R82" i="2"/>
  <c r="N75" i="2"/>
  <c r="N76" i="2"/>
  <c r="N77" i="2"/>
  <c r="L82" i="2"/>
  <c r="K82" i="2"/>
  <c r="J82" i="2"/>
  <c r="I82" i="2"/>
  <c r="H82" i="2"/>
  <c r="G82" i="2"/>
  <c r="D75" i="2"/>
  <c r="D76" i="2"/>
  <c r="D77" i="2"/>
  <c r="C75" i="2"/>
  <c r="C76" i="2"/>
  <c r="C77" i="2"/>
  <c r="W72" i="2"/>
  <c r="AH72" i="2" s="1"/>
  <c r="AA407" i="3" s="1"/>
  <c r="W73" i="2"/>
  <c r="W74" i="2"/>
  <c r="R409" i="3" s="1"/>
  <c r="AG72" i="2"/>
  <c r="AA391" i="3"/>
  <c r="AG73" i="2"/>
  <c r="AA392" i="3"/>
  <c r="AG74" i="2"/>
  <c r="AA393" i="3" s="1"/>
  <c r="S72" i="2"/>
  <c r="AD72" i="2" s="1"/>
  <c r="W407" i="3" s="1"/>
  <c r="S73" i="2"/>
  <c r="AD73" i="2" s="1"/>
  <c r="W408" i="3" s="1"/>
  <c r="S74" i="2"/>
  <c r="AD74" i="2" s="1"/>
  <c r="W409" i="3" s="1"/>
  <c r="AC72" i="2"/>
  <c r="AC73" i="2"/>
  <c r="W392" i="3" s="1"/>
  <c r="AC74" i="2"/>
  <c r="V81" i="2"/>
  <c r="R81" i="2"/>
  <c r="N72" i="2"/>
  <c r="N73" i="2"/>
  <c r="N74" i="2"/>
  <c r="L81" i="2"/>
  <c r="K81" i="2"/>
  <c r="J81" i="2"/>
  <c r="I81" i="2"/>
  <c r="H81" i="2"/>
  <c r="G81" i="2"/>
  <c r="D72" i="2"/>
  <c r="D73" i="2"/>
  <c r="D74" i="2"/>
  <c r="C72" i="2"/>
  <c r="C73" i="2"/>
  <c r="C74" i="2"/>
  <c r="W69" i="2"/>
  <c r="R404" i="3" s="1"/>
  <c r="W70" i="2"/>
  <c r="AH70" i="2" s="1"/>
  <c r="AA405" i="3" s="1"/>
  <c r="W71" i="2"/>
  <c r="AH71" i="2"/>
  <c r="AA406" i="3" s="1"/>
  <c r="AG70" i="2"/>
  <c r="AA389" i="3" s="1"/>
  <c r="Z70" i="2"/>
  <c r="S69" i="2"/>
  <c r="AD69" i="2"/>
  <c r="W404" i="3" s="1"/>
  <c r="S70" i="2"/>
  <c r="AD70" i="2" s="1"/>
  <c r="W405" i="3" s="1"/>
  <c r="S71" i="2"/>
  <c r="V80" i="2"/>
  <c r="R80" i="2"/>
  <c r="N69" i="2"/>
  <c r="N70" i="2"/>
  <c r="N71" i="2"/>
  <c r="L80" i="2"/>
  <c r="K80" i="2"/>
  <c r="J80" i="2"/>
  <c r="I80" i="2"/>
  <c r="H80" i="2"/>
  <c r="G80" i="2"/>
  <c r="D69" i="2"/>
  <c r="D70" i="2"/>
  <c r="D71" i="2"/>
  <c r="C71" i="2"/>
  <c r="C80" i="2"/>
  <c r="W66" i="2"/>
  <c r="W67" i="2"/>
  <c r="W68" i="2"/>
  <c r="AH68" i="2"/>
  <c r="AA403" i="3" s="1"/>
  <c r="AG66" i="2"/>
  <c r="AA385" i="3"/>
  <c r="AG67" i="2"/>
  <c r="AG68" i="2"/>
  <c r="AA387" i="3"/>
  <c r="AA388" i="3"/>
  <c r="AA390" i="3"/>
  <c r="AA395" i="3"/>
  <c r="AC68" i="2"/>
  <c r="S66" i="2"/>
  <c r="S67" i="2"/>
  <c r="AD67" i="2" s="1"/>
  <c r="W402" i="3" s="1"/>
  <c r="S68" i="2"/>
  <c r="AC66" i="2"/>
  <c r="AC67" i="2"/>
  <c r="W386" i="3"/>
  <c r="V79" i="2"/>
  <c r="R79" i="2"/>
  <c r="N66" i="2"/>
  <c r="N67" i="2"/>
  <c r="N68" i="2"/>
  <c r="L79" i="2"/>
  <c r="K79" i="2"/>
  <c r="J79" i="2"/>
  <c r="I79" i="2"/>
  <c r="H79" i="2"/>
  <c r="G79" i="2"/>
  <c r="D66" i="2"/>
  <c r="D67" i="2"/>
  <c r="D68" i="2"/>
  <c r="E37" i="3"/>
  <c r="E66" i="3"/>
  <c r="E98" i="3"/>
  <c r="E129" i="3"/>
  <c r="E161" i="3"/>
  <c r="E192" i="3"/>
  <c r="E224" i="3"/>
  <c r="E256" i="3"/>
  <c r="E287" i="3"/>
  <c r="E319" i="3"/>
  <c r="E350" i="3"/>
  <c r="I161" i="3"/>
  <c r="I37" i="3"/>
  <c r="I66" i="3"/>
  <c r="I98" i="3"/>
  <c r="I129" i="3"/>
  <c r="I192" i="3"/>
  <c r="I224" i="3"/>
  <c r="I256" i="3"/>
  <c r="I287" i="3"/>
  <c r="I319" i="3"/>
  <c r="I350" i="3"/>
  <c r="J37" i="3"/>
  <c r="J129" i="3"/>
  <c r="J66" i="3"/>
  <c r="J98" i="3"/>
  <c r="J161" i="3"/>
  <c r="J192" i="3"/>
  <c r="J224" i="3"/>
  <c r="J256" i="3"/>
  <c r="J287" i="3"/>
  <c r="J319" i="3"/>
  <c r="J350" i="3"/>
  <c r="AE160" i="3"/>
  <c r="AD160" i="3"/>
  <c r="AE159" i="3"/>
  <c r="AD159" i="3"/>
  <c r="AE158" i="3"/>
  <c r="AD158" i="3"/>
  <c r="AE157" i="3"/>
  <c r="AD157" i="3"/>
  <c r="AE156" i="3"/>
  <c r="AD156" i="3"/>
  <c r="AE155" i="3"/>
  <c r="AD155" i="3"/>
  <c r="AE154" i="3"/>
  <c r="AD154" i="3"/>
  <c r="AE153" i="3"/>
  <c r="AD153" i="3"/>
  <c r="AE152" i="3"/>
  <c r="AD152" i="3"/>
  <c r="AE151" i="3"/>
  <c r="AD151" i="3"/>
  <c r="AE150" i="3"/>
  <c r="AD150" i="3"/>
  <c r="AE149" i="3"/>
  <c r="AD149" i="3"/>
  <c r="AE148" i="3"/>
  <c r="AD148" i="3"/>
  <c r="AE147" i="3"/>
  <c r="AD147" i="3"/>
  <c r="AE146" i="3"/>
  <c r="AD146" i="3"/>
  <c r="AE145" i="3"/>
  <c r="AD145" i="3"/>
  <c r="AE144" i="3"/>
  <c r="AD144" i="3"/>
  <c r="AE143" i="3"/>
  <c r="AD143" i="3"/>
  <c r="AE142" i="3"/>
  <c r="AD142" i="3"/>
  <c r="AE141" i="3"/>
  <c r="AD141" i="3"/>
  <c r="AE140" i="3"/>
  <c r="AD140" i="3"/>
  <c r="AE139" i="3"/>
  <c r="AD139" i="3"/>
  <c r="AE138" i="3"/>
  <c r="AD138" i="3"/>
  <c r="AE137" i="3"/>
  <c r="AD137" i="3"/>
  <c r="AE136" i="3"/>
  <c r="AD136" i="3"/>
  <c r="AE135" i="3"/>
  <c r="AD135" i="3"/>
  <c r="AE134" i="3"/>
  <c r="AD134" i="3"/>
  <c r="AE133" i="3"/>
  <c r="AD133" i="3"/>
  <c r="AE132" i="3"/>
  <c r="AD132" i="3"/>
  <c r="AE131" i="3"/>
  <c r="AD131" i="3"/>
  <c r="AE130" i="3"/>
  <c r="AD130" i="3"/>
  <c r="AE128" i="3"/>
  <c r="AD128" i="3"/>
  <c r="AE127" i="3"/>
  <c r="AD127" i="3"/>
  <c r="AE126" i="3"/>
  <c r="AD126" i="3"/>
  <c r="AE125" i="3"/>
  <c r="AD125" i="3"/>
  <c r="AE124" i="3"/>
  <c r="AD124" i="3"/>
  <c r="AE123" i="3"/>
  <c r="AD123" i="3"/>
  <c r="AE122" i="3"/>
  <c r="AD122" i="3"/>
  <c r="AE121" i="3"/>
  <c r="AD121" i="3"/>
  <c r="AE120" i="3"/>
  <c r="AD120" i="3"/>
  <c r="AE119" i="3"/>
  <c r="AD119" i="3"/>
  <c r="AE118" i="3"/>
  <c r="AD118" i="3"/>
  <c r="AE117" i="3"/>
  <c r="AD117" i="3"/>
  <c r="AE116" i="3"/>
  <c r="AD116" i="3"/>
  <c r="AE115" i="3"/>
  <c r="AD115" i="3"/>
  <c r="AE114" i="3"/>
  <c r="AD114" i="3"/>
  <c r="AE113" i="3"/>
  <c r="AD113" i="3"/>
  <c r="AE112" i="3"/>
  <c r="AD112" i="3"/>
  <c r="AE111" i="3"/>
  <c r="AD111" i="3"/>
  <c r="AE110" i="3"/>
  <c r="AD110" i="3"/>
  <c r="AE109" i="3"/>
  <c r="AD109" i="3"/>
  <c r="AE108" i="3"/>
  <c r="AD108" i="3"/>
  <c r="AE107" i="3"/>
  <c r="AD107" i="3"/>
  <c r="AE106" i="3"/>
  <c r="AD106" i="3"/>
  <c r="AE105" i="3"/>
  <c r="AD105" i="3"/>
  <c r="AE104" i="3"/>
  <c r="AD104" i="3"/>
  <c r="AE103" i="3"/>
  <c r="AD103" i="3"/>
  <c r="AE102" i="3"/>
  <c r="AD102" i="3"/>
  <c r="AE101" i="3"/>
  <c r="AD101" i="3"/>
  <c r="AE100" i="3"/>
  <c r="AD100" i="3"/>
  <c r="AE99" i="3"/>
  <c r="AD99" i="3"/>
  <c r="AE97" i="3"/>
  <c r="AE96" i="3"/>
  <c r="AE95" i="3"/>
  <c r="AE94" i="3"/>
  <c r="AD97" i="3"/>
  <c r="AD96" i="3"/>
  <c r="AD95" i="3"/>
  <c r="AD94" i="3"/>
  <c r="AE93" i="3"/>
  <c r="AD93" i="3"/>
  <c r="AE92" i="3"/>
  <c r="AD92" i="3"/>
  <c r="AE91" i="3"/>
  <c r="AD91" i="3"/>
  <c r="AE90" i="3"/>
  <c r="AD90" i="3"/>
  <c r="AE89" i="3"/>
  <c r="AD89" i="3"/>
  <c r="AE88" i="3"/>
  <c r="AD88" i="3"/>
  <c r="AE87" i="3"/>
  <c r="AD87" i="3"/>
  <c r="AE86" i="3"/>
  <c r="AD86" i="3"/>
  <c r="AE85" i="3"/>
  <c r="AD85" i="3"/>
  <c r="AE84" i="3"/>
  <c r="AD84" i="3"/>
  <c r="AE83" i="3"/>
  <c r="AD83" i="3"/>
  <c r="AE82" i="3"/>
  <c r="AD82" i="3"/>
  <c r="AE81" i="3"/>
  <c r="AD81" i="3"/>
  <c r="AE80" i="3"/>
  <c r="AD80" i="3"/>
  <c r="AE79" i="3"/>
  <c r="AD79" i="3"/>
  <c r="AE78" i="3"/>
  <c r="AD78" i="3"/>
  <c r="AE77" i="3"/>
  <c r="AD77" i="3"/>
  <c r="AE76" i="3"/>
  <c r="AD76" i="3"/>
  <c r="AE75" i="3"/>
  <c r="AD75" i="3"/>
  <c r="AE74" i="3"/>
  <c r="AD74" i="3"/>
  <c r="AE73" i="3"/>
  <c r="AD73" i="3"/>
  <c r="AE72" i="3"/>
  <c r="AD72" i="3"/>
  <c r="AE71" i="3"/>
  <c r="AD71" i="3"/>
  <c r="AE70" i="3"/>
  <c r="AD70" i="3"/>
  <c r="AE69" i="3"/>
  <c r="AD69" i="3"/>
  <c r="AE68" i="3"/>
  <c r="AD68" i="3"/>
  <c r="AE67" i="3"/>
  <c r="AD67" i="3"/>
  <c r="AE65" i="3"/>
  <c r="AD65" i="3"/>
  <c r="AE64" i="3"/>
  <c r="AD64" i="3"/>
  <c r="AE63" i="3"/>
  <c r="AD63" i="3"/>
  <c r="AE62" i="3"/>
  <c r="AD62" i="3"/>
  <c r="AE61" i="3"/>
  <c r="AD61" i="3"/>
  <c r="AE60" i="3"/>
  <c r="AD60" i="3"/>
  <c r="AE59" i="3"/>
  <c r="AD59" i="3"/>
  <c r="AE58" i="3"/>
  <c r="AD58" i="3"/>
  <c r="AE57" i="3"/>
  <c r="AD57" i="3"/>
  <c r="AE56" i="3"/>
  <c r="AD56" i="3"/>
  <c r="AE55" i="3"/>
  <c r="AD55" i="3"/>
  <c r="AE54" i="3"/>
  <c r="AD54" i="3"/>
  <c r="AE53" i="3"/>
  <c r="AD53" i="3"/>
  <c r="AE52" i="3"/>
  <c r="AD52" i="3"/>
  <c r="AE51" i="3"/>
  <c r="AD51" i="3"/>
  <c r="AE50" i="3"/>
  <c r="AD50" i="3"/>
  <c r="AE49" i="3"/>
  <c r="AD49" i="3"/>
  <c r="AE48" i="3"/>
  <c r="AD48" i="3"/>
  <c r="AE47" i="3"/>
  <c r="AD47" i="3"/>
  <c r="AE46" i="3"/>
  <c r="AD46" i="3"/>
  <c r="AE45" i="3"/>
  <c r="AD45" i="3"/>
  <c r="AE44" i="3"/>
  <c r="AD44" i="3"/>
  <c r="AE43" i="3"/>
  <c r="AD43" i="3"/>
  <c r="AE42" i="3"/>
  <c r="AD42" i="3"/>
  <c r="AE41" i="3"/>
  <c r="AD41" i="3"/>
  <c r="AE40" i="3"/>
  <c r="AD40" i="3"/>
  <c r="AE39" i="3"/>
  <c r="AD39" i="3"/>
  <c r="AE38" i="3"/>
  <c r="AD38" i="3"/>
  <c r="AE36" i="3"/>
  <c r="AD36" i="3"/>
  <c r="AE35" i="3"/>
  <c r="AD35" i="3"/>
  <c r="AE34" i="3"/>
  <c r="AD34" i="3"/>
  <c r="AE33" i="3"/>
  <c r="AD33" i="3"/>
  <c r="AE32" i="3"/>
  <c r="AD32" i="3"/>
  <c r="AE31" i="3"/>
  <c r="AD31" i="3"/>
  <c r="AE30" i="3"/>
  <c r="AD30" i="3"/>
  <c r="AE29" i="3"/>
  <c r="AD29" i="3"/>
  <c r="AE28" i="3"/>
  <c r="AD28" i="3"/>
  <c r="AE27" i="3"/>
  <c r="AD27" i="3"/>
  <c r="AE26" i="3"/>
  <c r="AD26" i="3"/>
  <c r="AE25" i="3"/>
  <c r="AD25" i="3"/>
  <c r="AE24" i="3"/>
  <c r="AD24" i="3"/>
  <c r="AE23" i="3"/>
  <c r="AD23" i="3"/>
  <c r="AE22" i="3"/>
  <c r="AD22" i="3"/>
  <c r="AE21" i="3"/>
  <c r="AD21" i="3"/>
  <c r="AE20" i="3"/>
  <c r="AD20" i="3"/>
  <c r="AE19" i="3"/>
  <c r="AD19" i="3"/>
  <c r="AE18" i="3"/>
  <c r="AD18" i="3"/>
  <c r="AE17" i="3"/>
  <c r="AD17" i="3"/>
  <c r="AE16" i="3"/>
  <c r="AD16" i="3"/>
  <c r="AE15" i="3"/>
  <c r="AD15" i="3"/>
  <c r="AE14" i="3"/>
  <c r="AD14" i="3"/>
  <c r="AE13" i="3"/>
  <c r="AD13" i="3"/>
  <c r="AE12" i="3"/>
  <c r="AD12" i="3"/>
  <c r="AE11" i="3"/>
  <c r="AD11" i="3"/>
  <c r="AE10" i="3"/>
  <c r="AD10" i="3"/>
  <c r="AE9" i="3"/>
  <c r="AD9" i="3"/>
  <c r="AE8" i="3"/>
  <c r="AD8" i="3"/>
  <c r="AE7" i="3"/>
  <c r="AD7" i="3"/>
  <c r="AE6" i="3"/>
  <c r="AD6" i="3"/>
  <c r="AU104" i="16"/>
  <c r="AU103" i="16"/>
  <c r="AU100" i="16"/>
  <c r="AU99" i="16"/>
  <c r="BU68" i="16"/>
  <c r="BU62" i="16"/>
  <c r="CH66" i="16"/>
  <c r="CH60" i="16"/>
  <c r="AT75" i="16"/>
  <c r="AT76" i="16"/>
  <c r="AT37" i="16"/>
  <c r="AT77" i="16"/>
  <c r="AT41" i="16"/>
  <c r="AT78" i="16"/>
  <c r="AT17" i="16"/>
  <c r="AT21" i="16"/>
  <c r="AT64" i="16" s="1"/>
  <c r="AL75" i="16"/>
  <c r="AM82" i="16"/>
  <c r="AN75" i="16"/>
  <c r="AN79" i="16" s="1"/>
  <c r="AN76" i="16"/>
  <c r="AN17" i="16"/>
  <c r="AN58" i="16"/>
  <c r="AN61" i="16" s="1"/>
  <c r="AN62" i="16" s="1"/>
  <c r="AN37" i="16"/>
  <c r="AN77" i="16"/>
  <c r="AN21" i="16"/>
  <c r="AN64" i="16"/>
  <c r="AN67" i="16" s="1"/>
  <c r="AN68" i="16" s="1"/>
  <c r="AN85" i="16" s="1"/>
  <c r="AN41" i="16"/>
  <c r="AN78" i="16"/>
  <c r="AO75" i="16"/>
  <c r="AO79" i="16" s="1"/>
  <c r="AM76" i="16"/>
  <c r="AV76" i="16" s="1"/>
  <c r="AP83" i="16"/>
  <c r="AP76" i="16"/>
  <c r="AR76" i="16"/>
  <c r="AJ17" i="16"/>
  <c r="AJ58" i="16"/>
  <c r="AJ61" i="16" s="1"/>
  <c r="AJ62" i="16" s="1"/>
  <c r="AJ37" i="16"/>
  <c r="AK17" i="16"/>
  <c r="AK58" i="16" s="1"/>
  <c r="AK61" i="16" s="1"/>
  <c r="AK62" i="16" s="1"/>
  <c r="AL17" i="16"/>
  <c r="AM17" i="16"/>
  <c r="AM58" i="16"/>
  <c r="AM61" i="16" s="1"/>
  <c r="AM62" i="16" s="1"/>
  <c r="AO17" i="16"/>
  <c r="AO58" i="16"/>
  <c r="AP17" i="16"/>
  <c r="AP58" i="16"/>
  <c r="AP61" i="16" s="1"/>
  <c r="AP62" i="16" s="1"/>
  <c r="AP37" i="16"/>
  <c r="AP77" i="16"/>
  <c r="AQ17" i="16"/>
  <c r="AQ58" i="16"/>
  <c r="AQ61" i="16" s="1"/>
  <c r="AR17" i="16"/>
  <c r="AS17" i="16"/>
  <c r="AS58" i="16"/>
  <c r="AS59" i="16" s="1"/>
  <c r="AJ21" i="16"/>
  <c r="AJ64" i="16" s="1"/>
  <c r="AJ67" i="16" s="1"/>
  <c r="AK21" i="16"/>
  <c r="AL21" i="16"/>
  <c r="AL64" i="16" s="1"/>
  <c r="AL67" i="16" s="1"/>
  <c r="AL68" i="16" s="1"/>
  <c r="AL85" i="16" s="1"/>
  <c r="AL41" i="16"/>
  <c r="AL78" i="16" s="1"/>
  <c r="AM21" i="16"/>
  <c r="AM64" i="16"/>
  <c r="AO21" i="16"/>
  <c r="AP21" i="16"/>
  <c r="AP64" i="16" s="1"/>
  <c r="AP67" i="16" s="1"/>
  <c r="AP68" i="16" s="1"/>
  <c r="AQ21" i="16"/>
  <c r="AQ64" i="16" s="1"/>
  <c r="AQ67" i="16" s="1"/>
  <c r="AQ68" i="16" s="1"/>
  <c r="AQ41" i="16"/>
  <c r="AQ78" i="16" s="1"/>
  <c r="AR21" i="16"/>
  <c r="AS21" i="16"/>
  <c r="BB65" i="16"/>
  <c r="BD65" i="16" s="1"/>
  <c r="BB66" i="16"/>
  <c r="BD66" i="16" s="1"/>
  <c r="BE66" i="16" s="1"/>
  <c r="BF66" i="16" s="1"/>
  <c r="BG66" i="16" s="1"/>
  <c r="AJ41" i="16"/>
  <c r="AJ78" i="16"/>
  <c r="AK41" i="16"/>
  <c r="AM41" i="16"/>
  <c r="AM78" i="16" s="1"/>
  <c r="AO41" i="16"/>
  <c r="AO78" i="16" s="1"/>
  <c r="AP41" i="16"/>
  <c r="AP78" i="16" s="1"/>
  <c r="AR41" i="16"/>
  <c r="AR78" i="16" s="1"/>
  <c r="AS41" i="16"/>
  <c r="AS78" i="16" s="1"/>
  <c r="AT104" i="16"/>
  <c r="AS104" i="16"/>
  <c r="AT103" i="16"/>
  <c r="AS103" i="16"/>
  <c r="BB59" i="16"/>
  <c r="BD59" i="16" s="1"/>
  <c r="BB60" i="16"/>
  <c r="BD60" i="16" s="1"/>
  <c r="AK37" i="16"/>
  <c r="AK77" i="16" s="1"/>
  <c r="AL37" i="16"/>
  <c r="AL77" i="16"/>
  <c r="AM37" i="16"/>
  <c r="AM77" i="16"/>
  <c r="AO37" i="16"/>
  <c r="AO77" i="16"/>
  <c r="AQ37" i="16"/>
  <c r="AQ77" i="16"/>
  <c r="AR37" i="16"/>
  <c r="AR77" i="16"/>
  <c r="AS37" i="16"/>
  <c r="AS77" i="16"/>
  <c r="AT100" i="16"/>
  <c r="AS100" i="16"/>
  <c r="AT99" i="16"/>
  <c r="AS99" i="16"/>
  <c r="AJ76" i="16"/>
  <c r="AJ75" i="16"/>
  <c r="AK76" i="16"/>
  <c r="AP75" i="16"/>
  <c r="AP79" i="16" s="1"/>
  <c r="AS76" i="16"/>
  <c r="AU76" i="16"/>
  <c r="AM75" i="16"/>
  <c r="AQ75" i="16"/>
  <c r="AS75" i="16"/>
  <c r="T82" i="16"/>
  <c r="Z82" i="16"/>
  <c r="Z86" i="16" s="1"/>
  <c r="AA82" i="16"/>
  <c r="AE82" i="16"/>
  <c r="AB82" i="16"/>
  <c r="U83" i="16"/>
  <c r="U86" i="16" s="1"/>
  <c r="V83" i="16"/>
  <c r="V86" i="16" s="1"/>
  <c r="Y83" i="16"/>
  <c r="Z61" i="16"/>
  <c r="Z62" i="16" s="1"/>
  <c r="Z84" i="16" s="1"/>
  <c r="Z67" i="16"/>
  <c r="Z68" i="16"/>
  <c r="Z85" i="16" s="1"/>
  <c r="AA83" i="16"/>
  <c r="AC83" i="16"/>
  <c r="AD83" i="16"/>
  <c r="T61" i="16"/>
  <c r="T62" i="16"/>
  <c r="T84" i="16" s="1"/>
  <c r="U61" i="16"/>
  <c r="U62" i="16" s="1"/>
  <c r="U84" i="16" s="1"/>
  <c r="V61" i="16"/>
  <c r="V62" i="16"/>
  <c r="W61" i="16"/>
  <c r="W62" i="16"/>
  <c r="W84" i="16" s="1"/>
  <c r="X61" i="16"/>
  <c r="X62" i="16" s="1"/>
  <c r="X84" i="16" s="1"/>
  <c r="Y61" i="16"/>
  <c r="Y62" i="16"/>
  <c r="Y84" i="16" s="1"/>
  <c r="AA61" i="16"/>
  <c r="AA62" i="16" s="1"/>
  <c r="AA84" i="16" s="1"/>
  <c r="AB61" i="16"/>
  <c r="AC61" i="16"/>
  <c r="AC62" i="16" s="1"/>
  <c r="AC84" i="16" s="1"/>
  <c r="AD61" i="16"/>
  <c r="AD62" i="16"/>
  <c r="AD84" i="16" s="1"/>
  <c r="AE61" i="16"/>
  <c r="AE62" i="16" s="1"/>
  <c r="AE84" i="16" s="1"/>
  <c r="AE67" i="16"/>
  <c r="AE68" i="16"/>
  <c r="AE85" i="16" s="1"/>
  <c r="T67" i="16"/>
  <c r="T68" i="16" s="1"/>
  <c r="U67" i="16"/>
  <c r="U68" i="16" s="1"/>
  <c r="V67" i="16"/>
  <c r="V68" i="16" s="1"/>
  <c r="W67" i="16"/>
  <c r="W68" i="16" s="1"/>
  <c r="W85" i="16" s="1"/>
  <c r="X67" i="16"/>
  <c r="X68" i="16"/>
  <c r="X85" i="16" s="1"/>
  <c r="Y67" i="16"/>
  <c r="Y68" i="16" s="1"/>
  <c r="Y85" i="16" s="1"/>
  <c r="AA67" i="16"/>
  <c r="AA68" i="16"/>
  <c r="AB67" i="16"/>
  <c r="AB68" i="16"/>
  <c r="AB85" i="16" s="1"/>
  <c r="AC67" i="16"/>
  <c r="AD67" i="16"/>
  <c r="AD68" i="16"/>
  <c r="AD85" i="16" s="1"/>
  <c r="AF75" i="16"/>
  <c r="AF76" i="16"/>
  <c r="AF77" i="16"/>
  <c r="AF78" i="16"/>
  <c r="AE79" i="16"/>
  <c r="AD79" i="16"/>
  <c r="AC79" i="16"/>
  <c r="AB79" i="16"/>
  <c r="AA79" i="16"/>
  <c r="Z79" i="16"/>
  <c r="Y79" i="16"/>
  <c r="X79" i="16"/>
  <c r="W79" i="16"/>
  <c r="V79" i="16"/>
  <c r="U79" i="16"/>
  <c r="T79" i="16"/>
  <c r="T70" i="16"/>
  <c r="U70" i="16"/>
  <c r="V70" i="16"/>
  <c r="W70" i="16"/>
  <c r="X70" i="16"/>
  <c r="Y70" i="16"/>
  <c r="Z70" i="16"/>
  <c r="AA70" i="16"/>
  <c r="AB70" i="16"/>
  <c r="AC70" i="16"/>
  <c r="AD70" i="16"/>
  <c r="AE70" i="16"/>
  <c r="AF66" i="16"/>
  <c r="AV66" i="16"/>
  <c r="AF65" i="16"/>
  <c r="AG65" i="16"/>
  <c r="AF64" i="16"/>
  <c r="AF60" i="16"/>
  <c r="AV60" i="16"/>
  <c r="AF59" i="16"/>
  <c r="AG59" i="16"/>
  <c r="AF58" i="16"/>
  <c r="U42" i="16"/>
  <c r="U37" i="16"/>
  <c r="U41" i="16"/>
  <c r="V37" i="16"/>
  <c r="V42" i="16" s="1"/>
  <c r="V41" i="16"/>
  <c r="Y42" i="16"/>
  <c r="Y37" i="16"/>
  <c r="Y41" i="16"/>
  <c r="AD37" i="16"/>
  <c r="AD41" i="16"/>
  <c r="AD42" i="16"/>
  <c r="T37" i="16"/>
  <c r="W37" i="16"/>
  <c r="X37" i="16"/>
  <c r="Z37" i="16"/>
  <c r="AA37" i="16"/>
  <c r="AB37" i="16"/>
  <c r="AC37" i="16"/>
  <c r="AC42" i="16" s="1"/>
  <c r="AC41" i="16"/>
  <c r="AE37" i="16"/>
  <c r="T41" i="16"/>
  <c r="W41" i="16"/>
  <c r="X41" i="16"/>
  <c r="Z41" i="16"/>
  <c r="AA41" i="16"/>
  <c r="AB41" i="16"/>
  <c r="AB42" i="16"/>
  <c r="AE41" i="16"/>
  <c r="I37" i="16"/>
  <c r="I41" i="16"/>
  <c r="I42" i="16"/>
  <c r="J37" i="16"/>
  <c r="J41" i="16"/>
  <c r="F37" i="16"/>
  <c r="F41" i="16"/>
  <c r="N37" i="16"/>
  <c r="N41" i="16"/>
  <c r="E37" i="16"/>
  <c r="G37" i="16"/>
  <c r="H37" i="16"/>
  <c r="K37" i="16"/>
  <c r="L37" i="16"/>
  <c r="M37" i="16"/>
  <c r="O37" i="16"/>
  <c r="P37" i="16"/>
  <c r="E41" i="16"/>
  <c r="G41" i="16"/>
  <c r="H41" i="16"/>
  <c r="K41" i="16"/>
  <c r="L41" i="16"/>
  <c r="M41" i="16"/>
  <c r="O41" i="16"/>
  <c r="P41" i="16"/>
  <c r="AF40" i="16"/>
  <c r="AI40" i="16" s="1"/>
  <c r="Q40" i="16"/>
  <c r="AF39" i="16"/>
  <c r="Q39" i="16"/>
  <c r="AF36" i="16"/>
  <c r="Q36" i="16"/>
  <c r="AF35" i="16"/>
  <c r="Q35" i="16"/>
  <c r="AE17" i="16"/>
  <c r="AE21" i="16"/>
  <c r="AD17" i="16"/>
  <c r="AD21" i="16"/>
  <c r="BB22" i="16"/>
  <c r="AC17" i="16"/>
  <c r="AC21" i="16"/>
  <c r="U17" i="16"/>
  <c r="U21" i="16"/>
  <c r="V17" i="16"/>
  <c r="V21" i="16"/>
  <c r="Y17" i="16"/>
  <c r="Y21" i="16"/>
  <c r="AA17" i="16"/>
  <c r="AA21" i="16"/>
  <c r="AA22" i="16"/>
  <c r="T17" i="16"/>
  <c r="W17" i="16"/>
  <c r="X17" i="16"/>
  <c r="Z17" i="16"/>
  <c r="AB17" i="16"/>
  <c r="T21" i="16"/>
  <c r="W21" i="16"/>
  <c r="X21" i="16"/>
  <c r="Z21" i="16"/>
  <c r="AB21" i="16"/>
  <c r="F22" i="16"/>
  <c r="J22" i="16"/>
  <c r="K22" i="16"/>
  <c r="L22" i="16"/>
  <c r="M22" i="16"/>
  <c r="AF20" i="16"/>
  <c r="AF19" i="16"/>
  <c r="AI19" i="16"/>
  <c r="AF16" i="16"/>
  <c r="AI16" i="16"/>
  <c r="AF15" i="16"/>
  <c r="AI15" i="16"/>
  <c r="AD66" i="2"/>
  <c r="AD75" i="2"/>
  <c r="W410" i="3"/>
  <c r="N410" i="3"/>
  <c r="R402" i="3"/>
  <c r="AA411" i="3"/>
  <c r="W396" i="3"/>
  <c r="W393" i="3"/>
  <c r="W390" i="3"/>
  <c r="AB63" i="12"/>
  <c r="N60" i="12"/>
  <c r="N63" i="12"/>
  <c r="N71" i="12" s="1"/>
  <c r="BD71" i="12" s="1"/>
  <c r="AA63" i="12"/>
  <c r="M63" i="12"/>
  <c r="Z63" i="12"/>
  <c r="Z71" i="12" s="1"/>
  <c r="X63" i="12"/>
  <c r="AL63" i="12" s="1"/>
  <c r="W63" i="12"/>
  <c r="U63" i="12"/>
  <c r="V63" i="12"/>
  <c r="V71" i="12" s="1"/>
  <c r="F60" i="12"/>
  <c r="S63" i="12"/>
  <c r="O16" i="12"/>
  <c r="O24" i="12" s="1"/>
  <c r="AB16" i="12"/>
  <c r="AP16" i="12" s="1"/>
  <c r="AA16" i="12"/>
  <c r="AA24" i="12" s="1"/>
  <c r="M16" i="12"/>
  <c r="Z16" i="12"/>
  <c r="Z24" i="12" s="1"/>
  <c r="Y16" i="12"/>
  <c r="Y24" i="12" s="1"/>
  <c r="X16" i="12"/>
  <c r="X39" i="12" s="1"/>
  <c r="W16" i="12"/>
  <c r="H13" i="12"/>
  <c r="H17" i="12" s="1"/>
  <c r="G15" i="12"/>
  <c r="G23" i="12" s="1"/>
  <c r="S16" i="12"/>
  <c r="AU16" i="12" s="1"/>
  <c r="O15" i="12"/>
  <c r="O23" i="12" s="1"/>
  <c r="M13" i="12"/>
  <c r="M36" i="12" s="1"/>
  <c r="M40" i="12" s="1"/>
  <c r="E13" i="12"/>
  <c r="D13" i="12"/>
  <c r="P13" i="12" s="1"/>
  <c r="R407" i="3"/>
  <c r="N407" i="3"/>
  <c r="I412" i="3"/>
  <c r="I411" i="3"/>
  <c r="I410" i="3"/>
  <c r="I409" i="3"/>
  <c r="I408" i="3"/>
  <c r="I407" i="3"/>
  <c r="I406" i="3"/>
  <c r="I405" i="3"/>
  <c r="I404" i="3"/>
  <c r="I403" i="3"/>
  <c r="I401" i="3"/>
  <c r="I402" i="3"/>
  <c r="E412" i="3"/>
  <c r="E411" i="3"/>
  <c r="E410" i="3"/>
  <c r="E409" i="3"/>
  <c r="E408" i="3"/>
  <c r="E407" i="3"/>
  <c r="E406" i="3"/>
  <c r="E405" i="3"/>
  <c r="E404" i="3"/>
  <c r="E403" i="3"/>
  <c r="E402" i="3"/>
  <c r="E401" i="3"/>
  <c r="E413" i="3" s="1"/>
  <c r="R386" i="3"/>
  <c r="R387" i="3"/>
  <c r="R388" i="3"/>
  <c r="R389" i="3"/>
  <c r="R390" i="3"/>
  <c r="R391" i="3"/>
  <c r="R392" i="3"/>
  <c r="R393" i="3"/>
  <c r="R394" i="3"/>
  <c r="R395" i="3"/>
  <c r="R396" i="3"/>
  <c r="N386" i="3"/>
  <c r="N387" i="3"/>
  <c r="N388" i="3"/>
  <c r="N385" i="3"/>
  <c r="N389" i="3"/>
  <c r="N390" i="3"/>
  <c r="N391" i="3"/>
  <c r="N392" i="3"/>
  <c r="N393" i="3"/>
  <c r="N394" i="3"/>
  <c r="N395" i="3"/>
  <c r="N396" i="3"/>
  <c r="R385" i="3"/>
  <c r="I386" i="3"/>
  <c r="I387" i="3"/>
  <c r="I385" i="3"/>
  <c r="I388" i="3"/>
  <c r="I389" i="3"/>
  <c r="I390" i="3"/>
  <c r="I391" i="3"/>
  <c r="I392" i="3"/>
  <c r="I393" i="3"/>
  <c r="I394" i="3"/>
  <c r="I395" i="3"/>
  <c r="I396" i="3"/>
  <c r="E386" i="3"/>
  <c r="E387" i="3"/>
  <c r="E388" i="3"/>
  <c r="E385" i="3"/>
  <c r="E389" i="3"/>
  <c r="E390" i="3"/>
  <c r="E391" i="3"/>
  <c r="E392" i="3"/>
  <c r="E393" i="3"/>
  <c r="E394" i="3"/>
  <c r="E395" i="3"/>
  <c r="E396" i="3"/>
  <c r="D16" i="12"/>
  <c r="D39" i="12" s="1"/>
  <c r="N16" i="12"/>
  <c r="N24" i="12" s="1"/>
  <c r="L16" i="12"/>
  <c r="K16" i="12"/>
  <c r="K24" i="12" s="1"/>
  <c r="J16" i="12"/>
  <c r="J24" i="12" s="1"/>
  <c r="I16" i="12"/>
  <c r="I24" i="12" s="1"/>
  <c r="H16" i="12"/>
  <c r="G16" i="12"/>
  <c r="G24" i="12" s="1"/>
  <c r="F16" i="12"/>
  <c r="F24" i="12" s="1"/>
  <c r="E16" i="12"/>
  <c r="E24" i="12" s="1"/>
  <c r="E62" i="12"/>
  <c r="E56" i="12"/>
  <c r="H62" i="12"/>
  <c r="AC63" i="12"/>
  <c r="AC71" i="12" s="1"/>
  <c r="O63" i="12"/>
  <c r="AQ63" i="12" s="1"/>
  <c r="Y63" i="12"/>
  <c r="Y71" i="12" s="1"/>
  <c r="E63" i="12"/>
  <c r="E71" i="12" s="1"/>
  <c r="R63" i="12"/>
  <c r="R71" i="12" s="1"/>
  <c r="L63" i="12"/>
  <c r="L71" i="12" s="1"/>
  <c r="J63" i="12"/>
  <c r="AZ63" i="12" s="1"/>
  <c r="K63" i="12"/>
  <c r="D63" i="12"/>
  <c r="F63" i="12"/>
  <c r="F71" i="12"/>
  <c r="T63" i="12"/>
  <c r="T71" i="12" s="1"/>
  <c r="G63" i="12"/>
  <c r="H63" i="12"/>
  <c r="I63" i="12"/>
  <c r="I71" i="12" s="1"/>
  <c r="M71" i="12"/>
  <c r="H60" i="12"/>
  <c r="H64" i="12" s="1"/>
  <c r="F61" i="12"/>
  <c r="F54" i="12"/>
  <c r="I61" i="12"/>
  <c r="I54" i="12"/>
  <c r="O61" i="12"/>
  <c r="M61" i="12"/>
  <c r="M84" i="12" s="1"/>
  <c r="M54" i="12"/>
  <c r="M77" i="12" s="1"/>
  <c r="L61" i="12"/>
  <c r="K61" i="12"/>
  <c r="K54" i="12"/>
  <c r="J54" i="12"/>
  <c r="J77" i="12" s="1"/>
  <c r="J61" i="12"/>
  <c r="L54" i="12"/>
  <c r="L68" i="12" s="1"/>
  <c r="E61" i="12"/>
  <c r="J60" i="12"/>
  <c r="N15" i="12"/>
  <c r="L15" i="12"/>
  <c r="L23" i="12" s="1"/>
  <c r="K15" i="12"/>
  <c r="J15" i="12"/>
  <c r="J38" i="12"/>
  <c r="H15" i="12"/>
  <c r="H23" i="12" s="1"/>
  <c r="F15" i="12"/>
  <c r="F23" i="12" s="1"/>
  <c r="D15" i="12"/>
  <c r="E15" i="12"/>
  <c r="I15" i="12"/>
  <c r="I23" i="12" s="1"/>
  <c r="T16" i="12"/>
  <c r="T24" i="12" s="1"/>
  <c r="AV24" i="12" s="1"/>
  <c r="R16" i="12"/>
  <c r="K14" i="12"/>
  <c r="G14" i="12"/>
  <c r="G37" i="12" s="1"/>
  <c r="E14" i="12"/>
  <c r="O14" i="12"/>
  <c r="N14" i="12"/>
  <c r="M14" i="12"/>
  <c r="L14" i="12"/>
  <c r="J14" i="12"/>
  <c r="I14" i="12"/>
  <c r="BN77" i="10"/>
  <c r="BH77" i="10"/>
  <c r="BR77" i="10"/>
  <c r="BL77" i="10"/>
  <c r="BX77" i="10"/>
  <c r="BQ77" i="10"/>
  <c r="BP77" i="10"/>
  <c r="BJ77" i="10"/>
  <c r="BV77" i="10"/>
  <c r="BO77" i="10"/>
  <c r="BI77" i="10"/>
  <c r="BK77" i="10"/>
  <c r="BR76" i="10"/>
  <c r="BX76" i="10" s="1"/>
  <c r="BL76" i="10"/>
  <c r="BQ76" i="10"/>
  <c r="BK76" i="10"/>
  <c r="BW76" i="10"/>
  <c r="BP76" i="10"/>
  <c r="BO76" i="10"/>
  <c r="BI76" i="10"/>
  <c r="BU76" i="10"/>
  <c r="BN76" i="10"/>
  <c r="BH76" i="10"/>
  <c r="BJ76" i="10"/>
  <c r="I53" i="10"/>
  <c r="I67" i="10"/>
  <c r="H52" i="10"/>
  <c r="H66" i="10"/>
  <c r="BX54" i="10"/>
  <c r="BW54" i="10"/>
  <c r="BV54" i="10"/>
  <c r="BU54" i="10"/>
  <c r="BT54" i="10"/>
  <c r="O53" i="10"/>
  <c r="O67" i="10" s="1"/>
  <c r="N53" i="10"/>
  <c r="N67" i="10"/>
  <c r="M53" i="10"/>
  <c r="M67" i="10" s="1"/>
  <c r="L53" i="10"/>
  <c r="K53" i="10"/>
  <c r="K67" i="10" s="1"/>
  <c r="J53" i="10"/>
  <c r="J67" i="10" s="1"/>
  <c r="H53" i="10"/>
  <c r="H67" i="10" s="1"/>
  <c r="G53" i="10"/>
  <c r="G67" i="10" s="1"/>
  <c r="F53" i="10"/>
  <c r="F67" i="10" s="1"/>
  <c r="E53" i="10"/>
  <c r="E67" i="10" s="1"/>
  <c r="D53" i="10"/>
  <c r="D67" i="10" s="1"/>
  <c r="O52" i="10"/>
  <c r="O66" i="10"/>
  <c r="N52" i="10"/>
  <c r="N66" i="10" s="1"/>
  <c r="M52" i="10"/>
  <c r="M66" i="10"/>
  <c r="L52" i="10"/>
  <c r="L66" i="10" s="1"/>
  <c r="K52" i="10"/>
  <c r="K66" i="10" s="1"/>
  <c r="J52" i="10"/>
  <c r="J66" i="10" s="1"/>
  <c r="I52" i="10"/>
  <c r="I66" i="10" s="1"/>
  <c r="G52" i="10"/>
  <c r="G66" i="10" s="1"/>
  <c r="F52" i="10"/>
  <c r="F66" i="10" s="1"/>
  <c r="E52" i="10"/>
  <c r="E66" i="10" s="1"/>
  <c r="D52" i="10"/>
  <c r="D66" i="10" s="1"/>
  <c r="BX50" i="10"/>
  <c r="BW50" i="10"/>
  <c r="BV50" i="10"/>
  <c r="BU50" i="10"/>
  <c r="BT50" i="10"/>
  <c r="O49" i="10"/>
  <c r="O64" i="10" s="1"/>
  <c r="N49" i="10"/>
  <c r="N64" i="10" s="1"/>
  <c r="M49" i="10"/>
  <c r="M64" i="10" s="1"/>
  <c r="L49" i="10"/>
  <c r="L64" i="10"/>
  <c r="K49" i="10"/>
  <c r="K64" i="10" s="1"/>
  <c r="J49" i="10"/>
  <c r="J64" i="10" s="1"/>
  <c r="I49" i="10"/>
  <c r="I64" i="10" s="1"/>
  <c r="H49" i="10"/>
  <c r="H64" i="10" s="1"/>
  <c r="G49" i="10"/>
  <c r="G64" i="10" s="1"/>
  <c r="F49" i="10"/>
  <c r="F64" i="10" s="1"/>
  <c r="E49" i="10"/>
  <c r="E64" i="10" s="1"/>
  <c r="D49" i="10"/>
  <c r="D64" i="10" s="1"/>
  <c r="O48" i="10"/>
  <c r="O63" i="10" s="1"/>
  <c r="N48" i="10"/>
  <c r="N63" i="10" s="1"/>
  <c r="M48" i="10"/>
  <c r="M63" i="10" s="1"/>
  <c r="L48" i="10"/>
  <c r="L63" i="10" s="1"/>
  <c r="K48" i="10"/>
  <c r="K63" i="10" s="1"/>
  <c r="J48" i="10"/>
  <c r="J63" i="10" s="1"/>
  <c r="I48" i="10"/>
  <c r="I63" i="10" s="1"/>
  <c r="H48" i="10"/>
  <c r="H63" i="10" s="1"/>
  <c r="G48" i="10"/>
  <c r="G63" i="10" s="1"/>
  <c r="F48" i="10"/>
  <c r="F63" i="10" s="1"/>
  <c r="E48" i="10"/>
  <c r="E63" i="10" s="1"/>
  <c r="D48" i="10"/>
  <c r="D63" i="10" s="1"/>
  <c r="O56" i="12"/>
  <c r="O32" i="10"/>
  <c r="M56" i="12"/>
  <c r="J56" i="12"/>
  <c r="K56" i="12"/>
  <c r="L56" i="12"/>
  <c r="I56" i="12"/>
  <c r="H56" i="12"/>
  <c r="F56" i="12"/>
  <c r="BK35" i="10"/>
  <c r="BJ35" i="10"/>
  <c r="BJ34" i="10"/>
  <c r="BI35" i="10"/>
  <c r="BH35" i="10"/>
  <c r="P35" i="10"/>
  <c r="P53" i="10" s="1"/>
  <c r="P67" i="10" s="1"/>
  <c r="P17" i="10"/>
  <c r="BK34" i="10"/>
  <c r="BI34" i="10"/>
  <c r="BI36" i="10" s="1"/>
  <c r="BH34" i="10"/>
  <c r="P34" i="10"/>
  <c r="N32" i="10"/>
  <c r="N55" i="12" s="1"/>
  <c r="N69" i="12" s="1"/>
  <c r="M32" i="10"/>
  <c r="L32" i="10"/>
  <c r="K32" i="10"/>
  <c r="J32" i="10"/>
  <c r="I32" i="10"/>
  <c r="H32" i="10"/>
  <c r="H38" i="10"/>
  <c r="H55" i="12"/>
  <c r="G32" i="10"/>
  <c r="G55" i="12"/>
  <c r="F32" i="10"/>
  <c r="F55" i="12" s="1"/>
  <c r="F69" i="12" s="1"/>
  <c r="E32" i="10"/>
  <c r="D32" i="10"/>
  <c r="D55" i="12" s="1"/>
  <c r="D38" i="10"/>
  <c r="D39" i="10" s="1"/>
  <c r="BK31" i="10"/>
  <c r="BK30" i="10"/>
  <c r="BK32" i="10"/>
  <c r="BJ31" i="10"/>
  <c r="BJ30" i="10"/>
  <c r="BJ32" i="10" s="1"/>
  <c r="BI31" i="10"/>
  <c r="BH31" i="10"/>
  <c r="BH30" i="10"/>
  <c r="P31" i="10"/>
  <c r="P30" i="10"/>
  <c r="P32" i="10"/>
  <c r="BI30" i="10"/>
  <c r="P12" i="10"/>
  <c r="P48" i="10" s="1"/>
  <c r="P63" i="10" s="1"/>
  <c r="H54" i="12"/>
  <c r="H68" i="12" s="1"/>
  <c r="G54" i="12"/>
  <c r="D54" i="12"/>
  <c r="M53" i="12"/>
  <c r="M76" i="12" s="1"/>
  <c r="F53" i="12"/>
  <c r="D53" i="12"/>
  <c r="E53" i="12"/>
  <c r="D76" i="12"/>
  <c r="O18" i="10"/>
  <c r="O9" i="12" s="1"/>
  <c r="N18" i="10"/>
  <c r="N9" i="12"/>
  <c r="M18" i="10"/>
  <c r="M80" i="10"/>
  <c r="L18" i="10"/>
  <c r="K18" i="10"/>
  <c r="K80" i="10" s="1"/>
  <c r="J18" i="10"/>
  <c r="J80" i="10" s="1"/>
  <c r="I18" i="10"/>
  <c r="H18" i="10"/>
  <c r="H79" i="10"/>
  <c r="G18" i="10"/>
  <c r="G9" i="12"/>
  <c r="F18" i="10"/>
  <c r="F9" i="12"/>
  <c r="E18" i="10"/>
  <c r="E79" i="10"/>
  <c r="D18" i="10"/>
  <c r="D79" i="10"/>
  <c r="BK17" i="10"/>
  <c r="BK16" i="10"/>
  <c r="BH16" i="10"/>
  <c r="BI16" i="10"/>
  <c r="BJ16" i="10"/>
  <c r="BL16" i="10"/>
  <c r="BJ17" i="10"/>
  <c r="BI17" i="10"/>
  <c r="BH17" i="10"/>
  <c r="P16" i="10"/>
  <c r="O14" i="10"/>
  <c r="N14" i="10"/>
  <c r="M14" i="10"/>
  <c r="L14" i="10"/>
  <c r="K14" i="10"/>
  <c r="J14" i="10"/>
  <c r="J8" i="12" s="1"/>
  <c r="J76" i="10"/>
  <c r="I14" i="10"/>
  <c r="H14" i="10"/>
  <c r="H76" i="10"/>
  <c r="G14" i="10"/>
  <c r="F14" i="10"/>
  <c r="F77" i="10"/>
  <c r="E14" i="10"/>
  <c r="E77" i="10"/>
  <c r="D14" i="10"/>
  <c r="BK13" i="10"/>
  <c r="BJ13" i="10"/>
  <c r="BJ12" i="10"/>
  <c r="BI13" i="10"/>
  <c r="BH13" i="10"/>
  <c r="BI12" i="10"/>
  <c r="BH12" i="10"/>
  <c r="BK12" i="10"/>
  <c r="BK14" i="10"/>
  <c r="BL12" i="10"/>
  <c r="P13" i="10"/>
  <c r="P49" i="10" s="1"/>
  <c r="P64" i="10" s="1"/>
  <c r="O7" i="12"/>
  <c r="N7" i="12"/>
  <c r="J7" i="12"/>
  <c r="E7" i="12"/>
  <c r="D7" i="12"/>
  <c r="O6" i="12"/>
  <c r="M6" i="12"/>
  <c r="L6" i="12"/>
  <c r="I6" i="12"/>
  <c r="D6" i="12"/>
  <c r="D20" i="12" s="1"/>
  <c r="D25" i="12" s="1"/>
  <c r="H9" i="12"/>
  <c r="BI53" i="10"/>
  <c r="BI67" i="10" s="1"/>
  <c r="G53" i="12"/>
  <c r="K53" i="12"/>
  <c r="M15" i="12"/>
  <c r="N54" i="12"/>
  <c r="F8" i="12"/>
  <c r="F22" i="12"/>
  <c r="F76" i="10"/>
  <c r="H80" i="10"/>
  <c r="L67" i="10"/>
  <c r="F13" i="12"/>
  <c r="J13" i="12"/>
  <c r="K13" i="12"/>
  <c r="K17" i="12"/>
  <c r="O13" i="12"/>
  <c r="O20" i="12" s="1"/>
  <c r="O25" i="12" s="1"/>
  <c r="K6" i="12"/>
  <c r="F7" i="12"/>
  <c r="F10" i="12" s="1"/>
  <c r="F80" i="10"/>
  <c r="L80" i="10"/>
  <c r="I53" i="12"/>
  <c r="U71" i="12"/>
  <c r="R24" i="12"/>
  <c r="R47" i="12" s="1"/>
  <c r="M62" i="12"/>
  <c r="J39" i="12"/>
  <c r="J47" i="12" s="1"/>
  <c r="S350" i="3"/>
  <c r="R350" i="3"/>
  <c r="O350" i="3"/>
  <c r="N350" i="3"/>
  <c r="F350" i="3"/>
  <c r="S319" i="3"/>
  <c r="R319" i="3"/>
  <c r="O319" i="3"/>
  <c r="N319" i="3"/>
  <c r="F319" i="3"/>
  <c r="S287" i="3"/>
  <c r="R287" i="3"/>
  <c r="O287" i="3"/>
  <c r="N287" i="3"/>
  <c r="F287" i="3"/>
  <c r="S256" i="3"/>
  <c r="R256" i="3"/>
  <c r="O256" i="3"/>
  <c r="N256" i="3"/>
  <c r="F256" i="3"/>
  <c r="S224" i="3"/>
  <c r="S37" i="3"/>
  <c r="S66" i="3"/>
  <c r="S98" i="3"/>
  <c r="S129" i="3"/>
  <c r="S161" i="3"/>
  <c r="S192" i="3"/>
  <c r="R224" i="3"/>
  <c r="R37" i="3"/>
  <c r="R66" i="3"/>
  <c r="R98" i="3"/>
  <c r="R129" i="3"/>
  <c r="R161" i="3"/>
  <c r="R192" i="3"/>
  <c r="O224" i="3"/>
  <c r="O37" i="3"/>
  <c r="O66" i="3"/>
  <c r="O98" i="3"/>
  <c r="O129" i="3"/>
  <c r="O161" i="3"/>
  <c r="O192" i="3"/>
  <c r="N224" i="3"/>
  <c r="N37" i="3"/>
  <c r="N66" i="3"/>
  <c r="N98" i="3"/>
  <c r="N129" i="3"/>
  <c r="N161" i="3"/>
  <c r="N192" i="3"/>
  <c r="F224" i="3"/>
  <c r="F37" i="3"/>
  <c r="F66" i="3"/>
  <c r="F98" i="3"/>
  <c r="F129" i="3"/>
  <c r="F161" i="3"/>
  <c r="F192" i="3"/>
  <c r="S5" i="3"/>
  <c r="R5" i="3"/>
  <c r="O5" i="3"/>
  <c r="N5" i="3"/>
  <c r="J5" i="3"/>
  <c r="I5" i="3"/>
  <c r="F5" i="3"/>
  <c r="E5" i="3"/>
  <c r="V65" i="2"/>
  <c r="R65" i="2"/>
  <c r="L65" i="2"/>
  <c r="K65" i="2"/>
  <c r="J65" i="2"/>
  <c r="I65" i="2"/>
  <c r="H65" i="2"/>
  <c r="G65" i="2"/>
  <c r="H77" i="10"/>
  <c r="H8" i="12"/>
  <c r="H22" i="12"/>
  <c r="O77" i="10"/>
  <c r="N79" i="10"/>
  <c r="N80" i="10"/>
  <c r="L77" i="10"/>
  <c r="BL35" i="10"/>
  <c r="E54" i="12"/>
  <c r="BV76" i="10"/>
  <c r="D61" i="12"/>
  <c r="Q61" i="12" s="1"/>
  <c r="J53" i="12"/>
  <c r="G56" i="12"/>
  <c r="G38" i="10"/>
  <c r="BW77" i="10"/>
  <c r="AC82" i="16"/>
  <c r="AI35" i="16"/>
  <c r="M42" i="16"/>
  <c r="Q37" i="16"/>
  <c r="S35" i="16" s="1"/>
  <c r="AE18" i="16"/>
  <c r="I22" i="16"/>
  <c r="E22" i="16"/>
  <c r="W22" i="16"/>
  <c r="AD22" i="16"/>
  <c r="AE22" i="16"/>
  <c r="AE23" i="16" s="1"/>
  <c r="BE65" i="16"/>
  <c r="BF65" i="16" s="1"/>
  <c r="BG65" i="16" s="1"/>
  <c r="AT58" i="16"/>
  <c r="AU17" i="16"/>
  <c r="AV16" i="16"/>
  <c r="AU37" i="16"/>
  <c r="AU77" i="16" s="1"/>
  <c r="P22" i="16"/>
  <c r="Z22" i="16"/>
  <c r="O42" i="16"/>
  <c r="K42" i="16"/>
  <c r="G42" i="16"/>
  <c r="P42" i="16"/>
  <c r="L42" i="16"/>
  <c r="H42" i="16"/>
  <c r="AF79" i="16"/>
  <c r="AR58" i="16"/>
  <c r="AN22" i="16"/>
  <c r="AD14" i="16"/>
  <c r="AI36" i="16"/>
  <c r="AS42" i="16"/>
  <c r="AS64" i="16"/>
  <c r="AS65" i="16" s="1"/>
  <c r="AT65" i="16"/>
  <c r="AU21" i="16"/>
  <c r="AU64" i="16" s="1"/>
  <c r="AO22" i="16"/>
  <c r="AO64" i="16"/>
  <c r="AO67" i="16"/>
  <c r="AO68" i="16" s="1"/>
  <c r="AO85" i="16" s="1"/>
  <c r="AK22" i="16"/>
  <c r="AK64" i="16"/>
  <c r="AK70" i="16" s="1"/>
  <c r="AE14" i="16"/>
  <c r="AE42" i="16"/>
  <c r="T42" i="16"/>
  <c r="AT42" i="16"/>
  <c r="AT22" i="16"/>
  <c r="AI20" i="16"/>
  <c r="AF17" i="16"/>
  <c r="W71" i="16"/>
  <c r="AQ62" i="16"/>
  <c r="AQ84" i="16"/>
  <c r="AF21" i="16"/>
  <c r="AD18" i="16"/>
  <c r="AB83" i="16"/>
  <c r="AB22" i="16"/>
  <c r="X22" i="16"/>
  <c r="T22" i="16"/>
  <c r="AI39" i="16"/>
  <c r="X83" i="16"/>
  <c r="T85" i="16"/>
  <c r="T83" i="16"/>
  <c r="T86" i="16" s="1"/>
  <c r="W82" i="16"/>
  <c r="AU75" i="16"/>
  <c r="AQ22" i="16"/>
  <c r="AM22" i="16"/>
  <c r="AV40" i="16"/>
  <c r="AV36" i="16"/>
  <c r="AY36" i="16" s="1"/>
  <c r="AY16" i="16"/>
  <c r="AV35" i="16"/>
  <c r="AV39" i="16"/>
  <c r="AV15" i="16"/>
  <c r="AY15" i="16" s="1"/>
  <c r="AU41" i="16"/>
  <c r="AV41" i="16" s="1"/>
  <c r="AV19" i="16"/>
  <c r="AY19" i="16" s="1"/>
  <c r="AV20" i="16"/>
  <c r="AY20" i="16"/>
  <c r="N56" i="12"/>
  <c r="N38" i="10"/>
  <c r="O53" i="12"/>
  <c r="L60" i="12"/>
  <c r="L62" i="12"/>
  <c r="L70" i="12" s="1"/>
  <c r="E6" i="12"/>
  <c r="N8" i="12"/>
  <c r="N22" i="12"/>
  <c r="N77" i="10"/>
  <c r="N76" i="10"/>
  <c r="L9" i="12"/>
  <c r="L79" i="10"/>
  <c r="M38" i="12"/>
  <c r="F38" i="10"/>
  <c r="I76" i="10"/>
  <c r="BK53" i="10"/>
  <c r="BK67" i="10"/>
  <c r="AL58" i="16"/>
  <c r="AL61" i="16"/>
  <c r="AS61" i="16"/>
  <c r="AS62" i="16" s="1"/>
  <c r="AS84" i="16" s="1"/>
  <c r="AN42" i="16"/>
  <c r="AL22" i="16"/>
  <c r="AK67" i="16"/>
  <c r="AK68" i="16"/>
  <c r="AY35" i="16"/>
  <c r="N23" i="12"/>
  <c r="N53" i="12"/>
  <c r="G79" i="10"/>
  <c r="J20" i="10"/>
  <c r="K7" i="12"/>
  <c r="O79" i="10"/>
  <c r="O80" i="10"/>
  <c r="L53" i="12"/>
  <c r="O54" i="12"/>
  <c r="G80" i="10"/>
  <c r="H53" i="12"/>
  <c r="H57" i="12" s="1"/>
  <c r="BJ53" i="10"/>
  <c r="BJ67" i="10"/>
  <c r="N401" i="3"/>
  <c r="R403" i="3"/>
  <c r="R401" i="3"/>
  <c r="R405" i="3"/>
  <c r="R410" i="3"/>
  <c r="R411" i="3"/>
  <c r="D56" i="12"/>
  <c r="N42" i="16"/>
  <c r="N409" i="3"/>
  <c r="N405" i="3"/>
  <c r="AN70" i="16"/>
  <c r="I9" i="12"/>
  <c r="M79" i="12"/>
  <c r="G79" i="12"/>
  <c r="AR61" i="16"/>
  <c r="AR62" i="16" s="1"/>
  <c r="AR84" i="16" s="1"/>
  <c r="I80" i="10"/>
  <c r="I79" i="10"/>
  <c r="N411" i="3"/>
  <c r="N408" i="3"/>
  <c r="M86" i="12"/>
  <c r="R39" i="12"/>
  <c r="AF63" i="12"/>
  <c r="AT63" i="12"/>
  <c r="D9" i="12"/>
  <c r="D23" i="12" s="1"/>
  <c r="U16" i="12"/>
  <c r="U24" i="12" s="1"/>
  <c r="U47" i="12" s="1"/>
  <c r="M77" i="10"/>
  <c r="K79" i="10"/>
  <c r="K20" i="10"/>
  <c r="AL76" i="16"/>
  <c r="AQ76" i="16"/>
  <c r="AL42" i="16"/>
  <c r="N404" i="3"/>
  <c r="U22" i="16"/>
  <c r="AP42" i="16"/>
  <c r="F42" i="16"/>
  <c r="AM84" i="16"/>
  <c r="AS79" i="16"/>
  <c r="AQ79" i="16"/>
  <c r="AQ42" i="16"/>
  <c r="AM42" i="16"/>
  <c r="G32" i="12"/>
  <c r="K62" i="12"/>
  <c r="K70" i="12" s="1"/>
  <c r="W71" i="12"/>
  <c r="BH66" i="16"/>
  <c r="AY39" i="16"/>
  <c r="BH65" i="16"/>
  <c r="BE59" i="16"/>
  <c r="BF59" i="16"/>
  <c r="AK78" i="16"/>
  <c r="AS70" i="16"/>
  <c r="AS22" i="16"/>
  <c r="AT70" i="16"/>
  <c r="AH15" i="16"/>
  <c r="M7" i="12"/>
  <c r="BI18" i="10"/>
  <c r="BI80" i="10" s="1"/>
  <c r="BI52" i="10"/>
  <c r="BI66" i="10"/>
  <c r="BI79" i="10"/>
  <c r="G6" i="12"/>
  <c r="K8" i="12"/>
  <c r="K9" i="12"/>
  <c r="K77" i="10"/>
  <c r="O76" i="10"/>
  <c r="O8" i="12"/>
  <c r="O22" i="12" s="1"/>
  <c r="E9" i="12"/>
  <c r="E80" i="10"/>
  <c r="K76" i="10"/>
  <c r="J6" i="12"/>
  <c r="J29" i="12" s="1"/>
  <c r="BH32" i="10"/>
  <c r="BL30" i="10"/>
  <c r="G61" i="12"/>
  <c r="G68" i="12" s="1"/>
  <c r="G91" i="12" s="1"/>
  <c r="AI21" i="16"/>
  <c r="J22" i="12"/>
  <c r="BH14" i="10"/>
  <c r="E76" i="10"/>
  <c r="E8" i="12"/>
  <c r="E22" i="12"/>
  <c r="L55" i="12"/>
  <c r="L69" i="12" s="1"/>
  <c r="L38" i="10"/>
  <c r="I13" i="12"/>
  <c r="Q13" i="12" s="1"/>
  <c r="H14" i="12"/>
  <c r="AC16" i="12"/>
  <c r="BE16" i="12" s="1"/>
  <c r="N61" i="12"/>
  <c r="AF22" i="16"/>
  <c r="AC68" i="16"/>
  <c r="AF68" i="16" s="1"/>
  <c r="AF67" i="16"/>
  <c r="V85" i="16"/>
  <c r="AR75" i="16"/>
  <c r="AR79" i="16" s="1"/>
  <c r="AR42" i="16"/>
  <c r="BU77" i="10"/>
  <c r="L13" i="12"/>
  <c r="L20" i="12" s="1"/>
  <c r="L25" i="12" s="1"/>
  <c r="L17" i="12"/>
  <c r="D80" i="10"/>
  <c r="F79" i="10"/>
  <c r="G13" i="12"/>
  <c r="G17" i="12" s="1"/>
  <c r="J77" i="10"/>
  <c r="N13" i="12"/>
  <c r="V16" i="12"/>
  <c r="AM67" i="16"/>
  <c r="AM68" i="16" s="1"/>
  <c r="AP84" i="16"/>
  <c r="C82" i="2"/>
  <c r="AH77" i="2"/>
  <c r="AA412" i="3" s="1"/>
  <c r="N17" i="12"/>
  <c r="L57" i="12"/>
  <c r="J20" i="12"/>
  <c r="J25" i="12" s="1"/>
  <c r="G62" i="12"/>
  <c r="F62" i="12"/>
  <c r="AT82" i="16"/>
  <c r="O76" i="2"/>
  <c r="BI65" i="16"/>
  <c r="BJ65" i="16" s="1"/>
  <c r="H70" i="12"/>
  <c r="BI14" i="10"/>
  <c r="M9" i="12"/>
  <c r="M79" i="10"/>
  <c r="BT76" i="10"/>
  <c r="BH18" i="10"/>
  <c r="BH79" i="10" s="1"/>
  <c r="BH80" i="10"/>
  <c r="BJ18" i="10"/>
  <c r="P14" i="10"/>
  <c r="P77" i="10"/>
  <c r="N22" i="16"/>
  <c r="AG80" i="2"/>
  <c r="V22" i="16"/>
  <c r="AT83" i="16"/>
  <c r="Y22" i="16"/>
  <c r="O66" i="2"/>
  <c r="S81" i="2"/>
  <c r="AP85" i="16"/>
  <c r="AT79" i="16"/>
  <c r="P76" i="10"/>
  <c r="U82" i="16"/>
  <c r="G70" i="12"/>
  <c r="AT59" i="16"/>
  <c r="H7" i="12"/>
  <c r="H20" i="10"/>
  <c r="D8" i="12"/>
  <c r="D22" i="12" s="1"/>
  <c r="D76" i="10"/>
  <c r="I77" i="10"/>
  <c r="I20" i="10"/>
  <c r="I8" i="12"/>
  <c r="L8" i="12"/>
  <c r="L22" i="12"/>
  <c r="L76" i="10"/>
  <c r="BL17" i="10"/>
  <c r="BH53" i="10"/>
  <c r="BH67" i="10"/>
  <c r="BH36" i="10"/>
  <c r="BH52" i="10"/>
  <c r="BH66" i="10"/>
  <c r="BL34" i="10"/>
  <c r="BL52" i="10" s="1"/>
  <c r="BL66" i="10" s="1"/>
  <c r="Y71" i="16"/>
  <c r="Y82" i="16"/>
  <c r="Y86" i="16" s="1"/>
  <c r="J36" i="12"/>
  <c r="J40" i="12" s="1"/>
  <c r="J84" i="12"/>
  <c r="M17" i="12"/>
  <c r="E60" i="12"/>
  <c r="E67" i="12" s="1"/>
  <c r="E23" i="12"/>
  <c r="BL53" i="10"/>
  <c r="BL67" i="10" s="1"/>
  <c r="E20" i="10"/>
  <c r="L20" i="10"/>
  <c r="L7" i="12"/>
  <c r="F57" i="12"/>
  <c r="F67" i="12"/>
  <c r="BL31" i="10"/>
  <c r="D69" i="12"/>
  <c r="G69" i="12"/>
  <c r="H61" i="12"/>
  <c r="G84" i="12" s="1"/>
  <c r="D62" i="12"/>
  <c r="AS67" i="16"/>
  <c r="AS68" i="16" s="1"/>
  <c r="AS85" i="16" s="1"/>
  <c r="D79" i="12"/>
  <c r="AQ85" i="16"/>
  <c r="S36" i="16"/>
  <c r="T71" i="16"/>
  <c r="J62" i="12"/>
  <c r="J70" i="12" s="1"/>
  <c r="D30" i="12"/>
  <c r="M55" i="12"/>
  <c r="M69" i="12" s="1"/>
  <c r="M92" i="12" s="1"/>
  <c r="M38" i="10"/>
  <c r="O55" i="12"/>
  <c r="O69" i="12" s="1"/>
  <c r="O38" i="10"/>
  <c r="F20" i="10"/>
  <c r="BT77" i="10"/>
  <c r="D38" i="12"/>
  <c r="P38" i="12" s="1"/>
  <c r="J67" i="12"/>
  <c r="D20" i="10"/>
  <c r="D77" i="10"/>
  <c r="O60" i="12"/>
  <c r="O67" i="12" s="1"/>
  <c r="D36" i="12"/>
  <c r="D40" i="12" s="1"/>
  <c r="N6" i="12"/>
  <c r="N10" i="12" s="1"/>
  <c r="N20" i="10"/>
  <c r="BH38" i="10"/>
  <c r="E55" i="12"/>
  <c r="E57" i="12" s="1"/>
  <c r="E38" i="10"/>
  <c r="J55" i="12"/>
  <c r="J69" i="12"/>
  <c r="J38" i="10"/>
  <c r="AB71" i="12"/>
  <c r="W385" i="3"/>
  <c r="W389" i="3"/>
  <c r="AH74" i="2"/>
  <c r="Z74" i="2" s="1"/>
  <c r="O22" i="16"/>
  <c r="M70" i="12"/>
  <c r="E69" i="12"/>
  <c r="G60" i="12"/>
  <c r="J30" i="12"/>
  <c r="H21" i="12"/>
  <c r="O57" i="12"/>
  <c r="D85" i="12"/>
  <c r="D70" i="12"/>
  <c r="I22" i="12"/>
  <c r="DD6" i="23"/>
  <c r="DD7" i="23"/>
  <c r="DE6" i="23"/>
  <c r="DE7" i="23"/>
  <c r="Z76" i="2"/>
  <c r="AD81" i="2"/>
  <c r="AA410" i="3"/>
  <c r="AD82" i="2"/>
  <c r="AH69" i="2"/>
  <c r="AH80" i="2" s="1"/>
  <c r="S82" i="2"/>
  <c r="O75" i="2"/>
  <c r="O69" i="2"/>
  <c r="O71" i="2"/>
  <c r="O67" i="2"/>
  <c r="AG65" i="2"/>
  <c r="R406" i="3"/>
  <c r="O74" i="2"/>
  <c r="O77" i="2"/>
  <c r="AH66" i="2"/>
  <c r="AA401" i="3" s="1"/>
  <c r="AG81" i="2"/>
  <c r="W80" i="2"/>
  <c r="W82" i="2"/>
  <c r="N412" i="3"/>
  <c r="N402" i="3"/>
  <c r="W5" i="3"/>
  <c r="G20" i="24"/>
  <c r="H21" i="24"/>
  <c r="AA129" i="3"/>
  <c r="P27" i="23"/>
  <c r="BO12" i="23"/>
  <c r="CD3" i="23"/>
  <c r="AP3" i="23"/>
  <c r="CG6" i="23"/>
  <c r="DR6" i="23"/>
  <c r="L28" i="23"/>
  <c r="CD28" i="23"/>
  <c r="CS19" i="23"/>
  <c r="BH12" i="23"/>
  <c r="BG27" i="23"/>
  <c r="BP6" i="23"/>
  <c r="BJ12" i="23"/>
  <c r="Q12" i="23"/>
  <c r="AO24" i="23"/>
  <c r="CC3" i="23"/>
  <c r="AP27" i="23"/>
  <c r="CD27" i="23"/>
  <c r="BG3" i="23"/>
  <c r="AK3" i="23"/>
  <c r="AO27" i="23"/>
  <c r="I21" i="24"/>
  <c r="U21" i="24"/>
  <c r="L14" i="24"/>
  <c r="L20" i="24"/>
  <c r="M21" i="24"/>
  <c r="D92" i="12"/>
  <c r="BG59" i="16"/>
  <c r="AU78" i="16"/>
  <c r="AV78" i="16"/>
  <c r="BI66" i="16"/>
  <c r="BJ66" i="16"/>
  <c r="BK66" i="16"/>
  <c r="BL66" i="16" s="1"/>
  <c r="BM66" i="16" s="1"/>
  <c r="BN66" i="16" s="1"/>
  <c r="AL70" i="16"/>
  <c r="W83" i="16"/>
  <c r="J76" i="12"/>
  <c r="D71" i="12"/>
  <c r="AT71" i="12" s="1"/>
  <c r="D86" i="12"/>
  <c r="O71" i="12"/>
  <c r="AU42" i="16"/>
  <c r="V82" i="16"/>
  <c r="AV21" i="16"/>
  <c r="J79" i="10"/>
  <c r="G77" i="10"/>
  <c r="J9" i="12"/>
  <c r="J23" i="12" s="1"/>
  <c r="G20" i="10"/>
  <c r="O20" i="10"/>
  <c r="AN84" i="16"/>
  <c r="F14" i="12"/>
  <c r="AC22" i="16"/>
  <c r="DQ18" i="23"/>
  <c r="V3" i="25"/>
  <c r="CA15" i="23"/>
  <c r="DO15" i="23" s="1"/>
  <c r="CA19" i="23"/>
  <c r="DO19" i="23"/>
  <c r="T12" i="25"/>
  <c r="AD20" i="24"/>
  <c r="AD21" i="24"/>
  <c r="E27" i="23"/>
  <c r="AS83" i="16"/>
  <c r="AU79" i="16"/>
  <c r="F27" i="23"/>
  <c r="CH6" i="23"/>
  <c r="CA18" i="23"/>
  <c r="DO18" i="23" s="1"/>
  <c r="AX20" i="16"/>
  <c r="BC20" i="16" s="1"/>
  <c r="AY21" i="16"/>
  <c r="AX19" i="16"/>
  <c r="BC19" i="16" s="1"/>
  <c r="M94" i="12"/>
  <c r="BN27" i="23"/>
  <c r="DF7" i="23"/>
  <c r="BH7" i="23"/>
  <c r="DF6" i="23"/>
  <c r="BH6" i="23"/>
  <c r="BH27" i="23" s="1"/>
  <c r="BH28" i="23"/>
  <c r="BH3" i="23"/>
  <c r="O21" i="24"/>
  <c r="X21" i="24" s="1"/>
  <c r="X20" i="24" s="1"/>
  <c r="AA20" i="24" s="1"/>
  <c r="Z21" i="24"/>
  <c r="U8" i="24"/>
  <c r="P21" i="24"/>
  <c r="P20" i="24"/>
  <c r="S9" i="24"/>
  <c r="S30" i="24" s="1"/>
  <c r="S21" i="24"/>
  <c r="T21" i="24" s="1"/>
  <c r="F20" i="24"/>
  <c r="H20" i="24" s="1"/>
  <c r="K21" i="24"/>
  <c r="R9" i="2"/>
  <c r="R29" i="2" s="1"/>
  <c r="W192" i="3"/>
  <c r="AA21" i="24"/>
  <c r="E7" i="23"/>
  <c r="AC20" i="24"/>
  <c r="AC21" i="24"/>
  <c r="BH59" i="16"/>
  <c r="BI59" i="16" s="1"/>
  <c r="BJ59" i="16" s="1"/>
  <c r="BK59" i="16"/>
  <c r="J32" i="12"/>
  <c r="P9" i="12"/>
  <c r="BO66" i="16"/>
  <c r="AD16" i="12"/>
  <c r="AD39" i="12" s="1"/>
  <c r="V24" i="12"/>
  <c r="K22" i="12"/>
  <c r="K10" i="12"/>
  <c r="J31" i="12"/>
  <c r="M60" i="12"/>
  <c r="M64" i="12" s="1"/>
  <c r="AX39" i="16"/>
  <c r="O10" i="12"/>
  <c r="D77" i="12"/>
  <c r="D57" i="12"/>
  <c r="G71" i="12"/>
  <c r="G94" i="12" s="1"/>
  <c r="G86" i="12"/>
  <c r="BJ79" i="10"/>
  <c r="BJ80" i="10"/>
  <c r="M23" i="12"/>
  <c r="M32" i="12"/>
  <c r="N68" i="12"/>
  <c r="AL62" i="16"/>
  <c r="E10" i="12"/>
  <c r="AY40" i="16"/>
  <c r="AX40" i="16"/>
  <c r="L10" i="12"/>
  <c r="I7" i="12"/>
  <c r="I10" i="12" s="1"/>
  <c r="P18" i="10"/>
  <c r="P79" i="10"/>
  <c r="P52" i="10"/>
  <c r="P66" i="10" s="1"/>
  <c r="BK18" i="10"/>
  <c r="BK79" i="10"/>
  <c r="I60" i="12"/>
  <c r="I67" i="12" s="1"/>
  <c r="Z66" i="2"/>
  <c r="J64" i="12"/>
  <c r="J85" i="12"/>
  <c r="AH4" i="16"/>
  <c r="AU22" i="16"/>
  <c r="AU70" i="16"/>
  <c r="AV17" i="16"/>
  <c r="AU58" i="16"/>
  <c r="F6" i="12"/>
  <c r="J37" i="12"/>
  <c r="J21" i="12"/>
  <c r="AT61" i="16"/>
  <c r="AT62" i="16"/>
  <c r="AT84" i="16"/>
  <c r="D68" i="12"/>
  <c r="D91" i="12" s="1"/>
  <c r="AK85" i="16"/>
  <c r="AU65" i="16"/>
  <c r="AV65" i="16"/>
  <c r="BI20" i="10"/>
  <c r="Q15" i="12"/>
  <c r="P15" i="12"/>
  <c r="AD63" i="12"/>
  <c r="R86" i="12"/>
  <c r="AF86" i="12" s="1"/>
  <c r="AO63" i="12"/>
  <c r="G22" i="16"/>
  <c r="H22" i="16"/>
  <c r="J42" i="16"/>
  <c r="Q41" i="16"/>
  <c r="E42" i="16"/>
  <c r="W42" i="16"/>
  <c r="AF41" i="16"/>
  <c r="X42" i="16"/>
  <c r="AF37" i="16"/>
  <c r="Z42" i="16"/>
  <c r="AA42" i="16"/>
  <c r="AA85" i="16"/>
  <c r="AA71" i="16"/>
  <c r="U85" i="16"/>
  <c r="U71" i="16"/>
  <c r="AB62" i="16"/>
  <c r="AF61" i="16"/>
  <c r="V84" i="16"/>
  <c r="AF62" i="16"/>
  <c r="AE83" i="16"/>
  <c r="AE86" i="16" s="1"/>
  <c r="AE71" i="16"/>
  <c r="Z83" i="16"/>
  <c r="AD82" i="16"/>
  <c r="AD71" i="16"/>
  <c r="BE60" i="16"/>
  <c r="BF60" i="16"/>
  <c r="BG60" i="16"/>
  <c r="BH60" i="16" s="1"/>
  <c r="BI60" i="16" s="1"/>
  <c r="BJ60" i="16" s="1"/>
  <c r="BK60" i="16"/>
  <c r="BL60" i="16" s="1"/>
  <c r="BM60" i="16" s="1"/>
  <c r="BN60" i="16" s="1"/>
  <c r="BO60" i="16"/>
  <c r="BP60" i="16" s="1"/>
  <c r="AR64" i="16"/>
  <c r="AR22" i="16"/>
  <c r="AJ68" i="16"/>
  <c r="AO61" i="16"/>
  <c r="AV58" i="16"/>
  <c r="AJ77" i="16"/>
  <c r="AJ42" i="16"/>
  <c r="AV37" i="16"/>
  <c r="H6" i="12"/>
  <c r="H10" i="12" s="1"/>
  <c r="G8" i="12"/>
  <c r="G76" i="10"/>
  <c r="M20" i="10"/>
  <c r="M8" i="12"/>
  <c r="M76" i="10"/>
  <c r="H69" i="12"/>
  <c r="K55" i="12"/>
  <c r="K38" i="10"/>
  <c r="I397" i="3"/>
  <c r="D14" i="12"/>
  <c r="D60" i="12"/>
  <c r="D83" i="12" s="1"/>
  <c r="D87" i="12" s="1"/>
  <c r="BL18" i="10"/>
  <c r="AC85" i="16"/>
  <c r="AC86" i="16"/>
  <c r="G20" i="12"/>
  <c r="F70" i="12"/>
  <c r="F72" i="12" s="1"/>
  <c r="AL79" i="16"/>
  <c r="K60" i="12"/>
  <c r="K20" i="12"/>
  <c r="K25" i="12" s="1"/>
  <c r="AU83" i="16"/>
  <c r="V71" i="16"/>
  <c r="AI17" i="16"/>
  <c r="AH16" i="16"/>
  <c r="AX16" i="16"/>
  <c r="BC16" i="16" s="1"/>
  <c r="J17" i="12"/>
  <c r="G7" i="12"/>
  <c r="P36" i="10"/>
  <c r="P38" i="10"/>
  <c r="BK52" i="10"/>
  <c r="BK66" i="10"/>
  <c r="H71" i="12"/>
  <c r="AJ63" i="12"/>
  <c r="P63" i="12"/>
  <c r="AN83" i="16"/>
  <c r="AN71" i="16"/>
  <c r="AT67" i="16"/>
  <c r="AT68" i="16"/>
  <c r="AT85" i="16"/>
  <c r="N57" i="12"/>
  <c r="O21" i="12"/>
  <c r="BJ14" i="10"/>
  <c r="BJ20" i="10"/>
  <c r="BL13" i="10"/>
  <c r="BI32" i="10"/>
  <c r="BI38" i="10"/>
  <c r="I55" i="12"/>
  <c r="I38" i="10"/>
  <c r="BK36" i="10"/>
  <c r="BJ36" i="10"/>
  <c r="BL36" i="10"/>
  <c r="BJ52" i="10"/>
  <c r="BJ66" i="10" s="1"/>
  <c r="J79" i="12"/>
  <c r="P79" i="12"/>
  <c r="I68" i="12"/>
  <c r="I62" i="12"/>
  <c r="I70" i="12" s="1"/>
  <c r="G39" i="12"/>
  <c r="G47" i="12" s="1"/>
  <c r="X86" i="12"/>
  <c r="X82" i="16"/>
  <c r="X71" i="16"/>
  <c r="AK75" i="16"/>
  <c r="AK42" i="16"/>
  <c r="AO76" i="16"/>
  <c r="AO42" i="16"/>
  <c r="AJ22" i="16"/>
  <c r="AR70" i="16"/>
  <c r="AP22" i="16"/>
  <c r="AA394" i="3"/>
  <c r="AL82" i="16"/>
  <c r="BG12" i="23"/>
  <c r="BP12" i="23"/>
  <c r="S24" i="25"/>
  <c r="S3" i="25"/>
  <c r="S12" i="25"/>
  <c r="AB24" i="23"/>
  <c r="DH18" i="23"/>
  <c r="CN18" i="23"/>
  <c r="BM18" i="23"/>
  <c r="BY19" i="23"/>
  <c r="BY18" i="23"/>
  <c r="CB18" i="23"/>
  <c r="DP18" i="23" s="1"/>
  <c r="DP19" i="23"/>
  <c r="AB98" i="3"/>
  <c r="DR7" i="23"/>
  <c r="W129" i="3"/>
  <c r="U25" i="25"/>
  <c r="U3" i="25"/>
  <c r="T24" i="25"/>
  <c r="W319" i="3"/>
  <c r="AC80" i="2"/>
  <c r="H21" i="25"/>
  <c r="P21" i="25"/>
  <c r="AB287" i="3"/>
  <c r="G6" i="23"/>
  <c r="AX3" i="23"/>
  <c r="O6" i="23"/>
  <c r="O27" i="23" s="1"/>
  <c r="K6" i="23"/>
  <c r="M7" i="23"/>
  <c r="M28" i="23"/>
  <c r="I7" i="23"/>
  <c r="J7" i="23"/>
  <c r="M6" i="23"/>
  <c r="I6" i="23"/>
  <c r="O7" i="23"/>
  <c r="O28" i="23" s="1"/>
  <c r="K7" i="23"/>
  <c r="G7" i="23"/>
  <c r="N7" i="23"/>
  <c r="N28" i="23" s="1"/>
  <c r="S20" i="24"/>
  <c r="I20" i="24"/>
  <c r="R21" i="24"/>
  <c r="J28" i="23"/>
  <c r="CL7" i="23"/>
  <c r="V7" i="23"/>
  <c r="V28" i="23" s="1"/>
  <c r="BQ6" i="23"/>
  <c r="BQ27" i="23" s="1"/>
  <c r="CK6" i="23"/>
  <c r="AV42" i="16"/>
  <c r="G85" i="12"/>
  <c r="D17" i="12"/>
  <c r="G22" i="12"/>
  <c r="G31" i="12"/>
  <c r="AR67" i="16"/>
  <c r="AR72" i="16" s="1"/>
  <c r="AV64" i="16"/>
  <c r="AH40" i="16"/>
  <c r="AI41" i="16"/>
  <c r="AH39" i="16"/>
  <c r="S39" i="16"/>
  <c r="S40" i="16"/>
  <c r="AU67" i="16"/>
  <c r="AU68" i="16" s="1"/>
  <c r="AU85" i="16" s="1"/>
  <c r="AT71" i="16"/>
  <c r="Q62" i="12"/>
  <c r="I64" i="12"/>
  <c r="G83" i="12"/>
  <c r="G87" i="12" s="1"/>
  <c r="BH20" i="10"/>
  <c r="AL84" i="16"/>
  <c r="BC39" i="16"/>
  <c r="BB39" i="16"/>
  <c r="BP66" i="16"/>
  <c r="U7" i="23"/>
  <c r="U28" i="23" s="1"/>
  <c r="K28" i="23"/>
  <c r="G9" i="24"/>
  <c r="M27" i="23"/>
  <c r="BM7" i="23"/>
  <c r="CG7" i="23"/>
  <c r="E28" i="23"/>
  <c r="AR71" i="16"/>
  <c r="AR73" i="16" s="1"/>
  <c r="AK82" i="16"/>
  <c r="O62" i="12"/>
  <c r="I69" i="12"/>
  <c r="G92" i="12" s="1"/>
  <c r="P55" i="12"/>
  <c r="I57" i="12"/>
  <c r="K67" i="12"/>
  <c r="K64" i="12"/>
  <c r="J83" i="12"/>
  <c r="J87" i="12" s="1"/>
  <c r="AB84" i="16"/>
  <c r="AB86" i="16"/>
  <c r="AB71" i="16"/>
  <c r="P80" i="10"/>
  <c r="P20" i="10"/>
  <c r="BL32" i="10"/>
  <c r="AT72" i="16"/>
  <c r="BF16" i="12"/>
  <c r="AJ85" i="16"/>
  <c r="AH35" i="16"/>
  <c r="AI37" i="16"/>
  <c r="AH36" i="16"/>
  <c r="Q42" i="16"/>
  <c r="Q22" i="16"/>
  <c r="S4" i="16" s="1"/>
  <c r="P86" i="12"/>
  <c r="AD71" i="12"/>
  <c r="R94" i="12"/>
  <c r="AU59" i="16"/>
  <c r="AV59" i="16" s="1"/>
  <c r="BJ38" i="10"/>
  <c r="BK80" i="10"/>
  <c r="BK20" i="10"/>
  <c r="BL14" i="10"/>
  <c r="CU12" i="23"/>
  <c r="AV22" i="16"/>
  <c r="AW21" i="16" s="1"/>
  <c r="N62" i="12"/>
  <c r="G78" i="12"/>
  <c r="AX35" i="16"/>
  <c r="AX36" i="16"/>
  <c r="BC36" i="16" s="1"/>
  <c r="AY37" i="16"/>
  <c r="AW37" i="16"/>
  <c r="Z71" i="16"/>
  <c r="AF84" i="16"/>
  <c r="AF42" i="16"/>
  <c r="BK38" i="10"/>
  <c r="AY41" i="16"/>
  <c r="AX15" i="16"/>
  <c r="BC15" i="16" s="1"/>
  <c r="AY17" i="16"/>
  <c r="BC40" i="16"/>
  <c r="BB40" i="16"/>
  <c r="J45" i="12"/>
  <c r="J46" i="12"/>
  <c r="BC35" i="16"/>
  <c r="BB35" i="16"/>
  <c r="S24" i="16"/>
  <c r="AQ3" i="16"/>
  <c r="BK22" i="16" s="1"/>
  <c r="BK21" i="16" s="1"/>
  <c r="O70" i="12"/>
  <c r="O64" i="12"/>
  <c r="BM28" i="23"/>
  <c r="G93" i="12"/>
  <c r="AX24" i="16"/>
  <c r="AH24" i="16"/>
  <c r="BB36" i="16"/>
  <c r="R41" i="16"/>
  <c r="AR68" i="16"/>
  <c r="AV68" i="16" s="1"/>
  <c r="AV67" i="16"/>
  <c r="G45" i="12"/>
  <c r="DG7" i="23"/>
  <c r="CM7" i="23"/>
  <c r="AY28" i="23"/>
  <c r="DG6" i="23"/>
  <c r="AY27" i="23"/>
  <c r="AR85" i="16"/>
  <c r="CS15" i="23"/>
  <c r="AG15" i="2" l="1"/>
  <c r="AA17" i="10" s="1"/>
  <c r="X350" i="3"/>
  <c r="R4" i="3"/>
  <c r="CI12" i="23"/>
  <c r="DC12" i="23"/>
  <c r="AJ24" i="23"/>
  <c r="CK12" i="23"/>
  <c r="DQ12" i="23"/>
  <c r="CC24" i="23"/>
  <c r="AD17" i="24"/>
  <c r="AB14" i="24"/>
  <c r="AB29" i="24"/>
  <c r="CA12" i="23"/>
  <c r="DO12" i="23" s="1"/>
  <c r="DQ15" i="23"/>
  <c r="BM12" i="23"/>
  <c r="AN12" i="23"/>
  <c r="AN24" i="23" s="1"/>
  <c r="AK12" i="23"/>
  <c r="AK24" i="23" s="1"/>
  <c r="CR12" i="23"/>
  <c r="BV24" i="23"/>
  <c r="DM15" i="23"/>
  <c r="AN27" i="23"/>
  <c r="CH12" i="23"/>
  <c r="CC27" i="23"/>
  <c r="BY12" i="23"/>
  <c r="V12" i="23"/>
  <c r="CX12" i="23" s="1"/>
  <c r="DI12" i="23"/>
  <c r="DK12" i="23"/>
  <c r="CD12" i="23"/>
  <c r="DL12" i="23"/>
  <c r="BM27" i="23"/>
  <c r="K17" i="24"/>
  <c r="CL12" i="23"/>
  <c r="I17" i="24"/>
  <c r="BT24" i="23"/>
  <c r="AT24" i="23"/>
  <c r="CM12" i="23"/>
  <c r="DH12" i="23"/>
  <c r="DQ28" i="23"/>
  <c r="CJ12" i="23"/>
  <c r="AD24" i="23"/>
  <c r="CO12" i="23"/>
  <c r="CV12" i="23"/>
  <c r="CN12" i="23"/>
  <c r="DD12" i="23"/>
  <c r="DG12" i="23"/>
  <c r="DG27" i="23"/>
  <c r="DB12" i="23"/>
  <c r="CQ12" i="23"/>
  <c r="AP24" i="23"/>
  <c r="BW24" i="23"/>
  <c r="DF12" i="23"/>
  <c r="DJ12" i="23"/>
  <c r="M17" i="24"/>
  <c r="AV24" i="23"/>
  <c r="DD28" i="23"/>
  <c r="DF27" i="23"/>
  <c r="CG28" i="23"/>
  <c r="DE27" i="23"/>
  <c r="DA28" i="23"/>
  <c r="DE28" i="23"/>
  <c r="BG24" i="23"/>
  <c r="DR27" i="23"/>
  <c r="DB3" i="23"/>
  <c r="DF3" i="23"/>
  <c r="AU24" i="23"/>
  <c r="DC24" i="23" s="1"/>
  <c r="DQ24" i="23"/>
  <c r="BU24" i="23"/>
  <c r="DC28" i="23"/>
  <c r="DF28" i="23"/>
  <c r="DC27" i="23"/>
  <c r="DD3" i="23"/>
  <c r="BR24" i="23"/>
  <c r="Z24" i="23"/>
  <c r="AY24" i="23"/>
  <c r="DD24" i="23"/>
  <c r="DR28" i="23"/>
  <c r="DQ27" i="23"/>
  <c r="AI24" i="23"/>
  <c r="DA27" i="23"/>
  <c r="AK28" i="23"/>
  <c r="DB27" i="23"/>
  <c r="N81" i="2"/>
  <c r="Y71" i="2"/>
  <c r="O82" i="2"/>
  <c r="N65" i="2"/>
  <c r="Y75" i="2"/>
  <c r="Y67" i="2"/>
  <c r="Y73" i="2"/>
  <c r="D81" i="2"/>
  <c r="AF83" i="16"/>
  <c r="AD86" i="16"/>
  <c r="AT73" i="16"/>
  <c r="W86" i="16"/>
  <c r="X86" i="16"/>
  <c r="AF70" i="16"/>
  <c r="AF82" i="16"/>
  <c r="AR82" i="16"/>
  <c r="AN82" i="16"/>
  <c r="AN86" i="16" s="1"/>
  <c r="AM79" i="16"/>
  <c r="AJ82" i="16"/>
  <c r="AQ83" i="16"/>
  <c r="AR83" i="16"/>
  <c r="AO83" i="16"/>
  <c r="AK83" i="16"/>
  <c r="AQ72" i="16"/>
  <c r="AI22" i="16"/>
  <c r="AK71" i="16"/>
  <c r="AQ82" i="16"/>
  <c r="AL83" i="16"/>
  <c r="AL86" i="16" s="1"/>
  <c r="AL71" i="16"/>
  <c r="AS82" i="16"/>
  <c r="AS86" i="16" s="1"/>
  <c r="AS71" i="16"/>
  <c r="BK20" i="16"/>
  <c r="BK19" i="16" s="1"/>
  <c r="BK64" i="16"/>
  <c r="BT22" i="16"/>
  <c r="AO70" i="16"/>
  <c r="AN3" i="16"/>
  <c r="BH22" i="16" s="1"/>
  <c r="AJ70" i="16"/>
  <c r="AS72" i="16"/>
  <c r="AM70" i="16"/>
  <c r="AJ3" i="16"/>
  <c r="BD22" i="16" s="1"/>
  <c r="BD21" i="16" s="1"/>
  <c r="BD64" i="16" s="1"/>
  <c r="BD67" i="16" s="1"/>
  <c r="BD68" i="16" s="1"/>
  <c r="AQ71" i="16"/>
  <c r="AQ73" i="16" s="1"/>
  <c r="AP70" i="16"/>
  <c r="AQ70" i="16"/>
  <c r="V12" i="25"/>
  <c r="V21" i="25" s="1"/>
  <c r="U12" i="25"/>
  <c r="L21" i="25"/>
  <c r="T21" i="25"/>
  <c r="S21" i="25"/>
  <c r="J21" i="25"/>
  <c r="E21" i="25"/>
  <c r="Q24" i="25"/>
  <c r="F21" i="25"/>
  <c r="K21" i="25"/>
  <c r="M21" i="25"/>
  <c r="N21" i="25"/>
  <c r="U21" i="25"/>
  <c r="G76" i="12"/>
  <c r="P54" i="12"/>
  <c r="P53" i="12"/>
  <c r="P76" i="12"/>
  <c r="G77" i="12"/>
  <c r="G80" i="12" s="1"/>
  <c r="J57" i="12"/>
  <c r="G57" i="12"/>
  <c r="N67" i="12"/>
  <c r="M57" i="12"/>
  <c r="G67" i="12"/>
  <c r="G72" i="12" s="1"/>
  <c r="L67" i="12"/>
  <c r="L72" i="12" s="1"/>
  <c r="O68" i="12"/>
  <c r="J68" i="12"/>
  <c r="J91" i="12" s="1"/>
  <c r="D21" i="12"/>
  <c r="M29" i="12"/>
  <c r="M30" i="12"/>
  <c r="J44" i="12"/>
  <c r="J33" i="12"/>
  <c r="J43" i="12"/>
  <c r="D29" i="12"/>
  <c r="L21" i="12"/>
  <c r="E21" i="12"/>
  <c r="E20" i="12"/>
  <c r="E25" i="12" s="1"/>
  <c r="J10" i="12"/>
  <c r="N20" i="12"/>
  <c r="N25" i="12" s="1"/>
  <c r="M21" i="12"/>
  <c r="J48" i="12"/>
  <c r="D10" i="12"/>
  <c r="F20" i="12"/>
  <c r="I21" i="12"/>
  <c r="N21" i="12"/>
  <c r="K21" i="12"/>
  <c r="L5" i="24"/>
  <c r="J5" i="24"/>
  <c r="D47" i="12"/>
  <c r="P39" i="12"/>
  <c r="AT39" i="12"/>
  <c r="M37" i="12"/>
  <c r="M44" i="12" s="1"/>
  <c r="AL16" i="12"/>
  <c r="F64" i="12"/>
  <c r="AT16" i="12"/>
  <c r="AY71" i="12"/>
  <c r="AI71" i="12"/>
  <c r="BA24" i="12"/>
  <c r="P47" i="12"/>
  <c r="D64" i="12"/>
  <c r="X71" i="12"/>
  <c r="J86" i="12"/>
  <c r="AL86" i="12" s="1"/>
  <c r="S24" i="12"/>
  <c r="AU24" i="12" s="1"/>
  <c r="BB63" i="12"/>
  <c r="AM24" i="12"/>
  <c r="BD16" i="12"/>
  <c r="X24" i="12"/>
  <c r="X47" i="12" s="1"/>
  <c r="AZ47" i="12" s="1"/>
  <c r="H67" i="12"/>
  <c r="H72" i="12" s="1"/>
  <c r="E17" i="12"/>
  <c r="AF16" i="12"/>
  <c r="AF39" i="12"/>
  <c r="BE71" i="12"/>
  <c r="AI63" i="12"/>
  <c r="BD63" i="12"/>
  <c r="AT86" i="12"/>
  <c r="AW16" i="12"/>
  <c r="U39" i="12"/>
  <c r="AW39" i="12" s="1"/>
  <c r="AP71" i="12"/>
  <c r="D24" i="12"/>
  <c r="P24" i="12" s="1"/>
  <c r="BA16" i="12"/>
  <c r="K68" i="12"/>
  <c r="F68" i="12"/>
  <c r="AH71" i="12"/>
  <c r="AM63" i="12"/>
  <c r="BC16" i="12"/>
  <c r="AN71" i="12"/>
  <c r="BB71" i="12"/>
  <c r="AI47" i="12"/>
  <c r="AZ86" i="12"/>
  <c r="AN63" i="12"/>
  <c r="M43" i="12"/>
  <c r="D67" i="12"/>
  <c r="AG16" i="12"/>
  <c r="BF63" i="12"/>
  <c r="G38" i="12"/>
  <c r="G46" i="12" s="1"/>
  <c r="AW63" i="12"/>
  <c r="J71" i="12"/>
  <c r="J94" i="12" s="1"/>
  <c r="AZ16" i="12"/>
  <c r="M20" i="12"/>
  <c r="I20" i="12"/>
  <c r="I25" i="12" s="1"/>
  <c r="AK63" i="12"/>
  <c r="AH63" i="12"/>
  <c r="AP63" i="12"/>
  <c r="AB24" i="12"/>
  <c r="AY16" i="12"/>
  <c r="AU63" i="12"/>
  <c r="AY63" i="12"/>
  <c r="BC63" i="12"/>
  <c r="Q60" i="12"/>
  <c r="AX71" i="12"/>
  <c r="AM16" i="12"/>
  <c r="AW71" i="12"/>
  <c r="AX63" i="12"/>
  <c r="M68" i="12"/>
  <c r="M91" i="12" s="1"/>
  <c r="P91" i="12" s="1"/>
  <c r="M46" i="12"/>
  <c r="AT24" i="12"/>
  <c r="AJ16" i="12"/>
  <c r="BB16" i="12"/>
  <c r="AW47" i="12"/>
  <c r="P71" i="12"/>
  <c r="P68" i="12"/>
  <c r="AJ71" i="12"/>
  <c r="BF39" i="12"/>
  <c r="AI39" i="12"/>
  <c r="D37" i="12"/>
  <c r="W24" i="12"/>
  <c r="AH16" i="12"/>
  <c r="AN16" i="12"/>
  <c r="AA71" i="12"/>
  <c r="S71" i="12"/>
  <c r="AZ39" i="12"/>
  <c r="P61" i="12"/>
  <c r="E64" i="12"/>
  <c r="AX16" i="12"/>
  <c r="AF71" i="12"/>
  <c r="BA63" i="12"/>
  <c r="AK71" i="12"/>
  <c r="K23" i="12"/>
  <c r="AV63" i="12"/>
  <c r="E68" i="12"/>
  <c r="AK16" i="12"/>
  <c r="M39" i="12"/>
  <c r="M47" i="12" s="1"/>
  <c r="Q14" i="12"/>
  <c r="P23" i="12"/>
  <c r="AR63" i="12"/>
  <c r="L24" i="12"/>
  <c r="BB24" i="12" s="1"/>
  <c r="AA86" i="12"/>
  <c r="AG63" i="12"/>
  <c r="AL39" i="12"/>
  <c r="G64" i="12"/>
  <c r="O17" i="12"/>
  <c r="AQ71" i="12"/>
  <c r="D94" i="12"/>
  <c r="P94" i="12" s="1"/>
  <c r="F17" i="12"/>
  <c r="K71" i="12"/>
  <c r="AM71" i="12" s="1"/>
  <c r="AZ24" i="12"/>
  <c r="D84" i="12"/>
  <c r="P84" i="12" s="1"/>
  <c r="U94" i="12"/>
  <c r="AV16" i="12"/>
  <c r="H24" i="12"/>
  <c r="M24" i="12"/>
  <c r="BE63" i="12"/>
  <c r="O72" i="12"/>
  <c r="P14" i="12"/>
  <c r="P17" i="12" s="1"/>
  <c r="AV71" i="12"/>
  <c r="AO16" i="12"/>
  <c r="BI12" i="23"/>
  <c r="CW12" i="23" s="1"/>
  <c r="BE12" i="23"/>
  <c r="CM28" i="23"/>
  <c r="W401" i="3"/>
  <c r="R408" i="3"/>
  <c r="R413" i="3" s="1"/>
  <c r="O73" i="2"/>
  <c r="AH73" i="2"/>
  <c r="AA408" i="3" s="1"/>
  <c r="W65" i="2"/>
  <c r="W81" i="2"/>
  <c r="H3" i="23"/>
  <c r="CJ6" i="23"/>
  <c r="H27" i="23"/>
  <c r="P28" i="23"/>
  <c r="F28" i="23"/>
  <c r="BN7" i="23"/>
  <c r="BN28" i="23" s="1"/>
  <c r="CH7" i="23"/>
  <c r="BO7" i="23"/>
  <c r="BO28" i="23" s="1"/>
  <c r="CI7" i="23"/>
  <c r="BP27" i="23"/>
  <c r="CB6" i="23"/>
  <c r="D79" i="2"/>
  <c r="D65" i="2"/>
  <c r="AD68" i="2"/>
  <c r="N403" i="3"/>
  <c r="N413" i="3" s="1"/>
  <c r="S79" i="2"/>
  <c r="O68" i="2"/>
  <c r="O79" i="2" s="1"/>
  <c r="S65" i="2"/>
  <c r="Y66" i="2"/>
  <c r="AC65" i="2"/>
  <c r="Y68" i="2"/>
  <c r="AC79" i="2"/>
  <c r="W387" i="3"/>
  <c r="F3" i="23"/>
  <c r="H28" i="23"/>
  <c r="CJ7" i="23"/>
  <c r="BP7" i="23"/>
  <c r="BP28" i="23" s="1"/>
  <c r="D80" i="2"/>
  <c r="AA396" i="3"/>
  <c r="AG82" i="2"/>
  <c r="AH82" i="2"/>
  <c r="M3" i="23"/>
  <c r="M24" i="23" s="1"/>
  <c r="CG27" i="23"/>
  <c r="Z75" i="2"/>
  <c r="N80" i="2"/>
  <c r="AC82" i="2"/>
  <c r="E397" i="3"/>
  <c r="N397" i="3"/>
  <c r="R397" i="3"/>
  <c r="AA386" i="3"/>
  <c r="AG79" i="2"/>
  <c r="AD71" i="2"/>
  <c r="S80" i="2"/>
  <c r="N406" i="3"/>
  <c r="Y72" i="2"/>
  <c r="W391" i="3"/>
  <c r="AC81" i="2"/>
  <c r="Y74" i="2"/>
  <c r="O72" i="2"/>
  <c r="O81" i="2" s="1"/>
  <c r="W388" i="3"/>
  <c r="Y69" i="2"/>
  <c r="Y80" i="2" s="1"/>
  <c r="Z77" i="2"/>
  <c r="Z73" i="2"/>
  <c r="C79" i="2"/>
  <c r="C65" i="2"/>
  <c r="G28" i="23"/>
  <c r="S7" i="23"/>
  <c r="I27" i="23"/>
  <c r="Y76" i="2"/>
  <c r="W395" i="3"/>
  <c r="I413" i="3"/>
  <c r="N82" i="2"/>
  <c r="W79" i="2"/>
  <c r="C81" i="2"/>
  <c r="D82" i="2"/>
  <c r="AA404" i="3"/>
  <c r="N79" i="2"/>
  <c r="J6" i="23"/>
  <c r="AB256" i="3"/>
  <c r="R49" i="2"/>
  <c r="O4" i="3"/>
  <c r="CS18" i="23"/>
  <c r="DM18" i="23"/>
  <c r="K20" i="24"/>
  <c r="DM19" i="23"/>
  <c r="Z20" i="24"/>
  <c r="O20" i="24"/>
  <c r="R20" i="24" s="1"/>
  <c r="M20" i="24"/>
  <c r="X256" i="3"/>
  <c r="AA256" i="3"/>
  <c r="O388" i="3"/>
  <c r="G6" i="2"/>
  <c r="G46" i="2" s="1"/>
  <c r="AH17" i="2"/>
  <c r="AD14" i="2"/>
  <c r="X409" i="3" s="1"/>
  <c r="W11" i="2"/>
  <c r="W51" i="2" s="1"/>
  <c r="AH12" i="2"/>
  <c r="E4" i="3"/>
  <c r="U12" i="10"/>
  <c r="AI12" i="10" s="1"/>
  <c r="G10" i="2"/>
  <c r="G50" i="2" s="1"/>
  <c r="J16" i="2"/>
  <c r="J36" i="2" s="1"/>
  <c r="G9" i="2"/>
  <c r="F388" i="3" s="1"/>
  <c r="I15" i="2"/>
  <c r="F4" i="3"/>
  <c r="AH13" i="2"/>
  <c r="Y35" i="10" s="1"/>
  <c r="AM35" i="10" s="1"/>
  <c r="N4" i="3"/>
  <c r="S4" i="3"/>
  <c r="AG35" i="2"/>
  <c r="AG55" i="2"/>
  <c r="AB224" i="3"/>
  <c r="X224" i="3"/>
  <c r="AD13" i="2"/>
  <c r="X408" i="3" s="1"/>
  <c r="W224" i="3"/>
  <c r="AA224" i="3"/>
  <c r="J10" i="2"/>
  <c r="AG12" i="2"/>
  <c r="K16" i="2"/>
  <c r="K6" i="2"/>
  <c r="AD7" i="2"/>
  <c r="AC11" i="2"/>
  <c r="J8" i="2"/>
  <c r="AG16" i="2"/>
  <c r="AG36" i="2" s="1"/>
  <c r="S8" i="2"/>
  <c r="O403" i="3" s="1"/>
  <c r="AC7" i="2"/>
  <c r="AC47" i="2" s="1"/>
  <c r="AC16" i="2"/>
  <c r="AB13" i="10" s="1"/>
  <c r="I14" i="2"/>
  <c r="S17" i="2"/>
  <c r="S37" i="2" s="1"/>
  <c r="S16" i="2"/>
  <c r="S36" i="2" s="1"/>
  <c r="H16" i="2"/>
  <c r="H56" i="2" s="1"/>
  <c r="S9" i="2"/>
  <c r="S49" i="2" s="1"/>
  <c r="L8" i="2"/>
  <c r="W15" i="2"/>
  <c r="W55" i="2" s="1"/>
  <c r="H6" i="2"/>
  <c r="H26" i="2" s="1"/>
  <c r="H11" i="2"/>
  <c r="H31" i="2" s="1"/>
  <c r="K9" i="2"/>
  <c r="K49" i="2" s="1"/>
  <c r="AC10" i="2"/>
  <c r="J9" i="2"/>
  <c r="V11" i="2"/>
  <c r="AC14" i="2"/>
  <c r="AD17" i="2"/>
  <c r="L10" i="2"/>
  <c r="W8" i="2"/>
  <c r="I11" i="2"/>
  <c r="W14" i="2"/>
  <c r="CU29" i="4" s="1"/>
  <c r="AG11" i="2"/>
  <c r="R14" i="2"/>
  <c r="AX29" i="4" s="1"/>
  <c r="R17" i="2"/>
  <c r="R6" i="2"/>
  <c r="V13" i="2"/>
  <c r="S392" i="3" s="1"/>
  <c r="V6" i="2"/>
  <c r="R16" i="10" s="1"/>
  <c r="AT16" i="10" s="1"/>
  <c r="AG8" i="2"/>
  <c r="AG48" i="2" s="1"/>
  <c r="G17" i="2"/>
  <c r="AG17" i="2"/>
  <c r="S13" i="2"/>
  <c r="R10" i="2"/>
  <c r="K14" i="2"/>
  <c r="CL2" i="4" s="1"/>
  <c r="H8" i="2"/>
  <c r="AD11" i="2"/>
  <c r="S7" i="2"/>
  <c r="S14" i="2"/>
  <c r="O409" i="3" s="1"/>
  <c r="L9" i="2"/>
  <c r="L49" i="2" s="1"/>
  <c r="K11" i="2"/>
  <c r="K31" i="2" s="1"/>
  <c r="H13" i="2"/>
  <c r="F408" i="3" s="1"/>
  <c r="AD9" i="2"/>
  <c r="X404" i="3" s="1"/>
  <c r="W7" i="2"/>
  <c r="L7" i="2"/>
  <c r="L27" i="2" s="1"/>
  <c r="AG9" i="2"/>
  <c r="AG49" i="2" s="1"/>
  <c r="AG14" i="2"/>
  <c r="AB393" i="3" s="1"/>
  <c r="I13" i="2"/>
  <c r="I53" i="2" s="1"/>
  <c r="AD10" i="2"/>
  <c r="AD30" i="2" s="1"/>
  <c r="L15" i="2"/>
  <c r="AH15" i="2"/>
  <c r="AH35" i="2" s="1"/>
  <c r="G12" i="2"/>
  <c r="G15" i="2"/>
  <c r="G35" i="2" s="1"/>
  <c r="K13" i="2"/>
  <c r="K33" i="2" s="1"/>
  <c r="AH10" i="2"/>
  <c r="AD8" i="2"/>
  <c r="AD48" i="2" s="1"/>
  <c r="H17" i="2"/>
  <c r="F412" i="3" s="1"/>
  <c r="J17" i="2"/>
  <c r="J37" i="2" s="1"/>
  <c r="L17" i="2"/>
  <c r="L57" i="2" s="1"/>
  <c r="H10" i="2"/>
  <c r="AH16" i="2"/>
  <c r="R15" i="2"/>
  <c r="AA12" i="10" s="1"/>
  <c r="AH7" i="2"/>
  <c r="AB402" i="3" s="1"/>
  <c r="G8" i="2"/>
  <c r="G28" i="2" s="1"/>
  <c r="H14" i="2"/>
  <c r="I12" i="2"/>
  <c r="I32" i="2" s="1"/>
  <c r="G16" i="2"/>
  <c r="G36" i="2" s="1"/>
  <c r="V8" i="2"/>
  <c r="V48" i="2" s="1"/>
  <c r="J7" i="2"/>
  <c r="J27" i="2" s="1"/>
  <c r="J11" i="2"/>
  <c r="J6" i="2"/>
  <c r="K8" i="2"/>
  <c r="AD15" i="2"/>
  <c r="X410" i="3" s="1"/>
  <c r="AD12" i="2"/>
  <c r="X407" i="3" s="1"/>
  <c r="G14" i="2"/>
  <c r="G54" i="2" s="1"/>
  <c r="V12" i="2"/>
  <c r="W12" i="2"/>
  <c r="W52" i="2" s="1"/>
  <c r="L12" i="2"/>
  <c r="K7" i="2"/>
  <c r="K27" i="2" s="1"/>
  <c r="H9" i="2"/>
  <c r="AG10" i="2"/>
  <c r="AG50" i="2" s="1"/>
  <c r="I7" i="2"/>
  <c r="AH9" i="2"/>
  <c r="S6" i="2"/>
  <c r="AC8" i="2"/>
  <c r="J12" i="2"/>
  <c r="H7" i="2"/>
  <c r="W17" i="2"/>
  <c r="R7" i="2"/>
  <c r="J15" i="2"/>
  <c r="L13" i="2"/>
  <c r="H15" i="2"/>
  <c r="AC15" i="2"/>
  <c r="V15" i="2"/>
  <c r="V16" i="2"/>
  <c r="AH6" i="4"/>
  <c r="AH3" i="4" s="1"/>
  <c r="AH8" i="2"/>
  <c r="AH48" i="2" s="1"/>
  <c r="G11" i="2"/>
  <c r="G31" i="2" s="1"/>
  <c r="L16" i="2"/>
  <c r="L36" i="2" s="1"/>
  <c r="AG7" i="2"/>
  <c r="AB386" i="3" s="1"/>
  <c r="V14" i="2"/>
  <c r="V54" i="2" s="1"/>
  <c r="V17" i="2"/>
  <c r="V37" i="2" s="1"/>
  <c r="W6" i="2"/>
  <c r="L14" i="2"/>
  <c r="J13" i="2"/>
  <c r="J33" i="2" s="1"/>
  <c r="AC9" i="2"/>
  <c r="I10" i="2"/>
  <c r="W10" i="2"/>
  <c r="W50" i="2" s="1"/>
  <c r="I17" i="2"/>
  <c r="AD6" i="2"/>
  <c r="X401" i="3" s="1"/>
  <c r="S12" i="2"/>
  <c r="X30" i="10" s="1"/>
  <c r="AL30" i="10" s="1"/>
  <c r="AC17" i="2"/>
  <c r="AC37" i="2" s="1"/>
  <c r="R11" i="2"/>
  <c r="AH11" i="2"/>
  <c r="W35" i="10" s="1"/>
  <c r="CA40" i="16" s="1"/>
  <c r="J14" i="2"/>
  <c r="AM29" i="4"/>
  <c r="BR54" i="4"/>
  <c r="I6" i="2"/>
  <c r="I26" i="2" s="1"/>
  <c r="K10" i="2"/>
  <c r="W13" i="2"/>
  <c r="V9" i="2"/>
  <c r="S388" i="3" s="1"/>
  <c r="AD16" i="2"/>
  <c r="W9" i="2"/>
  <c r="W29" i="2" s="1"/>
  <c r="W16" i="2"/>
  <c r="S411" i="3" s="1"/>
  <c r="G13" i="2"/>
  <c r="G33" i="2" s="1"/>
  <c r="K17" i="2"/>
  <c r="G7" i="2"/>
  <c r="V7" i="2"/>
  <c r="I9" i="2"/>
  <c r="H12" i="2"/>
  <c r="AH14" i="2"/>
  <c r="AB409" i="3" s="1"/>
  <c r="AG6" i="2"/>
  <c r="AG46" i="2" s="1"/>
  <c r="AC6" i="2"/>
  <c r="I8" i="2"/>
  <c r="BR29" i="4"/>
  <c r="S11" i="2"/>
  <c r="K15" i="2"/>
  <c r="R8" i="2"/>
  <c r="R48" i="2" s="1"/>
  <c r="S10" i="2"/>
  <c r="S15" i="2"/>
  <c r="V10" i="2"/>
  <c r="R16" i="2"/>
  <c r="L6" i="2"/>
  <c r="L46" i="2" s="1"/>
  <c r="I16" i="2"/>
  <c r="R13" i="2"/>
  <c r="R33" i="2" s="1"/>
  <c r="L11" i="2"/>
  <c r="K12" i="2"/>
  <c r="R12" i="2"/>
  <c r="R52" i="2" s="1"/>
  <c r="AC12" i="2"/>
  <c r="W34" i="10"/>
  <c r="AB394" i="3"/>
  <c r="AD28" i="2"/>
  <c r="AG56" i="2"/>
  <c r="S410" i="3"/>
  <c r="AH55" i="2"/>
  <c r="AG13" i="2"/>
  <c r="AH26" i="2"/>
  <c r="R35" i="10"/>
  <c r="BV40" i="16" s="1"/>
  <c r="AH46" i="2"/>
  <c r="F393" i="3"/>
  <c r="I54" i="2"/>
  <c r="BV6" i="4" s="1"/>
  <c r="BV3" i="4" s="1"/>
  <c r="AC13" i="2"/>
  <c r="BG29" i="4"/>
  <c r="BB4" i="4"/>
  <c r="BK4" i="4"/>
  <c r="AH4" i="4"/>
  <c r="AQ4" i="4"/>
  <c r="CE4" i="4"/>
  <c r="BV4" i="4"/>
  <c r="CP4" i="4"/>
  <c r="CL54" i="4"/>
  <c r="B2" i="2"/>
  <c r="G30" i="24"/>
  <c r="U20" i="24"/>
  <c r="V20" i="24" s="1"/>
  <c r="V21" i="24"/>
  <c r="CH27" i="23"/>
  <c r="AK27" i="23"/>
  <c r="DD27" i="23"/>
  <c r="Q25" i="25"/>
  <c r="F14" i="24"/>
  <c r="G14" i="24"/>
  <c r="DG28" i="23"/>
  <c r="Q21" i="24"/>
  <c r="J14" i="24"/>
  <c r="U17" i="24"/>
  <c r="U29" i="24" s="1"/>
  <c r="U9" i="24"/>
  <c r="U30" i="24" s="1"/>
  <c r="P17" i="24"/>
  <c r="S8" i="24"/>
  <c r="S17" i="24"/>
  <c r="O17" i="24"/>
  <c r="L29" i="24"/>
  <c r="J29" i="24"/>
  <c r="H17" i="24"/>
  <c r="Z31" i="10"/>
  <c r="S54" i="2"/>
  <c r="Z30" i="10"/>
  <c r="V26" i="2"/>
  <c r="H51" i="2"/>
  <c r="J390" i="3"/>
  <c r="I4" i="3"/>
  <c r="J4" i="3"/>
  <c r="G30" i="12"/>
  <c r="P7" i="12"/>
  <c r="G10" i="12"/>
  <c r="G21" i="12"/>
  <c r="G25" i="12" s="1"/>
  <c r="AO62" i="16"/>
  <c r="BS60" i="16"/>
  <c r="BQ60" i="16"/>
  <c r="P77" i="12"/>
  <c r="AT86" i="16"/>
  <c r="Y31" i="10"/>
  <c r="AD53" i="2"/>
  <c r="BV19" i="16"/>
  <c r="P62" i="12"/>
  <c r="M85" i="12"/>
  <c r="P85" i="12" s="1"/>
  <c r="N70" i="12"/>
  <c r="N64" i="12"/>
  <c r="AF47" i="12"/>
  <c r="AT47" i="12"/>
  <c r="CL28" i="23"/>
  <c r="BC17" i="10"/>
  <c r="AO17" i="10"/>
  <c r="CE20" i="16"/>
  <c r="BD41" i="16"/>
  <c r="G90" i="12"/>
  <c r="G95" i="12" s="1"/>
  <c r="I72" i="12"/>
  <c r="T7" i="23"/>
  <c r="I3" i="23"/>
  <c r="I24" i="23" s="1"/>
  <c r="I28" i="23"/>
  <c r="P9" i="24"/>
  <c r="BQ7" i="23"/>
  <c r="CK7" i="23"/>
  <c r="Q7" i="23"/>
  <c r="K3" i="23"/>
  <c r="CM6" i="23"/>
  <c r="K27" i="23"/>
  <c r="BD17" i="16"/>
  <c r="BS66" i="16"/>
  <c r="BQ66" i="16"/>
  <c r="O3" i="23"/>
  <c r="O24" i="23" s="1"/>
  <c r="G27" i="23"/>
  <c r="G3" i="23"/>
  <c r="S6" i="23"/>
  <c r="CI6" i="23"/>
  <c r="BO6" i="23"/>
  <c r="AH24" i="12"/>
  <c r="K69" i="12"/>
  <c r="J92" i="12" s="1"/>
  <c r="P92" i="12" s="1"/>
  <c r="J78" i="12"/>
  <c r="J80" i="12" s="1"/>
  <c r="K57" i="12"/>
  <c r="P8" i="12"/>
  <c r="M10" i="12"/>
  <c r="M22" i="12"/>
  <c r="M31" i="12"/>
  <c r="G29" i="12"/>
  <c r="H20" i="12"/>
  <c r="P6" i="12"/>
  <c r="P10" i="12" s="1"/>
  <c r="AJ79" i="16"/>
  <c r="AJ84" i="16"/>
  <c r="AV77" i="16"/>
  <c r="AA86" i="16"/>
  <c r="AF85" i="16"/>
  <c r="AF86" i="16" s="1"/>
  <c r="BD20" i="16"/>
  <c r="AK3" i="16"/>
  <c r="BE22" i="16" s="1"/>
  <c r="AM3" i="16"/>
  <c r="BG22" i="16" s="1"/>
  <c r="AL3" i="16"/>
  <c r="BF22" i="16" s="1"/>
  <c r="AX4" i="16"/>
  <c r="AR3" i="16"/>
  <c r="BL22" i="16" s="1"/>
  <c r="AW17" i="16"/>
  <c r="AS3" i="16"/>
  <c r="BM22" i="16" s="1"/>
  <c r="AT3" i="16"/>
  <c r="BN22" i="16" s="1"/>
  <c r="AO3" i="16"/>
  <c r="BI22" i="16" s="1"/>
  <c r="AU3" i="16"/>
  <c r="BO22" i="16" s="1"/>
  <c r="BK17" i="16"/>
  <c r="AG41" i="16"/>
  <c r="AI42" i="16"/>
  <c r="AG37" i="16"/>
  <c r="D72" i="12"/>
  <c r="D90" i="12"/>
  <c r="K72" i="12"/>
  <c r="J90" i="12"/>
  <c r="J3" i="23"/>
  <c r="J24" i="23" s="1"/>
  <c r="M83" i="12"/>
  <c r="M67" i="12"/>
  <c r="P60" i="12"/>
  <c r="BF71" i="12"/>
  <c r="AY42" i="16"/>
  <c r="AW41" i="16"/>
  <c r="AX24" i="23"/>
  <c r="AP3" i="16"/>
  <c r="BJ22" i="16" s="1"/>
  <c r="BA17" i="16"/>
  <c r="BA21" i="16"/>
  <c r="AV75" i="16"/>
  <c r="AV79" i="16" s="1"/>
  <c r="AK79" i="16"/>
  <c r="X94" i="12"/>
  <c r="AI24" i="12"/>
  <c r="AW24" i="12"/>
  <c r="BL79" i="10"/>
  <c r="BL80" i="10"/>
  <c r="BL20" i="10"/>
  <c r="BL38" i="10"/>
  <c r="BL59" i="16"/>
  <c r="BM59" i="16" s="1"/>
  <c r="BN59" i="16" s="1"/>
  <c r="BO59" i="16" s="1"/>
  <c r="D43" i="12"/>
  <c r="R37" i="16"/>
  <c r="AU61" i="16"/>
  <c r="BK65" i="16"/>
  <c r="BL65" i="16" s="1"/>
  <c r="BM65" i="16" s="1"/>
  <c r="BN65" i="16" s="1"/>
  <c r="BO65" i="16" s="1"/>
  <c r="BP65" i="16"/>
  <c r="J93" i="12"/>
  <c r="J72" i="12"/>
  <c r="P69" i="12"/>
  <c r="AM85" i="16"/>
  <c r="AV85" i="16" s="1"/>
  <c r="AM71" i="16"/>
  <c r="AP71" i="16"/>
  <c r="AP82" i="16"/>
  <c r="AP86" i="16" s="1"/>
  <c r="AG21" i="16"/>
  <c r="AG17" i="16"/>
  <c r="BH24" i="23"/>
  <c r="F21" i="12"/>
  <c r="F25" i="12" s="1"/>
  <c r="DR3" i="23"/>
  <c r="D31" i="12"/>
  <c r="D33" i="12" s="1"/>
  <c r="D78" i="12"/>
  <c r="M78" i="12"/>
  <c r="M80" i="12" s="1"/>
  <c r="AA409" i="3"/>
  <c r="P56" i="12"/>
  <c r="P57" i="12" s="1"/>
  <c r="D32" i="12"/>
  <c r="G36" i="12"/>
  <c r="AC71" i="16"/>
  <c r="AF71" i="16" s="1"/>
  <c r="AQ16" i="12"/>
  <c r="AI16" i="12"/>
  <c r="AR16" i="12" s="1"/>
  <c r="E70" i="12"/>
  <c r="AH19" i="16"/>
  <c r="AH20" i="16"/>
  <c r="AH81" i="2"/>
  <c r="AF24" i="12"/>
  <c r="I17" i="12"/>
  <c r="AC24" i="12"/>
  <c r="L64" i="12"/>
  <c r="AA39" i="12"/>
  <c r="AO82" i="16"/>
  <c r="AK84" i="16"/>
  <c r="AK86" i="16" s="1"/>
  <c r="U86" i="12"/>
  <c r="AM83" i="16"/>
  <c r="AH67" i="2"/>
  <c r="Y77" i="2"/>
  <c r="O70" i="2"/>
  <c r="Y24" i="23"/>
  <c r="DA24" i="23" s="1"/>
  <c r="DK18" i="23"/>
  <c r="AE24" i="23"/>
  <c r="AG24" i="23"/>
  <c r="G21" i="25"/>
  <c r="I21" i="25"/>
  <c r="Q12" i="25"/>
  <c r="Q21" i="25" s="1"/>
  <c r="W256" i="3"/>
  <c r="AA287" i="3"/>
  <c r="X5" i="3"/>
  <c r="AW3" i="23"/>
  <c r="AB37" i="3"/>
  <c r="AB4" i="3" s="1"/>
  <c r="X319" i="3"/>
  <c r="Y14" i="24"/>
  <c r="W287" i="3"/>
  <c r="N6" i="23"/>
  <c r="L6" i="23"/>
  <c r="G8" i="24" s="1"/>
  <c r="S20" i="2" l="1"/>
  <c r="S40" i="2" s="1"/>
  <c r="Y16" i="10"/>
  <c r="AM16" i="10" s="1"/>
  <c r="F385" i="3"/>
  <c r="L29" i="2"/>
  <c r="F409" i="3"/>
  <c r="BA6" i="23" a="1"/>
  <c r="AA4" i="3"/>
  <c r="AG28" i="2"/>
  <c r="V57" i="2"/>
  <c r="O412" i="3"/>
  <c r="F390" i="3"/>
  <c r="L54" i="2"/>
  <c r="CY6" i="4" s="1"/>
  <c r="CY3" i="4" s="1"/>
  <c r="CY5" i="4" s="1"/>
  <c r="BA7" i="23" a="1"/>
  <c r="S57" i="2"/>
  <c r="DR12" i="23"/>
  <c r="CD24" i="23"/>
  <c r="DR24" i="23" s="1"/>
  <c r="CB12" i="23"/>
  <c r="DP12" i="23" s="1"/>
  <c r="DB24" i="23"/>
  <c r="DG24" i="23"/>
  <c r="AB26" i="24"/>
  <c r="Y81" i="2"/>
  <c r="Y79" i="2"/>
  <c r="Z82" i="2"/>
  <c r="BM3" i="23"/>
  <c r="BM24" i="23" s="1"/>
  <c r="BO3" i="23"/>
  <c r="BO24" i="23" s="1"/>
  <c r="P3" i="23"/>
  <c r="P24" i="23" s="1"/>
  <c r="E3" i="23"/>
  <c r="Y65" i="2"/>
  <c r="AM2" i="4"/>
  <c r="AH2" i="4"/>
  <c r="CA2" i="4"/>
  <c r="AR86" i="16"/>
  <c r="AS73" i="16"/>
  <c r="AQ86" i="16"/>
  <c r="BA22" i="16"/>
  <c r="AU82" i="16"/>
  <c r="AV82" i="16" s="1"/>
  <c r="BH17" i="16"/>
  <c r="BH21" i="16"/>
  <c r="AV70" i="16"/>
  <c r="AL24" i="12"/>
  <c r="AL47" i="12"/>
  <c r="AG24" i="12"/>
  <c r="AP24" i="12"/>
  <c r="BD24" i="12"/>
  <c r="BA71" i="12"/>
  <c r="AL71" i="12"/>
  <c r="AR71" i="12" s="1"/>
  <c r="AZ71" i="12"/>
  <c r="AN24" i="12"/>
  <c r="AI94" i="12"/>
  <c r="AW94" i="12"/>
  <c r="BC24" i="12"/>
  <c r="AO24" i="12"/>
  <c r="AO86" i="12"/>
  <c r="BC86" i="12"/>
  <c r="AU71" i="12"/>
  <c r="AG71" i="12"/>
  <c r="AK24" i="12"/>
  <c r="AY24" i="12"/>
  <c r="BC71" i="12"/>
  <c r="AO71" i="12"/>
  <c r="AA94" i="12"/>
  <c r="P37" i="12"/>
  <c r="D44" i="12"/>
  <c r="AX24" i="12"/>
  <c r="AJ24" i="12"/>
  <c r="AF94" i="12"/>
  <c r="AT94" i="12"/>
  <c r="H14" i="24"/>
  <c r="DM12" i="23"/>
  <c r="CS12" i="23"/>
  <c r="Q17" i="24"/>
  <c r="G29" i="2"/>
  <c r="AG47" i="2"/>
  <c r="AG59" i="2" s="1"/>
  <c r="AD52" i="2"/>
  <c r="V17" i="10"/>
  <c r="G55" i="2"/>
  <c r="G62" i="2" s="1"/>
  <c r="W406" i="3"/>
  <c r="AD80" i="2"/>
  <c r="F24" i="23"/>
  <c r="CH24" i="23" s="1"/>
  <c r="CH3" i="23"/>
  <c r="G49" i="2"/>
  <c r="H46" i="2"/>
  <c r="L37" i="2"/>
  <c r="J27" i="23"/>
  <c r="CL6" i="23"/>
  <c r="T6" i="23"/>
  <c r="S28" i="23"/>
  <c r="CU7" i="23"/>
  <c r="DP6" i="23"/>
  <c r="CB27" i="23"/>
  <c r="CH28" i="23"/>
  <c r="CI28" i="23"/>
  <c r="W413" i="3"/>
  <c r="J53" i="2"/>
  <c r="AX2" i="4"/>
  <c r="CJ27" i="23"/>
  <c r="CJ28" i="23"/>
  <c r="CU2" i="4"/>
  <c r="AC16" i="10"/>
  <c r="J402" i="3"/>
  <c r="S387" i="3"/>
  <c r="I52" i="2"/>
  <c r="G56" i="2"/>
  <c r="BN3" i="23"/>
  <c r="BN24" i="23" s="1"/>
  <c r="CK27" i="23"/>
  <c r="Z71" i="2"/>
  <c r="AA397" i="3"/>
  <c r="W403" i="3"/>
  <c r="Z68" i="2"/>
  <c r="AD79" i="2"/>
  <c r="BP3" i="23"/>
  <c r="BP24" i="23" s="1"/>
  <c r="CA7" i="23"/>
  <c r="Q28" i="23"/>
  <c r="AD29" i="2"/>
  <c r="Z72" i="2"/>
  <c r="Z81" i="2" s="1"/>
  <c r="W397" i="3"/>
  <c r="H24" i="23"/>
  <c r="CJ24" i="23" s="1"/>
  <c r="CJ3" i="23"/>
  <c r="AD65" i="2"/>
  <c r="D11" i="2"/>
  <c r="D31" i="2" s="1"/>
  <c r="X31" i="10"/>
  <c r="AZ31" i="10" s="1"/>
  <c r="AH19" i="2"/>
  <c r="W34" i="2"/>
  <c r="F394" i="3"/>
  <c r="AB408" i="3"/>
  <c r="F401" i="3"/>
  <c r="L47" i="2"/>
  <c r="I33" i="2"/>
  <c r="S32" i="2"/>
  <c r="U31" i="10"/>
  <c r="AB30" i="10"/>
  <c r="S48" i="2"/>
  <c r="S56" i="2"/>
  <c r="O14" i="2"/>
  <c r="O34" i="2" s="1"/>
  <c r="O407" i="3"/>
  <c r="CB35" i="16"/>
  <c r="S404" i="3"/>
  <c r="W54" i="2"/>
  <c r="V28" i="2"/>
  <c r="T35" i="10"/>
  <c r="AH35" i="10" s="1"/>
  <c r="V34" i="10"/>
  <c r="AJ34" i="10" s="1"/>
  <c r="AB403" i="3"/>
  <c r="S396" i="3"/>
  <c r="J404" i="3"/>
  <c r="AD49" i="2"/>
  <c r="S28" i="2"/>
  <c r="T30" i="10"/>
  <c r="AH30" i="10" s="1"/>
  <c r="H22" i="2"/>
  <c r="H42" i="2" s="1"/>
  <c r="Z17" i="2"/>
  <c r="Z37" i="2" s="1"/>
  <c r="AD32" i="2"/>
  <c r="T16" i="10"/>
  <c r="AH16" i="10" s="1"/>
  <c r="S405" i="3"/>
  <c r="AH28" i="2"/>
  <c r="S35" i="10"/>
  <c r="AG35" i="10" s="1"/>
  <c r="J412" i="3"/>
  <c r="O411" i="3"/>
  <c r="AC19" i="2"/>
  <c r="AC39" i="2" s="1"/>
  <c r="AC20" i="2"/>
  <c r="AC40" i="2" s="1"/>
  <c r="X4" i="3"/>
  <c r="BG54" i="4"/>
  <c r="Y8" i="2"/>
  <c r="Y28" i="2" s="1"/>
  <c r="J386" i="3"/>
  <c r="U34" i="10"/>
  <c r="AI34" i="10" s="1"/>
  <c r="S21" i="2"/>
  <c r="S41" i="2" s="1"/>
  <c r="AD54" i="2"/>
  <c r="AD61" i="2" s="1"/>
  <c r="I30" i="2"/>
  <c r="G53" i="2"/>
  <c r="O391" i="3"/>
  <c r="AD29" i="4"/>
  <c r="G34" i="2"/>
  <c r="J51" i="2"/>
  <c r="AB410" i="3"/>
  <c r="AD19" i="2"/>
  <c r="AD39" i="2" s="1"/>
  <c r="AB387" i="3"/>
  <c r="I21" i="2"/>
  <c r="I41" i="2" s="1"/>
  <c r="AA35" i="10"/>
  <c r="CE40" i="16" s="1"/>
  <c r="CE104" i="16" s="1"/>
  <c r="F395" i="3"/>
  <c r="T31" i="10"/>
  <c r="AV31" i="10" s="1"/>
  <c r="R35" i="2"/>
  <c r="AC30" i="10"/>
  <c r="CG35" i="16" s="1"/>
  <c r="J411" i="3"/>
  <c r="R22" i="2"/>
  <c r="R42" i="2" s="1"/>
  <c r="S22" i="2"/>
  <c r="S42" i="2" s="1"/>
  <c r="Z6" i="2"/>
  <c r="Z26" i="2" s="1"/>
  <c r="AH22" i="2"/>
  <c r="AH42" i="2" s="1"/>
  <c r="S34" i="2"/>
  <c r="AD34" i="2"/>
  <c r="I50" i="2"/>
  <c r="CU54" i="4"/>
  <c r="AD2" i="4"/>
  <c r="I34" i="2"/>
  <c r="BV2" i="4" s="1"/>
  <c r="AG34" i="2"/>
  <c r="Z17" i="10"/>
  <c r="AN17" i="10" s="1"/>
  <c r="R31" i="10"/>
  <c r="T17" i="10"/>
  <c r="BX20" i="16" s="1"/>
  <c r="W35" i="2"/>
  <c r="AH34" i="2"/>
  <c r="AB395" i="3"/>
  <c r="X403" i="3"/>
  <c r="R55" i="2"/>
  <c r="L56" i="2"/>
  <c r="J57" i="2"/>
  <c r="Z8" i="2"/>
  <c r="K47" i="2"/>
  <c r="R32" i="2"/>
  <c r="J31" i="2"/>
  <c r="BR2" i="4"/>
  <c r="G22" i="2"/>
  <c r="G42" i="2" s="1"/>
  <c r="AA34" i="10"/>
  <c r="AO34" i="10" s="1"/>
  <c r="AG54" i="2"/>
  <c r="AD26" i="2"/>
  <c r="AB17" i="10"/>
  <c r="AP17" i="10" s="1"/>
  <c r="O394" i="3"/>
  <c r="L26" i="2"/>
  <c r="I20" i="2"/>
  <c r="I40" i="2" s="1"/>
  <c r="Z11" i="2"/>
  <c r="Q20" i="24"/>
  <c r="T20" i="24"/>
  <c r="CA29" i="4"/>
  <c r="AH54" i="2"/>
  <c r="D6" i="2"/>
  <c r="D26" i="2" s="1"/>
  <c r="CC40" i="16"/>
  <c r="AD21" i="2"/>
  <c r="AD41" i="2" s="1"/>
  <c r="F406" i="3"/>
  <c r="G20" i="2"/>
  <c r="G40" i="2" s="1"/>
  <c r="K53" i="2"/>
  <c r="V31" i="10"/>
  <c r="BZ36" i="16" s="1"/>
  <c r="U17" i="10"/>
  <c r="BO17" i="10" s="1"/>
  <c r="BU17" i="10" s="1"/>
  <c r="Z10" i="2"/>
  <c r="Z30" i="2" s="1"/>
  <c r="F389" i="3"/>
  <c r="K51" i="2"/>
  <c r="S5" i="2"/>
  <c r="S25" i="2" s="1"/>
  <c r="U33" i="4" s="1"/>
  <c r="O10" i="2"/>
  <c r="O387" i="3"/>
  <c r="X405" i="3"/>
  <c r="G30" i="2"/>
  <c r="R19" i="2"/>
  <c r="R39" i="2" s="1"/>
  <c r="W49" i="2"/>
  <c r="W60" i="2" s="1"/>
  <c r="F392" i="3"/>
  <c r="X12" i="10"/>
  <c r="X48" i="10" s="1"/>
  <c r="R28" i="2"/>
  <c r="I46" i="2"/>
  <c r="AD46" i="2"/>
  <c r="Z35" i="10"/>
  <c r="BB35" i="10" s="1"/>
  <c r="N17" i="2"/>
  <c r="N37" i="2" s="1"/>
  <c r="C17" i="2"/>
  <c r="C37" i="2" s="1"/>
  <c r="O17" i="2"/>
  <c r="O37" i="2" s="1"/>
  <c r="C6" i="2"/>
  <c r="O12" i="2"/>
  <c r="O32" i="2" s="1"/>
  <c r="V22" i="2"/>
  <c r="V42" i="2" s="1"/>
  <c r="AH20" i="2"/>
  <c r="AH40" i="2" s="1"/>
  <c r="D9" i="2"/>
  <c r="D29" i="2" s="1"/>
  <c r="G21" i="2"/>
  <c r="G41" i="2" s="1"/>
  <c r="K5" i="2"/>
  <c r="CL3" i="4" s="1"/>
  <c r="AH31" i="2"/>
  <c r="T12" i="10"/>
  <c r="N6" i="2"/>
  <c r="N26" i="2" s="1"/>
  <c r="AV16" i="10"/>
  <c r="AY35" i="10"/>
  <c r="AB385" i="3"/>
  <c r="AH51" i="2"/>
  <c r="AG19" i="2"/>
  <c r="AG39" i="2" s="1"/>
  <c r="AK35" i="10"/>
  <c r="J401" i="3"/>
  <c r="N14" i="2"/>
  <c r="N34" i="2" s="1"/>
  <c r="N9" i="2"/>
  <c r="N29" i="2" s="1"/>
  <c r="W21" i="2"/>
  <c r="W41" i="2" s="1"/>
  <c r="L20" i="2"/>
  <c r="L40" i="2" s="1"/>
  <c r="AG21" i="2"/>
  <c r="AG41" i="2" s="1"/>
  <c r="N8" i="2"/>
  <c r="N28" i="2" s="1"/>
  <c r="J19" i="2"/>
  <c r="J39" i="2" s="1"/>
  <c r="AC22" i="2"/>
  <c r="AC42" i="2" s="1"/>
  <c r="J21" i="2"/>
  <c r="J41" i="2" s="1"/>
  <c r="Y9" i="2"/>
  <c r="AC13" i="10"/>
  <c r="BE13" i="10" s="1"/>
  <c r="C13" i="2"/>
  <c r="V46" i="2"/>
  <c r="AG20" i="2"/>
  <c r="AG40" i="2" s="1"/>
  <c r="S29" i="2"/>
  <c r="AC27" i="2"/>
  <c r="F387" i="3"/>
  <c r="S13" i="10"/>
  <c r="AU13" i="10" s="1"/>
  <c r="W31" i="2"/>
  <c r="C16" i="2"/>
  <c r="C36" i="2" s="1"/>
  <c r="BX36" i="16"/>
  <c r="C10" i="2"/>
  <c r="C30" i="2" s="1"/>
  <c r="W20" i="2"/>
  <c r="W40" i="2" s="1"/>
  <c r="Z16" i="10"/>
  <c r="AN16" i="10" s="1"/>
  <c r="G26" i="2"/>
  <c r="W36" i="2"/>
  <c r="AD33" i="2"/>
  <c r="AF16" i="10"/>
  <c r="I36" i="2"/>
  <c r="S385" i="3"/>
  <c r="AZ30" i="10"/>
  <c r="Z15" i="2"/>
  <c r="Z35" i="2" s="1"/>
  <c r="O9" i="2"/>
  <c r="O29" i="2" s="1"/>
  <c r="X388" i="3"/>
  <c r="N12" i="2"/>
  <c r="N32" i="2" s="1"/>
  <c r="W30" i="2"/>
  <c r="S52" i="2"/>
  <c r="AB406" i="3"/>
  <c r="AG29" i="2"/>
  <c r="AD20" i="2"/>
  <c r="AD40" i="2" s="1"/>
  <c r="AD50" i="2"/>
  <c r="X386" i="3"/>
  <c r="G48" i="2"/>
  <c r="D17" i="2"/>
  <c r="D37" i="2" s="1"/>
  <c r="X395" i="3"/>
  <c r="S406" i="3"/>
  <c r="V5" i="2"/>
  <c r="CL30" i="4" s="1"/>
  <c r="V19" i="2"/>
  <c r="V39" i="2" s="1"/>
  <c r="AD36" i="2"/>
  <c r="AD56" i="2"/>
  <c r="AB31" i="10"/>
  <c r="AB49" i="10" s="1"/>
  <c r="X411" i="3"/>
  <c r="Z16" i="2"/>
  <c r="Z36" i="2" s="1"/>
  <c r="I57" i="2"/>
  <c r="I37" i="2"/>
  <c r="O6" i="2"/>
  <c r="O26" i="2" s="1"/>
  <c r="H5" i="2"/>
  <c r="BG3" i="4" s="1"/>
  <c r="Z14" i="2"/>
  <c r="Z34" i="2" s="1"/>
  <c r="H53" i="2"/>
  <c r="N16" i="2"/>
  <c r="N36" i="2" s="1"/>
  <c r="AB396" i="3"/>
  <c r="AC17" i="10"/>
  <c r="AC18" i="10" s="1"/>
  <c r="AG22" i="2"/>
  <c r="AG42" i="2" s="1"/>
  <c r="AG37" i="2"/>
  <c r="AG57" i="2"/>
  <c r="AG62" i="2" s="1"/>
  <c r="J56" i="2"/>
  <c r="J22" i="2"/>
  <c r="J42" i="2" s="1"/>
  <c r="X35" i="10"/>
  <c r="AB407" i="3"/>
  <c r="AH52" i="2"/>
  <c r="V33" i="4"/>
  <c r="C7" i="2"/>
  <c r="C27" i="2" s="1"/>
  <c r="H21" i="2"/>
  <c r="H41" i="2" s="1"/>
  <c r="D16" i="2"/>
  <c r="D36" i="2" s="1"/>
  <c r="AH5" i="2"/>
  <c r="CU55" i="4" s="1"/>
  <c r="AH32" i="2"/>
  <c r="D12" i="2"/>
  <c r="D32" i="2" s="1"/>
  <c r="AD30" i="4"/>
  <c r="W36" i="10"/>
  <c r="W56" i="12" s="1"/>
  <c r="AY34" i="10"/>
  <c r="O392" i="3"/>
  <c r="R21" i="2"/>
  <c r="R41" i="2" s="1"/>
  <c r="R53" i="2"/>
  <c r="N13" i="2"/>
  <c r="N33" i="2" s="1"/>
  <c r="Y12" i="10"/>
  <c r="AM12" i="10" s="1"/>
  <c r="I19" i="2"/>
  <c r="I39" i="2" s="1"/>
  <c r="I28" i="2"/>
  <c r="I48" i="2"/>
  <c r="R51" i="2"/>
  <c r="R5" i="2"/>
  <c r="AX30" i="4" s="1"/>
  <c r="R31" i="2"/>
  <c r="O390" i="3"/>
  <c r="W12" i="10"/>
  <c r="AY12" i="10" s="1"/>
  <c r="AD3" i="4"/>
  <c r="W26" i="2"/>
  <c r="W19" i="2"/>
  <c r="W39" i="2" s="1"/>
  <c r="W46" i="2"/>
  <c r="R34" i="10"/>
  <c r="R36" i="10" s="1"/>
  <c r="AT36" i="10" s="1"/>
  <c r="W5" i="2"/>
  <c r="CU30" i="4" s="1"/>
  <c r="AB16" i="10"/>
  <c r="V56" i="2"/>
  <c r="S395" i="3"/>
  <c r="V36" i="2"/>
  <c r="AM30" i="4"/>
  <c r="O7" i="2"/>
  <c r="O27" i="2" s="1"/>
  <c r="AD55" i="2"/>
  <c r="AD35" i="2"/>
  <c r="AA31" i="10"/>
  <c r="CE36" i="16" s="1"/>
  <c r="AD5" i="2"/>
  <c r="AD25" i="2" s="1"/>
  <c r="U58" i="4" s="1"/>
  <c r="AB35" i="10"/>
  <c r="BD35" i="10" s="1"/>
  <c r="AB411" i="3"/>
  <c r="AH56" i="2"/>
  <c r="Y16" i="2"/>
  <c r="Y36" i="2" s="1"/>
  <c r="G32" i="2"/>
  <c r="G52" i="2"/>
  <c r="F391" i="3"/>
  <c r="L35" i="2"/>
  <c r="J410" i="3"/>
  <c r="L22" i="2"/>
  <c r="L42" i="2" s="1"/>
  <c r="L55" i="2"/>
  <c r="L62" i="2" s="1"/>
  <c r="W27" i="2"/>
  <c r="W47" i="2"/>
  <c r="S34" i="10"/>
  <c r="AG34" i="10" s="1"/>
  <c r="S402" i="3"/>
  <c r="Z12" i="2"/>
  <c r="O16" i="2"/>
  <c r="O36" i="2" s="1"/>
  <c r="W48" i="2"/>
  <c r="W28" i="2"/>
  <c r="N11" i="2"/>
  <c r="N31" i="2" s="1"/>
  <c r="L28" i="2"/>
  <c r="L48" i="2"/>
  <c r="L59" i="2" s="1"/>
  <c r="D8" i="2"/>
  <c r="D28" i="2" s="1"/>
  <c r="L5" i="2"/>
  <c r="L25" i="2" s="1"/>
  <c r="W8" i="4" s="1"/>
  <c r="J403" i="3"/>
  <c r="C15" i="2"/>
  <c r="C35" i="2" s="1"/>
  <c r="K19" i="2"/>
  <c r="K39" i="2" s="1"/>
  <c r="AB412" i="3"/>
  <c r="AC35" i="10"/>
  <c r="AH57" i="2"/>
  <c r="AH37" i="2"/>
  <c r="AK34" i="10"/>
  <c r="D13" i="2"/>
  <c r="AH36" i="2"/>
  <c r="L19" i="2"/>
  <c r="L39" i="2" s="1"/>
  <c r="S401" i="3"/>
  <c r="H19" i="2"/>
  <c r="H39" i="2" s="1"/>
  <c r="D15" i="2"/>
  <c r="C11" i="2"/>
  <c r="C31" i="2" s="1"/>
  <c r="K22" i="2"/>
  <c r="K42" i="2" s="1"/>
  <c r="K55" i="2"/>
  <c r="K35" i="2"/>
  <c r="J394" i="3"/>
  <c r="Y7" i="2"/>
  <c r="Y27" i="2" s="1"/>
  <c r="L21" i="2"/>
  <c r="L41" i="2" s="1"/>
  <c r="J407" i="3"/>
  <c r="H54" i="2"/>
  <c r="BK6" i="4" s="1"/>
  <c r="BK3" i="4" s="1"/>
  <c r="BK5" i="4" s="1"/>
  <c r="H34" i="2"/>
  <c r="BG2" i="4"/>
  <c r="D10" i="2"/>
  <c r="D30" i="2" s="1"/>
  <c r="H30" i="2"/>
  <c r="K21" i="2"/>
  <c r="K41" i="2" s="1"/>
  <c r="C14" i="2"/>
  <c r="C34" i="2" s="1"/>
  <c r="D14" i="2"/>
  <c r="D34" i="2" s="1"/>
  <c r="K29" i="2"/>
  <c r="C9" i="2"/>
  <c r="C29" i="2" s="1"/>
  <c r="J388" i="3"/>
  <c r="K20" i="2"/>
  <c r="K40" i="2" s="1"/>
  <c r="T57" i="4"/>
  <c r="CA39" i="16"/>
  <c r="CA41" i="16" s="1"/>
  <c r="CA78" i="16" s="1"/>
  <c r="H33" i="2"/>
  <c r="O15" i="2"/>
  <c r="O35" i="2" s="1"/>
  <c r="R20" i="2"/>
  <c r="R40" i="2" s="1"/>
  <c r="AD22" i="2"/>
  <c r="AD42" i="2" s="1"/>
  <c r="H50" i="2"/>
  <c r="V49" i="2"/>
  <c r="V20" i="2"/>
  <c r="V40" i="2" s="1"/>
  <c r="Z9" i="2"/>
  <c r="CL29" i="4"/>
  <c r="V21" i="2"/>
  <c r="V41" i="2" s="1"/>
  <c r="J5" i="2"/>
  <c r="J25" i="2" s="1"/>
  <c r="V8" i="4" s="1"/>
  <c r="Y6" i="2"/>
  <c r="X396" i="3"/>
  <c r="S393" i="3"/>
  <c r="G19" i="2"/>
  <c r="G39" i="2" s="1"/>
  <c r="W32" i="2"/>
  <c r="U16" i="10"/>
  <c r="AI16" i="10" s="1"/>
  <c r="AB34" i="10"/>
  <c r="CF39" i="16" s="1"/>
  <c r="J392" i="3"/>
  <c r="J47" i="2"/>
  <c r="G51" i="2"/>
  <c r="G60" i="2" s="1"/>
  <c r="O8" i="2"/>
  <c r="O28" i="2" s="1"/>
  <c r="V32" i="4"/>
  <c r="C12" i="2"/>
  <c r="U13" i="10"/>
  <c r="BY16" i="16" s="1"/>
  <c r="AC29" i="2"/>
  <c r="I5" i="2"/>
  <c r="BR3" i="4" s="1"/>
  <c r="AC49" i="2"/>
  <c r="Y17" i="2"/>
  <c r="Y37" i="2" s="1"/>
  <c r="AC57" i="2"/>
  <c r="V34" i="2"/>
  <c r="G5" i="2"/>
  <c r="AX3" i="4" s="1"/>
  <c r="AM3" i="4"/>
  <c r="D7" i="2"/>
  <c r="D27" i="2" s="1"/>
  <c r="V29" i="2"/>
  <c r="W56" i="2"/>
  <c r="I55" i="2"/>
  <c r="I35" i="2"/>
  <c r="AH33" i="2"/>
  <c r="AH53" i="2"/>
  <c r="AW12" i="10"/>
  <c r="BY15" i="16"/>
  <c r="BB2" i="4"/>
  <c r="AG5" i="2"/>
  <c r="AG25" i="2" s="1"/>
  <c r="W57" i="4" s="1"/>
  <c r="AB388" i="3"/>
  <c r="AH21" i="2"/>
  <c r="AH41" i="2" s="1"/>
  <c r="J20" i="2"/>
  <c r="J40" i="2" s="1"/>
  <c r="BX35" i="16"/>
  <c r="O11" i="2"/>
  <c r="O31" i="2" s="1"/>
  <c r="J406" i="3"/>
  <c r="L31" i="2"/>
  <c r="L51" i="2"/>
  <c r="K57" i="2"/>
  <c r="J396" i="3"/>
  <c r="K37" i="2"/>
  <c r="W53" i="2"/>
  <c r="W61" i="2" s="1"/>
  <c r="W33" i="2"/>
  <c r="S408" i="3"/>
  <c r="Y34" i="10"/>
  <c r="Y36" i="10" s="1"/>
  <c r="K30" i="2"/>
  <c r="K50" i="2"/>
  <c r="J389" i="3"/>
  <c r="J409" i="3"/>
  <c r="L34" i="2"/>
  <c r="CY2" i="4" s="1"/>
  <c r="Y10" i="2"/>
  <c r="Y30" i="2" s="1"/>
  <c r="AC34" i="10"/>
  <c r="AC52" i="10" s="1"/>
  <c r="W57" i="2"/>
  <c r="W37" i="2"/>
  <c r="S412" i="3"/>
  <c r="S26" i="2"/>
  <c r="S46" i="2"/>
  <c r="R30" i="10"/>
  <c r="O401" i="3"/>
  <c r="S19" i="2"/>
  <c r="S39" i="2" s="1"/>
  <c r="N15" i="2"/>
  <c r="N35" i="2" s="1"/>
  <c r="N7" i="2"/>
  <c r="N27" i="2" s="1"/>
  <c r="Y11" i="2"/>
  <c r="Y31" i="2" s="1"/>
  <c r="F403" i="3"/>
  <c r="H28" i="2"/>
  <c r="H48" i="2"/>
  <c r="Y12" i="2"/>
  <c r="Y32" i="2" s="1"/>
  <c r="V53" i="2"/>
  <c r="V33" i="2"/>
  <c r="R54" i="2"/>
  <c r="Z12" i="10"/>
  <c r="Z48" i="10" s="1"/>
  <c r="R34" i="2"/>
  <c r="O393" i="3"/>
  <c r="I31" i="2"/>
  <c r="I51" i="2"/>
  <c r="W22" i="2"/>
  <c r="W42" i="2" s="1"/>
  <c r="X402" i="3"/>
  <c r="AD27" i="2"/>
  <c r="AD47" i="2"/>
  <c r="S31" i="10"/>
  <c r="AB12" i="10"/>
  <c r="O395" i="3"/>
  <c r="R36" i="2"/>
  <c r="R56" i="2"/>
  <c r="AA30" i="10"/>
  <c r="O410" i="3"/>
  <c r="S35" i="2"/>
  <c r="S55" i="2"/>
  <c r="S62" i="2" s="1"/>
  <c r="S386" i="3"/>
  <c r="S16" i="10"/>
  <c r="V47" i="2"/>
  <c r="V27" i="2"/>
  <c r="H55" i="2"/>
  <c r="H35" i="2"/>
  <c r="F410" i="3"/>
  <c r="H27" i="2"/>
  <c r="F402" i="3"/>
  <c r="H47" i="2"/>
  <c r="AB404" i="3"/>
  <c r="AH29" i="2"/>
  <c r="U35" i="10"/>
  <c r="U36" i="10" s="1"/>
  <c r="AH49" i="2"/>
  <c r="L52" i="2"/>
  <c r="L32" i="2"/>
  <c r="N10" i="2"/>
  <c r="N30" i="2" s="1"/>
  <c r="H20" i="2"/>
  <c r="H40" i="2" s="1"/>
  <c r="F405" i="3"/>
  <c r="AH30" i="2"/>
  <c r="V35" i="10"/>
  <c r="V53" i="10" s="1"/>
  <c r="AB405" i="3"/>
  <c r="AH50" i="2"/>
  <c r="K54" i="2"/>
  <c r="C54" i="2" s="1"/>
  <c r="K34" i="2"/>
  <c r="CP2" i="4" s="1"/>
  <c r="J393" i="3"/>
  <c r="AQ2" i="4"/>
  <c r="S403" i="3"/>
  <c r="T34" i="10"/>
  <c r="V31" i="2"/>
  <c r="V51" i="2"/>
  <c r="W16" i="10"/>
  <c r="S390" i="3"/>
  <c r="AC36" i="2"/>
  <c r="AC56" i="2"/>
  <c r="K26" i="2"/>
  <c r="K46" i="2"/>
  <c r="J385" i="3"/>
  <c r="J391" i="3"/>
  <c r="K52" i="2"/>
  <c r="K32" i="2"/>
  <c r="Y15" i="2"/>
  <c r="Y35" i="2" s="1"/>
  <c r="V30" i="10"/>
  <c r="O405" i="3"/>
  <c r="S30" i="2"/>
  <c r="S50" i="2"/>
  <c r="O406" i="3"/>
  <c r="S51" i="2"/>
  <c r="S31" i="2"/>
  <c r="W30" i="10"/>
  <c r="AC46" i="2"/>
  <c r="AC26" i="2"/>
  <c r="R13" i="10"/>
  <c r="X385" i="3"/>
  <c r="F407" i="3"/>
  <c r="H52" i="2"/>
  <c r="H32" i="2"/>
  <c r="J54" i="2"/>
  <c r="CE6" i="4" s="1"/>
  <c r="CE3" i="4" s="1"/>
  <c r="CE5" i="4" s="1"/>
  <c r="J34" i="2"/>
  <c r="CE2" i="4" s="1"/>
  <c r="V35" i="2"/>
  <c r="AA16" i="10"/>
  <c r="S394" i="3"/>
  <c r="V55" i="2"/>
  <c r="L33" i="2"/>
  <c r="L53" i="2"/>
  <c r="J408" i="3"/>
  <c r="J52" i="2"/>
  <c r="J32" i="2"/>
  <c r="I27" i="2"/>
  <c r="I47" i="2"/>
  <c r="X34" i="10"/>
  <c r="S407" i="3"/>
  <c r="C8" i="2"/>
  <c r="C28" i="2" s="1"/>
  <c r="K28" i="2"/>
  <c r="K48" i="2"/>
  <c r="J387" i="3"/>
  <c r="Z48" i="2"/>
  <c r="O389" i="3"/>
  <c r="V12" i="10"/>
  <c r="R30" i="2"/>
  <c r="R50" i="2"/>
  <c r="O385" i="3"/>
  <c r="R26" i="2"/>
  <c r="R46" i="2"/>
  <c r="R12" i="10"/>
  <c r="AG31" i="2"/>
  <c r="W17" i="10"/>
  <c r="AB390" i="3"/>
  <c r="AG51" i="2"/>
  <c r="AG60" i="2" s="1"/>
  <c r="J405" i="3"/>
  <c r="L50" i="2"/>
  <c r="L30" i="2"/>
  <c r="AC31" i="10"/>
  <c r="AD37" i="2"/>
  <c r="AD57" i="2"/>
  <c r="X412" i="3"/>
  <c r="J49" i="2"/>
  <c r="J29" i="2"/>
  <c r="O404" i="3"/>
  <c r="U30" i="10"/>
  <c r="U32" i="10" s="1"/>
  <c r="J48" i="2"/>
  <c r="J28" i="2"/>
  <c r="K56" i="2"/>
  <c r="J395" i="3"/>
  <c r="K36" i="2"/>
  <c r="AG32" i="2"/>
  <c r="AG52" i="2"/>
  <c r="AB391" i="3"/>
  <c r="X17" i="10"/>
  <c r="BA35" i="10"/>
  <c r="Z7" i="2"/>
  <c r="AC32" i="2"/>
  <c r="AC52" i="2"/>
  <c r="X391" i="3"/>
  <c r="X13" i="10"/>
  <c r="I56" i="2"/>
  <c r="I22" i="2"/>
  <c r="I42" i="2" s="1"/>
  <c r="V30" i="2"/>
  <c r="S389" i="3"/>
  <c r="V16" i="10"/>
  <c r="V18" i="10" s="1"/>
  <c r="V80" i="10" s="1"/>
  <c r="AJ80" i="10" s="1"/>
  <c r="V50" i="2"/>
  <c r="AG26" i="2"/>
  <c r="R17" i="10"/>
  <c r="R53" i="10" s="1"/>
  <c r="I29" i="2"/>
  <c r="I49" i="2"/>
  <c r="G27" i="2"/>
  <c r="F386" i="3"/>
  <c r="G47" i="2"/>
  <c r="O13" i="2"/>
  <c r="O33" i="2" s="1"/>
  <c r="Y14" i="2"/>
  <c r="Y34" i="2" s="1"/>
  <c r="S17" i="10"/>
  <c r="AG27" i="2"/>
  <c r="AC35" i="2"/>
  <c r="AA13" i="10"/>
  <c r="AC55" i="2"/>
  <c r="X394" i="3"/>
  <c r="J55" i="2"/>
  <c r="J35" i="2"/>
  <c r="R27" i="2"/>
  <c r="S12" i="10"/>
  <c r="R47" i="2"/>
  <c r="O386" i="3"/>
  <c r="X387" i="3"/>
  <c r="AC28" i="2"/>
  <c r="AC48" i="2"/>
  <c r="T13" i="10"/>
  <c r="AG30" i="2"/>
  <c r="AB389" i="3"/>
  <c r="F404" i="3"/>
  <c r="H29" i="2"/>
  <c r="H49" i="2"/>
  <c r="S391" i="3"/>
  <c r="V32" i="2"/>
  <c r="V52" i="2"/>
  <c r="V61" i="2" s="1"/>
  <c r="X16" i="10"/>
  <c r="J46" i="2"/>
  <c r="J26" i="2"/>
  <c r="H37" i="2"/>
  <c r="H57" i="2"/>
  <c r="O402" i="3"/>
  <c r="S27" i="2"/>
  <c r="S30" i="10"/>
  <c r="S47" i="2"/>
  <c r="W31" i="10"/>
  <c r="BO31" i="10" s="1"/>
  <c r="BU31" i="10" s="1"/>
  <c r="AD31" i="2"/>
  <c r="X406" i="3"/>
  <c r="AD51" i="2"/>
  <c r="O408" i="3"/>
  <c r="S33" i="2"/>
  <c r="Y30" i="10"/>
  <c r="Y32" i="10" s="1"/>
  <c r="S53" i="2"/>
  <c r="G57" i="2"/>
  <c r="G37" i="2"/>
  <c r="F396" i="3"/>
  <c r="R37" i="2"/>
  <c r="AC12" i="10"/>
  <c r="O396" i="3"/>
  <c r="R57" i="2"/>
  <c r="S409" i="3"/>
  <c r="Z34" i="10"/>
  <c r="X393" i="3"/>
  <c r="AC34" i="2"/>
  <c r="AC54" i="2"/>
  <c r="Z13" i="10"/>
  <c r="Z49" i="10" s="1"/>
  <c r="AC50" i="2"/>
  <c r="X389" i="3"/>
  <c r="V13" i="10"/>
  <c r="AC30" i="2"/>
  <c r="H36" i="2"/>
  <c r="F411" i="3"/>
  <c r="AC31" i="2"/>
  <c r="W13" i="10"/>
  <c r="BO13" i="10" s="1"/>
  <c r="AC51" i="2"/>
  <c r="X390" i="3"/>
  <c r="J30" i="2"/>
  <c r="J50" i="2"/>
  <c r="BR55" i="4"/>
  <c r="AU35" i="10"/>
  <c r="I61" i="2"/>
  <c r="AO12" i="10"/>
  <c r="CE15" i="16"/>
  <c r="BC12" i="10"/>
  <c r="BW40" i="16"/>
  <c r="CE39" i="16"/>
  <c r="CF35" i="16"/>
  <c r="BD30" i="10"/>
  <c r="AP30" i="10"/>
  <c r="AP13" i="10"/>
  <c r="BD13" i="10"/>
  <c r="CF16" i="16"/>
  <c r="BY36" i="16"/>
  <c r="AI31" i="10"/>
  <c r="AW31" i="10"/>
  <c r="BA16" i="10"/>
  <c r="AG33" i="2"/>
  <c r="Y17" i="10"/>
  <c r="Y18" i="10" s="1"/>
  <c r="AB392" i="3"/>
  <c r="AG53" i="2"/>
  <c r="BE16" i="10"/>
  <c r="AQ16" i="10"/>
  <c r="CG19" i="16"/>
  <c r="CD20" i="16"/>
  <c r="AF31" i="10"/>
  <c r="CL55" i="4"/>
  <c r="AC21" i="2"/>
  <c r="AC41" i="2" s="1"/>
  <c r="AC33" i="2"/>
  <c r="AC53" i="2"/>
  <c r="BX19" i="16"/>
  <c r="AF35" i="10"/>
  <c r="AT35" i="10"/>
  <c r="Y13" i="10"/>
  <c r="AC5" i="2"/>
  <c r="AX55" i="4" s="1"/>
  <c r="AX54" i="4"/>
  <c r="V52" i="10"/>
  <c r="X392" i="3"/>
  <c r="CC19" i="16"/>
  <c r="BZ20" i="16"/>
  <c r="AJ17" i="10"/>
  <c r="AX17" i="10"/>
  <c r="BY19" i="16"/>
  <c r="BV5" i="4"/>
  <c r="AH5" i="4"/>
  <c r="L26" i="24"/>
  <c r="V17" i="24"/>
  <c r="R17" i="24"/>
  <c r="X17" i="24"/>
  <c r="T17" i="24"/>
  <c r="U5" i="24"/>
  <c r="P14" i="24"/>
  <c r="O14" i="24"/>
  <c r="S5" i="24"/>
  <c r="U14" i="24"/>
  <c r="M14" i="24"/>
  <c r="K14" i="24"/>
  <c r="I14" i="24"/>
  <c r="S14" i="24"/>
  <c r="S29" i="24"/>
  <c r="AM54" i="4"/>
  <c r="AW13" i="10"/>
  <c r="T33" i="4"/>
  <c r="K25" i="2"/>
  <c r="W7" i="4" s="1"/>
  <c r="X49" i="10"/>
  <c r="BB16" i="10"/>
  <c r="AD54" i="4"/>
  <c r="Y13" i="2"/>
  <c r="Z32" i="10"/>
  <c r="CD35" i="16"/>
  <c r="AN30" i="10"/>
  <c r="BB30" i="10"/>
  <c r="CD36" i="16"/>
  <c r="AN31" i="10"/>
  <c r="BB31" i="10"/>
  <c r="BB6" i="4"/>
  <c r="BB3" i="4" s="1"/>
  <c r="BB5" i="4" s="1"/>
  <c r="J26" i="24"/>
  <c r="Z69" i="2"/>
  <c r="P36" i="12"/>
  <c r="P40" i="12" s="1"/>
  <c r="G40" i="12"/>
  <c r="BP59" i="16"/>
  <c r="Y82" i="2"/>
  <c r="M90" i="12"/>
  <c r="M72" i="12"/>
  <c r="T3" i="23"/>
  <c r="BK58" i="16"/>
  <c r="BK61" i="16" s="1"/>
  <c r="BK62" i="16" s="1"/>
  <c r="BK37" i="16" s="1"/>
  <c r="BK16" i="16"/>
  <c r="BK15" i="16" s="1"/>
  <c r="BO21" i="16"/>
  <c r="BO17" i="16"/>
  <c r="BM17" i="16"/>
  <c r="BM21" i="16"/>
  <c r="M25" i="12"/>
  <c r="CU6" i="23"/>
  <c r="S27" i="23"/>
  <c r="CI27" i="23"/>
  <c r="CM3" i="23"/>
  <c r="K24" i="23"/>
  <c r="CM24" i="23" s="1"/>
  <c r="BQ28" i="23"/>
  <c r="BY7" i="23"/>
  <c r="CB7" i="23"/>
  <c r="CV7" i="23"/>
  <c r="T28" i="23"/>
  <c r="CM27" i="23"/>
  <c r="BD40" i="16"/>
  <c r="AD14" i="24"/>
  <c r="L27" i="23"/>
  <c r="L3" i="23"/>
  <c r="AW24" i="23"/>
  <c r="DE3" i="23"/>
  <c r="CK3" i="23"/>
  <c r="W4" i="3"/>
  <c r="AA402" i="3"/>
  <c r="AA413" i="3" s="1"/>
  <c r="Z67" i="2"/>
  <c r="AH65" i="2"/>
  <c r="AH27" i="2"/>
  <c r="AH79" i="2"/>
  <c r="AH39" i="2" s="1"/>
  <c r="AH47" i="2"/>
  <c r="AM86" i="16"/>
  <c r="BE24" i="12"/>
  <c r="AQ24" i="12"/>
  <c r="AA47" i="12"/>
  <c r="D93" i="12"/>
  <c r="D95" i="12" s="1"/>
  <c r="P70" i="12"/>
  <c r="D46" i="12"/>
  <c r="P46" i="12" s="1"/>
  <c r="P32" i="12"/>
  <c r="D80" i="12"/>
  <c r="P78" i="12"/>
  <c r="BS65" i="16"/>
  <c r="BQ65" i="16"/>
  <c r="O80" i="2"/>
  <c r="AU62" i="16"/>
  <c r="AU72" i="16"/>
  <c r="CL24" i="23"/>
  <c r="DF24" i="23"/>
  <c r="P83" i="12"/>
  <c r="P87" i="12" s="1"/>
  <c r="M87" i="12"/>
  <c r="J95" i="12"/>
  <c r="P90" i="12"/>
  <c r="BQ3" i="23"/>
  <c r="BQ24" i="23" s="1"/>
  <c r="BI17" i="16"/>
  <c r="BI21" i="16"/>
  <c r="BF21" i="16"/>
  <c r="BF17" i="16"/>
  <c r="H25" i="12"/>
  <c r="P20" i="12"/>
  <c r="P8" i="24"/>
  <c r="Y9" i="24"/>
  <c r="P30" i="24"/>
  <c r="M93" i="12"/>
  <c r="N72" i="12"/>
  <c r="E72" i="12"/>
  <c r="AV61" i="16"/>
  <c r="AV72" i="16" s="1"/>
  <c r="CA54" i="4"/>
  <c r="Z13" i="2"/>
  <c r="AD86" i="12"/>
  <c r="BF86" i="12" s="1"/>
  <c r="AI86" i="12"/>
  <c r="AR86" i="12" s="1"/>
  <c r="AW86" i="12"/>
  <c r="D45" i="12"/>
  <c r="P31" i="12"/>
  <c r="P21" i="12"/>
  <c r="DO7" i="23"/>
  <c r="CA28" i="23"/>
  <c r="CL3" i="23"/>
  <c r="P22" i="12"/>
  <c r="BN17" i="16"/>
  <c r="BN21" i="16"/>
  <c r="BL17" i="16"/>
  <c r="BL21" i="16"/>
  <c r="BG17" i="16"/>
  <c r="BG21" i="16"/>
  <c r="G43" i="12"/>
  <c r="P29" i="12"/>
  <c r="G33" i="12"/>
  <c r="CA6" i="23"/>
  <c r="BO27" i="23"/>
  <c r="BY6" i="23"/>
  <c r="G24" i="23"/>
  <c r="CI24" i="23" s="1"/>
  <c r="CI3" i="23"/>
  <c r="G5" i="24"/>
  <c r="G29" i="24"/>
  <c r="CK28" i="23"/>
  <c r="BK70" i="16"/>
  <c r="AO84" i="16"/>
  <c r="AO86" i="16" s="1"/>
  <c r="AV62" i="16"/>
  <c r="AO71" i="16"/>
  <c r="P30" i="12"/>
  <c r="G44" i="12"/>
  <c r="N27" i="23"/>
  <c r="N3" i="23"/>
  <c r="N24" i="23" s="1"/>
  <c r="V6" i="23"/>
  <c r="V3" i="23" s="1"/>
  <c r="V24" i="23" s="1"/>
  <c r="BC39" i="12"/>
  <c r="AO39" i="12"/>
  <c r="AR39" i="12" s="1"/>
  <c r="AR24" i="12"/>
  <c r="O65" i="2"/>
  <c r="P43" i="12"/>
  <c r="D48" i="12"/>
  <c r="AD94" i="12"/>
  <c r="BF94" i="12" s="1"/>
  <c r="AZ94" i="12"/>
  <c r="AL94" i="12"/>
  <c r="BJ17" i="16"/>
  <c r="BJ21" i="16"/>
  <c r="P64" i="12"/>
  <c r="AJ83" i="16"/>
  <c r="AJ71" i="16"/>
  <c r="P67" i="12"/>
  <c r="P72" i="12" s="1"/>
  <c r="BK67" i="16"/>
  <c r="BK68" i="16" s="1"/>
  <c r="BK41" i="16" s="1"/>
  <c r="BE17" i="16"/>
  <c r="BE21" i="16"/>
  <c r="BD19" i="16"/>
  <c r="M33" i="12"/>
  <c r="M45" i="12"/>
  <c r="M48" i="12" s="1"/>
  <c r="AD24" i="12"/>
  <c r="BF24" i="12" s="1"/>
  <c r="Q6" i="23"/>
  <c r="Q3" i="23" s="1"/>
  <c r="Q24" i="23" s="1"/>
  <c r="BD16" i="16"/>
  <c r="BD15" i="16" s="1"/>
  <c r="BD58" i="16"/>
  <c r="U6" i="23"/>
  <c r="BA31" i="10"/>
  <c r="BP31" i="10"/>
  <c r="AM31" i="10"/>
  <c r="CC36" i="16"/>
  <c r="P80" i="12"/>
  <c r="AQ13" i="10" l="1"/>
  <c r="CF20" i="16"/>
  <c r="AO35" i="10"/>
  <c r="AO36" i="10" s="1"/>
  <c r="W62" i="2"/>
  <c r="AB18" i="10"/>
  <c r="BD18" i="10" s="1"/>
  <c r="AK12" i="10"/>
  <c r="CC15" i="16"/>
  <c r="BE30" i="10"/>
  <c r="AA53" i="10"/>
  <c r="BC53" i="10" s="1"/>
  <c r="BY39" i="16"/>
  <c r="BA6" i="23"/>
  <c r="BD6" i="23"/>
  <c r="DL6" i="23" s="1"/>
  <c r="BC6" i="23"/>
  <c r="BB6" i="23"/>
  <c r="CP6" i="23" s="1"/>
  <c r="BP30" i="10"/>
  <c r="BG30" i="4"/>
  <c r="CA15" i="16"/>
  <c r="CU3" i="4"/>
  <c r="CF36" i="16"/>
  <c r="CE41" i="16"/>
  <c r="CE78" i="16" s="1"/>
  <c r="AA36" i="10"/>
  <c r="BC36" i="10" s="1"/>
  <c r="V62" i="2"/>
  <c r="BA7" i="23"/>
  <c r="BD7" i="23"/>
  <c r="CR7" i="23" s="1"/>
  <c r="BC7" i="23"/>
  <c r="BB7" i="23"/>
  <c r="DJ7" i="23" s="1"/>
  <c r="Z31" i="2"/>
  <c r="Z28" i="2"/>
  <c r="Z32" i="2"/>
  <c r="E24" i="23"/>
  <c r="CG24" i="23" s="1"/>
  <c r="CG3" i="23"/>
  <c r="S3" i="23"/>
  <c r="CU3" i="23" s="1"/>
  <c r="Y48" i="2"/>
  <c r="AD55" i="4"/>
  <c r="BP17" i="16"/>
  <c r="BH20" i="16"/>
  <c r="BH64" i="16"/>
  <c r="BH67" i="16" s="1"/>
  <c r="BH68" i="16" s="1"/>
  <c r="BH41" i="16" s="1"/>
  <c r="BH19" i="16"/>
  <c r="BH16" i="16"/>
  <c r="BH15" i="16" s="1"/>
  <c r="BH58" i="16"/>
  <c r="AR94" i="12"/>
  <c r="P44" i="12"/>
  <c r="BC94" i="12"/>
  <c r="AO94" i="12"/>
  <c r="Q14" i="24"/>
  <c r="V25" i="2"/>
  <c r="W32" i="4" s="1"/>
  <c r="H25" i="2"/>
  <c r="U8" i="4" s="1"/>
  <c r="T18" i="10"/>
  <c r="T79" i="10" s="1"/>
  <c r="AH79" i="10" s="1"/>
  <c r="N48" i="2"/>
  <c r="Y47" i="2"/>
  <c r="CA30" i="4"/>
  <c r="X14" i="10"/>
  <c r="X8" i="12" s="1"/>
  <c r="C33" i="2"/>
  <c r="BG55" i="4"/>
  <c r="T32" i="4"/>
  <c r="BA12" i="10"/>
  <c r="AV17" i="10"/>
  <c r="O49" i="2"/>
  <c r="BY3" i="23"/>
  <c r="BY24" i="23" s="1"/>
  <c r="Z51" i="2"/>
  <c r="CU28" i="23"/>
  <c r="CL27" i="23"/>
  <c r="AK36" i="10"/>
  <c r="DP27" i="23"/>
  <c r="T27" i="23"/>
  <c r="CV6" i="23"/>
  <c r="R56" i="12"/>
  <c r="AF56" i="12" s="1"/>
  <c r="AL31" i="10"/>
  <c r="AL32" i="10" s="1"/>
  <c r="R25" i="2"/>
  <c r="U32" i="4" s="1"/>
  <c r="AQ30" i="10"/>
  <c r="O48" i="2"/>
  <c r="AX34" i="10"/>
  <c r="T53" i="10"/>
  <c r="AH53" i="10" s="1"/>
  <c r="BX40" i="16"/>
  <c r="BX104" i="16" s="1"/>
  <c r="X32" i="10"/>
  <c r="BZ39" i="16"/>
  <c r="BN35" i="10"/>
  <c r="Z46" i="2"/>
  <c r="AH25" i="2"/>
  <c r="W58" i="4" s="1"/>
  <c r="CB36" i="16"/>
  <c r="CB37" i="16" s="1"/>
  <c r="CB77" i="16" s="1"/>
  <c r="C26" i="2"/>
  <c r="AH17" i="10"/>
  <c r="AH18" i="10" s="1"/>
  <c r="BO12" i="10"/>
  <c r="BO14" i="10" s="1"/>
  <c r="W48" i="10"/>
  <c r="W63" i="10" s="1"/>
  <c r="CA3" i="4"/>
  <c r="BP16" i="10"/>
  <c r="BO34" i="10"/>
  <c r="Y14" i="10"/>
  <c r="Y8" i="12" s="1"/>
  <c r="AM8" i="12" s="1"/>
  <c r="Z53" i="10"/>
  <c r="Z67" i="10" s="1"/>
  <c r="Y52" i="10"/>
  <c r="AM52" i="10" s="1"/>
  <c r="U52" i="10"/>
  <c r="U66" i="10" s="1"/>
  <c r="AV30" i="10"/>
  <c r="S36" i="10"/>
  <c r="H60" i="2"/>
  <c r="AH62" i="2"/>
  <c r="AV35" i="10"/>
  <c r="C53" i="2"/>
  <c r="C50" i="2"/>
  <c r="W45" i="2"/>
  <c r="Z36" i="10"/>
  <c r="BB36" i="10" s="1"/>
  <c r="Z19" i="2"/>
  <c r="BC34" i="10"/>
  <c r="BP35" i="10"/>
  <c r="BV35" i="10" s="1"/>
  <c r="AH31" i="10"/>
  <c r="AH32" i="10" s="1"/>
  <c r="AT31" i="10"/>
  <c r="BV36" i="16"/>
  <c r="DI6" i="23"/>
  <c r="O21" i="2"/>
  <c r="O41" i="2" s="1"/>
  <c r="CD40" i="16"/>
  <c r="BW16" i="16"/>
  <c r="BQ13" i="10"/>
  <c r="AZ12" i="10"/>
  <c r="T8" i="4"/>
  <c r="AN35" i="10"/>
  <c r="BN31" i="10"/>
  <c r="BB17" i="10"/>
  <c r="DK7" i="23"/>
  <c r="BD17" i="10"/>
  <c r="BD80" i="10" s="1"/>
  <c r="AW52" i="10"/>
  <c r="AW34" i="10"/>
  <c r="CP7" i="23"/>
  <c r="R49" i="10"/>
  <c r="AT49" i="10" s="1"/>
  <c r="BR30" i="4"/>
  <c r="AA14" i="10"/>
  <c r="AA8" i="12" s="1"/>
  <c r="BC35" i="10"/>
  <c r="T32" i="10"/>
  <c r="T55" i="12" s="1"/>
  <c r="Z20" i="2"/>
  <c r="G61" i="2"/>
  <c r="I59" i="2"/>
  <c r="F8" i="24"/>
  <c r="M8" i="24" s="1"/>
  <c r="AC49" i="10"/>
  <c r="AC64" i="10" s="1"/>
  <c r="O22" i="2"/>
  <c r="O42" i="2" s="1"/>
  <c r="K59" i="2"/>
  <c r="BQ12" i="10"/>
  <c r="BW12" i="10" s="1"/>
  <c r="R60" i="2"/>
  <c r="Z54" i="2"/>
  <c r="O20" i="2"/>
  <c r="O40" i="2" s="1"/>
  <c r="K60" i="2"/>
  <c r="CG16" i="16"/>
  <c r="D19" i="2"/>
  <c r="D39" i="2" s="1"/>
  <c r="AG13" i="10"/>
  <c r="W59" i="2"/>
  <c r="X14" i="12"/>
  <c r="AL14" i="12" s="1"/>
  <c r="AI52" i="10"/>
  <c r="AL12" i="10"/>
  <c r="N5" i="2"/>
  <c r="N25" i="2" s="1"/>
  <c r="S32" i="4" s="1"/>
  <c r="AA32" i="10"/>
  <c r="BC32" i="10" s="1"/>
  <c r="AA48" i="10"/>
  <c r="BC48" i="10" s="1"/>
  <c r="C21" i="2"/>
  <c r="C41" i="2" s="1"/>
  <c r="AH12" i="10"/>
  <c r="BX15" i="16"/>
  <c r="BX99" i="16" s="1"/>
  <c r="AV12" i="10"/>
  <c r="AI17" i="10"/>
  <c r="AI18" i="10" s="1"/>
  <c r="AW17" i="10"/>
  <c r="BY20" i="16"/>
  <c r="BY21" i="16" s="1"/>
  <c r="BY64" i="16" s="1"/>
  <c r="BY65" i="16" s="1"/>
  <c r="BY67" i="16" s="1"/>
  <c r="BY68" i="16" s="1"/>
  <c r="Y49" i="10"/>
  <c r="BA49" i="10" s="1"/>
  <c r="CB15" i="16"/>
  <c r="CB99" i="16" s="1"/>
  <c r="U18" i="10"/>
  <c r="U79" i="10" s="1"/>
  <c r="AI79" i="10" s="1"/>
  <c r="BQ34" i="10"/>
  <c r="BW34" i="10" s="1"/>
  <c r="C32" i="2"/>
  <c r="S60" i="2"/>
  <c r="O46" i="2"/>
  <c r="BX75" i="16"/>
  <c r="D35" i="2"/>
  <c r="D22" i="2"/>
  <c r="D42" i="2" s="1"/>
  <c r="C55" i="2"/>
  <c r="AA49" i="10"/>
  <c r="BC49" i="10" s="1"/>
  <c r="AO31" i="10"/>
  <c r="O52" i="2"/>
  <c r="AP31" i="10"/>
  <c r="AP32" i="10" s="1"/>
  <c r="AB32" i="10"/>
  <c r="BD32" i="10" s="1"/>
  <c r="N21" i="2"/>
  <c r="N41" i="2" s="1"/>
  <c r="Z18" i="10"/>
  <c r="CD19" i="16"/>
  <c r="CD21" i="16" s="1"/>
  <c r="CD64" i="16" s="1"/>
  <c r="CD67" i="16" s="1"/>
  <c r="CD68" i="16" s="1"/>
  <c r="AJ31" i="10"/>
  <c r="AX31" i="10"/>
  <c r="BP12" i="10"/>
  <c r="Z52" i="10"/>
  <c r="AN52" i="10" s="1"/>
  <c r="G25" i="2"/>
  <c r="U7" i="4" s="1"/>
  <c r="AW16" i="10"/>
  <c r="BD34" i="10"/>
  <c r="AB79" i="10"/>
  <c r="AP79" i="10" s="1"/>
  <c r="AB54" i="12"/>
  <c r="AB14" i="10"/>
  <c r="AB8" i="12" s="1"/>
  <c r="BD8" i="12" s="1"/>
  <c r="O30" i="2"/>
  <c r="BD31" i="10"/>
  <c r="BC31" i="10"/>
  <c r="U7" i="12"/>
  <c r="Y48" i="10"/>
  <c r="AM48" i="10" s="1"/>
  <c r="BO48" i="10" s="1"/>
  <c r="BO63" i="10" s="1"/>
  <c r="K62" i="2"/>
  <c r="C52" i="2"/>
  <c r="C61" i="2" s="1"/>
  <c r="Z56" i="2"/>
  <c r="O57" i="2"/>
  <c r="V53" i="12"/>
  <c r="AD59" i="2"/>
  <c r="D47" i="2"/>
  <c r="BK2" i="4"/>
  <c r="AA54" i="12"/>
  <c r="AC61" i="2"/>
  <c r="S61" i="2"/>
  <c r="S59" i="2"/>
  <c r="D57" i="2"/>
  <c r="G59" i="2"/>
  <c r="I45" i="2"/>
  <c r="D46" i="2"/>
  <c r="I62" i="2"/>
  <c r="AD31" i="10"/>
  <c r="BF31" i="10" s="1"/>
  <c r="AD12" i="10"/>
  <c r="AD14" i="10" s="1"/>
  <c r="BF14" i="10" s="1"/>
  <c r="J413" i="3"/>
  <c r="J61" i="2"/>
  <c r="AH60" i="2"/>
  <c r="AB413" i="3"/>
  <c r="S52" i="10"/>
  <c r="BX37" i="16"/>
  <c r="BX77" i="16" s="1"/>
  <c r="Y19" i="2"/>
  <c r="Y39" i="2" s="1"/>
  <c r="O55" i="2"/>
  <c r="C46" i="2"/>
  <c r="D21" i="2"/>
  <c r="D41" i="2" s="1"/>
  <c r="O56" i="2"/>
  <c r="CB76" i="16"/>
  <c r="AB36" i="10"/>
  <c r="Z55" i="2"/>
  <c r="D56" i="2"/>
  <c r="F397" i="3"/>
  <c r="W61" i="12"/>
  <c r="U55" i="12"/>
  <c r="AW55" i="12" s="1"/>
  <c r="AW32" i="10"/>
  <c r="S54" i="12"/>
  <c r="AP35" i="10"/>
  <c r="U14" i="10"/>
  <c r="U77" i="10" s="1"/>
  <c r="AI77" i="10" s="1"/>
  <c r="U49" i="10"/>
  <c r="AW49" i="10" s="1"/>
  <c r="W25" i="2"/>
  <c r="W33" i="4" s="1"/>
  <c r="BO16" i="10"/>
  <c r="BU16" i="10" s="1"/>
  <c r="AB397" i="3"/>
  <c r="S7" i="12"/>
  <c r="R59" i="2"/>
  <c r="D51" i="2"/>
  <c r="Y57" i="2"/>
  <c r="J62" i="2"/>
  <c r="O54" i="2"/>
  <c r="AI13" i="10"/>
  <c r="AI14" i="10" s="1"/>
  <c r="AC25" i="2"/>
  <c r="U57" i="4" s="1"/>
  <c r="T48" i="10"/>
  <c r="AH48" i="10" s="1"/>
  <c r="BJ48" i="10" s="1"/>
  <c r="BJ63" i="10" s="1"/>
  <c r="AG36" i="10"/>
  <c r="C49" i="2"/>
  <c r="BQ31" i="10"/>
  <c r="BW31" i="10" s="1"/>
  <c r="T14" i="10"/>
  <c r="T76" i="10" s="1"/>
  <c r="AH76" i="10" s="1"/>
  <c r="AC62" i="2"/>
  <c r="Z57" i="2"/>
  <c r="L60" i="2"/>
  <c r="K45" i="2"/>
  <c r="Y46" i="2"/>
  <c r="N51" i="2"/>
  <c r="Y49" i="2"/>
  <c r="S397" i="3"/>
  <c r="AD60" i="2"/>
  <c r="Y20" i="2"/>
  <c r="Y40" i="2" s="1"/>
  <c r="G45" i="2"/>
  <c r="C47" i="2"/>
  <c r="Z53" i="12"/>
  <c r="AO53" i="10"/>
  <c r="AB53" i="10"/>
  <c r="AP53" i="10" s="1"/>
  <c r="N54" i="2"/>
  <c r="U14" i="12"/>
  <c r="Y14" i="12"/>
  <c r="X61" i="12"/>
  <c r="AC80" i="10"/>
  <c r="AQ80" i="10" s="1"/>
  <c r="BE18" i="10"/>
  <c r="BE79" i="10" s="1"/>
  <c r="AC79" i="10"/>
  <c r="AQ79" i="10" s="1"/>
  <c r="AC9" i="12"/>
  <c r="BE9" i="12" s="1"/>
  <c r="O397" i="3"/>
  <c r="CF40" i="16"/>
  <c r="CF41" i="16" s="1"/>
  <c r="CF78" i="16" s="1"/>
  <c r="Z22" i="2"/>
  <c r="Z42" i="2" s="1"/>
  <c r="I25" i="2"/>
  <c r="V7" i="4" s="1"/>
  <c r="Y26" i="2"/>
  <c r="CF37" i="16"/>
  <c r="CF77" i="16" s="1"/>
  <c r="U38" i="10"/>
  <c r="AW38" i="10" s="1"/>
  <c r="D50" i="2"/>
  <c r="Z50" i="2"/>
  <c r="H59" i="2"/>
  <c r="V45" i="2"/>
  <c r="D33" i="2"/>
  <c r="O53" i="2"/>
  <c r="T7" i="4"/>
  <c r="BQ35" i="10"/>
  <c r="BW35" i="10" s="1"/>
  <c r="AY36" i="10"/>
  <c r="C19" i="2"/>
  <c r="C39" i="2" s="1"/>
  <c r="Y29" i="2"/>
  <c r="D20" i="2"/>
  <c r="D40" i="2" s="1"/>
  <c r="N22" i="2"/>
  <c r="N42" i="2" s="1"/>
  <c r="AA67" i="10"/>
  <c r="BC67" i="10" s="1"/>
  <c r="AB80" i="10"/>
  <c r="AP80" i="10" s="1"/>
  <c r="AB9" i="12"/>
  <c r="AP9" i="12" s="1"/>
  <c r="N52" i="2"/>
  <c r="F413" i="3"/>
  <c r="X413" i="3"/>
  <c r="AD30" i="10"/>
  <c r="S413" i="3"/>
  <c r="AD45" i="2"/>
  <c r="C20" i="2"/>
  <c r="C40" i="2" s="1"/>
  <c r="N20" i="2"/>
  <c r="N40" i="2" s="1"/>
  <c r="AC60" i="2"/>
  <c r="N19" i="2"/>
  <c r="N39" i="2" s="1"/>
  <c r="J45" i="2"/>
  <c r="J397" i="3"/>
  <c r="C48" i="2"/>
  <c r="AD34" i="10"/>
  <c r="BF34" i="10" s="1"/>
  <c r="D53" i="2"/>
  <c r="AD16" i="10"/>
  <c r="BF16" i="10" s="1"/>
  <c r="D52" i="2"/>
  <c r="V59" i="2"/>
  <c r="AH61" i="2"/>
  <c r="AT53" i="10"/>
  <c r="AF53" i="10"/>
  <c r="AX53" i="10"/>
  <c r="AJ53" i="10"/>
  <c r="V67" i="10"/>
  <c r="AJ67" i="10" s="1"/>
  <c r="BY103" i="16"/>
  <c r="CG40" i="16"/>
  <c r="BE35" i="10"/>
  <c r="AC53" i="10"/>
  <c r="AQ35" i="10"/>
  <c r="BC27" i="23"/>
  <c r="C5" i="2"/>
  <c r="C25" i="2" s="1"/>
  <c r="S7" i="4" s="1"/>
  <c r="Y22" i="2"/>
  <c r="Y42" i="2" s="1"/>
  <c r="S45" i="2"/>
  <c r="AH55" i="12"/>
  <c r="AD62" i="2"/>
  <c r="Y7" i="12"/>
  <c r="BB28" i="23"/>
  <c r="DJ28" i="23" s="1"/>
  <c r="CO7" i="23"/>
  <c r="O51" i="2"/>
  <c r="O19" i="2"/>
  <c r="O39" i="2" s="1"/>
  <c r="U53" i="10"/>
  <c r="N53" i="2"/>
  <c r="O413" i="3"/>
  <c r="V60" i="2"/>
  <c r="AC59" i="2"/>
  <c r="Y56" i="2"/>
  <c r="C51" i="2"/>
  <c r="AP34" i="10"/>
  <c r="AB52" i="10"/>
  <c r="BV39" i="16"/>
  <c r="AT34" i="10"/>
  <c r="AF34" i="10"/>
  <c r="AF36" i="10" s="1"/>
  <c r="R52" i="10"/>
  <c r="AQ17" i="10"/>
  <c r="AQ18" i="10" s="1"/>
  <c r="CG20" i="16"/>
  <c r="CG21" i="16" s="1"/>
  <c r="CG64" i="16" s="1"/>
  <c r="CG67" i="16" s="1"/>
  <c r="CG68" i="16" s="1"/>
  <c r="BQ17" i="10"/>
  <c r="BW17" i="10" s="1"/>
  <c r="BE17" i="10"/>
  <c r="O5" i="2"/>
  <c r="O25" i="2" s="1"/>
  <c r="S33" i="4" s="1"/>
  <c r="D5" i="2"/>
  <c r="D25" i="2" s="1"/>
  <c r="S8" i="4" s="1"/>
  <c r="H61" i="2"/>
  <c r="X397" i="3"/>
  <c r="C22" i="2"/>
  <c r="C42" i="2" s="1"/>
  <c r="V36" i="10"/>
  <c r="AX36" i="10" s="1"/>
  <c r="Z52" i="2"/>
  <c r="AC53" i="12"/>
  <c r="DH7" i="23"/>
  <c r="AA52" i="10"/>
  <c r="AO52" i="10" s="1"/>
  <c r="CP6" i="4"/>
  <c r="CP3" i="4" s="1"/>
  <c r="CP5" i="4" s="1"/>
  <c r="H62" i="2"/>
  <c r="J59" i="2"/>
  <c r="D55" i="2"/>
  <c r="I60" i="2"/>
  <c r="R61" i="2"/>
  <c r="D48" i="2"/>
  <c r="BW39" i="16"/>
  <c r="BW41" i="16" s="1"/>
  <c r="BW78" i="16" s="1"/>
  <c r="AU34" i="10"/>
  <c r="CB40" i="16"/>
  <c r="AZ35" i="10"/>
  <c r="AL35" i="10"/>
  <c r="AD35" i="10"/>
  <c r="BF35" i="10" s="1"/>
  <c r="H45" i="2"/>
  <c r="R45" i="2"/>
  <c r="X54" i="12"/>
  <c r="L45" i="2"/>
  <c r="CF19" i="16"/>
  <c r="CF103" i="16" s="1"/>
  <c r="AP16" i="10"/>
  <c r="AP18" i="10" s="1"/>
  <c r="BD16" i="10"/>
  <c r="BD79" i="10" s="1"/>
  <c r="AY13" i="10"/>
  <c r="CA16" i="16"/>
  <c r="CA17" i="16" s="1"/>
  <c r="CA58" i="16" s="1"/>
  <c r="AK13" i="10"/>
  <c r="AK14" i="10" s="1"/>
  <c r="BB13" i="10"/>
  <c r="AN13" i="10"/>
  <c r="CD16" i="16"/>
  <c r="CD100" i="16" s="1"/>
  <c r="CD39" i="16"/>
  <c r="BB34" i="10"/>
  <c r="AN34" i="10"/>
  <c r="AN36" i="10" s="1"/>
  <c r="BE12" i="10"/>
  <c r="AC48" i="10"/>
  <c r="AC14" i="10"/>
  <c r="AC20" i="10" s="1"/>
  <c r="AQ12" i="10"/>
  <c r="CG15" i="16"/>
  <c r="CG99" i="16" s="1"/>
  <c r="AK31" i="10"/>
  <c r="AY31" i="10"/>
  <c r="CA36" i="16"/>
  <c r="W49" i="10"/>
  <c r="R44" i="2"/>
  <c r="N47" i="2"/>
  <c r="BC13" i="10"/>
  <c r="AO13" i="10"/>
  <c r="AO14" i="10" s="1"/>
  <c r="CE16" i="16"/>
  <c r="CE100" i="16" s="1"/>
  <c r="AL13" i="10"/>
  <c r="AZ13" i="10"/>
  <c r="CB16" i="16"/>
  <c r="CA20" i="16"/>
  <c r="CA104" i="16" s="1"/>
  <c r="AY17" i="10"/>
  <c r="AK17" i="10"/>
  <c r="W53" i="10"/>
  <c r="BZ35" i="16"/>
  <c r="V48" i="10"/>
  <c r="AX30" i="10"/>
  <c r="AJ30" i="10"/>
  <c r="V32" i="10"/>
  <c r="Y55" i="2"/>
  <c r="N55" i="2"/>
  <c r="N56" i="2"/>
  <c r="L61" i="2"/>
  <c r="S18" i="10"/>
  <c r="S80" i="10" s="1"/>
  <c r="AG80" i="10" s="1"/>
  <c r="AU16" i="10"/>
  <c r="BN16" i="10"/>
  <c r="BW19" i="16"/>
  <c r="AG16" i="10"/>
  <c r="N49" i="2"/>
  <c r="BW36" i="16"/>
  <c r="S49" i="10"/>
  <c r="AG31" i="10"/>
  <c r="AU31" i="10"/>
  <c r="AN12" i="10"/>
  <c r="Z14" i="10"/>
  <c r="Z77" i="10" s="1"/>
  <c r="AN77" i="10" s="1"/>
  <c r="BB12" i="10"/>
  <c r="CD15" i="16"/>
  <c r="CD99" i="16" s="1"/>
  <c r="Y52" i="2"/>
  <c r="Y50" i="2"/>
  <c r="N46" i="2"/>
  <c r="K61" i="2"/>
  <c r="AJ13" i="10"/>
  <c r="BZ16" i="16"/>
  <c r="BZ100" i="16" s="1"/>
  <c r="AX13" i="10"/>
  <c r="V49" i="10"/>
  <c r="AU12" i="10"/>
  <c r="BW15" i="16"/>
  <c r="S14" i="10"/>
  <c r="AG12" i="10"/>
  <c r="AX16" i="10"/>
  <c r="BZ19" i="16"/>
  <c r="BZ21" i="16" s="1"/>
  <c r="BZ64" i="16" s="1"/>
  <c r="BZ65" i="16" s="1"/>
  <c r="BZ67" i="16" s="1"/>
  <c r="BZ68" i="16" s="1"/>
  <c r="AJ16" i="10"/>
  <c r="AJ18" i="10" s="1"/>
  <c r="J60" i="2"/>
  <c r="BZ15" i="16"/>
  <c r="AJ12" i="10"/>
  <c r="V14" i="10"/>
  <c r="AX12" i="10"/>
  <c r="W32" i="10"/>
  <c r="CA35" i="16"/>
  <c r="AY30" i="10"/>
  <c r="AK30" i="10"/>
  <c r="AK16" i="10"/>
  <c r="W52" i="10"/>
  <c r="W18" i="10"/>
  <c r="AY16" i="10"/>
  <c r="CA19" i="16"/>
  <c r="AQ6" i="4"/>
  <c r="AQ3" i="4" s="1"/>
  <c r="AQ5" i="4" s="1"/>
  <c r="D54" i="2"/>
  <c r="O47" i="2"/>
  <c r="BY76" i="16"/>
  <c r="CE35" i="16"/>
  <c r="CE37" i="16" s="1"/>
  <c r="CE77" i="16" s="1"/>
  <c r="BC30" i="10"/>
  <c r="BQ30" i="10"/>
  <c r="BW30" i="10" s="1"/>
  <c r="AO30" i="10"/>
  <c r="BD12" i="10"/>
  <c r="AP12" i="10"/>
  <c r="AP14" i="10" s="1"/>
  <c r="CF15" i="16"/>
  <c r="CF17" i="16" s="1"/>
  <c r="AB48" i="10"/>
  <c r="AQ34" i="10"/>
  <c r="BE34" i="10"/>
  <c r="CG39" i="16"/>
  <c r="AC36" i="10"/>
  <c r="BA30" i="10"/>
  <c r="AM30" i="10"/>
  <c r="AM32" i="10" s="1"/>
  <c r="CC35" i="16"/>
  <c r="CC99" i="16" s="1"/>
  <c r="AU30" i="10"/>
  <c r="S32" i="10"/>
  <c r="BW35" i="16"/>
  <c r="AG30" i="10"/>
  <c r="S48" i="10"/>
  <c r="CB19" i="16"/>
  <c r="AL16" i="10"/>
  <c r="AZ16" i="10"/>
  <c r="X18" i="10"/>
  <c r="X80" i="10" s="1"/>
  <c r="AL80" i="10" s="1"/>
  <c r="Y54" i="2"/>
  <c r="CB20" i="16"/>
  <c r="AL17" i="10"/>
  <c r="AZ17" i="10"/>
  <c r="X53" i="10"/>
  <c r="AW30" i="10"/>
  <c r="U48" i="10"/>
  <c r="AI30" i="10"/>
  <c r="AI32" i="10" s="1"/>
  <c r="BY35" i="16"/>
  <c r="BO30" i="10"/>
  <c r="BU30" i="10" s="1"/>
  <c r="AQ31" i="10"/>
  <c r="CG36" i="16"/>
  <c r="BE31" i="10"/>
  <c r="AC32" i="10"/>
  <c r="R14" i="10"/>
  <c r="BV15" i="16"/>
  <c r="AT12" i="10"/>
  <c r="AF12" i="10"/>
  <c r="AF13" i="10"/>
  <c r="AT13" i="10"/>
  <c r="BV16" i="16"/>
  <c r="BV100" i="16" s="1"/>
  <c r="BN12" i="10"/>
  <c r="AX35" i="10"/>
  <c r="AJ35" i="10"/>
  <c r="AJ36" i="10" s="1"/>
  <c r="BZ40" i="16"/>
  <c r="N50" i="2"/>
  <c r="AW35" i="10"/>
  <c r="AI35" i="10"/>
  <c r="AI36" i="10" s="1"/>
  <c r="BO35" i="10"/>
  <c r="BO53" i="10" s="1"/>
  <c r="BY40" i="16"/>
  <c r="C57" i="2"/>
  <c r="N57" i="2"/>
  <c r="R62" i="2"/>
  <c r="C56" i="2"/>
  <c r="Y51" i="2"/>
  <c r="AM34" i="10"/>
  <c r="AM36" i="10" s="1"/>
  <c r="BA34" i="10"/>
  <c r="CC39" i="16"/>
  <c r="CC41" i="16" s="1"/>
  <c r="CC78" i="16" s="1"/>
  <c r="W14" i="10"/>
  <c r="BX16" i="16"/>
  <c r="T49" i="10"/>
  <c r="AV13" i="10"/>
  <c r="AH13" i="10"/>
  <c r="AH14" i="10" s="1"/>
  <c r="BW20" i="16"/>
  <c r="BW104" i="16" s="1"/>
  <c r="AG17" i="10"/>
  <c r="AU17" i="10"/>
  <c r="AF17" i="10"/>
  <c r="AF18" i="10" s="1"/>
  <c r="BV20" i="16"/>
  <c r="AT17" i="10"/>
  <c r="BN17" i="10"/>
  <c r="BT17" i="10" s="1"/>
  <c r="R18" i="10"/>
  <c r="CB39" i="16"/>
  <c r="AZ34" i="10"/>
  <c r="AL34" i="10"/>
  <c r="X36" i="10"/>
  <c r="X52" i="10"/>
  <c r="BP34" i="10"/>
  <c r="BQ16" i="10"/>
  <c r="AO16" i="10"/>
  <c r="AO18" i="10" s="1"/>
  <c r="CE19" i="16"/>
  <c r="BC16" i="10"/>
  <c r="AA18" i="10"/>
  <c r="BN13" i="10"/>
  <c r="BT13" i="10" s="1"/>
  <c r="S53" i="10"/>
  <c r="AH34" i="10"/>
  <c r="AH36" i="10" s="1"/>
  <c r="BX39" i="16"/>
  <c r="BN34" i="10"/>
  <c r="AV34" i="10"/>
  <c r="T36" i="10"/>
  <c r="D49" i="2"/>
  <c r="O50" i="2"/>
  <c r="AF30" i="10"/>
  <c r="AF32" i="10" s="1"/>
  <c r="R32" i="10"/>
  <c r="BV35" i="16"/>
  <c r="R48" i="10"/>
  <c r="BN30" i="10"/>
  <c r="BT30" i="10" s="1"/>
  <c r="AT30" i="10"/>
  <c r="T52" i="10"/>
  <c r="V57" i="4"/>
  <c r="AC6" i="12"/>
  <c r="AQ6" i="12" s="1"/>
  <c r="AA56" i="12"/>
  <c r="BC56" i="12" s="1"/>
  <c r="CC16" i="16"/>
  <c r="CC17" i="16" s="1"/>
  <c r="CC58" i="16" s="1"/>
  <c r="CA75" i="16"/>
  <c r="U67" i="10"/>
  <c r="AW67" i="10" s="1"/>
  <c r="Y79" i="10"/>
  <c r="AM79" i="10" s="1"/>
  <c r="Y9" i="12"/>
  <c r="BA9" i="12" s="1"/>
  <c r="AB64" i="10"/>
  <c r="BD49" i="10"/>
  <c r="AP49" i="10"/>
  <c r="BR49" i="10" s="1"/>
  <c r="BR64" i="10" s="1"/>
  <c r="CF100" i="16"/>
  <c r="AA77" i="10"/>
  <c r="AO77" i="10" s="1"/>
  <c r="BA36" i="10"/>
  <c r="Y56" i="12"/>
  <c r="Z6" i="12"/>
  <c r="BB6" i="12" s="1"/>
  <c r="BT35" i="10"/>
  <c r="AC45" i="2"/>
  <c r="CD104" i="16"/>
  <c r="AN53" i="10"/>
  <c r="BB53" i="10"/>
  <c r="S66" i="10"/>
  <c r="AU52" i="10"/>
  <c r="AG52" i="10"/>
  <c r="R64" i="10"/>
  <c r="AF49" i="10"/>
  <c r="BH49" i="10" s="1"/>
  <c r="BH64" i="10" s="1"/>
  <c r="BA17" i="10"/>
  <c r="BP17" i="10"/>
  <c r="CC20" i="16"/>
  <c r="CC104" i="16" s="1"/>
  <c r="Y53" i="10"/>
  <c r="AM17" i="10"/>
  <c r="AD17" i="10"/>
  <c r="AN18" i="10"/>
  <c r="CG75" i="16"/>
  <c r="CF76" i="16"/>
  <c r="BA18" i="10"/>
  <c r="W6" i="12"/>
  <c r="BT31" i="10"/>
  <c r="AC66" i="10"/>
  <c r="BE52" i="10"/>
  <c r="AQ52" i="10"/>
  <c r="CQ7" i="23"/>
  <c r="BC28" i="23"/>
  <c r="Y80" i="10"/>
  <c r="AM80" i="10" s="1"/>
  <c r="AC7" i="12"/>
  <c r="BE7" i="12" s="1"/>
  <c r="AG61" i="2"/>
  <c r="AG45" i="2"/>
  <c r="R53" i="12"/>
  <c r="R67" i="10"/>
  <c r="AT67" i="10" s="1"/>
  <c r="BA13" i="10"/>
  <c r="V79" i="10"/>
  <c r="AJ79" i="10" s="1"/>
  <c r="V9" i="12"/>
  <c r="AX18" i="10"/>
  <c r="BP13" i="10"/>
  <c r="BV13" i="10" s="1"/>
  <c r="AD13" i="10"/>
  <c r="BX21" i="16"/>
  <c r="CN6" i="23"/>
  <c r="AM13" i="10"/>
  <c r="AM14" i="10" s="1"/>
  <c r="X6" i="12"/>
  <c r="AX52" i="10"/>
  <c r="V66" i="10"/>
  <c r="AJ52" i="10"/>
  <c r="W53" i="12"/>
  <c r="W7" i="12"/>
  <c r="X14" i="24"/>
  <c r="U26" i="24"/>
  <c r="S26" i="24"/>
  <c r="T14" i="24"/>
  <c r="R14" i="24"/>
  <c r="V14" i="24"/>
  <c r="Z17" i="24"/>
  <c r="AA17" i="24"/>
  <c r="AC17" i="24"/>
  <c r="Z53" i="2"/>
  <c r="BB48" i="10"/>
  <c r="AN48" i="10"/>
  <c r="BP48" i="10" s="1"/>
  <c r="Z63" i="10"/>
  <c r="Y33" i="2"/>
  <c r="Y21" i="2"/>
  <c r="Y41" i="2" s="1"/>
  <c r="BZ76" i="16"/>
  <c r="BY17" i="16"/>
  <c r="BY58" i="16" s="1"/>
  <c r="BY100" i="16"/>
  <c r="AM55" i="4"/>
  <c r="T58" i="4"/>
  <c r="AB7" i="12"/>
  <c r="AN49" i="10"/>
  <c r="BP49" i="10" s="1"/>
  <c r="BB49" i="10"/>
  <c r="Z64" i="10"/>
  <c r="BV30" i="10"/>
  <c r="R7" i="12"/>
  <c r="BU12" i="10"/>
  <c r="BB27" i="23"/>
  <c r="DJ6" i="23"/>
  <c r="CE76" i="16"/>
  <c r="BV12" i="10"/>
  <c r="AZ48" i="10"/>
  <c r="AL48" i="10"/>
  <c r="BN48" i="10" s="1"/>
  <c r="BN63" i="10" s="1"/>
  <c r="X63" i="10"/>
  <c r="AN32" i="10"/>
  <c r="Z55" i="12"/>
  <c r="BB32" i="10"/>
  <c r="Y53" i="2"/>
  <c r="CO6" i="23"/>
  <c r="BV16" i="10"/>
  <c r="AL49" i="10"/>
  <c r="BN49" i="10" s="1"/>
  <c r="X64" i="10"/>
  <c r="AZ49" i="10"/>
  <c r="V54" i="12"/>
  <c r="BU13" i="10"/>
  <c r="Y5" i="2"/>
  <c r="Y25" i="2" s="1"/>
  <c r="S57" i="4" s="1"/>
  <c r="U56" i="12"/>
  <c r="AW36" i="10"/>
  <c r="CD37" i="16"/>
  <c r="CD77" i="16" s="1"/>
  <c r="X53" i="12"/>
  <c r="U54" i="12"/>
  <c r="AZ27" i="23"/>
  <c r="CN27" i="23" s="1"/>
  <c r="Z66" i="10"/>
  <c r="AZ32" i="10"/>
  <c r="X55" i="12"/>
  <c r="Y53" i="12"/>
  <c r="BD36" i="10"/>
  <c r="AB56" i="12"/>
  <c r="U8" i="12"/>
  <c r="U76" i="10"/>
  <c r="AI76" i="10" s="1"/>
  <c r="AW14" i="10"/>
  <c r="AW76" i="10" s="1"/>
  <c r="AI49" i="10"/>
  <c r="BK49" i="10" s="1"/>
  <c r="AK56" i="12"/>
  <c r="AY56" i="12"/>
  <c r="AA38" i="10"/>
  <c r="BC38" i="10" s="1"/>
  <c r="AA53" i="12"/>
  <c r="BU34" i="10"/>
  <c r="AU54" i="12"/>
  <c r="AG54" i="12"/>
  <c r="R6" i="12"/>
  <c r="BQ17" i="16"/>
  <c r="BS17" i="16"/>
  <c r="BV31" i="10"/>
  <c r="BP32" i="10"/>
  <c r="BV75" i="16"/>
  <c r="BL58" i="16"/>
  <c r="BL61" i="16" s="1"/>
  <c r="BL62" i="16" s="1"/>
  <c r="BL37" i="16" s="1"/>
  <c r="BL16" i="16"/>
  <c r="BL15" i="16" s="1"/>
  <c r="CA55" i="4"/>
  <c r="V58" i="4"/>
  <c r="BF64" i="16"/>
  <c r="BF67" i="16" s="1"/>
  <c r="BF68" i="16" s="1"/>
  <c r="BF41" i="16" s="1"/>
  <c r="BF20" i="16"/>
  <c r="BF19" i="16" s="1"/>
  <c r="AU84" i="16"/>
  <c r="AU86" i="16" s="1"/>
  <c r="AU71" i="16"/>
  <c r="AU73" i="16" s="1"/>
  <c r="DE24" i="23"/>
  <c r="CK24" i="23"/>
  <c r="AI66" i="10"/>
  <c r="AW66" i="10"/>
  <c r="BD70" i="16"/>
  <c r="BM20" i="16"/>
  <c r="BM64" i="16"/>
  <c r="BM67" i="16" s="1"/>
  <c r="BM68" i="16" s="1"/>
  <c r="BM41" i="16" s="1"/>
  <c r="BM19" i="16"/>
  <c r="AN6" i="12"/>
  <c r="U27" i="23"/>
  <c r="U3" i="23"/>
  <c r="U24" i="23" s="1"/>
  <c r="AV83" i="16"/>
  <c r="AJ86" i="16"/>
  <c r="BJ16" i="16"/>
  <c r="BJ58" i="16"/>
  <c r="BJ61" i="16" s="1"/>
  <c r="BJ62" i="16" s="1"/>
  <c r="BJ37" i="16" s="1"/>
  <c r="BJ15" i="16"/>
  <c r="BL19" i="16"/>
  <c r="BL64" i="16"/>
  <c r="BL67" i="16" s="1"/>
  <c r="BL68" i="16" s="1"/>
  <c r="BL41" i="16" s="1"/>
  <c r="BL20" i="16"/>
  <c r="AT56" i="12"/>
  <c r="BI64" i="16"/>
  <c r="BI67" i="16" s="1"/>
  <c r="BI68" i="16" s="1"/>
  <c r="BI41" i="16" s="1"/>
  <c r="BI20" i="16"/>
  <c r="BI19" i="16" s="1"/>
  <c r="L24" i="23"/>
  <c r="BD104" i="16"/>
  <c r="CB28" i="23"/>
  <c r="DP7" i="23"/>
  <c r="CB3" i="23"/>
  <c r="CU27" i="23"/>
  <c r="BM58" i="16"/>
  <c r="BM61" i="16" s="1"/>
  <c r="BM62" i="16" s="1"/>
  <c r="BM37" i="16" s="1"/>
  <c r="BM16" i="16"/>
  <c r="BM15" i="16" s="1"/>
  <c r="BK35" i="16"/>
  <c r="BK99" i="16" s="1"/>
  <c r="BK36" i="16"/>
  <c r="BK100" i="16" s="1"/>
  <c r="Y55" i="12"/>
  <c r="BA32" i="10"/>
  <c r="BD61" i="16"/>
  <c r="BE20" i="16"/>
  <c r="BE19" i="16" s="1"/>
  <c r="BE64" i="16"/>
  <c r="BP21" i="16"/>
  <c r="BK40" i="16"/>
  <c r="BK104" i="16" s="1"/>
  <c r="BY27" i="23"/>
  <c r="P33" i="12"/>
  <c r="BG20" i="16"/>
  <c r="BG19" i="16" s="1"/>
  <c r="BG64" i="16"/>
  <c r="BG67" i="16" s="1"/>
  <c r="BG68" i="16" s="1"/>
  <c r="BG41" i="16" s="1"/>
  <c r="BN20" i="16"/>
  <c r="BN19" i="16" s="1"/>
  <c r="BN64" i="16"/>
  <c r="BN67" i="16" s="1"/>
  <c r="BN68" i="16" s="1"/>
  <c r="BN41" i="16" s="1"/>
  <c r="P29" i="24"/>
  <c r="P5" i="24"/>
  <c r="BF16" i="16"/>
  <c r="BF15" i="16" s="1"/>
  <c r="BF58" i="16"/>
  <c r="BF61" i="16" s="1"/>
  <c r="BF62" i="16" s="1"/>
  <c r="BF37" i="16" s="1"/>
  <c r="P95" i="12"/>
  <c r="P93" i="12"/>
  <c r="BD39" i="16"/>
  <c r="BO15" i="16"/>
  <c r="BO16" i="16"/>
  <c r="BO58" i="16"/>
  <c r="BO61" i="16" s="1"/>
  <c r="BO62" i="16" s="1"/>
  <c r="BO37" i="16" s="1"/>
  <c r="CV3" i="23"/>
  <c r="T24" i="23"/>
  <c r="CV24" i="23" s="1"/>
  <c r="M95" i="12"/>
  <c r="BS59" i="16"/>
  <c r="BQ59" i="16"/>
  <c r="Z49" i="2"/>
  <c r="Z80" i="2"/>
  <c r="Z29" i="2"/>
  <c r="Y8" i="24"/>
  <c r="BE58" i="16"/>
  <c r="BE61" i="16" s="1"/>
  <c r="BE62" i="16" s="1"/>
  <c r="BE37" i="16" s="1"/>
  <c r="BE16" i="16"/>
  <c r="BE15" i="16" s="1"/>
  <c r="BJ64" i="16"/>
  <c r="BJ67" i="16" s="1"/>
  <c r="BJ68" i="16" s="1"/>
  <c r="BJ41" i="16" s="1"/>
  <c r="BJ20" i="16"/>
  <c r="BJ19" i="16" s="1"/>
  <c r="V27" i="23"/>
  <c r="BK71" i="16"/>
  <c r="G26" i="24"/>
  <c r="CA27" i="23"/>
  <c r="DO6" i="23"/>
  <c r="G48" i="12"/>
  <c r="BG16" i="16"/>
  <c r="BG15" i="16" s="1"/>
  <c r="BG58" i="16"/>
  <c r="BG61" i="16" s="1"/>
  <c r="BG62" i="16" s="1"/>
  <c r="BG37" i="16" s="1"/>
  <c r="BN58" i="16"/>
  <c r="BN61" i="16" s="1"/>
  <c r="BN62" i="16" s="1"/>
  <c r="BN37" i="16" s="1"/>
  <c r="BN16" i="16"/>
  <c r="BN15" i="16" s="1"/>
  <c r="Y5" i="24"/>
  <c r="DO28" i="23"/>
  <c r="P45" i="12"/>
  <c r="P48" i="12" s="1"/>
  <c r="Z5" i="2"/>
  <c r="Z21" i="2"/>
  <c r="Z41" i="2" s="1"/>
  <c r="Z33" i="2"/>
  <c r="Y30" i="24"/>
  <c r="AD9" i="24"/>
  <c r="P25" i="12"/>
  <c r="BI16" i="16"/>
  <c r="BI15" i="16"/>
  <c r="BI58" i="16"/>
  <c r="BI61" i="16" s="1"/>
  <c r="BI62" i="16" s="1"/>
  <c r="BI37" i="16" s="1"/>
  <c r="BC47" i="12"/>
  <c r="AO47" i="12"/>
  <c r="AR47" i="12" s="1"/>
  <c r="AD47" i="12"/>
  <c r="BF47" i="12" s="1"/>
  <c r="Z47" i="2"/>
  <c r="AH45" i="2"/>
  <c r="AH59" i="2"/>
  <c r="Z65" i="2"/>
  <c r="Z79" i="2"/>
  <c r="Z27" i="2"/>
  <c r="CV28" i="23"/>
  <c r="BY28" i="23"/>
  <c r="Q27" i="23"/>
  <c r="BO64" i="16"/>
  <c r="BO67" i="16" s="1"/>
  <c r="BO68" i="16" s="1"/>
  <c r="BO41" i="16" s="1"/>
  <c r="BO20" i="16"/>
  <c r="BO19" i="16" s="1"/>
  <c r="CA3" i="23"/>
  <c r="BZ103" i="16" l="1"/>
  <c r="AM9" i="12"/>
  <c r="BA8" i="12"/>
  <c r="BF12" i="10"/>
  <c r="BF76" i="10" s="1"/>
  <c r="AO48" i="10"/>
  <c r="BQ48" i="10" s="1"/>
  <c r="BQ63" i="10" s="1"/>
  <c r="CE17" i="16"/>
  <c r="CE58" i="16" s="1"/>
  <c r="CE61" i="16" s="1"/>
  <c r="CE62" i="16" s="1"/>
  <c r="AA63" i="10"/>
  <c r="AO63" i="10" s="1"/>
  <c r="BC14" i="10"/>
  <c r="BC77" i="10" s="1"/>
  <c r="AA76" i="10"/>
  <c r="AO76" i="10" s="1"/>
  <c r="AD48" i="10"/>
  <c r="U64" i="10"/>
  <c r="Y22" i="12"/>
  <c r="BA22" i="12" s="1"/>
  <c r="AV18" i="10"/>
  <c r="BZ41" i="16"/>
  <c r="BZ78" i="16" s="1"/>
  <c r="BZ85" i="16" s="1"/>
  <c r="BQ53" i="10"/>
  <c r="AY48" i="10"/>
  <c r="X76" i="10"/>
  <c r="AL76" i="10" s="1"/>
  <c r="AB22" i="12"/>
  <c r="BD22" i="12" s="1"/>
  <c r="T9" i="12"/>
  <c r="Z56" i="12"/>
  <c r="AN56" i="12" s="1"/>
  <c r="Y77" i="10"/>
  <c r="AM77" i="10" s="1"/>
  <c r="CG100" i="16"/>
  <c r="AJ32" i="10"/>
  <c r="X77" i="10"/>
  <c r="AL77" i="10" s="1"/>
  <c r="AD49" i="10"/>
  <c r="Y76" i="10"/>
  <c r="AM76" i="10" s="1"/>
  <c r="BC52" i="10"/>
  <c r="CC59" i="16"/>
  <c r="CC61" i="16" s="1"/>
  <c r="CC62" i="16" s="1"/>
  <c r="S24" i="23"/>
  <c r="CU24" i="23" s="1"/>
  <c r="O59" i="2"/>
  <c r="Y59" i="2"/>
  <c r="O60" i="2"/>
  <c r="Z62" i="2"/>
  <c r="C59" i="2"/>
  <c r="BH40" i="16"/>
  <c r="BH104" i="16" s="1"/>
  <c r="BH39" i="16"/>
  <c r="BH103" i="16" s="1"/>
  <c r="BH61" i="16"/>
  <c r="BH62" i="16" s="1"/>
  <c r="BH70" i="16"/>
  <c r="Z39" i="2"/>
  <c r="DH6" i="23"/>
  <c r="BA27" i="23"/>
  <c r="AK48" i="10"/>
  <c r="CP28" i="23"/>
  <c r="AV48" i="10"/>
  <c r="T80" i="10"/>
  <c r="AH80" i="10" s="1"/>
  <c r="Y66" i="10"/>
  <c r="AM66" i="10" s="1"/>
  <c r="BN36" i="10"/>
  <c r="BT36" i="10" s="1"/>
  <c r="AZ14" i="10"/>
  <c r="AZ76" i="10" s="1"/>
  <c r="BZ104" i="16"/>
  <c r="T63" i="10"/>
  <c r="BR31" i="10"/>
  <c r="BX31" i="10" s="1"/>
  <c r="BI6" i="23"/>
  <c r="BI27" i="23" s="1"/>
  <c r="BF13" i="10"/>
  <c r="BF77" i="10" s="1"/>
  <c r="BD9" i="12"/>
  <c r="BX41" i="16"/>
  <c r="BX78" i="16" s="1"/>
  <c r="BA52" i="10"/>
  <c r="T67" i="10"/>
  <c r="AV53" i="10"/>
  <c r="AB20" i="10"/>
  <c r="BD20" i="10" s="1"/>
  <c r="X38" i="10"/>
  <c r="AZ38" i="10" s="1"/>
  <c r="CV27" i="23"/>
  <c r="V14" i="12"/>
  <c r="AJ14" i="12" s="1"/>
  <c r="BE20" i="10"/>
  <c r="AI7" i="12"/>
  <c r="AW7" i="12"/>
  <c r="I8" i="24"/>
  <c r="F29" i="24"/>
  <c r="M29" i="24" s="1"/>
  <c r="BA28" i="23"/>
  <c r="CO28" i="23" s="1"/>
  <c r="CE84" i="16"/>
  <c r="CF104" i="16"/>
  <c r="AJ38" i="10"/>
  <c r="Z38" i="10"/>
  <c r="BB38" i="10" s="1"/>
  <c r="BE6" i="12"/>
  <c r="AI55" i="12"/>
  <c r="K8" i="24"/>
  <c r="AA64" i="10"/>
  <c r="AO64" i="10" s="1"/>
  <c r="BA14" i="10"/>
  <c r="BA76" i="10" s="1"/>
  <c r="BP18" i="10"/>
  <c r="BP79" i="10" s="1"/>
  <c r="BV79" i="10" s="1"/>
  <c r="U53" i="12"/>
  <c r="AI53" i="12" s="1"/>
  <c r="BY75" i="16"/>
  <c r="BP52" i="10"/>
  <c r="BP66" i="10" s="1"/>
  <c r="BV66" i="10" s="1"/>
  <c r="BR12" i="10"/>
  <c r="BX12" i="10" s="1"/>
  <c r="AQ32" i="10"/>
  <c r="AQ38" i="10" s="1"/>
  <c r="CD41" i="16"/>
  <c r="CD78" i="16" s="1"/>
  <c r="CD85" i="16" s="1"/>
  <c r="AV32" i="10"/>
  <c r="AA55" i="12"/>
  <c r="BC55" i="12" s="1"/>
  <c r="O61" i="2"/>
  <c r="O62" i="2"/>
  <c r="BQ14" i="10"/>
  <c r="BW14" i="10" s="1"/>
  <c r="S56" i="12"/>
  <c r="AU36" i="10"/>
  <c r="BW17" i="16"/>
  <c r="BW58" i="16" s="1"/>
  <c r="BW59" i="16" s="1"/>
  <c r="BW61" i="16" s="1"/>
  <c r="BW62" i="16" s="1"/>
  <c r="AA14" i="12"/>
  <c r="BC14" i="12" s="1"/>
  <c r="AA61" i="12"/>
  <c r="AA68" i="12" s="1"/>
  <c r="AO67" i="10"/>
  <c r="CN7" i="23"/>
  <c r="Z40" i="2"/>
  <c r="BW13" i="10"/>
  <c r="AV14" i="10"/>
  <c r="AV77" i="10" s="1"/>
  <c r="U69" i="12"/>
  <c r="AW69" i="12" s="1"/>
  <c r="AW18" i="10"/>
  <c r="AW79" i="10" s="1"/>
  <c r="BA48" i="10"/>
  <c r="W54" i="12"/>
  <c r="F9" i="24"/>
  <c r="I9" i="24" s="1"/>
  <c r="R20" i="10"/>
  <c r="AT20" i="10" s="1"/>
  <c r="T20" i="10"/>
  <c r="AV20" i="10" s="1"/>
  <c r="AG32" i="10"/>
  <c r="AQ36" i="10"/>
  <c r="H8" i="24"/>
  <c r="D62" i="2"/>
  <c r="BE49" i="10"/>
  <c r="AP8" i="12"/>
  <c r="BD27" i="23"/>
  <c r="CR27" i="23" s="1"/>
  <c r="Z61" i="2"/>
  <c r="T77" i="10"/>
  <c r="AH77" i="10" s="1"/>
  <c r="U80" i="10"/>
  <c r="AI80" i="10" s="1"/>
  <c r="BD28" i="23"/>
  <c r="DL28" i="23" s="1"/>
  <c r="AB53" i="12"/>
  <c r="AP53" i="12" s="1"/>
  <c r="BW100" i="16"/>
  <c r="CB17" i="16"/>
  <c r="CB58" i="16" s="1"/>
  <c r="CB59" i="16" s="1"/>
  <c r="CB61" i="16" s="1"/>
  <c r="CB62" i="16" s="1"/>
  <c r="CB84" i="16" s="1"/>
  <c r="AO49" i="10"/>
  <c r="BQ49" i="10" s="1"/>
  <c r="BQ64" i="10" s="1"/>
  <c r="T69" i="12"/>
  <c r="AV55" i="12"/>
  <c r="R13" i="12"/>
  <c r="R20" i="12" s="1"/>
  <c r="AB14" i="12"/>
  <c r="AC14" i="12"/>
  <c r="AQ14" i="12" s="1"/>
  <c r="T14" i="12"/>
  <c r="AH14" i="12" s="1"/>
  <c r="W14" i="12"/>
  <c r="AY14" i="12" s="1"/>
  <c r="S14" i="12"/>
  <c r="AG14" i="12" s="1"/>
  <c r="AX53" i="12"/>
  <c r="AJ53" i="12"/>
  <c r="BC3" i="23"/>
  <c r="DK3" i="23" s="1"/>
  <c r="AD53" i="10"/>
  <c r="AD67" i="10" s="1"/>
  <c r="BF67" i="10" s="1"/>
  <c r="AQ49" i="10"/>
  <c r="CQ6" i="23"/>
  <c r="BR30" i="10"/>
  <c r="BX30" i="10" s="1"/>
  <c r="AO55" i="12"/>
  <c r="V56" i="12"/>
  <c r="U79" i="12" s="1"/>
  <c r="CB104" i="16"/>
  <c r="CH19" i="16"/>
  <c r="CK19" i="16" s="1"/>
  <c r="AK32" i="10"/>
  <c r="AG14" i="10"/>
  <c r="BR16" i="10"/>
  <c r="BX16" i="10" s="1"/>
  <c r="V38" i="10"/>
  <c r="AX38" i="10" s="1"/>
  <c r="D61" i="2"/>
  <c r="D59" i="2"/>
  <c r="BE6" i="23"/>
  <c r="DM6" i="23" s="1"/>
  <c r="DK6" i="23"/>
  <c r="BO32" i="10"/>
  <c r="BU32" i="10" s="1"/>
  <c r="BD3" i="23"/>
  <c r="DL3" i="23" s="1"/>
  <c r="C60" i="2"/>
  <c r="AD36" i="10"/>
  <c r="BF36" i="10" s="1"/>
  <c r="AQ9" i="12"/>
  <c r="CE83" i="16"/>
  <c r="CA82" i="16"/>
  <c r="BD53" i="10"/>
  <c r="Z14" i="12"/>
  <c r="AN14" i="12" s="1"/>
  <c r="S61" i="12"/>
  <c r="AG61" i="12" s="1"/>
  <c r="R14" i="12"/>
  <c r="AT14" i="12" s="1"/>
  <c r="T60" i="12"/>
  <c r="AI14" i="12"/>
  <c r="AW14" i="12"/>
  <c r="R61" i="12"/>
  <c r="AT61" i="12" s="1"/>
  <c r="V61" i="12"/>
  <c r="AX61" i="12" s="1"/>
  <c r="AY61" i="12"/>
  <c r="AK61" i="12"/>
  <c r="AZ14" i="12"/>
  <c r="T61" i="12"/>
  <c r="AV61" i="12" s="1"/>
  <c r="Z61" i="12"/>
  <c r="AN61" i="12" s="1"/>
  <c r="BQ36" i="10"/>
  <c r="BW36" i="10" s="1"/>
  <c r="BA66" i="10"/>
  <c r="BF30" i="10"/>
  <c r="DI7" i="23"/>
  <c r="BA3" i="23"/>
  <c r="CO3" i="23" s="1"/>
  <c r="BQ52" i="10"/>
  <c r="BW52" i="10" s="1"/>
  <c r="T53" i="12"/>
  <c r="AD32" i="10"/>
  <c r="BF32" i="10" s="1"/>
  <c r="Y64" i="10"/>
  <c r="BO36" i="10"/>
  <c r="BU36" i="10" s="1"/>
  <c r="BB52" i="10"/>
  <c r="O8" i="24"/>
  <c r="Q8" i="24" s="1"/>
  <c r="U6" i="12"/>
  <c r="AW6" i="12" s="1"/>
  <c r="AO56" i="12"/>
  <c r="CR6" i="23"/>
  <c r="BZ83" i="16"/>
  <c r="CD103" i="16"/>
  <c r="T8" i="12"/>
  <c r="AH8" i="12" s="1"/>
  <c r="U9" i="12"/>
  <c r="AI9" i="12" s="1"/>
  <c r="Y63" i="10"/>
  <c r="AM63" i="10" s="1"/>
  <c r="DL7" i="23"/>
  <c r="BE7" i="23"/>
  <c r="DM7" i="23" s="1"/>
  <c r="AZ28" i="23"/>
  <c r="DH28" i="23" s="1"/>
  <c r="BX82" i="16"/>
  <c r="AB55" i="12"/>
  <c r="AP55" i="12" s="1"/>
  <c r="N62" i="2"/>
  <c r="CG41" i="16"/>
  <c r="CG78" i="16" s="1"/>
  <c r="CG85" i="16" s="1"/>
  <c r="AO32" i="10"/>
  <c r="AO38" i="10" s="1"/>
  <c r="AL14" i="10"/>
  <c r="AP36" i="10"/>
  <c r="N61" i="2"/>
  <c r="AB67" i="10"/>
  <c r="Z79" i="10"/>
  <c r="AN79" i="10" s="1"/>
  <c r="Z80" i="10"/>
  <c r="AN80" i="10" s="1"/>
  <c r="BB18" i="10"/>
  <c r="Z9" i="12"/>
  <c r="AM49" i="10"/>
  <c r="BO49" i="10" s="1"/>
  <c r="BO64" i="10" s="1"/>
  <c r="BO52" i="10"/>
  <c r="BU52" i="10" s="1"/>
  <c r="BI7" i="23"/>
  <c r="CW7" i="23" s="1"/>
  <c r="CD17" i="16"/>
  <c r="CD58" i="16" s="1"/>
  <c r="CD61" i="16" s="1"/>
  <c r="CD62" i="16" s="1"/>
  <c r="CD84" i="16" s="1"/>
  <c r="AB38" i="10"/>
  <c r="BD38" i="10" s="1"/>
  <c r="AZ3" i="23"/>
  <c r="AZ24" i="23" s="1"/>
  <c r="DH24" i="23" s="1"/>
  <c r="Y61" i="2"/>
  <c r="BJ6" i="23"/>
  <c r="BJ27" i="23" s="1"/>
  <c r="BO18" i="10"/>
  <c r="BO80" i="10" s="1"/>
  <c r="BU80" i="10" s="1"/>
  <c r="BJ7" i="23"/>
  <c r="CX7" i="23" s="1"/>
  <c r="AI67" i="10"/>
  <c r="O9" i="24"/>
  <c r="T9" i="24" s="1"/>
  <c r="T6" i="12"/>
  <c r="AV6" i="12" s="1"/>
  <c r="AG38" i="10"/>
  <c r="D60" i="2"/>
  <c r="X20" i="10"/>
  <c r="AZ20" i="10" s="1"/>
  <c r="N59" i="2"/>
  <c r="Y62" i="2"/>
  <c r="BE80" i="10"/>
  <c r="AB76" i="10"/>
  <c r="AP76" i="10" s="1"/>
  <c r="BD14" i="10"/>
  <c r="AB77" i="10"/>
  <c r="AP77" i="10" s="1"/>
  <c r="BA14" i="12"/>
  <c r="AM14" i="12"/>
  <c r="O45" i="2"/>
  <c r="D45" i="2"/>
  <c r="CC103" i="16"/>
  <c r="CH36" i="16"/>
  <c r="CK36" i="16" s="1"/>
  <c r="AR12" i="10"/>
  <c r="CH35" i="16"/>
  <c r="CK35" i="16" s="1"/>
  <c r="AR31" i="10"/>
  <c r="U37" i="12"/>
  <c r="AI37" i="12" s="1"/>
  <c r="AC60" i="12"/>
  <c r="W68" i="12"/>
  <c r="AK68" i="12" s="1"/>
  <c r="AB61" i="12"/>
  <c r="Y21" i="12"/>
  <c r="BA21" i="12" s="1"/>
  <c r="Y61" i="12"/>
  <c r="BA61" i="12" s="1"/>
  <c r="AC61" i="12"/>
  <c r="AQ61" i="12" s="1"/>
  <c r="AZ61" i="12"/>
  <c r="AL61" i="12"/>
  <c r="X68" i="12"/>
  <c r="AL68" i="12" s="1"/>
  <c r="V60" i="12"/>
  <c r="U61" i="12"/>
  <c r="U21" i="12"/>
  <c r="AI21" i="12" s="1"/>
  <c r="BR34" i="10"/>
  <c r="BX34" i="10" s="1"/>
  <c r="N45" i="2"/>
  <c r="BX103" i="16"/>
  <c r="AR35" i="10"/>
  <c r="AA66" i="10"/>
  <c r="AO66" i="10" s="1"/>
  <c r="CH20" i="16"/>
  <c r="CK20" i="16" s="1"/>
  <c r="CH16" i="16"/>
  <c r="CK16" i="16" s="1"/>
  <c r="AC38" i="10"/>
  <c r="BE38" i="10" s="1"/>
  <c r="CH15" i="16"/>
  <c r="CK15" i="16" s="1"/>
  <c r="S79" i="10"/>
  <c r="AG79" i="10" s="1"/>
  <c r="AQ14" i="10"/>
  <c r="AQ20" i="10" s="1"/>
  <c r="AQ7" i="12"/>
  <c r="CC37" i="16"/>
  <c r="CC77" i="16" s="1"/>
  <c r="BN32" i="10"/>
  <c r="BT32" i="10" s="1"/>
  <c r="AX67" i="10"/>
  <c r="R38" i="10"/>
  <c r="AT38" i="10" s="1"/>
  <c r="C45" i="2"/>
  <c r="CB21" i="16"/>
  <c r="CB64" i="16" s="1"/>
  <c r="CB65" i="16" s="1"/>
  <c r="CB67" i="16" s="1"/>
  <c r="CB68" i="16" s="1"/>
  <c r="Z60" i="2"/>
  <c r="BB3" i="23"/>
  <c r="CP3" i="23" s="1"/>
  <c r="AD52" i="10"/>
  <c r="BF52" i="10" s="1"/>
  <c r="AL36" i="10"/>
  <c r="AL38" i="10" s="1"/>
  <c r="CA37" i="16"/>
  <c r="CA77" i="16" s="1"/>
  <c r="AI38" i="10"/>
  <c r="BQ32" i="10"/>
  <c r="BW32" i="10" s="1"/>
  <c r="AJ14" i="10"/>
  <c r="AT52" i="10"/>
  <c r="AF52" i="10"/>
  <c r="R66" i="10"/>
  <c r="CF21" i="16"/>
  <c r="CF64" i="16" s="1"/>
  <c r="CF67" i="16" s="1"/>
  <c r="CF68" i="16" s="1"/>
  <c r="CF85" i="16" s="1"/>
  <c r="CC100" i="16"/>
  <c r="AP38" i="10"/>
  <c r="AI20" i="10"/>
  <c r="CF83" i="16"/>
  <c r="N60" i="2"/>
  <c r="U20" i="10"/>
  <c r="AW53" i="10"/>
  <c r="AI53" i="10"/>
  <c r="CG104" i="16"/>
  <c r="AR30" i="10"/>
  <c r="AF38" i="10"/>
  <c r="AF14" i="10"/>
  <c r="AF20" i="10" s="1"/>
  <c r="AL18" i="10"/>
  <c r="AR16" i="10"/>
  <c r="CA100" i="16"/>
  <c r="BD52" i="10"/>
  <c r="AB66" i="10"/>
  <c r="AP52" i="10"/>
  <c r="AR34" i="10"/>
  <c r="C62" i="2"/>
  <c r="AH20" i="10"/>
  <c r="CG37" i="16"/>
  <c r="CG77" i="16" s="1"/>
  <c r="Y60" i="2"/>
  <c r="CF99" i="16"/>
  <c r="BV41" i="16"/>
  <c r="BV78" i="16" s="1"/>
  <c r="BV103" i="16"/>
  <c r="AC67" i="10"/>
  <c r="AQ53" i="10"/>
  <c r="BE53" i="10"/>
  <c r="BU53" i="10"/>
  <c r="BO67" i="10"/>
  <c r="BU67" i="10" s="1"/>
  <c r="CG17" i="16"/>
  <c r="CG58" i="16" s="1"/>
  <c r="CG61" i="16" s="1"/>
  <c r="CG62" i="16" s="1"/>
  <c r="CG71" i="16" s="1"/>
  <c r="CF58" i="16"/>
  <c r="AT32" i="10"/>
  <c r="R55" i="12"/>
  <c r="AA7" i="12"/>
  <c r="R54" i="12"/>
  <c r="AG53" i="10"/>
  <c r="AU53" i="10"/>
  <c r="S67" i="10"/>
  <c r="CE103" i="16"/>
  <c r="CE21" i="16"/>
  <c r="AZ36" i="10"/>
  <c r="X56" i="12"/>
  <c r="AT18" i="10"/>
  <c r="R9" i="12"/>
  <c r="R79" i="10"/>
  <c r="AF79" i="10" s="1"/>
  <c r="R80" i="10"/>
  <c r="AF80" i="10" s="1"/>
  <c r="BY104" i="16"/>
  <c r="BY41" i="16"/>
  <c r="AA6" i="12"/>
  <c r="AA20" i="10"/>
  <c r="AC54" i="12"/>
  <c r="AA77" i="12" s="1"/>
  <c r="X7" i="12"/>
  <c r="BV17" i="16"/>
  <c r="BV58" i="16" s="1"/>
  <c r="BW37" i="16"/>
  <c r="BW77" i="16" s="1"/>
  <c r="BW99" i="16"/>
  <c r="AC56" i="12"/>
  <c r="AA79" i="12" s="1"/>
  <c r="BE36" i="10"/>
  <c r="AO20" i="10"/>
  <c r="V77" i="10"/>
  <c r="AJ77" i="10" s="1"/>
  <c r="V8" i="12"/>
  <c r="AX14" i="10"/>
  <c r="V76" i="10"/>
  <c r="AJ76" i="10" s="1"/>
  <c r="S20" i="10"/>
  <c r="S77" i="10"/>
  <c r="AG77" i="10" s="1"/>
  <c r="AU14" i="10"/>
  <c r="S76" i="10"/>
  <c r="AG76" i="10" s="1"/>
  <c r="S8" i="12"/>
  <c r="AN38" i="10"/>
  <c r="AG18" i="10"/>
  <c r="AU18" i="10"/>
  <c r="AU80" i="10" s="1"/>
  <c r="S9" i="12"/>
  <c r="AK18" i="10"/>
  <c r="AK20" i="10" s="1"/>
  <c r="S38" i="10"/>
  <c r="AU38" i="10" s="1"/>
  <c r="S53" i="12"/>
  <c r="BT34" i="10"/>
  <c r="BN52" i="10"/>
  <c r="BU35" i="10"/>
  <c r="BR35" i="10"/>
  <c r="BX35" i="10" s="1"/>
  <c r="BT12" i="10"/>
  <c r="BN14" i="10"/>
  <c r="BT14" i="10" s="1"/>
  <c r="R77" i="10"/>
  <c r="AF77" i="10" s="1"/>
  <c r="AT14" i="10"/>
  <c r="R76" i="10"/>
  <c r="AF76" i="10" s="1"/>
  <c r="R8" i="12"/>
  <c r="AW48" i="10"/>
  <c r="AI48" i="10"/>
  <c r="BK48" i="10" s="1"/>
  <c r="BK63" i="10" s="1"/>
  <c r="BW63" i="10" s="1"/>
  <c r="U63" i="10"/>
  <c r="S55" i="12"/>
  <c r="AU32" i="10"/>
  <c r="AP48" i="10"/>
  <c r="BR48" i="10" s="1"/>
  <c r="BD48" i="10"/>
  <c r="AB63" i="10"/>
  <c r="AB6" i="12"/>
  <c r="AY18" i="10"/>
  <c r="W9" i="12"/>
  <c r="W79" i="10"/>
  <c r="AK79" i="10" s="1"/>
  <c r="W80" i="10"/>
  <c r="AK80" i="10" s="1"/>
  <c r="Z7" i="12"/>
  <c r="Z20" i="10"/>
  <c r="Z8" i="12"/>
  <c r="X31" i="12" s="1"/>
  <c r="BB14" i="10"/>
  <c r="Z76" i="10"/>
  <c r="AN76" i="10" s="1"/>
  <c r="AG49" i="10"/>
  <c r="BI49" i="10" s="1"/>
  <c r="BI64" i="10" s="1"/>
  <c r="S64" i="10"/>
  <c r="AU49" i="10"/>
  <c r="BW21" i="16"/>
  <c r="BW64" i="16" s="1"/>
  <c r="BW65" i="16" s="1"/>
  <c r="BW67" i="16" s="1"/>
  <c r="BW68" i="16" s="1"/>
  <c r="BW85" i="16" s="1"/>
  <c r="BW103" i="16"/>
  <c r="AC76" i="10"/>
  <c r="AQ76" i="10" s="1"/>
  <c r="AC77" i="10"/>
  <c r="AQ77" i="10" s="1"/>
  <c r="AC8" i="12"/>
  <c r="AA31" i="12" s="1"/>
  <c r="BE14" i="10"/>
  <c r="AU7" i="12"/>
  <c r="AG7" i="12"/>
  <c r="AF48" i="10"/>
  <c r="BH48" i="10" s="1"/>
  <c r="BH63" i="10" s="1"/>
  <c r="BT63" i="10" s="1"/>
  <c r="R63" i="10"/>
  <c r="AT48" i="10"/>
  <c r="V7" i="12"/>
  <c r="U30" i="12" s="1"/>
  <c r="AA80" i="10"/>
  <c r="AO80" i="10" s="1"/>
  <c r="BC18" i="10"/>
  <c r="AA79" i="10"/>
  <c r="AO79" i="10" s="1"/>
  <c r="AA9" i="12"/>
  <c r="BW16" i="10"/>
  <c r="BQ18" i="10"/>
  <c r="BP36" i="10"/>
  <c r="BV36" i="10" s="1"/>
  <c r="BV34" i="10"/>
  <c r="T64" i="10"/>
  <c r="AH49" i="10"/>
  <c r="BJ49" i="10" s="1"/>
  <c r="BJ64" i="10" s="1"/>
  <c r="AV49" i="10"/>
  <c r="BN53" i="10"/>
  <c r="AC55" i="12"/>
  <c r="BE32" i="10"/>
  <c r="X9" i="12"/>
  <c r="X79" i="10"/>
  <c r="AL79" i="10" s="1"/>
  <c r="AZ18" i="10"/>
  <c r="T7" i="12"/>
  <c r="AG48" i="10"/>
  <c r="BI48" i="10" s="1"/>
  <c r="BI63" i="10" s="1"/>
  <c r="BU63" i="10" s="1"/>
  <c r="AU48" i="10"/>
  <c r="S63" i="10"/>
  <c r="CA99" i="16"/>
  <c r="AH38" i="10"/>
  <c r="AP20" i="10"/>
  <c r="AK52" i="10"/>
  <c r="W66" i="10"/>
  <c r="AY52" i="10"/>
  <c r="W55" i="12"/>
  <c r="W57" i="12" s="1"/>
  <c r="AY57" i="12" s="1"/>
  <c r="AY32" i="10"/>
  <c r="W38" i="10"/>
  <c r="AY38" i="10" s="1"/>
  <c r="BZ17" i="16"/>
  <c r="BZ58" i="16" s="1"/>
  <c r="BZ59" i="16" s="1"/>
  <c r="BZ61" i="16" s="1"/>
  <c r="BZ62" i="16" s="1"/>
  <c r="CG103" i="16"/>
  <c r="AN14" i="10"/>
  <c r="BT16" i="10"/>
  <c r="BN18" i="10"/>
  <c r="AX48" i="10"/>
  <c r="V63" i="10"/>
  <c r="AJ48" i="10"/>
  <c r="BL48" i="10" s="1"/>
  <c r="BL63" i="10" s="1"/>
  <c r="AQ48" i="10"/>
  <c r="BE48" i="10"/>
  <c r="AC63" i="10"/>
  <c r="CE99" i="16"/>
  <c r="CH40" i="16"/>
  <c r="CK40" i="16" s="1"/>
  <c r="CB100" i="16"/>
  <c r="BA80" i="10"/>
  <c r="T66" i="10"/>
  <c r="AV52" i="10"/>
  <c r="AH52" i="10"/>
  <c r="BV37" i="16"/>
  <c r="BV77" i="16" s="1"/>
  <c r="BV99" i="16"/>
  <c r="S6" i="12"/>
  <c r="BW75" i="16"/>
  <c r="AV36" i="10"/>
  <c r="T56" i="12"/>
  <c r="X66" i="10"/>
  <c r="AZ52" i="10"/>
  <c r="AL52" i="10"/>
  <c r="CB41" i="16"/>
  <c r="CB78" i="16" s="1"/>
  <c r="CB103" i="16"/>
  <c r="BV21" i="16"/>
  <c r="BV64" i="16" s="1"/>
  <c r="BV65" i="16" s="1"/>
  <c r="BV104" i="16"/>
  <c r="BX17" i="16"/>
  <c r="BX58" i="16" s="1"/>
  <c r="BX59" i="16" s="1"/>
  <c r="BX61" i="16" s="1"/>
  <c r="BX62" i="16" s="1"/>
  <c r="BX84" i="16" s="1"/>
  <c r="BX100" i="16"/>
  <c r="W77" i="10"/>
  <c r="AK77" i="10" s="1"/>
  <c r="W20" i="10"/>
  <c r="W8" i="12"/>
  <c r="AY14" i="10"/>
  <c r="W76" i="10"/>
  <c r="AK76" i="10" s="1"/>
  <c r="CG76" i="16"/>
  <c r="CG83" i="16" s="1"/>
  <c r="CD76" i="16"/>
  <c r="BY99" i="16"/>
  <c r="BY37" i="16"/>
  <c r="BY77" i="16" s="1"/>
  <c r="AL53" i="10"/>
  <c r="AZ53" i="10"/>
  <c r="X67" i="10"/>
  <c r="T54" i="12"/>
  <c r="T38" i="10"/>
  <c r="AV38" i="10" s="1"/>
  <c r="BZ75" i="16"/>
  <c r="CA21" i="16"/>
  <c r="CA103" i="16"/>
  <c r="AJ49" i="10"/>
  <c r="BL49" i="10" s="1"/>
  <c r="BL64" i="10" s="1"/>
  <c r="BX64" i="10" s="1"/>
  <c r="V64" i="10"/>
  <c r="AX49" i="10"/>
  <c r="Z54" i="12"/>
  <c r="V6" i="12"/>
  <c r="V20" i="10"/>
  <c r="AX32" i="10"/>
  <c r="V55" i="12"/>
  <c r="BZ99" i="16"/>
  <c r="BZ37" i="16"/>
  <c r="BZ77" i="16" s="1"/>
  <c r="W67" i="10"/>
  <c r="AY53" i="10"/>
  <c r="AK53" i="10"/>
  <c r="W64" i="10"/>
  <c r="AY49" i="10"/>
  <c r="AK49" i="10"/>
  <c r="CH39" i="16"/>
  <c r="CK39" i="16" s="1"/>
  <c r="BA79" i="10"/>
  <c r="BO79" i="10"/>
  <c r="BU79" i="10" s="1"/>
  <c r="Y45" i="2"/>
  <c r="BR13" i="10"/>
  <c r="BX13" i="10" s="1"/>
  <c r="BP14" i="10"/>
  <c r="BV14" i="10" s="1"/>
  <c r="AW53" i="12"/>
  <c r="AM56" i="12"/>
  <c r="BA56" i="12"/>
  <c r="AA22" i="12"/>
  <c r="AO8" i="12"/>
  <c r="BC8" i="12"/>
  <c r="BU18" i="10"/>
  <c r="CC21" i="16"/>
  <c r="CC64" i="16" s="1"/>
  <c r="BC63" i="10"/>
  <c r="AP64" i="10"/>
  <c r="BD64" i="10"/>
  <c r="AQ53" i="12"/>
  <c r="BE53" i="12"/>
  <c r="BB56" i="12"/>
  <c r="DK28" i="23"/>
  <c r="CQ28" i="23"/>
  <c r="BW76" i="16"/>
  <c r="AF64" i="10"/>
  <c r="AT64" i="10"/>
  <c r="AU66" i="10"/>
  <c r="AG66" i="10"/>
  <c r="AF67" i="10"/>
  <c r="AF53" i="12"/>
  <c r="AT53" i="12"/>
  <c r="AP54" i="12"/>
  <c r="BD54" i="12"/>
  <c r="BE66" i="10"/>
  <c r="AQ66" i="10"/>
  <c r="AD18" i="10"/>
  <c r="AD20" i="10" s="1"/>
  <c r="BF17" i="10"/>
  <c r="BP53" i="10"/>
  <c r="BV17" i="10"/>
  <c r="BR17" i="10"/>
  <c r="AN67" i="10"/>
  <c r="BB67" i="10"/>
  <c r="Y67" i="10"/>
  <c r="BA53" i="10"/>
  <c r="AM53" i="10"/>
  <c r="AK54" i="12"/>
  <c r="AY54" i="12"/>
  <c r="AK6" i="12"/>
  <c r="AY6" i="12"/>
  <c r="AM18" i="10"/>
  <c r="AR17" i="10"/>
  <c r="AX66" i="10"/>
  <c r="AJ66" i="10"/>
  <c r="AV9" i="12"/>
  <c r="AH9" i="12"/>
  <c r="BA63" i="10"/>
  <c r="AY53" i="12"/>
  <c r="U76" i="12"/>
  <c r="AK53" i="12"/>
  <c r="AH63" i="10"/>
  <c r="AV63" i="10"/>
  <c r="BX64" i="16"/>
  <c r="AP22" i="12"/>
  <c r="AX80" i="10"/>
  <c r="AX79" i="10"/>
  <c r="AY7" i="12"/>
  <c r="AK7" i="12"/>
  <c r="AR13" i="10"/>
  <c r="AR14" i="10" s="1"/>
  <c r="AL54" i="12"/>
  <c r="AZ54" i="12"/>
  <c r="BA7" i="12"/>
  <c r="AM7" i="12"/>
  <c r="AV76" i="10"/>
  <c r="AZ6" i="12"/>
  <c r="AL6" i="12"/>
  <c r="AV80" i="10"/>
  <c r="AV79" i="10"/>
  <c r="AX9" i="12"/>
  <c r="AJ9" i="12"/>
  <c r="AC14" i="24"/>
  <c r="Z14" i="24"/>
  <c r="AA14" i="24"/>
  <c r="W60" i="12"/>
  <c r="S60" i="12"/>
  <c r="Z60" i="12"/>
  <c r="Z67" i="12" s="1"/>
  <c r="BY83" i="16"/>
  <c r="AB13" i="12"/>
  <c r="R37" i="12"/>
  <c r="X13" i="12"/>
  <c r="AW37" i="12"/>
  <c r="W13" i="12"/>
  <c r="BA53" i="12"/>
  <c r="AM53" i="12"/>
  <c r="DJ27" i="23"/>
  <c r="AD63" i="10"/>
  <c r="AR48" i="10"/>
  <c r="BF48" i="10"/>
  <c r="AD77" i="10"/>
  <c r="AR77" i="10" s="1"/>
  <c r="AT6" i="12"/>
  <c r="AF6" i="12"/>
  <c r="AL55" i="12"/>
  <c r="AZ55" i="12"/>
  <c r="X69" i="12"/>
  <c r="BB66" i="10"/>
  <c r="AN66" i="10"/>
  <c r="AZ53" i="12"/>
  <c r="X76" i="12"/>
  <c r="AL53" i="12"/>
  <c r="CD75" i="16"/>
  <c r="BT49" i="10"/>
  <c r="BN64" i="10"/>
  <c r="BT64" i="10" s="1"/>
  <c r="Y6" i="12"/>
  <c r="Y20" i="10"/>
  <c r="AT7" i="12"/>
  <c r="AF7" i="12"/>
  <c r="R30" i="12"/>
  <c r="BP64" i="10"/>
  <c r="AJ54" i="12"/>
  <c r="AX54" i="12"/>
  <c r="AL64" i="10"/>
  <c r="AZ64" i="10"/>
  <c r="CG82" i="16"/>
  <c r="CP27" i="23"/>
  <c r="BC53" i="12"/>
  <c r="AO53" i="12"/>
  <c r="BK64" i="10"/>
  <c r="BW64" i="10" s="1"/>
  <c r="DH27" i="23"/>
  <c r="AI56" i="12"/>
  <c r="AW56" i="12"/>
  <c r="AO54" i="12"/>
  <c r="BC54" i="12"/>
  <c r="AZ63" i="10"/>
  <c r="AL63" i="10"/>
  <c r="BE64" i="10"/>
  <c r="AQ64" i="10"/>
  <c r="DK27" i="23"/>
  <c r="CQ27" i="23"/>
  <c r="BD7" i="12"/>
  <c r="AP7" i="12"/>
  <c r="BY59" i="16"/>
  <c r="BY61" i="16" s="1"/>
  <c r="BY62" i="16" s="1"/>
  <c r="BB63" i="10"/>
  <c r="AN63" i="10"/>
  <c r="BD56" i="12"/>
  <c r="AP56" i="12"/>
  <c r="CX6" i="23"/>
  <c r="AN53" i="12"/>
  <c r="BB53" i="12"/>
  <c r="AI64" i="10"/>
  <c r="AW64" i="10"/>
  <c r="AW8" i="12"/>
  <c r="AI8" i="12"/>
  <c r="U22" i="12"/>
  <c r="AI54" i="12"/>
  <c r="U77" i="12"/>
  <c r="AW54" i="12"/>
  <c r="U57" i="12"/>
  <c r="AW57" i="12" s="1"/>
  <c r="AZ8" i="12"/>
  <c r="X22" i="12"/>
  <c r="AL8" i="12"/>
  <c r="AD76" i="10"/>
  <c r="AR76" i="10" s="1"/>
  <c r="AW77" i="10"/>
  <c r="BW53" i="10"/>
  <c r="BQ67" i="10"/>
  <c r="BW67" i="10" s="1"/>
  <c r="BB55" i="12"/>
  <c r="AN55" i="12"/>
  <c r="Z69" i="12"/>
  <c r="AI6" i="12"/>
  <c r="BU14" i="10"/>
  <c r="CB75" i="16"/>
  <c r="AN64" i="10"/>
  <c r="BB64" i="10"/>
  <c r="CE42" i="16"/>
  <c r="CE75" i="16"/>
  <c r="AY63" i="10"/>
  <c r="AK63" i="10"/>
  <c r="BV48" i="10"/>
  <c r="BP63" i="10"/>
  <c r="BV63" i="10" s="1"/>
  <c r="BP15" i="16"/>
  <c r="BP19" i="16"/>
  <c r="X15" i="12"/>
  <c r="AD5" i="24"/>
  <c r="BP16" i="16"/>
  <c r="BF49" i="10"/>
  <c r="AR49" i="10"/>
  <c r="AD64" i="10"/>
  <c r="BO36" i="16"/>
  <c r="BO100" i="16" s="1"/>
  <c r="BD103" i="16"/>
  <c r="BL70" i="16"/>
  <c r="BE67" i="16"/>
  <c r="BP64" i="16"/>
  <c r="DP28" i="23"/>
  <c r="BI40" i="16"/>
  <c r="BI104" i="16" s="1"/>
  <c r="BL40" i="16"/>
  <c r="BL104" i="16" s="1"/>
  <c r="BL36" i="16"/>
  <c r="BL100" i="16" s="1"/>
  <c r="BL35" i="16"/>
  <c r="BL99" i="16" s="1"/>
  <c r="BG70" i="16"/>
  <c r="BJ70" i="16"/>
  <c r="BE70" i="16"/>
  <c r="BV32" i="10"/>
  <c r="BO40" i="16"/>
  <c r="BO104" i="16" s="1"/>
  <c r="CA24" i="23"/>
  <c r="DO24" i="23" s="1"/>
  <c r="DO3" i="23"/>
  <c r="BM70" i="16"/>
  <c r="BN36" i="16"/>
  <c r="BN100" i="16" s="1"/>
  <c r="BN35" i="16"/>
  <c r="BN99" i="16" s="1"/>
  <c r="BE36" i="16"/>
  <c r="BE100" i="16" s="1"/>
  <c r="BE35" i="16"/>
  <c r="BE99" i="16" s="1"/>
  <c r="AA15" i="12"/>
  <c r="AC15" i="12"/>
  <c r="BK39" i="16"/>
  <c r="BK103" i="16" s="1"/>
  <c r="BP20" i="16"/>
  <c r="BP23" i="16"/>
  <c r="BT23" i="16" s="1"/>
  <c r="BQ22" i="16"/>
  <c r="AV84" i="16"/>
  <c r="AV86" i="16" s="1"/>
  <c r="AW86" i="16" s="1"/>
  <c r="BI36" i="16"/>
  <c r="BI100" i="16" s="1"/>
  <c r="AD30" i="24"/>
  <c r="Z25" i="2"/>
  <c r="S58" i="4" s="1"/>
  <c r="BJ40" i="16"/>
  <c r="BJ104" i="16" s="1"/>
  <c r="BI70" i="16"/>
  <c r="BF36" i="16"/>
  <c r="BF100" i="16" s="1"/>
  <c r="BT21" i="16"/>
  <c r="BG40" i="16"/>
  <c r="BG104" i="16" s="1"/>
  <c r="BQ21" i="16"/>
  <c r="BS21" i="16"/>
  <c r="BD62" i="16"/>
  <c r="BA55" i="12"/>
  <c r="Y69" i="12"/>
  <c r="X78" i="12"/>
  <c r="AM55" i="12"/>
  <c r="BM36" i="16"/>
  <c r="BM100" i="16" s="1"/>
  <c r="DP3" i="23"/>
  <c r="CB24" i="23"/>
  <c r="DP24" i="23" s="1"/>
  <c r="BF70" i="16"/>
  <c r="S15" i="12"/>
  <c r="BN70" i="16"/>
  <c r="BJ36" i="16"/>
  <c r="BJ100" i="16" s="1"/>
  <c r="BF40" i="16"/>
  <c r="BF104" i="16" s="1"/>
  <c r="AV71" i="16"/>
  <c r="AV73" i="16" s="1"/>
  <c r="BV59" i="16"/>
  <c r="BV61" i="16" s="1"/>
  <c r="Z59" i="2"/>
  <c r="Z45" i="2"/>
  <c r="Y54" i="12"/>
  <c r="Y38" i="10"/>
  <c r="BA38" i="10" s="1"/>
  <c r="BG36" i="16"/>
  <c r="BG100" i="16" s="1"/>
  <c r="DO27" i="23"/>
  <c r="BK42" i="16"/>
  <c r="Y29" i="24"/>
  <c r="Y26" i="24" s="1"/>
  <c r="AD8" i="24"/>
  <c r="P26" i="24"/>
  <c r="BN40" i="16"/>
  <c r="BN104" i="16" s="1"/>
  <c r="BP58" i="16"/>
  <c r="AM64" i="10"/>
  <c r="BA64" i="10"/>
  <c r="CA59" i="16"/>
  <c r="CA61" i="16" s="1"/>
  <c r="CA62" i="16" s="1"/>
  <c r="BO70" i="16"/>
  <c r="BM40" i="16"/>
  <c r="BM104" i="16" s="1"/>
  <c r="BV82" i="16"/>
  <c r="AR32" i="10" l="1"/>
  <c r="AM22" i="12"/>
  <c r="BC76" i="10"/>
  <c r="BW84" i="16"/>
  <c r="AZ77" i="10"/>
  <c r="BC24" i="23"/>
  <c r="Z57" i="12"/>
  <c r="BB57" i="12" s="1"/>
  <c r="BQ66" i="10"/>
  <c r="BW66" i="10" s="1"/>
  <c r="BC66" i="10"/>
  <c r="CB42" i="16"/>
  <c r="BF53" i="10"/>
  <c r="BA77" i="10"/>
  <c r="CC65" i="16"/>
  <c r="CC67" i="16" s="1"/>
  <c r="CC68" i="16" s="1"/>
  <c r="CC85" i="16" s="1"/>
  <c r="K29" i="24"/>
  <c r="F30" i="24"/>
  <c r="I30" i="24" s="1"/>
  <c r="DL27" i="23"/>
  <c r="CQ3" i="23"/>
  <c r="BE27" i="23"/>
  <c r="CS27" i="23" s="1"/>
  <c r="BP61" i="16"/>
  <c r="BN39" i="16"/>
  <c r="BN103" i="16" s="1"/>
  <c r="BF35" i="16"/>
  <c r="BF99" i="16" s="1"/>
  <c r="BL39" i="16"/>
  <c r="BL103" i="16" s="1"/>
  <c r="BH37" i="16"/>
  <c r="BH71" i="16"/>
  <c r="BF39" i="16"/>
  <c r="BF103" i="16" s="1"/>
  <c r="BG39" i="16"/>
  <c r="BG103" i="16" s="1"/>
  <c r="BP70" i="16"/>
  <c r="CD42" i="16"/>
  <c r="AX14" i="12"/>
  <c r="S68" i="12"/>
  <c r="CN28" i="23"/>
  <c r="CR28" i="23"/>
  <c r="H9" i="24"/>
  <c r="DI28" i="23"/>
  <c r="M9" i="24"/>
  <c r="CX27" i="23"/>
  <c r="DI27" i="23"/>
  <c r="CO27" i="23"/>
  <c r="Y60" i="12"/>
  <c r="Y67" i="12" s="1"/>
  <c r="AM67" i="12" s="1"/>
  <c r="BV52" i="10"/>
  <c r="AW80" i="10"/>
  <c r="V57" i="12"/>
  <c r="AX57" i="12" s="1"/>
  <c r="AR67" i="10"/>
  <c r="BP80" i="10"/>
  <c r="BV80" i="10" s="1"/>
  <c r="AA57" i="12"/>
  <c r="BC57" i="12" s="1"/>
  <c r="AX56" i="12"/>
  <c r="CR3" i="23"/>
  <c r="AI69" i="12"/>
  <c r="CS7" i="23"/>
  <c r="BD53" i="12"/>
  <c r="K9" i="24"/>
  <c r="AB69" i="12"/>
  <c r="AP69" i="12" s="1"/>
  <c r="CS6" i="23"/>
  <c r="AR36" i="10"/>
  <c r="AA69" i="12"/>
  <c r="AO69" i="12" s="1"/>
  <c r="AH67" i="10"/>
  <c r="AV67" i="10"/>
  <c r="CW27" i="23"/>
  <c r="AB57" i="12"/>
  <c r="BD57" i="12" s="1"/>
  <c r="AA76" i="12"/>
  <c r="BC76" i="12" s="1"/>
  <c r="AJ56" i="12"/>
  <c r="BR18" i="10"/>
  <c r="BX18" i="10" s="1"/>
  <c r="CW6" i="23"/>
  <c r="BV18" i="10"/>
  <c r="DH3" i="23"/>
  <c r="BR52" i="10"/>
  <c r="BX52" i="10" s="1"/>
  <c r="AF14" i="12"/>
  <c r="BB14" i="12"/>
  <c r="X37" i="12"/>
  <c r="AZ37" i="12" s="1"/>
  <c r="R15" i="12"/>
  <c r="AA13" i="12"/>
  <c r="BC13" i="12" s="1"/>
  <c r="T13" i="12"/>
  <c r="AH13" i="12" s="1"/>
  <c r="W21" i="12"/>
  <c r="AK21" i="12" s="1"/>
  <c r="AK14" i="12"/>
  <c r="AU14" i="12"/>
  <c r="S21" i="12"/>
  <c r="AG21" i="12" s="1"/>
  <c r="V15" i="12"/>
  <c r="AJ15" i="12" s="1"/>
  <c r="U13" i="12"/>
  <c r="AI13" i="12" s="1"/>
  <c r="R21" i="12"/>
  <c r="AO14" i="12"/>
  <c r="AV14" i="12"/>
  <c r="BY84" i="16"/>
  <c r="AH6" i="12"/>
  <c r="X10" i="12"/>
  <c r="AZ10" i="12" s="1"/>
  <c r="AD7" i="12"/>
  <c r="BF7" i="12" s="1"/>
  <c r="BW49" i="10"/>
  <c r="AV8" i="12"/>
  <c r="BN38" i="10"/>
  <c r="BT38" i="10" s="1"/>
  <c r="R29" i="12"/>
  <c r="AT29" i="12" s="1"/>
  <c r="BQ20" i="10"/>
  <c r="U32" i="12"/>
  <c r="AW32" i="12" s="1"/>
  <c r="R10" i="12"/>
  <c r="AT10" i="12" s="1"/>
  <c r="AD55" i="12"/>
  <c r="BF55" i="12" s="1"/>
  <c r="BD24" i="23"/>
  <c r="CR24" i="23" s="1"/>
  <c r="AU56" i="12"/>
  <c r="AG56" i="12"/>
  <c r="BC64" i="10"/>
  <c r="AK38" i="10"/>
  <c r="H29" i="24"/>
  <c r="I29" i="24"/>
  <c r="AA37" i="12"/>
  <c r="AO37" i="12" s="1"/>
  <c r="Z13" i="12"/>
  <c r="BB13" i="12" s="1"/>
  <c r="BC61" i="12"/>
  <c r="AP14" i="12"/>
  <c r="AO61" i="12"/>
  <c r="V13" i="12"/>
  <c r="AX13" i="12" s="1"/>
  <c r="AC21" i="12"/>
  <c r="AQ21" i="12" s="1"/>
  <c r="BB61" i="12"/>
  <c r="BE14" i="12"/>
  <c r="V8" i="24"/>
  <c r="BU64" i="10"/>
  <c r="R8" i="24"/>
  <c r="BO66" i="10"/>
  <c r="BU66" i="10" s="1"/>
  <c r="X8" i="24"/>
  <c r="Z8" i="24" s="1"/>
  <c r="T22" i="12"/>
  <c r="AV22" i="12" s="1"/>
  <c r="T8" i="24"/>
  <c r="CG70" i="16"/>
  <c r="BV70" i="16"/>
  <c r="AY68" i="12"/>
  <c r="AW21" i="12"/>
  <c r="O29" i="24"/>
  <c r="R29" i="24" s="1"/>
  <c r="W10" i="12"/>
  <c r="AY10" i="12" s="1"/>
  <c r="AM20" i="10"/>
  <c r="X9" i="24"/>
  <c r="AA9" i="24" s="1"/>
  <c r="V10" i="12"/>
  <c r="AX10" i="12" s="1"/>
  <c r="AV69" i="12"/>
  <c r="AH69" i="12"/>
  <c r="AU61" i="12"/>
  <c r="Y15" i="12"/>
  <c r="AM15" i="12" s="1"/>
  <c r="AD14" i="12"/>
  <c r="AD37" i="12" s="1"/>
  <c r="BF37" i="12" s="1"/>
  <c r="AB21" i="12"/>
  <c r="AP21" i="12" s="1"/>
  <c r="BD14" i="12"/>
  <c r="BC79" i="12"/>
  <c r="AO79" i="12"/>
  <c r="CD70" i="16"/>
  <c r="CD79" i="16"/>
  <c r="U20" i="12"/>
  <c r="AI20" i="12" s="1"/>
  <c r="BI28" i="23"/>
  <c r="CW28" i="23" s="1"/>
  <c r="V9" i="24"/>
  <c r="Q9" i="24"/>
  <c r="AG20" i="10"/>
  <c r="CG84" i="16"/>
  <c r="CG86" i="16" s="1"/>
  <c r="DJ3" i="23"/>
  <c r="AL20" i="10"/>
  <c r="U29" i="12"/>
  <c r="AW29" i="12" s="1"/>
  <c r="BV22" i="16"/>
  <c r="T10" i="12"/>
  <c r="AV10" i="12" s="1"/>
  <c r="R9" i="24"/>
  <c r="O30" i="24"/>
  <c r="Q30" i="24" s="1"/>
  <c r="AU79" i="10"/>
  <c r="AJ20" i="10"/>
  <c r="BB24" i="23"/>
  <c r="U10" i="12"/>
  <c r="AW10" i="12" s="1"/>
  <c r="CN3" i="23"/>
  <c r="BI3" i="23"/>
  <c r="CW3" i="23" s="1"/>
  <c r="V68" i="12"/>
  <c r="AJ68" i="12" s="1"/>
  <c r="AJ61" i="12"/>
  <c r="Y13" i="12"/>
  <c r="X36" i="12" s="1"/>
  <c r="X60" i="12"/>
  <c r="X83" i="12" s="1"/>
  <c r="AA84" i="12"/>
  <c r="AO84" i="12" s="1"/>
  <c r="AB68" i="12"/>
  <c r="BD68" i="12" s="1"/>
  <c r="BD61" i="12"/>
  <c r="AF61" i="12"/>
  <c r="U15" i="12"/>
  <c r="U17" i="12" s="1"/>
  <c r="AW17" i="12" s="1"/>
  <c r="AH61" i="12"/>
  <c r="BE61" i="12"/>
  <c r="AM61" i="12"/>
  <c r="AP61" i="12"/>
  <c r="T68" i="12"/>
  <c r="AH68" i="12" s="1"/>
  <c r="Z15" i="12"/>
  <c r="AN15" i="12" s="1"/>
  <c r="R84" i="12"/>
  <c r="AT84" i="12" s="1"/>
  <c r="AD61" i="12"/>
  <c r="BF61" i="12" s="1"/>
  <c r="X84" i="12"/>
  <c r="BD67" i="10"/>
  <c r="AP67" i="10"/>
  <c r="AD66" i="10"/>
  <c r="AR66" i="10" s="1"/>
  <c r="BJ28" i="23"/>
  <c r="CX28" i="23" s="1"/>
  <c r="BE28" i="23"/>
  <c r="BD76" i="10"/>
  <c r="BD77" i="10"/>
  <c r="BB80" i="10"/>
  <c r="BB79" i="10"/>
  <c r="AV53" i="12"/>
  <c r="AH53" i="12"/>
  <c r="BA24" i="23"/>
  <c r="DI3" i="23"/>
  <c r="AZ68" i="12"/>
  <c r="CH58" i="16"/>
  <c r="BU49" i="10"/>
  <c r="BV49" i="10"/>
  <c r="BY42" i="16"/>
  <c r="AW9" i="12"/>
  <c r="CH17" i="16"/>
  <c r="CG22" i="16"/>
  <c r="BW42" i="16"/>
  <c r="BD55" i="12"/>
  <c r="BW48" i="10"/>
  <c r="BY70" i="16"/>
  <c r="BB9" i="12"/>
  <c r="AN9" i="12"/>
  <c r="BQ38" i="10"/>
  <c r="BW38" i="10" s="1"/>
  <c r="BE3" i="23"/>
  <c r="BE24" i="23" s="1"/>
  <c r="DM24" i="23" s="1"/>
  <c r="CG42" i="16"/>
  <c r="BO38" i="10"/>
  <c r="BU38" i="10" s="1"/>
  <c r="BO20" i="10"/>
  <c r="BY22" i="16"/>
  <c r="BR36" i="10"/>
  <c r="BX36" i="10" s="1"/>
  <c r="BN20" i="10"/>
  <c r="BT20" i="10" s="1"/>
  <c r="BV64" i="10"/>
  <c r="AM21" i="12"/>
  <c r="BY82" i="16"/>
  <c r="BX22" i="16"/>
  <c r="CD22" i="16"/>
  <c r="CD83" i="16"/>
  <c r="AN20" i="10"/>
  <c r="CB70" i="16"/>
  <c r="R76" i="12"/>
  <c r="AT76" i="12" s="1"/>
  <c r="CB85" i="16"/>
  <c r="AD56" i="12"/>
  <c r="BF56" i="12" s="1"/>
  <c r="AC13" i="12"/>
  <c r="BE13" i="12" s="1"/>
  <c r="T15" i="12"/>
  <c r="T17" i="12" s="1"/>
  <c r="AV17" i="12" s="1"/>
  <c r="W15" i="12"/>
  <c r="W23" i="12" s="1"/>
  <c r="S13" i="12"/>
  <c r="AG13" i="12" s="1"/>
  <c r="R60" i="12"/>
  <c r="R83" i="12" s="1"/>
  <c r="AB15" i="12"/>
  <c r="BD15" i="12" s="1"/>
  <c r="AA60" i="12"/>
  <c r="AA67" i="12" s="1"/>
  <c r="AO67" i="12" s="1"/>
  <c r="AI61" i="12"/>
  <c r="AW61" i="12"/>
  <c r="U84" i="12"/>
  <c r="AB60" i="12"/>
  <c r="U60" i="12"/>
  <c r="U68" i="12"/>
  <c r="O5" i="24"/>
  <c r="CB71" i="16"/>
  <c r="AD9" i="12"/>
  <c r="BF9" i="12" s="1"/>
  <c r="CG79" i="16"/>
  <c r="BR32" i="10"/>
  <c r="BX32" i="10" s="1"/>
  <c r="X79" i="12"/>
  <c r="AZ79" i="12" s="1"/>
  <c r="BZ79" i="16"/>
  <c r="CH37" i="16"/>
  <c r="CK37" i="16" s="1"/>
  <c r="BC31" i="12"/>
  <c r="AO31" i="12"/>
  <c r="AP66" i="10"/>
  <c r="BD66" i="10"/>
  <c r="BJ3" i="23"/>
  <c r="CX3" i="23" s="1"/>
  <c r="BU48" i="10"/>
  <c r="BX49" i="10"/>
  <c r="BE67" i="10"/>
  <c r="AQ67" i="10"/>
  <c r="F5" i="24"/>
  <c r="AR52" i="10"/>
  <c r="AT66" i="10"/>
  <c r="AF66" i="10"/>
  <c r="AD8" i="12"/>
  <c r="BF8" i="12" s="1"/>
  <c r="AD6" i="12"/>
  <c r="X57" i="12"/>
  <c r="AZ57" i="12" s="1"/>
  <c r="R31" i="12"/>
  <c r="AF31" i="12" s="1"/>
  <c r="AW20" i="10"/>
  <c r="AD53" i="12"/>
  <c r="BF53" i="12" s="1"/>
  <c r="BT48" i="10"/>
  <c r="R32" i="12"/>
  <c r="AF32" i="12" s="1"/>
  <c r="CF22" i="16"/>
  <c r="AI30" i="12"/>
  <c r="AW30" i="12"/>
  <c r="BW79" i="16"/>
  <c r="AK67" i="10"/>
  <c r="AY67" i="10"/>
  <c r="AJ6" i="12"/>
  <c r="AX6" i="12"/>
  <c r="BB54" i="12"/>
  <c r="AN54" i="12"/>
  <c r="Z68" i="12"/>
  <c r="AZ67" i="10"/>
  <c r="AL67" i="10"/>
  <c r="AY20" i="10"/>
  <c r="AY66" i="10"/>
  <c r="AK66" i="10"/>
  <c r="AZ9" i="12"/>
  <c r="AL9" i="12"/>
  <c r="X32" i="12"/>
  <c r="AA32" i="12"/>
  <c r="AO9" i="12"/>
  <c r="BC9" i="12"/>
  <c r="AF63" i="10"/>
  <c r="AT63" i="10"/>
  <c r="BE77" i="10"/>
  <c r="BE76" i="10"/>
  <c r="AG64" i="10"/>
  <c r="AU64" i="10"/>
  <c r="AN8" i="12"/>
  <c r="Z22" i="12"/>
  <c r="X45" i="12" s="1"/>
  <c r="BB8" i="12"/>
  <c r="AY80" i="10"/>
  <c r="AY79" i="10"/>
  <c r="BX42" i="16"/>
  <c r="BX76" i="16"/>
  <c r="AC68" i="12"/>
  <c r="AC57" i="12"/>
  <c r="BE57" i="12" s="1"/>
  <c r="AQ54" i="12"/>
  <c r="BE54" i="12"/>
  <c r="AT79" i="10"/>
  <c r="AT80" i="10"/>
  <c r="AL56" i="12"/>
  <c r="AL57" i="12" s="1"/>
  <c r="AZ56" i="12"/>
  <c r="AG67" i="10"/>
  <c r="AU67" i="10"/>
  <c r="CF61" i="16"/>
  <c r="CF62" i="16" s="1"/>
  <c r="CF70" i="16"/>
  <c r="AX20" i="10"/>
  <c r="BW22" i="16"/>
  <c r="AU6" i="12"/>
  <c r="AG6" i="12"/>
  <c r="S10" i="12"/>
  <c r="AU10" i="12" s="1"/>
  <c r="AH66" i="10"/>
  <c r="AV66" i="10"/>
  <c r="BZ22" i="16"/>
  <c r="CF75" i="16"/>
  <c r="CF42" i="16"/>
  <c r="AC10" i="12"/>
  <c r="BE10" i="12" s="1"/>
  <c r="BE8" i="12"/>
  <c r="AC22" i="12"/>
  <c r="AQ8" i="12"/>
  <c r="AQ10" i="12" s="1"/>
  <c r="BB20" i="10"/>
  <c r="BB7" i="12"/>
  <c r="AN7" i="12"/>
  <c r="Z10" i="12"/>
  <c r="BB10" i="12" s="1"/>
  <c r="Z21" i="12"/>
  <c r="AP6" i="12"/>
  <c r="AP10" i="12" s="1"/>
  <c r="AB10" i="12"/>
  <c r="BD10" i="12" s="1"/>
  <c r="BD6" i="12"/>
  <c r="BD63" i="10"/>
  <c r="AP63" i="10"/>
  <c r="AF8" i="12"/>
  <c r="AT8" i="12"/>
  <c r="R22" i="12"/>
  <c r="AU9" i="12"/>
  <c r="AG9" i="12"/>
  <c r="AU76" i="10"/>
  <c r="AU77" i="10"/>
  <c r="AX77" i="10"/>
  <c r="AX76" i="10"/>
  <c r="BC20" i="10"/>
  <c r="BY78" i="16"/>
  <c r="CH41" i="16"/>
  <c r="R68" i="12"/>
  <c r="AT54" i="12"/>
  <c r="R77" i="12"/>
  <c r="AF54" i="12"/>
  <c r="R57" i="12"/>
  <c r="AT57" i="12" s="1"/>
  <c r="BZ42" i="16"/>
  <c r="AY64" i="10"/>
  <c r="AK64" i="10"/>
  <c r="CA64" i="16"/>
  <c r="CA22" i="16"/>
  <c r="AY76" i="10"/>
  <c r="AY77" i="10"/>
  <c r="AZ66" i="10"/>
  <c r="AL66" i="10"/>
  <c r="AQ63" i="10"/>
  <c r="BE63" i="10"/>
  <c r="AJ63" i="10"/>
  <c r="AX63" i="10"/>
  <c r="BN79" i="10"/>
  <c r="BT79" i="10" s="1"/>
  <c r="BN80" i="10"/>
  <c r="BT80" i="10" s="1"/>
  <c r="BT18" i="10"/>
  <c r="W69" i="12"/>
  <c r="AY55" i="12"/>
  <c r="AK55" i="12"/>
  <c r="AK57" i="12" s="1"/>
  <c r="AZ79" i="10"/>
  <c r="AZ80" i="10"/>
  <c r="AQ55" i="12"/>
  <c r="AC69" i="12"/>
  <c r="AA78" i="12"/>
  <c r="AA80" i="12" s="1"/>
  <c r="BC80" i="12" s="1"/>
  <c r="BE55" i="12"/>
  <c r="BN67" i="10"/>
  <c r="BT67" i="10" s="1"/>
  <c r="BT53" i="10"/>
  <c r="BW18" i="10"/>
  <c r="BQ79" i="10"/>
  <c r="BW79" i="10" s="1"/>
  <c r="BQ80" i="10"/>
  <c r="BW80" i="10" s="1"/>
  <c r="BC79" i="10"/>
  <c r="BC80" i="10"/>
  <c r="AW63" i="10"/>
  <c r="AI63" i="10"/>
  <c r="CA76" i="16"/>
  <c r="CA42" i="16"/>
  <c r="AU53" i="12"/>
  <c r="AG53" i="12"/>
  <c r="S57" i="12"/>
  <c r="AU57" i="12" s="1"/>
  <c r="AX8" i="12"/>
  <c r="V22" i="12"/>
  <c r="AJ8" i="12"/>
  <c r="BE56" i="12"/>
  <c r="AQ56" i="12"/>
  <c r="AL7" i="12"/>
  <c r="X30" i="12"/>
  <c r="X21" i="12"/>
  <c r="AZ7" i="12"/>
  <c r="AO6" i="12"/>
  <c r="BC6" i="12"/>
  <c r="AA10" i="12"/>
  <c r="BC10" i="12" s="1"/>
  <c r="AA29" i="12"/>
  <c r="CE64" i="16"/>
  <c r="CE22" i="16"/>
  <c r="CB22" i="16"/>
  <c r="AX55" i="12"/>
  <c r="V69" i="12"/>
  <c r="U78" i="12"/>
  <c r="U80" i="12" s="1"/>
  <c r="AW80" i="12" s="1"/>
  <c r="AJ55" i="12"/>
  <c r="AJ64" i="10"/>
  <c r="AX64" i="10"/>
  <c r="AV54" i="12"/>
  <c r="AH54" i="12"/>
  <c r="T57" i="12"/>
  <c r="AV57" i="12" s="1"/>
  <c r="AY8" i="12"/>
  <c r="W22" i="12"/>
  <c r="AK8" i="12"/>
  <c r="AH56" i="12"/>
  <c r="R79" i="12"/>
  <c r="AV56" i="12"/>
  <c r="BV42" i="16"/>
  <c r="BV76" i="16"/>
  <c r="AU63" i="10"/>
  <c r="AG63" i="10"/>
  <c r="AH7" i="12"/>
  <c r="AH10" i="12" s="1"/>
  <c r="AV7" i="12"/>
  <c r="T21" i="12"/>
  <c r="AH64" i="10"/>
  <c r="AV64" i="10"/>
  <c r="AX7" i="12"/>
  <c r="AJ7" i="12"/>
  <c r="V21" i="12"/>
  <c r="BB76" i="10"/>
  <c r="BB77" i="10"/>
  <c r="AY9" i="12"/>
  <c r="AK9" i="12"/>
  <c r="BX48" i="10"/>
  <c r="BR63" i="10"/>
  <c r="BX63" i="10" s="1"/>
  <c r="AU55" i="12"/>
  <c r="AG55" i="12"/>
  <c r="S69" i="12"/>
  <c r="AT77" i="10"/>
  <c r="AT76" i="10"/>
  <c r="BT52" i="10"/>
  <c r="BN66" i="10"/>
  <c r="BT66" i="10" s="1"/>
  <c r="U31" i="12"/>
  <c r="AU8" i="12"/>
  <c r="S22" i="12"/>
  <c r="AG8" i="12"/>
  <c r="AU20" i="10"/>
  <c r="AT9" i="12"/>
  <c r="AF9" i="12"/>
  <c r="AA30" i="12"/>
  <c r="AA21" i="12"/>
  <c r="BC7" i="12"/>
  <c r="AO7" i="12"/>
  <c r="R78" i="12"/>
  <c r="R69" i="12"/>
  <c r="AT55" i="12"/>
  <c r="AF55" i="12"/>
  <c r="CH21" i="16"/>
  <c r="CJ19" i="16" s="1"/>
  <c r="BR14" i="10"/>
  <c r="BX14" i="10" s="1"/>
  <c r="AP57" i="12"/>
  <c r="BC22" i="12"/>
  <c r="AO22" i="12"/>
  <c r="BV53" i="10"/>
  <c r="BP67" i="10"/>
  <c r="BV67" i="10" s="1"/>
  <c r="CK17" i="16"/>
  <c r="AR18" i="10"/>
  <c r="AR53" i="10"/>
  <c r="CI17" i="16"/>
  <c r="BR53" i="10"/>
  <c r="BX17" i="10"/>
  <c r="AD79" i="10"/>
  <c r="AR79" i="10" s="1"/>
  <c r="BF18" i="10"/>
  <c r="BF79" i="10" s="1"/>
  <c r="AD80" i="10"/>
  <c r="AR80" i="10" s="1"/>
  <c r="BA67" i="10"/>
  <c r="AM67" i="10"/>
  <c r="BX65" i="16"/>
  <c r="BX67" i="16" s="1"/>
  <c r="BX68" i="16" s="1"/>
  <c r="BX70" i="16"/>
  <c r="CI21" i="16"/>
  <c r="AM38" i="10"/>
  <c r="AI76" i="12"/>
  <c r="AW76" i="12"/>
  <c r="AL60" i="12"/>
  <c r="AH60" i="12"/>
  <c r="AV60" i="12"/>
  <c r="T67" i="12"/>
  <c r="X67" i="12"/>
  <c r="AZ67" i="12" s="1"/>
  <c r="AN60" i="12"/>
  <c r="BB60" i="12"/>
  <c r="AG60" i="12"/>
  <c r="AU60" i="12"/>
  <c r="S67" i="12"/>
  <c r="AQ60" i="12"/>
  <c r="BE60" i="12"/>
  <c r="AC67" i="12"/>
  <c r="BA60" i="12"/>
  <c r="AM60" i="12"/>
  <c r="AY60" i="12"/>
  <c r="AK60" i="12"/>
  <c r="W67" i="12"/>
  <c r="AX60" i="12"/>
  <c r="AJ60" i="12"/>
  <c r="V67" i="12"/>
  <c r="BV67" i="16"/>
  <c r="BV68" i="16" s="1"/>
  <c r="AI10" i="12"/>
  <c r="AO57" i="12"/>
  <c r="AK13" i="12"/>
  <c r="AY13" i="12"/>
  <c r="W20" i="12"/>
  <c r="AT37" i="12"/>
  <c r="AF37" i="12"/>
  <c r="AW13" i="12"/>
  <c r="AZ13" i="12"/>
  <c r="AL13" i="12"/>
  <c r="X20" i="12"/>
  <c r="AB20" i="12"/>
  <c r="BD13" i="12"/>
  <c r="AP13" i="12"/>
  <c r="AM13" i="12"/>
  <c r="U36" i="12"/>
  <c r="AJ13" i="12"/>
  <c r="AV13" i="12"/>
  <c r="T20" i="12"/>
  <c r="AF13" i="12"/>
  <c r="AT13" i="12"/>
  <c r="BZ84" i="16"/>
  <c r="AI77" i="12"/>
  <c r="AW77" i="12"/>
  <c r="CC22" i="16"/>
  <c r="AZ69" i="12"/>
  <c r="AL69" i="12"/>
  <c r="AN69" i="12"/>
  <c r="BB69" i="12"/>
  <c r="BW20" i="10"/>
  <c r="BC77" i="12"/>
  <c r="AO77" i="12"/>
  <c r="AI79" i="12"/>
  <c r="AW79" i="12"/>
  <c r="AF20" i="12"/>
  <c r="AT20" i="12"/>
  <c r="BA67" i="12"/>
  <c r="BF20" i="10"/>
  <c r="AL22" i="12"/>
  <c r="AZ22" i="12"/>
  <c r="AF30" i="12"/>
  <c r="AT30" i="12"/>
  <c r="AR63" i="10"/>
  <c r="BF63" i="10"/>
  <c r="BP20" i="10"/>
  <c r="AW22" i="12"/>
  <c r="AI22" i="12"/>
  <c r="AN57" i="12"/>
  <c r="AO68" i="12"/>
  <c r="BC68" i="12"/>
  <c r="AI57" i="12"/>
  <c r="BA20" i="10"/>
  <c r="CC75" i="16"/>
  <c r="CE79" i="16"/>
  <c r="CE82" i="16"/>
  <c r="CB79" i="16"/>
  <c r="CB82" i="16"/>
  <c r="AZ31" i="12"/>
  <c r="AL31" i="12"/>
  <c r="AN67" i="12"/>
  <c r="BB67" i="12"/>
  <c r="DK24" i="23"/>
  <c r="CQ24" i="23"/>
  <c r="AF21" i="12"/>
  <c r="AT21" i="12"/>
  <c r="AM6" i="12"/>
  <c r="AM10" i="12" s="1"/>
  <c r="BA6" i="12"/>
  <c r="Y10" i="12"/>
  <c r="BA10" i="12" s="1"/>
  <c r="X29" i="12"/>
  <c r="AL76" i="12"/>
  <c r="AZ76" i="12"/>
  <c r="CN24" i="23"/>
  <c r="CA84" i="16"/>
  <c r="AM54" i="12"/>
  <c r="BA54" i="12"/>
  <c r="X77" i="12"/>
  <c r="Y68" i="12"/>
  <c r="Y57" i="12"/>
  <c r="BA57" i="12" s="1"/>
  <c r="AD54" i="12"/>
  <c r="AB62" i="12"/>
  <c r="AC62" i="12"/>
  <c r="CD82" i="16"/>
  <c r="CD71" i="16"/>
  <c r="BE15" i="12"/>
  <c r="AQ15" i="12"/>
  <c r="AC23" i="12"/>
  <c r="V62" i="12"/>
  <c r="BL71" i="16"/>
  <c r="BO71" i="16"/>
  <c r="U62" i="12"/>
  <c r="BF71" i="16"/>
  <c r="AO15" i="12"/>
  <c r="BC15" i="12"/>
  <c r="AA23" i="12"/>
  <c r="BP38" i="10"/>
  <c r="BV38" i="10" s="1"/>
  <c r="BQ100" i="16"/>
  <c r="BP100" i="16"/>
  <c r="BR16" i="16"/>
  <c r="BS16" i="16"/>
  <c r="BS19" i="16"/>
  <c r="BR19" i="16"/>
  <c r="BS4" i="16"/>
  <c r="CC84" i="16"/>
  <c r="CH77" i="16"/>
  <c r="AD29" i="24"/>
  <c r="BG35" i="16"/>
  <c r="BG99" i="16" s="1"/>
  <c r="BJ35" i="16"/>
  <c r="BJ99" i="16" s="1"/>
  <c r="BM35" i="16"/>
  <c r="BM99" i="16" s="1"/>
  <c r="AZ78" i="12"/>
  <c r="AL78" i="12"/>
  <c r="W62" i="12"/>
  <c r="CC76" i="16"/>
  <c r="CC42" i="16"/>
  <c r="BO39" i="16"/>
  <c r="BO103" i="16" s="1"/>
  <c r="BJ71" i="16"/>
  <c r="BG71" i="16"/>
  <c r="AR64" i="10"/>
  <c r="BF64" i="10"/>
  <c r="BM39" i="16"/>
  <c r="BM103" i="16" s="1"/>
  <c r="T62" i="12"/>
  <c r="V17" i="12"/>
  <c r="AX17" i="12" s="1"/>
  <c r="AU68" i="12"/>
  <c r="AG68" i="12"/>
  <c r="BV62" i="16"/>
  <c r="S62" i="12"/>
  <c r="X92" i="12"/>
  <c r="AM69" i="12"/>
  <c r="BA69" i="12"/>
  <c r="BD37" i="16"/>
  <c r="BP62" i="16"/>
  <c r="BI71" i="16"/>
  <c r="AD38" i="10"/>
  <c r="BF38" i="10" s="1"/>
  <c r="BI35" i="16"/>
  <c r="BI99" i="16" s="1"/>
  <c r="R62" i="12"/>
  <c r="BS20" i="16"/>
  <c r="BR20" i="16"/>
  <c r="AD26" i="24"/>
  <c r="BM71" i="16"/>
  <c r="BQ104" i="16"/>
  <c r="BP104" i="16"/>
  <c r="X62" i="12"/>
  <c r="Z62" i="12"/>
  <c r="BI39" i="16"/>
  <c r="BI103" i="16" s="1"/>
  <c r="X23" i="12"/>
  <c r="AL15" i="12"/>
  <c r="X17" i="12"/>
  <c r="AZ17" i="12" s="1"/>
  <c r="AZ15" i="12"/>
  <c r="Y62" i="12"/>
  <c r="CH59" i="16"/>
  <c r="BA15" i="12"/>
  <c r="BN71" i="16"/>
  <c r="S23" i="12"/>
  <c r="AU15" i="12"/>
  <c r="AG15" i="12"/>
  <c r="BJ39" i="16"/>
  <c r="BJ103" i="16" s="1"/>
  <c r="AT15" i="12"/>
  <c r="R17" i="12"/>
  <c r="AT17" i="12" s="1"/>
  <c r="AF15" i="12"/>
  <c r="R23" i="12"/>
  <c r="BD71" i="16"/>
  <c r="AA62" i="12"/>
  <c r="BE68" i="16"/>
  <c r="BP67" i="16"/>
  <c r="BO35" i="16"/>
  <c r="BO99" i="16" s="1"/>
  <c r="BR15" i="16"/>
  <c r="BS15" i="16"/>
  <c r="BD69" i="12" l="1"/>
  <c r="CJ35" i="16"/>
  <c r="CK21" i="16"/>
  <c r="BC69" i="12"/>
  <c r="AH22" i="12"/>
  <c r="H30" i="24"/>
  <c r="M30" i="24"/>
  <c r="K30" i="24"/>
  <c r="DM27" i="23"/>
  <c r="BH36" i="16"/>
  <c r="BH100" i="16" s="1"/>
  <c r="BH35" i="16"/>
  <c r="BH99" i="16" s="1"/>
  <c r="BH42" i="16"/>
  <c r="AO76" i="12"/>
  <c r="AF29" i="12"/>
  <c r="CB83" i="16"/>
  <c r="AI29" i="12"/>
  <c r="BY71" i="16"/>
  <c r="X30" i="24"/>
  <c r="Z30" i="24" s="1"/>
  <c r="V23" i="12"/>
  <c r="AJ23" i="12" s="1"/>
  <c r="AR14" i="12"/>
  <c r="AX15" i="12"/>
  <c r="AL37" i="12"/>
  <c r="R5" i="24"/>
  <c r="Z9" i="24"/>
  <c r="CS24" i="23"/>
  <c r="X29" i="24"/>
  <c r="Z29" i="24" s="1"/>
  <c r="AC8" i="24"/>
  <c r="DL24" i="23"/>
  <c r="CS3" i="23"/>
  <c r="DM3" i="23"/>
  <c r="T30" i="24"/>
  <c r="Y23" i="12"/>
  <c r="BA23" i="12" s="1"/>
  <c r="AA83" i="12"/>
  <c r="BC83" i="12" s="1"/>
  <c r="AK15" i="12"/>
  <c r="AO13" i="12"/>
  <c r="BR79" i="10"/>
  <c r="BX79" i="10" s="1"/>
  <c r="BR80" i="10"/>
  <c r="BX80" i="10" s="1"/>
  <c r="AI32" i="12"/>
  <c r="AR38" i="10"/>
  <c r="AC9" i="24"/>
  <c r="BR66" i="10"/>
  <c r="BX66" i="10" s="1"/>
  <c r="AR56" i="12"/>
  <c r="AF76" i="12"/>
  <c r="AR76" i="12" s="1"/>
  <c r="T29" i="24"/>
  <c r="BD21" i="12"/>
  <c r="CJ20" i="16"/>
  <c r="AJ57" i="12"/>
  <c r="AA20" i="12"/>
  <c r="AA25" i="12" s="1"/>
  <c r="BC25" i="12" s="1"/>
  <c r="AA17" i="12"/>
  <c r="BC17" i="12" s="1"/>
  <c r="Z20" i="12"/>
  <c r="BB20" i="12" s="1"/>
  <c r="R44" i="12"/>
  <c r="AF44" i="12" s="1"/>
  <c r="AV15" i="12"/>
  <c r="AA36" i="12"/>
  <c r="AO36" i="12" s="1"/>
  <c r="V20" i="12"/>
  <c r="U43" i="12" s="1"/>
  <c r="AU13" i="12"/>
  <c r="BC37" i="12"/>
  <c r="AU21" i="12"/>
  <c r="W17" i="12"/>
  <c r="AY17" i="12" s="1"/>
  <c r="AQ13" i="12"/>
  <c r="AQ17" i="12" s="1"/>
  <c r="AA44" i="12"/>
  <c r="AO44" i="12" s="1"/>
  <c r="AY21" i="12"/>
  <c r="BF66" i="10"/>
  <c r="U33" i="12"/>
  <c r="AW33" i="12" s="1"/>
  <c r="Q29" i="24"/>
  <c r="AL79" i="12"/>
  <c r="V29" i="24"/>
  <c r="BJ24" i="23"/>
  <c r="CX24" i="23" s="1"/>
  <c r="BI24" i="23"/>
  <c r="CW24" i="23" s="1"/>
  <c r="BA13" i="12"/>
  <c r="Y17" i="12"/>
  <c r="BA17" i="12" s="1"/>
  <c r="AI15" i="12"/>
  <c r="AI17" i="12" s="1"/>
  <c r="Y20" i="12"/>
  <c r="AM20" i="12" s="1"/>
  <c r="BF14" i="12"/>
  <c r="AN13" i="12"/>
  <c r="AN17" i="12" s="1"/>
  <c r="BC84" i="12"/>
  <c r="U38" i="12"/>
  <c r="AI38" i="12" s="1"/>
  <c r="Z23" i="12"/>
  <c r="BB23" i="12" s="1"/>
  <c r="BC67" i="12"/>
  <c r="AR37" i="12"/>
  <c r="BE21" i="12"/>
  <c r="CJ36" i="16"/>
  <c r="V30" i="24"/>
  <c r="R91" i="12"/>
  <c r="AF91" i="12" s="1"/>
  <c r="O26" i="24"/>
  <c r="V26" i="24" s="1"/>
  <c r="AA8" i="24"/>
  <c r="R30" i="24"/>
  <c r="X5" i="24"/>
  <c r="AA5" i="24" s="1"/>
  <c r="AV68" i="12"/>
  <c r="AF84" i="12"/>
  <c r="U91" i="12"/>
  <c r="AI91" i="12" s="1"/>
  <c r="AW20" i="12"/>
  <c r="T5" i="24"/>
  <c r="AT31" i="12"/>
  <c r="DJ24" i="23"/>
  <c r="CP24" i="23"/>
  <c r="Q5" i="24"/>
  <c r="V5" i="24"/>
  <c r="CH64" i="16"/>
  <c r="AD10" i="12"/>
  <c r="BF10" i="12" s="1"/>
  <c r="AX68" i="12"/>
  <c r="S17" i="12"/>
  <c r="AU17" i="12" s="1"/>
  <c r="AH15" i="12"/>
  <c r="AH17" i="12" s="1"/>
  <c r="S20" i="12"/>
  <c r="AG20" i="12" s="1"/>
  <c r="AZ60" i="12"/>
  <c r="AP68" i="12"/>
  <c r="T23" i="12"/>
  <c r="T25" i="12" s="1"/>
  <c r="AV25" i="12" s="1"/>
  <c r="AD60" i="12"/>
  <c r="BF60" i="12" s="1"/>
  <c r="AR61" i="12"/>
  <c r="R38" i="12"/>
  <c r="AT38" i="12" s="1"/>
  <c r="R36" i="12"/>
  <c r="R40" i="12" s="1"/>
  <c r="AT40" i="12" s="1"/>
  <c r="AD21" i="12"/>
  <c r="BF21" i="12" s="1"/>
  <c r="AA91" i="12"/>
  <c r="BC91" i="12" s="1"/>
  <c r="AB17" i="12"/>
  <c r="BD17" i="12" s="1"/>
  <c r="AW15" i="12"/>
  <c r="AY15" i="12"/>
  <c r="AC17" i="12"/>
  <c r="BE17" i="12" s="1"/>
  <c r="AD13" i="12"/>
  <c r="AD36" i="12" s="1"/>
  <c r="BF36" i="12" s="1"/>
  <c r="AC20" i="12"/>
  <c r="AQ20" i="12" s="1"/>
  <c r="AD84" i="12"/>
  <c r="BF84" i="12" s="1"/>
  <c r="U23" i="12"/>
  <c r="AW23" i="12" s="1"/>
  <c r="AP15" i="12"/>
  <c r="AP17" i="12" s="1"/>
  <c r="Z17" i="12"/>
  <c r="BB17" i="12" s="1"/>
  <c r="X38" i="12"/>
  <c r="AL38" i="12" s="1"/>
  <c r="BB15" i="12"/>
  <c r="BC60" i="12"/>
  <c r="AD15" i="12"/>
  <c r="AD38" i="12" s="1"/>
  <c r="AO60" i="12"/>
  <c r="AZ84" i="12"/>
  <c r="AL84" i="12"/>
  <c r="BU20" i="10"/>
  <c r="CI37" i="16"/>
  <c r="CD86" i="16"/>
  <c r="AD68" i="12"/>
  <c r="BF68" i="12" s="1"/>
  <c r="AD76" i="12"/>
  <c r="BF76" i="12" s="1"/>
  <c r="BR20" i="10"/>
  <c r="AR20" i="10"/>
  <c r="AR53" i="12"/>
  <c r="CJ16" i="16"/>
  <c r="CJ15" i="16"/>
  <c r="CS28" i="23"/>
  <c r="DM28" i="23"/>
  <c r="CH75" i="16"/>
  <c r="AD29" i="12"/>
  <c r="BF29" i="12" s="1"/>
  <c r="AF10" i="12"/>
  <c r="AJ10" i="12"/>
  <c r="AL10" i="12"/>
  <c r="AN10" i="12"/>
  <c r="CO24" i="23"/>
  <c r="DI24" i="23"/>
  <c r="AB23" i="12"/>
  <c r="AB25" i="12" s="1"/>
  <c r="BD25" i="12" s="1"/>
  <c r="AA38" i="12"/>
  <c r="AO38" i="12" s="1"/>
  <c r="R67" i="12"/>
  <c r="AF60" i="12"/>
  <c r="AT60" i="12"/>
  <c r="AI84" i="12"/>
  <c r="AW84" i="12"/>
  <c r="AI68" i="12"/>
  <c r="AW68" i="12"/>
  <c r="U67" i="12"/>
  <c r="U90" i="12" s="1"/>
  <c r="AI90" i="12" s="1"/>
  <c r="AI60" i="12"/>
  <c r="U83" i="12"/>
  <c r="AD83" i="12" s="1"/>
  <c r="BF83" i="12" s="1"/>
  <c r="AW60" i="12"/>
  <c r="AB67" i="12"/>
  <c r="AA90" i="12" s="1"/>
  <c r="AP60" i="12"/>
  <c r="BD60" i="12"/>
  <c r="AO10" i="12"/>
  <c r="AD78" i="12"/>
  <c r="BF78" i="12" s="1"/>
  <c r="X90" i="12"/>
  <c r="AZ90" i="12" s="1"/>
  <c r="R45" i="12"/>
  <c r="AT45" i="12" s="1"/>
  <c r="AR55" i="12"/>
  <c r="AR9" i="12"/>
  <c r="AD69" i="12"/>
  <c r="BF69" i="12" s="1"/>
  <c r="CH61" i="16"/>
  <c r="AD31" i="12"/>
  <c r="BF31" i="12" s="1"/>
  <c r="AD30" i="12"/>
  <c r="BF30" i="12" s="1"/>
  <c r="AR8" i="12"/>
  <c r="AT32" i="12"/>
  <c r="F26" i="24"/>
  <c r="R33" i="12"/>
  <c r="AT33" i="12" s="1"/>
  <c r="BF6" i="12"/>
  <c r="AD22" i="12"/>
  <c r="BF22" i="12" s="1"/>
  <c r="AK10" i="12"/>
  <c r="AH57" i="12"/>
  <c r="AG10" i="12"/>
  <c r="H5" i="24"/>
  <c r="I5" i="24"/>
  <c r="M5" i="24"/>
  <c r="K5" i="24"/>
  <c r="AR7" i="12"/>
  <c r="R92" i="12"/>
  <c r="AT69" i="12"/>
  <c r="AF69" i="12"/>
  <c r="AO21" i="12"/>
  <c r="BC21" i="12"/>
  <c r="AZ21" i="12"/>
  <c r="AL21" i="12"/>
  <c r="X44" i="12"/>
  <c r="CA83" i="16"/>
  <c r="CA79" i="16"/>
  <c r="BE69" i="12"/>
  <c r="AA92" i="12"/>
  <c r="AQ69" i="12"/>
  <c r="AT68" i="12"/>
  <c r="AF68" i="12"/>
  <c r="CH78" i="16"/>
  <c r="BY79" i="16"/>
  <c r="BY85" i="16"/>
  <c r="BY86" i="16" s="1"/>
  <c r="BE22" i="12"/>
  <c r="AQ22" i="12"/>
  <c r="AA45" i="12"/>
  <c r="CF79" i="16"/>
  <c r="CF82" i="16"/>
  <c r="CF84" i="16"/>
  <c r="CF71" i="16"/>
  <c r="BE68" i="12"/>
  <c r="AQ68" i="12"/>
  <c r="BB22" i="12"/>
  <c r="AN22" i="12"/>
  <c r="AL32" i="12"/>
  <c r="AZ32" i="12"/>
  <c r="AF78" i="12"/>
  <c r="AT78" i="12"/>
  <c r="AO30" i="12"/>
  <c r="BC30" i="12"/>
  <c r="AI31" i="12"/>
  <c r="AW31" i="12"/>
  <c r="U44" i="12"/>
  <c r="AJ21" i="12"/>
  <c r="AX21" i="12"/>
  <c r="AH21" i="12"/>
  <c r="AV21" i="12"/>
  <c r="AZ30" i="12"/>
  <c r="AL30" i="12"/>
  <c r="AG57" i="12"/>
  <c r="AF57" i="12"/>
  <c r="BB21" i="12"/>
  <c r="AN21" i="12"/>
  <c r="BW70" i="16"/>
  <c r="AO32" i="12"/>
  <c r="BC32" i="12"/>
  <c r="BB68" i="12"/>
  <c r="AN68" i="12"/>
  <c r="AU69" i="12"/>
  <c r="AG69" i="12"/>
  <c r="BV83" i="16"/>
  <c r="BV79" i="16"/>
  <c r="AY22" i="12"/>
  <c r="AK22" i="12"/>
  <c r="AI78" i="12"/>
  <c r="AI80" i="12" s="1"/>
  <c r="AW78" i="12"/>
  <c r="CE67" i="16"/>
  <c r="CE68" i="16" s="1"/>
  <c r="CE70" i="16"/>
  <c r="AX22" i="12"/>
  <c r="AJ22" i="12"/>
  <c r="AY69" i="12"/>
  <c r="AK69" i="12"/>
  <c r="R80" i="12"/>
  <c r="AT80" i="12" s="1"/>
  <c r="AT77" i="12"/>
  <c r="AF77" i="12"/>
  <c r="BZ70" i="16"/>
  <c r="AQ57" i="12"/>
  <c r="BX79" i="16"/>
  <c r="BX83" i="16"/>
  <c r="U45" i="12"/>
  <c r="AD32" i="12"/>
  <c r="BF32" i="12" s="1"/>
  <c r="AU22" i="12"/>
  <c r="AG22" i="12"/>
  <c r="AF79" i="12"/>
  <c r="AT79" i="12"/>
  <c r="U92" i="12"/>
  <c r="AX69" i="12"/>
  <c r="AJ69" i="12"/>
  <c r="AO29" i="12"/>
  <c r="BC29" i="12"/>
  <c r="AA33" i="12"/>
  <c r="BC33" i="12" s="1"/>
  <c r="BC78" i="12"/>
  <c r="AO78" i="12"/>
  <c r="AO80" i="12" s="1"/>
  <c r="CA65" i="16"/>
  <c r="CA67" i="16" s="1"/>
  <c r="CA68" i="16" s="1"/>
  <c r="CA70" i="16"/>
  <c r="AD79" i="12"/>
  <c r="BF79" i="12" s="1"/>
  <c r="CJ39" i="16"/>
  <c r="CI41" i="16"/>
  <c r="CJ40" i="16"/>
  <c r="CK41" i="16"/>
  <c r="AF22" i="12"/>
  <c r="AT22" i="12"/>
  <c r="CC83" i="16"/>
  <c r="BR67" i="10"/>
  <c r="BX67" i="10" s="1"/>
  <c r="BX53" i="10"/>
  <c r="BF80" i="10"/>
  <c r="AO17" i="12"/>
  <c r="AL67" i="12"/>
  <c r="BX85" i="16"/>
  <c r="BX71" i="16"/>
  <c r="AR6" i="12"/>
  <c r="AO83" i="12"/>
  <c r="AK67" i="12"/>
  <c r="AY67" i="12"/>
  <c r="AF83" i="12"/>
  <c r="AT83" i="12"/>
  <c r="AU67" i="12"/>
  <c r="AG67" i="12"/>
  <c r="AL83" i="12"/>
  <c r="AZ83" i="12"/>
  <c r="AQ67" i="12"/>
  <c r="BE67" i="12"/>
  <c r="AV67" i="12"/>
  <c r="AH67" i="12"/>
  <c r="AX67" i="12"/>
  <c r="AJ67" i="12"/>
  <c r="AK17" i="12"/>
  <c r="AG17" i="12"/>
  <c r="AM17" i="12"/>
  <c r="AJ17" i="12"/>
  <c r="AV20" i="12"/>
  <c r="AH20" i="12"/>
  <c r="AW36" i="12"/>
  <c r="AI36" i="12"/>
  <c r="AN20" i="12"/>
  <c r="AZ20" i="12"/>
  <c r="AL20" i="12"/>
  <c r="AL17" i="12"/>
  <c r="AZ36" i="12"/>
  <c r="AL36" i="12"/>
  <c r="AK20" i="12"/>
  <c r="AY20" i="12"/>
  <c r="BC36" i="12"/>
  <c r="AP20" i="12"/>
  <c r="BD20" i="12"/>
  <c r="AF33" i="12"/>
  <c r="CB86" i="16"/>
  <c r="AL29" i="12"/>
  <c r="AZ29" i="12"/>
  <c r="X33" i="12"/>
  <c r="AZ33" i="12" s="1"/>
  <c r="BV20" i="10"/>
  <c r="AZ45" i="12"/>
  <c r="AL45" i="12"/>
  <c r="CH22" i="16"/>
  <c r="CC70" i="16"/>
  <c r="BI42" i="16"/>
  <c r="BV85" i="16"/>
  <c r="BE41" i="16"/>
  <c r="BE42" i="16" s="1"/>
  <c r="BP68" i="16"/>
  <c r="AU23" i="12"/>
  <c r="AG23" i="12"/>
  <c r="BN42" i="16"/>
  <c r="BP37" i="16"/>
  <c r="BD36" i="16"/>
  <c r="BD35" i="16" s="1"/>
  <c r="AL92" i="12"/>
  <c r="AZ92" i="12"/>
  <c r="AV62" i="12"/>
  <c r="AH62" i="12"/>
  <c r="AH64" i="12" s="1"/>
  <c r="T70" i="12"/>
  <c r="T64" i="12"/>
  <c r="AV64" i="12" s="1"/>
  <c r="AQ23" i="12"/>
  <c r="BE23" i="12"/>
  <c r="AM57" i="12"/>
  <c r="AR54" i="12"/>
  <c r="AF17" i="12"/>
  <c r="CC79" i="16"/>
  <c r="CH76" i="16"/>
  <c r="U70" i="12"/>
  <c r="U85" i="12"/>
  <c r="AW62" i="12"/>
  <c r="AI62" i="12"/>
  <c r="U64" i="12"/>
  <c r="AW64" i="12" s="1"/>
  <c r="AX62" i="12"/>
  <c r="AJ62" i="12"/>
  <c r="AJ64" i="12" s="1"/>
  <c r="V70" i="12"/>
  <c r="V64" i="12"/>
  <c r="AX64" i="12" s="1"/>
  <c r="BE62" i="12"/>
  <c r="AC70" i="12"/>
  <c r="AQ62" i="12"/>
  <c r="AQ64" i="12" s="1"/>
  <c r="AC64" i="12"/>
  <c r="BE64" i="12" s="1"/>
  <c r="BF54" i="12"/>
  <c r="AD57" i="12"/>
  <c r="BF57" i="12" s="1"/>
  <c r="BD42" i="16"/>
  <c r="AZ23" i="12"/>
  <c r="AL23" i="12"/>
  <c r="X25" i="12"/>
  <c r="AZ25" i="12" s="1"/>
  <c r="BW82" i="16"/>
  <c r="S70" i="12"/>
  <c r="AG62" i="12"/>
  <c r="AG64" i="12" s="1"/>
  <c r="AU62" i="12"/>
  <c r="S64" i="12"/>
  <c r="AU64" i="12" s="1"/>
  <c r="BJ42" i="16"/>
  <c r="CH42" i="16"/>
  <c r="AO23" i="12"/>
  <c r="BC23" i="12"/>
  <c r="BA68" i="12"/>
  <c r="AM68" i="12"/>
  <c r="X91" i="12"/>
  <c r="BB62" i="12"/>
  <c r="AN62" i="12"/>
  <c r="AN64" i="12" s="1"/>
  <c r="Z70" i="12"/>
  <c r="Z64" i="12"/>
  <c r="BB64" i="12" s="1"/>
  <c r="BM42" i="16"/>
  <c r="BG42" i="16"/>
  <c r="BP99" i="16"/>
  <c r="BQ99" i="16"/>
  <c r="AA85" i="12"/>
  <c r="BC62" i="12"/>
  <c r="AO62" i="12"/>
  <c r="AA70" i="12"/>
  <c r="AA64" i="12"/>
  <c r="BC64" i="12" s="1"/>
  <c r="AT23" i="12"/>
  <c r="AF23" i="12"/>
  <c r="R25" i="12"/>
  <c r="AT25" i="12" s="1"/>
  <c r="Y70" i="12"/>
  <c r="AM62" i="12"/>
  <c r="AM64" i="12" s="1"/>
  <c r="BA62" i="12"/>
  <c r="Y64" i="12"/>
  <c r="BA64" i="12" s="1"/>
  <c r="X70" i="12"/>
  <c r="X85" i="12"/>
  <c r="AZ62" i="12"/>
  <c r="AL62" i="12"/>
  <c r="AL64" i="12" s="1"/>
  <c r="X64" i="12"/>
  <c r="AZ64" i="12" s="1"/>
  <c r="BE71" i="16"/>
  <c r="BP71" i="16" s="1"/>
  <c r="BR38" i="10"/>
  <c r="BX38" i="10" s="1"/>
  <c r="R85" i="12"/>
  <c r="AT62" i="12"/>
  <c r="AD62" i="12"/>
  <c r="AF62" i="12"/>
  <c r="R70" i="12"/>
  <c r="R64" i="12"/>
  <c r="AT64" i="12" s="1"/>
  <c r="BV84" i="16"/>
  <c r="CH62" i="16"/>
  <c r="BV71" i="16"/>
  <c r="BP103" i="16"/>
  <c r="BQ103" i="16"/>
  <c r="W70" i="12"/>
  <c r="AK62" i="12"/>
  <c r="AK64" i="12" s="1"/>
  <c r="AY62" i="12"/>
  <c r="W64" i="12"/>
  <c r="AY64" i="12" s="1"/>
  <c r="AY23" i="12"/>
  <c r="AK23" i="12"/>
  <c r="W25" i="12"/>
  <c r="AY25" i="12" s="1"/>
  <c r="BF42" i="16"/>
  <c r="BO42" i="16"/>
  <c r="BL42" i="16"/>
  <c r="AB70" i="12"/>
  <c r="BD62" i="12"/>
  <c r="AB64" i="12"/>
  <c r="BD64" i="12" s="1"/>
  <c r="AP62" i="12"/>
  <c r="AZ77" i="12"/>
  <c r="AL77" i="12"/>
  <c r="X80" i="12"/>
  <c r="AZ80" i="12" s="1"/>
  <c r="AD77" i="12"/>
  <c r="AM23" i="12" l="1"/>
  <c r="AX23" i="12"/>
  <c r="AA30" i="24"/>
  <c r="AC30" i="24"/>
  <c r="BC20" i="12"/>
  <c r="AO20" i="12"/>
  <c r="V25" i="12"/>
  <c r="AX25" i="12" s="1"/>
  <c r="AA29" i="24"/>
  <c r="AC29" i="24"/>
  <c r="X26" i="24"/>
  <c r="AA26" i="24" s="1"/>
  <c r="X40" i="12"/>
  <c r="AZ40" i="12" s="1"/>
  <c r="BC44" i="12"/>
  <c r="AX20" i="12"/>
  <c r="AW91" i="12"/>
  <c r="AZ38" i="12"/>
  <c r="AR79" i="12"/>
  <c r="AI33" i="12"/>
  <c r="AT44" i="12"/>
  <c r="BA20" i="12"/>
  <c r="AI43" i="12"/>
  <c r="AW43" i="12"/>
  <c r="U40" i="12"/>
  <c r="AW40" i="12" s="1"/>
  <c r="AO91" i="12"/>
  <c r="AJ20" i="12"/>
  <c r="AW38" i="12"/>
  <c r="AR15" i="12"/>
  <c r="BX20" i="10"/>
  <c r="AR13" i="12"/>
  <c r="AR17" i="12" s="1"/>
  <c r="AN23" i="12"/>
  <c r="AN25" i="12" s="1"/>
  <c r="X43" i="12"/>
  <c r="AZ43" i="12" s="1"/>
  <c r="AA43" i="12"/>
  <c r="BC43" i="12" s="1"/>
  <c r="Z5" i="24"/>
  <c r="CH68" i="16"/>
  <c r="AR30" i="12"/>
  <c r="AD92" i="12"/>
  <c r="BF92" i="12" s="1"/>
  <c r="AC5" i="24"/>
  <c r="U25" i="12"/>
  <c r="AW25" i="12" s="1"/>
  <c r="AF45" i="12"/>
  <c r="AF36" i="12"/>
  <c r="X46" i="12"/>
  <c r="AZ46" i="12" s="1"/>
  <c r="Y25" i="12"/>
  <c r="BA25" i="12" s="1"/>
  <c r="Z25" i="12"/>
  <c r="BB25" i="12" s="1"/>
  <c r="AT36" i="12"/>
  <c r="AC25" i="12"/>
  <c r="BE25" i="12" s="1"/>
  <c r="BE20" i="12"/>
  <c r="R26" i="24"/>
  <c r="AT91" i="12"/>
  <c r="T26" i="24"/>
  <c r="R43" i="12"/>
  <c r="AT43" i="12" s="1"/>
  <c r="AH23" i="12"/>
  <c r="AH25" i="12" s="1"/>
  <c r="Q26" i="24"/>
  <c r="AO64" i="12"/>
  <c r="AF38" i="12"/>
  <c r="AR38" i="12" s="1"/>
  <c r="BF13" i="12"/>
  <c r="AV23" i="12"/>
  <c r="AI23" i="12"/>
  <c r="AI25" i="12" s="1"/>
  <c r="S25" i="12"/>
  <c r="AU25" i="12" s="1"/>
  <c r="AD20" i="12"/>
  <c r="BF20" i="12" s="1"/>
  <c r="AU20" i="12"/>
  <c r="AR31" i="12"/>
  <c r="R46" i="12"/>
  <c r="AT46" i="12" s="1"/>
  <c r="AR60" i="12"/>
  <c r="AR84" i="12"/>
  <c r="AL40" i="12"/>
  <c r="AD17" i="12"/>
  <c r="BF17" i="12" s="1"/>
  <c r="U46" i="12"/>
  <c r="AI46" i="12" s="1"/>
  <c r="AD23" i="12"/>
  <c r="BF23" i="12" s="1"/>
  <c r="AI64" i="12"/>
  <c r="BF15" i="12"/>
  <c r="BC38" i="12"/>
  <c r="BD23" i="12"/>
  <c r="AL33" i="12"/>
  <c r="AR22" i="12"/>
  <c r="AP23" i="12"/>
  <c r="AP25" i="12" s="1"/>
  <c r="CF86" i="16"/>
  <c r="CH79" i="16"/>
  <c r="AR57" i="12"/>
  <c r="AD33" i="12"/>
  <c r="BF33" i="12" s="1"/>
  <c r="AR10" i="12"/>
  <c r="AD44" i="12"/>
  <c r="BF44" i="12" s="1"/>
  <c r="AR69" i="12"/>
  <c r="AO90" i="12"/>
  <c r="BC90" i="12"/>
  <c r="AT67" i="12"/>
  <c r="AF67" i="12"/>
  <c r="AA40" i="12"/>
  <c r="BC40" i="12" s="1"/>
  <c r="AP64" i="12"/>
  <c r="AA46" i="12"/>
  <c r="AO46" i="12" s="1"/>
  <c r="R90" i="12"/>
  <c r="AT90" i="12" s="1"/>
  <c r="AD67" i="12"/>
  <c r="BF67" i="12" s="1"/>
  <c r="AL90" i="12"/>
  <c r="BD67" i="12"/>
  <c r="AP67" i="12"/>
  <c r="AW67" i="12"/>
  <c r="AI67" i="12"/>
  <c r="AW83" i="12"/>
  <c r="AI83" i="12"/>
  <c r="AR83" i="12" s="1"/>
  <c r="AR21" i="12"/>
  <c r="CH70" i="16"/>
  <c r="CH67" i="16"/>
  <c r="AO33" i="12"/>
  <c r="AD45" i="12"/>
  <c r="BF45" i="12" s="1"/>
  <c r="CH65" i="16"/>
  <c r="BX86" i="16"/>
  <c r="I26" i="24"/>
  <c r="H26" i="24"/>
  <c r="K26" i="24"/>
  <c r="M26" i="24"/>
  <c r="AR78" i="12"/>
  <c r="BC92" i="12"/>
  <c r="AO92" i="12"/>
  <c r="AL44" i="12"/>
  <c r="AZ44" i="12"/>
  <c r="CA85" i="16"/>
  <c r="CA86" i="16" s="1"/>
  <c r="CA71" i="16"/>
  <c r="AI92" i="12"/>
  <c r="AW92" i="12"/>
  <c r="AW45" i="12"/>
  <c r="AI45" i="12"/>
  <c r="AF80" i="12"/>
  <c r="CE85" i="16"/>
  <c r="CE86" i="16" s="1"/>
  <c r="CE71" i="16"/>
  <c r="AW44" i="12"/>
  <c r="AI44" i="12"/>
  <c r="AR32" i="12"/>
  <c r="AO45" i="12"/>
  <c r="BC45" i="12"/>
  <c r="AF92" i="12"/>
  <c r="AT92" i="12"/>
  <c r="AO40" i="12"/>
  <c r="AL25" i="12"/>
  <c r="AW90" i="12"/>
  <c r="AI40" i="12"/>
  <c r="AJ25" i="12"/>
  <c r="AO25" i="12"/>
  <c r="AR20" i="12"/>
  <c r="AK25" i="12"/>
  <c r="AM25" i="12"/>
  <c r="AQ25" i="12"/>
  <c r="AG25" i="12"/>
  <c r="AR29" i="12"/>
  <c r="CE3" i="16"/>
  <c r="CG3" i="16"/>
  <c r="BX3" i="16"/>
  <c r="BV3" i="16"/>
  <c r="BY3" i="16"/>
  <c r="BW3" i="16"/>
  <c r="BZ3" i="16"/>
  <c r="CJ4" i="16"/>
  <c r="CC3" i="16"/>
  <c r="CD3" i="16"/>
  <c r="CB3" i="16"/>
  <c r="CF3" i="16"/>
  <c r="CA3" i="16"/>
  <c r="BF62" i="12"/>
  <c r="AD64" i="12"/>
  <c r="BF64" i="12" s="1"/>
  <c r="AZ91" i="12"/>
  <c r="AL91" i="12"/>
  <c r="AD91" i="12"/>
  <c r="AI70" i="12"/>
  <c r="AW70" i="12"/>
  <c r="U93" i="12"/>
  <c r="U72" i="12"/>
  <c r="AW72" i="12" s="1"/>
  <c r="BF77" i="12"/>
  <c r="AD80" i="12"/>
  <c r="BF80" i="12" s="1"/>
  <c r="CJ24" i="16"/>
  <c r="CK42" i="16"/>
  <c r="AX70" i="12"/>
  <c r="AJ70" i="12"/>
  <c r="AJ72" i="12" s="1"/>
  <c r="V72" i="12"/>
  <c r="AX72" i="12" s="1"/>
  <c r="AH70" i="12"/>
  <c r="AH72" i="12" s="1"/>
  <c r="AV70" i="12"/>
  <c r="T72" i="12"/>
  <c r="AV72" i="12" s="1"/>
  <c r="BP36" i="16"/>
  <c r="BD100" i="16"/>
  <c r="AF70" i="12"/>
  <c r="AD70" i="12"/>
  <c r="R93" i="12"/>
  <c r="AT70" i="12"/>
  <c r="R72" i="12"/>
  <c r="AT72" i="12" s="1"/>
  <c r="AD85" i="12"/>
  <c r="AT85" i="12"/>
  <c r="AF85" i="12"/>
  <c r="R87" i="12"/>
  <c r="AT87" i="12" s="1"/>
  <c r="AO85" i="12"/>
  <c r="AO87" i="12" s="1"/>
  <c r="BC85" i="12"/>
  <c r="AA87" i="12"/>
  <c r="BC87" i="12" s="1"/>
  <c r="AR68" i="12"/>
  <c r="AG70" i="12"/>
  <c r="AG72" i="12" s="1"/>
  <c r="AU70" i="12"/>
  <c r="S72" i="12"/>
  <c r="AU72" i="12" s="1"/>
  <c r="AL46" i="12"/>
  <c r="AQ70" i="12"/>
  <c r="AQ72" i="12" s="1"/>
  <c r="BE70" i="12"/>
  <c r="AC72" i="12"/>
  <c r="BE72" i="12" s="1"/>
  <c r="BS37" i="16"/>
  <c r="BE40" i="16"/>
  <c r="BP41" i="16"/>
  <c r="BP42" i="16" s="1"/>
  <c r="BD70" i="12"/>
  <c r="AP70" i="12"/>
  <c r="AB72" i="12"/>
  <c r="BD72" i="12" s="1"/>
  <c r="AL85" i="12"/>
  <c r="AL87" i="12" s="1"/>
  <c r="AZ85" i="12"/>
  <c r="X87" i="12"/>
  <c r="AZ87" i="12" s="1"/>
  <c r="BA70" i="12"/>
  <c r="AM70" i="12"/>
  <c r="AM72" i="12" s="1"/>
  <c r="BD99" i="16"/>
  <c r="BP35" i="16"/>
  <c r="AK70" i="12"/>
  <c r="AK72" i="12" s="1"/>
  <c r="AY70" i="12"/>
  <c r="W72" i="12"/>
  <c r="AY72" i="12" s="1"/>
  <c r="CH84" i="16"/>
  <c r="BV86" i="16"/>
  <c r="BV87" i="16" s="1"/>
  <c r="AL70" i="12"/>
  <c r="AL72" i="12" s="1"/>
  <c r="X93" i="12"/>
  <c r="X95" i="12" s="1"/>
  <c r="AZ95" i="12" s="1"/>
  <c r="AZ70" i="12"/>
  <c r="X72" i="12"/>
  <c r="AZ72" i="12" s="1"/>
  <c r="Y72" i="12"/>
  <c r="BA72" i="12" s="1"/>
  <c r="AL80" i="12"/>
  <c r="AR77" i="12"/>
  <c r="AR62" i="12"/>
  <c r="AR64" i="12" s="1"/>
  <c r="AF64" i="12"/>
  <c r="BF38" i="12"/>
  <c r="AD40" i="12"/>
  <c r="BF40" i="12" s="1"/>
  <c r="AF25" i="12"/>
  <c r="AO70" i="12"/>
  <c r="AO72" i="12" s="1"/>
  <c r="BC70" i="12"/>
  <c r="AA93" i="12"/>
  <c r="AA72" i="12"/>
  <c r="BC72" i="12" s="1"/>
  <c r="AN70" i="12"/>
  <c r="AN72" i="12" s="1"/>
  <c r="BB70" i="12"/>
  <c r="Z72" i="12"/>
  <c r="BB72" i="12" s="1"/>
  <c r="AI85" i="12"/>
  <c r="AW85" i="12"/>
  <c r="U87" i="12"/>
  <c r="AW87" i="12" s="1"/>
  <c r="AF43" i="12" l="1"/>
  <c r="AC26" i="24"/>
  <c r="Z26" i="24"/>
  <c r="AL43" i="12"/>
  <c r="AD43" i="12"/>
  <c r="BF43" i="12" s="1"/>
  <c r="X48" i="12"/>
  <c r="AZ48" i="12" s="1"/>
  <c r="AF40" i="12"/>
  <c r="AO43" i="12"/>
  <c r="AO48" i="12" s="1"/>
  <c r="AR36" i="12"/>
  <c r="AR40" i="12" s="1"/>
  <c r="AR23" i="12"/>
  <c r="AR25" i="12" s="1"/>
  <c r="AW46" i="12"/>
  <c r="R48" i="12"/>
  <c r="AT48" i="12" s="1"/>
  <c r="AF46" i="12"/>
  <c r="AR46" i="12" s="1"/>
  <c r="AD25" i="12"/>
  <c r="BF25" i="12" s="1"/>
  <c r="U48" i="12"/>
  <c r="AW48" i="12" s="1"/>
  <c r="AD46" i="12"/>
  <c r="BF46" i="12" s="1"/>
  <c r="BC46" i="12"/>
  <c r="AP72" i="12"/>
  <c r="AR44" i="12"/>
  <c r="AD90" i="12"/>
  <c r="BF90" i="12" s="1"/>
  <c r="AF90" i="12"/>
  <c r="AR90" i="12" s="1"/>
  <c r="AA48" i="12"/>
  <c r="BC48" i="12" s="1"/>
  <c r="AR67" i="12"/>
  <c r="AI87" i="12"/>
  <c r="AI72" i="12"/>
  <c r="AR80" i="12"/>
  <c r="AR45" i="12"/>
  <c r="AI48" i="12"/>
  <c r="AR33" i="12"/>
  <c r="CH85" i="16"/>
  <c r="AR92" i="12"/>
  <c r="BZ82" i="16"/>
  <c r="BZ86" i="16" s="1"/>
  <c r="BZ71" i="16"/>
  <c r="AL48" i="12"/>
  <c r="AR43" i="12"/>
  <c r="CC71" i="16"/>
  <c r="CC82" i="16"/>
  <c r="BF91" i="12"/>
  <c r="BQ37" i="16"/>
  <c r="AF48" i="12"/>
  <c r="AW93" i="12"/>
  <c r="AI93" i="12"/>
  <c r="AI95" i="12" s="1"/>
  <c r="U95" i="12"/>
  <c r="AW95" i="12" s="1"/>
  <c r="BC93" i="12"/>
  <c r="AO93" i="12"/>
  <c r="AO95" i="12" s="1"/>
  <c r="AA95" i="12"/>
  <c r="BC95" i="12" s="1"/>
  <c r="AZ93" i="12"/>
  <c r="AL93" i="12"/>
  <c r="BQ41" i="16"/>
  <c r="BS41" i="16"/>
  <c r="BF85" i="12"/>
  <c r="AD87" i="12"/>
  <c r="BF87" i="12" s="1"/>
  <c r="BF70" i="12"/>
  <c r="AD72" i="12"/>
  <c r="BF72" i="12" s="1"/>
  <c r="AL95" i="12"/>
  <c r="AR91" i="12"/>
  <c r="BE104" i="16"/>
  <c r="BP40" i="16"/>
  <c r="AR85" i="12"/>
  <c r="AR87" i="12" s="1"/>
  <c r="AF87" i="12"/>
  <c r="BR36" i="16"/>
  <c r="BS36" i="16"/>
  <c r="BS35" i="16"/>
  <c r="BR35" i="16"/>
  <c r="AT93" i="12"/>
  <c r="AF93" i="12"/>
  <c r="AD93" i="12"/>
  <c r="BF93" i="12" s="1"/>
  <c r="R95" i="12"/>
  <c r="AT95" i="12" s="1"/>
  <c r="BE39" i="16"/>
  <c r="AR70" i="12"/>
  <c r="AF72" i="12"/>
  <c r="AD48" i="12" l="1"/>
  <c r="BF48" i="12" s="1"/>
  <c r="AR72" i="12"/>
  <c r="BW71" i="16"/>
  <c r="CH71" i="16" s="1"/>
  <c r="BW83" i="16"/>
  <c r="AR48" i="12"/>
  <c r="CC86" i="16"/>
  <c r="CH82" i="16"/>
  <c r="BR40" i="16"/>
  <c r="BS40" i="16"/>
  <c r="AR93" i="12"/>
  <c r="AR95" i="12" s="1"/>
  <c r="AF95" i="12"/>
  <c r="BE103" i="16"/>
  <c r="BP39" i="16"/>
  <c r="AD95" i="12"/>
  <c r="BF95" i="12" s="1"/>
  <c r="BR24" i="16"/>
  <c r="CH83" i="16" l="1"/>
  <c r="CH86" i="16" s="1"/>
  <c r="CI86" i="16" s="1"/>
  <c r="BW86" i="16"/>
  <c r="BW87" i="16" s="1"/>
  <c r="BS39" i="16"/>
  <c r="BR39" i="16"/>
</calcChain>
</file>

<file path=xl/comments1.xml><?xml version="1.0" encoding="utf-8"?>
<comments xmlns="http://schemas.openxmlformats.org/spreadsheetml/2006/main">
  <authors>
    <author>Do Tran Hoang Giang</author>
  </authors>
  <commentList>
    <comment ref="AS3" authorId="0" shapeId="0">
      <text>
        <r>
          <rPr>
            <b/>
            <sz val="9"/>
            <color indexed="81"/>
            <rFont val="Tahoma"/>
            <family val="2"/>
          </rPr>
          <t>Do Tran Hoang Giang:</t>
        </r>
        <r>
          <rPr>
            <sz val="9"/>
            <color indexed="81"/>
            <rFont val="Tahoma"/>
            <family val="2"/>
          </rPr>
          <t xml:space="preserve">
adjusted</t>
        </r>
      </text>
    </comment>
  </commentList>
</comments>
</file>

<file path=xl/sharedStrings.xml><?xml version="1.0" encoding="utf-8"?>
<sst xmlns="http://schemas.openxmlformats.org/spreadsheetml/2006/main" count="751" uniqueCount="163">
  <si>
    <t>TOTAL</t>
  </si>
  <si>
    <t>MUSIC</t>
  </si>
  <si>
    <t>KIDS</t>
  </si>
  <si>
    <t>ENTERTAINMENT</t>
  </si>
  <si>
    <t>AFFILIATE</t>
  </si>
  <si>
    <t>LOCAL</t>
  </si>
  <si>
    <t>OVERSEA</t>
  </si>
  <si>
    <t>FY 2018</t>
  </si>
  <si>
    <t>Views</t>
  </si>
  <si>
    <t>Revenue</t>
  </si>
  <si>
    <t>PERFORMANCE</t>
  </si>
  <si>
    <t>ACTUAL</t>
  </si>
  <si>
    <t>Date</t>
  </si>
  <si>
    <t>ALL COUNTRIES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</si>
  <si>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</si>
  <si>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</si>
  <si>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</si>
  <si>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</si>
  <si>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</si>
  <si>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</si>
  <si>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</si>
  <si>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</si>
  <si>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</si>
  <si>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</si>
  <si>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</si>
  <si>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</si>
  <si>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ENT</t>
  </si>
  <si>
    <t>AFF</t>
  </si>
  <si>
    <t>Forecast</t>
  </si>
  <si>
    <t>Actual</t>
  </si>
  <si>
    <t>Diff</t>
  </si>
  <si>
    <t>% Diff.</t>
  </si>
  <si>
    <t>Estimated - Quaterly</t>
  </si>
  <si>
    <t>Actual - Quaterly</t>
  </si>
  <si>
    <t>% Diff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</si>
  <si>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</si>
  <si>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</si>
  <si>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</si>
  <si>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</si>
  <si>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</si>
  <si>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</si>
  <si>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</si>
  <si>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</si>
  <si>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</si>
  <si>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</si>
  <si>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</si>
  <si>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</si>
  <si>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Total</t>
  </si>
  <si>
    <t>Q1</t>
  </si>
  <si>
    <t>Q2</t>
  </si>
  <si>
    <t>Q3</t>
  </si>
  <si>
    <t>Q4</t>
  </si>
  <si>
    <t>VN views</t>
  </si>
  <si>
    <t>Ex VN Views</t>
  </si>
  <si>
    <t>POPS Kids CMS</t>
  </si>
  <si>
    <t>POPS Afiliate (Ent.)</t>
  </si>
  <si>
    <t>Total views VN</t>
  </si>
  <si>
    <t>POPS Afiliate</t>
  </si>
  <si>
    <t>Total revenue VN</t>
  </si>
  <si>
    <t>CPV</t>
  </si>
  <si>
    <t>POPS Kids</t>
  </si>
  <si>
    <t>RPM</t>
  </si>
  <si>
    <t>% Vn views and Ex VN views per total view</t>
  </si>
  <si>
    <t>Thoughtful</t>
  </si>
  <si>
    <t>Total revenue</t>
  </si>
  <si>
    <t>Diff.</t>
  </si>
  <si>
    <t>%</t>
  </si>
  <si>
    <t>Total 2018</t>
  </si>
  <si>
    <t>Total 2017</t>
  </si>
  <si>
    <t>View Monthly</t>
  </si>
  <si>
    <t>VN</t>
  </si>
  <si>
    <t>Music</t>
  </si>
  <si>
    <t>Entertainment</t>
  </si>
  <si>
    <t>Kids</t>
  </si>
  <si>
    <t>Affiliate</t>
  </si>
  <si>
    <t>TH</t>
  </si>
  <si>
    <t>VN&amp;TH</t>
  </si>
  <si>
    <t>View Quartely</t>
  </si>
  <si>
    <t>Affilate</t>
  </si>
  <si>
    <t>Revenue Monthly</t>
  </si>
  <si>
    <t>Affilliate</t>
  </si>
  <si>
    <t xml:space="preserve"> </t>
  </si>
  <si>
    <t>Revenue Quartely</t>
  </si>
  <si>
    <t>Thoughtul</t>
  </si>
  <si>
    <t>Target</t>
  </si>
  <si>
    <t>VIEWS</t>
  </si>
  <si>
    <t>REVENUE</t>
  </si>
  <si>
    <t>GENERAL</t>
  </si>
  <si>
    <t>YTD</t>
  </si>
  <si>
    <t>Current month</t>
  </si>
  <si>
    <t>Remaining</t>
  </si>
  <si>
    <t>% vs target</t>
  </si>
  <si>
    <t>Daily forecast</t>
  </si>
  <si>
    <t>DIFFERENCE</t>
  </si>
  <si>
    <t>Remaining day(s)</t>
  </si>
  <si>
    <t>POPS revenue share</t>
  </si>
  <si>
    <t>Total 2015</t>
  </si>
  <si>
    <t>% contribution of each CMS per total</t>
  </si>
  <si>
    <t>% Oversea</t>
  </si>
  <si>
    <t>Total 2016</t>
  </si>
  <si>
    <t>Annual growth</t>
  </si>
  <si>
    <t>Average % view contribution of each CMS of 12 months</t>
  </si>
  <si>
    <t>View</t>
  </si>
  <si>
    <t>VN View</t>
  </si>
  <si>
    <t>EX VN View</t>
  </si>
  <si>
    <t>Kids CMS</t>
  </si>
  <si>
    <t>Total View Kids CMS</t>
  </si>
  <si>
    <t>Affillicate CMS</t>
  </si>
  <si>
    <t>Total View Affil. CMS</t>
  </si>
  <si>
    <t>Total view</t>
  </si>
  <si>
    <t>% playback</t>
  </si>
  <si>
    <t>CPM playback</t>
  </si>
  <si>
    <t>YouTube revenue</t>
  </si>
  <si>
    <t>POPS revenue</t>
  </si>
  <si>
    <t>Total POPS revenue</t>
  </si>
  <si>
    <t>Comparison with actual</t>
  </si>
  <si>
    <t>Ent.</t>
  </si>
  <si>
    <t>Affi.</t>
  </si>
  <si>
    <t>RPV</t>
  </si>
  <si>
    <t>Compare 2016</t>
  </si>
  <si>
    <t>Compare 2017</t>
  </si>
  <si>
    <t>Ad Rates</t>
  </si>
  <si>
    <t>Actual 2018</t>
  </si>
  <si>
    <t>Actual 2017</t>
  </si>
  <si>
    <t>DAILY</t>
  </si>
  <si>
    <t>Month</t>
  </si>
  <si>
    <t>Q1 2018</t>
  </si>
  <si>
    <t>Q2 2018</t>
  </si>
  <si>
    <t>VIETNAM</t>
  </si>
  <si>
    <t>FORECAST</t>
  </si>
  <si>
    <t>VARIANCE</t>
  </si>
  <si>
    <t>Q1-18</t>
  </si>
  <si>
    <t>Q2-18</t>
  </si>
  <si>
    <t>Q3-18</t>
  </si>
  <si>
    <t>Q4-18</t>
  </si>
  <si>
    <t>YOUTUBE</t>
  </si>
  <si>
    <t>+</t>
  </si>
  <si>
    <t>BRANDED DEALS</t>
  </si>
  <si>
    <t>POPS APP</t>
  </si>
  <si>
    <t>% vs FORECAST</t>
  </si>
  <si>
    <t>TOTAL VN REVENUE</t>
  </si>
  <si>
    <t>MONTH</t>
  </si>
  <si>
    <t>% vs Forecast</t>
  </si>
  <si>
    <t>Prior Year</t>
  </si>
  <si>
    <t>% vs PY</t>
  </si>
  <si>
    <t>Year-To-Date</t>
  </si>
  <si>
    <t>Full Year</t>
  </si>
  <si>
    <t>[CMS] +</t>
  </si>
  <si>
    <t>[BU] +</t>
  </si>
  <si>
    <t>% vs Target</t>
  </si>
  <si>
    <t>Target vs Forecast</t>
  </si>
  <si>
    <r>
      <rPr>
        <b/>
        <sz val="11"/>
        <color rgb="FFFF0000"/>
        <rFont val="Calibri"/>
        <family val="2"/>
        <scheme val="minor"/>
      </rPr>
      <t>*Target:</t>
    </r>
    <r>
      <rPr>
        <sz val="11"/>
        <color theme="1"/>
        <rFont val="Calibri"/>
        <family val="2"/>
        <scheme val="minor"/>
      </rPr>
      <t xml:space="preserve"> adjusted and approved by BOM</t>
    </r>
  </si>
  <si>
    <r>
      <rPr>
        <b/>
        <sz val="11"/>
        <color rgb="FFFF0000"/>
        <rFont val="Calibri"/>
        <family val="2"/>
        <scheme val="minor"/>
      </rPr>
      <t>*Forecast:</t>
    </r>
    <r>
      <rPr>
        <sz val="11"/>
        <color theme="1"/>
        <rFont val="Calibri"/>
        <family val="2"/>
        <scheme val="minor"/>
      </rPr>
      <t xml:space="preserve"> planned target as the beginning</t>
    </r>
  </si>
  <si>
    <t>TARGET</t>
  </si>
  <si>
    <t>% vs TARGET</t>
  </si>
  <si>
    <t>NOTES</t>
  </si>
  <si>
    <t>Q1-17</t>
  </si>
  <si>
    <t>Q2-17</t>
  </si>
  <si>
    <t>Q3-17</t>
  </si>
  <si>
    <t>Q4-17</t>
  </si>
  <si>
    <t>Difference</t>
  </si>
  <si>
    <t>Q3 2018</t>
  </si>
  <si>
    <t>Q4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</si>
</sst>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7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-* #,##0_-;\-* #,##0_-;_-* &quot;-&quot;_-;_-@_-"/>
    <numFmt numFmtId="165" formatCode="_-* #,##0.00_-;\-* #,##0.00_-;_-* &quot;-&quot;??_-;_-@_-"/>
    <numFmt numFmtId="166" formatCode="_(&quot;$&quot;* #,##0_);_(&quot;$&quot;* \(#,##0\);_(&quot;$&quot;* &quot;-&quot;??_);_(@_)"/>
    <numFmt numFmtId="167" formatCode="_(* #,##0_);_(* \(#,##0\);_(* &quot;-&quot;??_);_(@_)"/>
    <numFmt numFmtId="168" formatCode="0.0%"/>
    <numFmt numFmtId="169" formatCode="_-&quot;$&quot;* #,##0.00000_-;\-&quot;$&quot;* #,##0.00000_-;_-&quot;$&quot;* &quot;-&quot;?????_-;_-@_-"/>
    <numFmt numFmtId="170" formatCode="_(&quot;$&quot;* #,##0.00000_);_(&quot;$&quot;* \(#,##0.00000\);_(&quot;$&quot;* &quot;-&quot;??_);_(@_)"/>
    <numFmt numFmtId="171" formatCode="_(&quot;$&quot;* #,##0.000_);_(&quot;$&quot;* \(#,##0.000\);_(&quot;$&quot;* &quot;-&quot;??_);_(@_)"/>
    <numFmt numFmtId="172" formatCode="_(* #,##0.000_);_(* \(#,##0.000\);_(* &quot;-&quot;??_);_(@_)"/>
    <numFmt numFmtId="173" formatCode="_-[$$-409]* #,##0_ ;_-[$$-409]* \-#,##0\ ;_-[$$-409]* &quot;-&quot;??_ ;_-@_ "/>
    <numFmt numFmtId="174" formatCode="_-* #,##0.00000_-;\-* #,##0.00000_-;_-* &quot;-&quot;_-;_-@_-"/>
    <numFmt numFmtId="175" formatCode="_-[$$-409]* #,##0.00000_ ;_-[$$-409]* \-#,##0.00000\ ;_-[$$-409]* &quot;-&quot;??_ ;_-@_ "/>
    <numFmt numFmtId="176" formatCode="_-[$$-409]* #,##0.00_ ;_-[$$-409]* \-#,##0.00\ ;_-[$$-409]* &quot;-&quot;??_ ;_-@_ "/>
    <numFmt numFmtId="177" formatCode="\$#,##0;[Red]\-\$#,##0"/>
    <numFmt numFmtId="178" formatCode="#,##0.0"/>
  </numFmts>
  <fonts count="2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C0000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002060"/>
      <name val="Calibri"/>
      <family val="2"/>
      <scheme val="minor"/>
    </font>
    <font>
      <b/>
      <sz val="11"/>
      <color theme="5"/>
      <name val="Calibri"/>
      <family val="2"/>
      <scheme val="minor"/>
    </font>
    <font>
      <b/>
      <sz val="18"/>
      <color theme="5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 (Body)"/>
    </font>
    <font>
      <sz val="12"/>
      <color theme="1"/>
      <name val="Calibri"/>
      <family val="2"/>
      <charset val="134"/>
      <scheme val="minor"/>
    </font>
    <font>
      <b/>
      <sz val="12"/>
      <color theme="1"/>
      <name val="Calibri (Body)"/>
    </font>
    <font>
      <b/>
      <sz val="12"/>
      <color theme="1"/>
      <name val="Calibri"/>
      <family val="2"/>
      <charset val="134"/>
      <scheme val="minor"/>
    </font>
    <font>
      <b/>
      <sz val="11"/>
      <color theme="0"/>
      <name val="Calibri"/>
      <family val="2"/>
      <scheme val="minor"/>
    </font>
    <font>
      <sz val="10"/>
      <color rgb="FFFF0000"/>
      <name val="Arial"/>
      <family val="2"/>
    </font>
    <font>
      <b/>
      <sz val="10"/>
      <name val="Arial"/>
      <family val="2"/>
    </font>
    <font>
      <sz val="10"/>
      <color theme="1"/>
      <name val="Arial"/>
      <family val="2"/>
    </font>
    <font>
      <b/>
      <sz val="10"/>
      <color rgb="FFFF0000"/>
      <name val="Arial"/>
      <family val="2"/>
    </font>
    <font>
      <sz val="10"/>
      <color theme="0" tint="-0.34998626667073579"/>
      <name val="Arial"/>
      <family val="2"/>
    </font>
    <font>
      <sz val="10"/>
      <name val="Arial"/>
      <family val="2"/>
    </font>
    <font>
      <b/>
      <sz val="10"/>
      <color theme="1"/>
      <name val="Arial"/>
      <family val="2"/>
    </font>
    <font>
      <b/>
      <sz val="11"/>
      <color rgb="FFFF505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rgb="FF0052E7"/>
      <name val="Calibri"/>
      <family val="2"/>
      <scheme val="minor"/>
    </font>
    <font>
      <sz val="11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27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rgb="FFFFDDDD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5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F8A3B"/>
        <bgColor indexed="64"/>
      </patternFill>
    </fill>
    <fill>
      <patternFill patternType="solid">
        <fgColor rgb="FF6199FF"/>
        <bgColor indexed="64"/>
      </patternFill>
    </fill>
  </fills>
  <borders count="9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double">
        <color rgb="FF000000"/>
      </bottom>
      <diagonal/>
    </border>
    <border>
      <left/>
      <right/>
      <top/>
      <bottom style="double">
        <color rgb="FF000000"/>
      </bottom>
      <diagonal/>
    </border>
    <border>
      <left/>
      <right/>
      <top style="thin">
        <color rgb="FF000000"/>
      </top>
      <bottom style="double">
        <color rgb="FF000000"/>
      </bottom>
      <diagonal/>
    </border>
    <border>
      <left style="thin">
        <color rgb="FF000000"/>
      </left>
      <right/>
      <top style="double">
        <color rgb="FF000000"/>
      </top>
      <bottom/>
      <diagonal/>
    </border>
    <border>
      <left/>
      <right/>
      <top style="double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hair">
        <color rgb="FF000000"/>
      </bottom>
      <diagonal/>
    </border>
    <border>
      <left style="thin">
        <color rgb="FF000000"/>
      </left>
      <right style="thin">
        <color rgb="FF000000"/>
      </right>
      <top/>
      <bottom style="double">
        <color rgb="FF000000"/>
      </bottom>
      <diagonal/>
    </border>
    <border>
      <left style="thin">
        <color rgb="FF000000"/>
      </left>
      <right style="thin">
        <color rgb="FF000000"/>
      </right>
      <top style="hair">
        <color rgb="FF000000"/>
      </top>
      <bottom style="double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rgb="FFFF8A3B"/>
      </left>
      <right/>
      <top style="thin">
        <color rgb="FFFF8A3B"/>
      </top>
      <bottom/>
      <diagonal/>
    </border>
    <border>
      <left/>
      <right/>
      <top style="thin">
        <color rgb="FFFF8A3B"/>
      </top>
      <bottom/>
      <diagonal/>
    </border>
    <border>
      <left style="thin">
        <color rgb="FFFF8A3B"/>
      </left>
      <right style="thin">
        <color rgb="FFFF8A3B"/>
      </right>
      <top/>
      <bottom/>
      <diagonal/>
    </border>
    <border>
      <left/>
      <right style="thin">
        <color rgb="FFFF8A3B"/>
      </right>
      <top/>
      <bottom/>
      <diagonal/>
    </border>
    <border>
      <left/>
      <right style="thin">
        <color rgb="FFFF8A3B"/>
      </right>
      <top style="thin">
        <color rgb="FFFF8A3B"/>
      </top>
      <bottom/>
      <diagonal/>
    </border>
    <border>
      <left style="thin">
        <color rgb="FFFF8A3B"/>
      </left>
      <right/>
      <top/>
      <bottom/>
      <diagonal/>
    </border>
    <border>
      <left style="thin">
        <color rgb="FFFF8A3B"/>
      </left>
      <right/>
      <top/>
      <bottom style="thin">
        <color rgb="FFFF8A3B"/>
      </bottom>
      <diagonal/>
    </border>
    <border>
      <left/>
      <right/>
      <top/>
      <bottom style="thin">
        <color rgb="FFFF8A3B"/>
      </bottom>
      <diagonal/>
    </border>
    <border>
      <left style="thin">
        <color rgb="FFFF8A3B"/>
      </left>
      <right style="thin">
        <color rgb="FFFF8A3B"/>
      </right>
      <top/>
      <bottom style="thin">
        <color rgb="FFFF8A3B"/>
      </bottom>
      <diagonal/>
    </border>
    <border>
      <left/>
      <right style="thin">
        <color rgb="FFFF8A3B"/>
      </right>
      <top/>
      <bottom style="thin">
        <color rgb="FFFF8A3B"/>
      </bottom>
      <diagonal/>
    </border>
    <border>
      <left style="thin">
        <color rgb="FFFF8A3B"/>
      </left>
      <right style="thin">
        <color rgb="FFFF8A3B"/>
      </right>
      <top style="thin">
        <color rgb="FFFF8A3B"/>
      </top>
      <bottom/>
      <diagonal/>
    </border>
    <border>
      <left style="thin">
        <color rgb="FFFF5050"/>
      </left>
      <right style="thin">
        <color rgb="FFFF5050"/>
      </right>
      <top style="thin">
        <color rgb="FFFF5050"/>
      </top>
      <bottom/>
      <diagonal/>
    </border>
    <border>
      <left style="thin">
        <color rgb="FFFF5050"/>
      </left>
      <right style="thin">
        <color rgb="FFFF5050"/>
      </right>
      <top/>
      <bottom/>
      <diagonal/>
    </border>
    <border>
      <left style="thin">
        <color rgb="FFFF5050"/>
      </left>
      <right style="thin">
        <color rgb="FFFF5050"/>
      </right>
      <top/>
      <bottom style="thin">
        <color rgb="FFFF5050"/>
      </bottom>
      <diagonal/>
    </border>
    <border>
      <left style="thin">
        <color theme="5"/>
      </left>
      <right style="thin">
        <color theme="5"/>
      </right>
      <top/>
      <bottom/>
      <diagonal/>
    </border>
    <border>
      <left style="thin">
        <color theme="5"/>
      </left>
      <right style="thin">
        <color theme="5"/>
      </right>
      <top/>
      <bottom style="thin">
        <color theme="5"/>
      </bottom>
      <diagonal/>
    </border>
    <border>
      <left style="thin">
        <color rgb="FFFF5050"/>
      </left>
      <right/>
      <top/>
      <bottom/>
      <diagonal/>
    </border>
    <border>
      <left/>
      <right style="thin">
        <color rgb="FFFF5050"/>
      </right>
      <top/>
      <bottom/>
      <diagonal/>
    </border>
    <border>
      <left style="thin">
        <color rgb="FFFF5050"/>
      </left>
      <right/>
      <top/>
      <bottom style="thin">
        <color rgb="FFFF5050"/>
      </bottom>
      <diagonal/>
    </border>
    <border>
      <left/>
      <right style="thin">
        <color rgb="FFFF5050"/>
      </right>
      <top/>
      <bottom style="thin">
        <color rgb="FFFF5050"/>
      </bottom>
      <diagonal/>
    </border>
    <border>
      <left style="thin">
        <color theme="5"/>
      </left>
      <right/>
      <top/>
      <bottom/>
      <diagonal/>
    </border>
    <border>
      <left/>
      <right style="thin">
        <color theme="5"/>
      </right>
      <top/>
      <bottom/>
      <diagonal/>
    </border>
    <border>
      <left style="thin">
        <color theme="5"/>
      </left>
      <right/>
      <top/>
      <bottom style="thin">
        <color theme="5"/>
      </bottom>
      <diagonal/>
    </border>
    <border>
      <left/>
      <right style="thin">
        <color theme="5"/>
      </right>
      <top/>
      <bottom style="thin">
        <color theme="5"/>
      </bottom>
      <diagonal/>
    </border>
    <border>
      <left/>
      <right style="thin">
        <color rgb="FFFF5050"/>
      </right>
      <top style="thin">
        <color rgb="FFFF5050"/>
      </top>
      <bottom/>
      <diagonal/>
    </border>
    <border>
      <left style="thin">
        <color rgb="FF6199FF"/>
      </left>
      <right/>
      <top style="thin">
        <color rgb="FF6199FF"/>
      </top>
      <bottom/>
      <diagonal/>
    </border>
    <border>
      <left/>
      <right style="thin">
        <color rgb="FF6199FF"/>
      </right>
      <top style="thin">
        <color rgb="FF6199FF"/>
      </top>
      <bottom/>
      <diagonal/>
    </border>
    <border>
      <left style="thin">
        <color rgb="FF6199FF"/>
      </left>
      <right/>
      <top/>
      <bottom/>
      <diagonal/>
    </border>
    <border>
      <left/>
      <right style="thin">
        <color rgb="FF6199FF"/>
      </right>
      <top/>
      <bottom/>
      <diagonal/>
    </border>
    <border>
      <left style="thin">
        <color rgb="FF6199FF"/>
      </left>
      <right/>
      <top/>
      <bottom style="thin">
        <color rgb="FF6199FF"/>
      </bottom>
      <diagonal/>
    </border>
    <border>
      <left/>
      <right style="thin">
        <color rgb="FF6199FF"/>
      </right>
      <top/>
      <bottom style="thin">
        <color rgb="FF6199FF"/>
      </bottom>
      <diagonal/>
    </border>
    <border>
      <left style="thin">
        <color rgb="FF0052E7"/>
      </left>
      <right style="thin">
        <color rgb="FF6199FF"/>
      </right>
      <top style="thin">
        <color rgb="FF6199FF"/>
      </top>
      <bottom/>
      <diagonal/>
    </border>
    <border>
      <left style="thin">
        <color rgb="FF6199FF"/>
      </left>
      <right style="thin">
        <color rgb="FF6199FF"/>
      </right>
      <top style="thin">
        <color rgb="FF6199FF"/>
      </top>
      <bottom/>
      <diagonal/>
    </border>
    <border>
      <left/>
      <right style="thin">
        <color rgb="FF6199FF"/>
      </right>
      <top style="thin">
        <color rgb="FF0052E7"/>
      </top>
      <bottom/>
      <diagonal/>
    </border>
    <border>
      <left style="thin">
        <color rgb="FF6199FF"/>
      </left>
      <right style="thin">
        <color rgb="FF6199FF"/>
      </right>
      <top style="thin">
        <color rgb="FF0052E7"/>
      </top>
      <bottom/>
      <diagonal/>
    </border>
    <border>
      <left style="thin">
        <color rgb="FF6199FF"/>
      </left>
      <right style="thin">
        <color rgb="FF6199FF"/>
      </right>
      <top/>
      <bottom/>
      <diagonal/>
    </border>
    <border>
      <left style="thin">
        <color rgb="FF6199FF"/>
      </left>
      <right style="thin">
        <color rgb="FF6199FF"/>
      </right>
      <top/>
      <bottom style="thin">
        <color rgb="FF6199FF"/>
      </bottom>
      <diagonal/>
    </border>
    <border>
      <left/>
      <right/>
      <top style="thin">
        <color rgb="FF6199FF"/>
      </top>
      <bottom/>
      <diagonal/>
    </border>
    <border>
      <left/>
      <right/>
      <top/>
      <bottom style="thin">
        <color rgb="FF6199FF"/>
      </bottom>
      <diagonal/>
    </border>
    <border>
      <left style="thin">
        <color rgb="FF6199FF"/>
      </left>
      <right style="thin">
        <color auto="1"/>
      </right>
      <top style="thin">
        <color rgb="FF6199FF"/>
      </top>
      <bottom/>
      <diagonal/>
    </border>
    <border>
      <left style="thin">
        <color auto="1"/>
      </left>
      <right style="thin">
        <color auto="1"/>
      </right>
      <top style="thin">
        <color rgb="FF6199FF"/>
      </top>
      <bottom/>
      <diagonal/>
    </border>
    <border>
      <left style="thin">
        <color auto="1"/>
      </left>
      <right style="thin">
        <color rgb="FF6199FF"/>
      </right>
      <top style="thin">
        <color rgb="FF6199FF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/>
      <top/>
      <bottom style="thin">
        <color theme="5"/>
      </bottom>
      <diagonal/>
    </border>
    <border>
      <left/>
      <right/>
      <top/>
      <bottom style="thin">
        <color rgb="FFFF5050"/>
      </bottom>
      <diagonal/>
    </border>
  </borders>
  <cellStyleXfs count="14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8" fillId="0" borderId="0"/>
    <xf numFmtId="43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164" fontId="8" fillId="0" borderId="0" applyFont="0" applyFill="0" applyBorder="0" applyAlignment="0" applyProtection="0"/>
    <xf numFmtId="0" fontId="1" fillId="0" borderId="0"/>
    <xf numFmtId="44" fontId="10" fillId="0" borderId="0" applyFont="0" applyFill="0" applyBorder="0" applyAlignment="0" applyProtection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65" fontId="8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</cellStyleXfs>
  <cellXfs count="646">
    <xf numFmtId="0" fontId="0" fillId="0" borderId="0" xfId="0"/>
    <xf numFmtId="0" fontId="2" fillId="2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2" fillId="9" borderId="1" xfId="0" applyFont="1" applyFill="1" applyBorder="1" applyAlignment="1">
      <alignment horizontal="center"/>
    </xf>
    <xf numFmtId="0" fontId="2" fillId="8" borderId="1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0" fontId="2" fillId="5" borderId="6" xfId="0" applyFont="1" applyFill="1" applyBorder="1" applyAlignment="1">
      <alignment horizontal="center"/>
    </xf>
    <xf numFmtId="0" fontId="2" fillId="9" borderId="6" xfId="0" applyFont="1" applyFill="1" applyBorder="1" applyAlignment="1">
      <alignment horizontal="center"/>
    </xf>
    <xf numFmtId="0" fontId="2" fillId="8" borderId="6" xfId="0" applyFont="1" applyFill="1" applyBorder="1" applyAlignment="1">
      <alignment horizontal="center"/>
    </xf>
    <xf numFmtId="0" fontId="2" fillId="8" borderId="7" xfId="0" applyFont="1" applyFill="1" applyBorder="1" applyAlignment="1">
      <alignment horizontal="center"/>
    </xf>
    <xf numFmtId="10" fontId="0" fillId="12" borderId="11" xfId="2" applyNumberFormat="1" applyFont="1" applyFill="1" applyBorder="1"/>
    <xf numFmtId="10" fontId="0" fillId="12" borderId="7" xfId="2" applyNumberFormat="1" applyFont="1" applyFill="1" applyBorder="1"/>
    <xf numFmtId="10" fontId="0" fillId="12" borderId="9" xfId="2" applyNumberFormat="1" applyFont="1" applyFill="1" applyBorder="1"/>
    <xf numFmtId="10" fontId="2" fillId="12" borderId="14" xfId="2" applyNumberFormat="1" applyFont="1" applyFill="1" applyBorder="1"/>
    <xf numFmtId="166" fontId="2" fillId="12" borderId="9" xfId="1" applyNumberFormat="1" applyFont="1" applyFill="1" applyBorder="1"/>
    <xf numFmtId="166" fontId="0" fillId="12" borderId="11" xfId="1" applyNumberFormat="1" applyFont="1" applyFill="1" applyBorder="1"/>
    <xf numFmtId="166" fontId="0" fillId="12" borderId="7" xfId="1" applyNumberFormat="1" applyFont="1" applyFill="1" applyBorder="1"/>
    <xf numFmtId="166" fontId="0" fillId="12" borderId="9" xfId="1" applyNumberFormat="1" applyFont="1" applyFill="1" applyBorder="1"/>
    <xf numFmtId="166" fontId="2" fillId="12" borderId="14" xfId="1" applyNumberFormat="1" applyFont="1" applyFill="1" applyBorder="1"/>
    <xf numFmtId="0" fontId="3" fillId="0" borderId="2" xfId="0" applyFont="1" applyBorder="1" applyAlignment="1">
      <alignment vertical="center"/>
    </xf>
    <xf numFmtId="0" fontId="3" fillId="0" borderId="2" xfId="0" applyFont="1" applyBorder="1" applyAlignment="1">
      <alignment horizontal="center" vertical="center"/>
    </xf>
    <xf numFmtId="0" fontId="2" fillId="16" borderId="15" xfId="0" applyFont="1" applyFill="1" applyBorder="1" applyAlignment="1">
      <alignment horizontal="right"/>
    </xf>
    <xf numFmtId="17" fontId="2" fillId="16" borderId="16" xfId="0" applyNumberFormat="1" applyFont="1" applyFill="1" applyBorder="1"/>
    <xf numFmtId="17" fontId="2" fillId="16" borderId="17" xfId="0" applyNumberFormat="1" applyFont="1" applyFill="1" applyBorder="1"/>
    <xf numFmtId="17" fontId="2" fillId="16" borderId="18" xfId="0" applyNumberFormat="1" applyFont="1" applyFill="1" applyBorder="1"/>
    <xf numFmtId="3" fontId="2" fillId="15" borderId="13" xfId="0" applyNumberFormat="1" applyFont="1" applyFill="1" applyBorder="1" applyAlignment="1">
      <alignment horizontal="right"/>
    </xf>
    <xf numFmtId="166" fontId="2" fillId="14" borderId="14" xfId="1" applyNumberFormat="1" applyFont="1" applyFill="1" applyBorder="1" applyAlignment="1">
      <alignment horizontal="right"/>
    </xf>
    <xf numFmtId="3" fontId="0" fillId="15" borderId="8" xfId="0" applyNumberFormat="1" applyFill="1" applyBorder="1"/>
    <xf numFmtId="166" fontId="0" fillId="14" borderId="9" xfId="1" applyNumberFormat="1" applyFont="1" applyFill="1" applyBorder="1"/>
    <xf numFmtId="3" fontId="0" fillId="15" borderId="10" xfId="0" applyNumberFormat="1" applyFill="1" applyBorder="1"/>
    <xf numFmtId="166" fontId="0" fillId="14" borderId="11" xfId="1" applyNumberFormat="1" applyFont="1" applyFill="1" applyBorder="1"/>
    <xf numFmtId="3" fontId="0" fillId="15" borderId="12" xfId="0" applyNumberFormat="1" applyFill="1" applyBorder="1"/>
    <xf numFmtId="166" fontId="0" fillId="14" borderId="7" xfId="1" applyNumberFormat="1" applyFont="1" applyFill="1" applyBorder="1"/>
    <xf numFmtId="3" fontId="2" fillId="3" borderId="13" xfId="0" applyNumberFormat="1" applyFont="1" applyFill="1" applyBorder="1"/>
    <xf numFmtId="166" fontId="2" fillId="4" borderId="14" xfId="1" applyNumberFormat="1" applyFont="1" applyFill="1" applyBorder="1"/>
    <xf numFmtId="3" fontId="0" fillId="3" borderId="8" xfId="0" applyNumberFormat="1" applyFill="1" applyBorder="1"/>
    <xf numFmtId="166" fontId="0" fillId="4" borderId="9" xfId="1" applyNumberFormat="1" applyFont="1" applyFill="1" applyBorder="1"/>
    <xf numFmtId="3" fontId="0" fillId="3" borderId="10" xfId="0" applyNumberFormat="1" applyFill="1" applyBorder="1"/>
    <xf numFmtId="166" fontId="0" fillId="4" borderId="11" xfId="1" applyNumberFormat="1" applyFont="1" applyFill="1" applyBorder="1"/>
    <xf numFmtId="3" fontId="0" fillId="3" borderId="12" xfId="0" applyNumberFormat="1" applyFill="1" applyBorder="1"/>
    <xf numFmtId="166" fontId="0" fillId="4" borderId="7" xfId="1" applyNumberFormat="1" applyFont="1" applyFill="1" applyBorder="1"/>
    <xf numFmtId="3" fontId="2" fillId="7" borderId="13" xfId="0" applyNumberFormat="1" applyFont="1" applyFill="1" applyBorder="1"/>
    <xf numFmtId="166" fontId="2" fillId="6" borderId="14" xfId="1" applyNumberFormat="1" applyFont="1" applyFill="1" applyBorder="1"/>
    <xf numFmtId="3" fontId="0" fillId="7" borderId="8" xfId="0" applyNumberFormat="1" applyFill="1" applyBorder="1"/>
    <xf numFmtId="166" fontId="0" fillId="6" borderId="9" xfId="1" applyNumberFormat="1" applyFont="1" applyFill="1" applyBorder="1"/>
    <xf numFmtId="3" fontId="0" fillId="7" borderId="10" xfId="0" applyNumberFormat="1" applyFill="1" applyBorder="1"/>
    <xf numFmtId="166" fontId="0" fillId="6" borderId="11" xfId="1" applyNumberFormat="1" applyFont="1" applyFill="1" applyBorder="1"/>
    <xf numFmtId="3" fontId="0" fillId="7" borderId="12" xfId="0" applyNumberFormat="1" applyFill="1" applyBorder="1"/>
    <xf numFmtId="166" fontId="0" fillId="6" borderId="7" xfId="1" applyNumberFormat="1" applyFont="1" applyFill="1" applyBorder="1"/>
    <xf numFmtId="3" fontId="2" fillId="11" borderId="13" xfId="0" applyNumberFormat="1" applyFont="1" applyFill="1" applyBorder="1"/>
    <xf numFmtId="166" fontId="2" fillId="10" borderId="14" xfId="1" applyNumberFormat="1" applyFont="1" applyFill="1" applyBorder="1"/>
    <xf numFmtId="3" fontId="0" fillId="11" borderId="8" xfId="0" applyNumberFormat="1" applyFill="1" applyBorder="1"/>
    <xf numFmtId="166" fontId="0" fillId="10" borderId="9" xfId="1" applyNumberFormat="1" applyFont="1" applyFill="1" applyBorder="1"/>
    <xf numFmtId="3" fontId="0" fillId="11" borderId="10" xfId="0" applyNumberFormat="1" applyFill="1" applyBorder="1"/>
    <xf numFmtId="166" fontId="0" fillId="10" borderId="11" xfId="1" applyNumberFormat="1" applyFont="1" applyFill="1" applyBorder="1"/>
    <xf numFmtId="3" fontId="0" fillId="11" borderId="12" xfId="0" applyNumberFormat="1" applyFill="1" applyBorder="1"/>
    <xf numFmtId="166" fontId="0" fillId="10" borderId="7" xfId="1" applyNumberFormat="1" applyFont="1" applyFill="1" applyBorder="1"/>
    <xf numFmtId="3" fontId="2" fillId="13" borderId="13" xfId="0" applyNumberFormat="1" applyFont="1" applyFill="1" applyBorder="1"/>
    <xf numFmtId="3" fontId="0" fillId="13" borderId="8" xfId="0" applyNumberFormat="1" applyFill="1" applyBorder="1"/>
    <xf numFmtId="3" fontId="0" fillId="13" borderId="10" xfId="0" applyNumberFormat="1" applyFill="1" applyBorder="1"/>
    <xf numFmtId="3" fontId="0" fillId="13" borderId="12" xfId="0" applyNumberFormat="1" applyFill="1" applyBorder="1"/>
    <xf numFmtId="10" fontId="2" fillId="15" borderId="13" xfId="2" applyNumberFormat="1" applyFont="1" applyFill="1" applyBorder="1" applyAlignment="1">
      <alignment horizontal="right"/>
    </xf>
    <xf numFmtId="10" fontId="2" fillId="14" borderId="14" xfId="2" applyNumberFormat="1" applyFont="1" applyFill="1" applyBorder="1" applyAlignment="1">
      <alignment horizontal="right"/>
    </xf>
    <xf numFmtId="10" fontId="0" fillId="15" borderId="8" xfId="2" applyNumberFormat="1" applyFont="1" applyFill="1" applyBorder="1"/>
    <xf numFmtId="10" fontId="0" fillId="14" borderId="9" xfId="2" applyNumberFormat="1" applyFont="1" applyFill="1" applyBorder="1"/>
    <xf numFmtId="10" fontId="0" fillId="15" borderId="10" xfId="2" applyNumberFormat="1" applyFont="1" applyFill="1" applyBorder="1"/>
    <xf numFmtId="10" fontId="0" fillId="14" borderId="11" xfId="2" applyNumberFormat="1" applyFont="1" applyFill="1" applyBorder="1"/>
    <xf numFmtId="10" fontId="0" fillId="15" borderId="12" xfId="2" applyNumberFormat="1" applyFont="1" applyFill="1" applyBorder="1"/>
    <xf numFmtId="10" fontId="0" fillId="14" borderId="7" xfId="2" applyNumberFormat="1" applyFont="1" applyFill="1" applyBorder="1"/>
    <xf numFmtId="10" fontId="2" fillId="3" borderId="13" xfId="2" applyNumberFormat="1" applyFont="1" applyFill="1" applyBorder="1"/>
    <xf numFmtId="10" fontId="2" fillId="4" borderId="14" xfId="2" applyNumberFormat="1" applyFont="1" applyFill="1" applyBorder="1"/>
    <xf numFmtId="10" fontId="0" fillId="3" borderId="8" xfId="2" applyNumberFormat="1" applyFont="1" applyFill="1" applyBorder="1"/>
    <xf numFmtId="10" fontId="0" fillId="4" borderId="9" xfId="2" applyNumberFormat="1" applyFont="1" applyFill="1" applyBorder="1"/>
    <xf numFmtId="10" fontId="0" fillId="3" borderId="10" xfId="2" applyNumberFormat="1" applyFont="1" applyFill="1" applyBorder="1"/>
    <xf numFmtId="10" fontId="0" fillId="4" borderId="11" xfId="2" applyNumberFormat="1" applyFont="1" applyFill="1" applyBorder="1"/>
    <xf numFmtId="10" fontId="0" fillId="3" borderId="12" xfId="2" applyNumberFormat="1" applyFont="1" applyFill="1" applyBorder="1"/>
    <xf numFmtId="10" fontId="0" fillId="4" borderId="7" xfId="2" applyNumberFormat="1" applyFont="1" applyFill="1" applyBorder="1"/>
    <xf numFmtId="10" fontId="2" fillId="7" borderId="13" xfId="2" applyNumberFormat="1" applyFont="1" applyFill="1" applyBorder="1"/>
    <xf numFmtId="10" fontId="2" fillId="6" borderId="14" xfId="2" applyNumberFormat="1" applyFont="1" applyFill="1" applyBorder="1"/>
    <xf numFmtId="10" fontId="0" fillId="7" borderId="8" xfId="2" applyNumberFormat="1" applyFont="1" applyFill="1" applyBorder="1"/>
    <xf numFmtId="10" fontId="0" fillId="6" borderId="9" xfId="2" applyNumberFormat="1" applyFont="1" applyFill="1" applyBorder="1"/>
    <xf numFmtId="10" fontId="0" fillId="7" borderId="10" xfId="2" applyNumberFormat="1" applyFont="1" applyFill="1" applyBorder="1"/>
    <xf numFmtId="10" fontId="0" fillId="6" borderId="11" xfId="2" applyNumberFormat="1" applyFont="1" applyFill="1" applyBorder="1"/>
    <xf numFmtId="10" fontId="0" fillId="7" borderId="12" xfId="2" applyNumberFormat="1" applyFont="1" applyFill="1" applyBorder="1"/>
    <xf numFmtId="10" fontId="0" fillId="6" borderId="7" xfId="2" applyNumberFormat="1" applyFont="1" applyFill="1" applyBorder="1"/>
    <xf numFmtId="10" fontId="2" fillId="11" borderId="13" xfId="2" applyNumberFormat="1" applyFont="1" applyFill="1" applyBorder="1"/>
    <xf numFmtId="10" fontId="2" fillId="10" borderId="14" xfId="2" applyNumberFormat="1" applyFont="1" applyFill="1" applyBorder="1"/>
    <xf numFmtId="10" fontId="0" fillId="11" borderId="8" xfId="2" applyNumberFormat="1" applyFont="1" applyFill="1" applyBorder="1"/>
    <xf numFmtId="10" fontId="0" fillId="10" borderId="9" xfId="2" applyNumberFormat="1" applyFont="1" applyFill="1" applyBorder="1"/>
    <xf numFmtId="10" fontId="0" fillId="11" borderId="10" xfId="2" applyNumberFormat="1" applyFont="1" applyFill="1" applyBorder="1"/>
    <xf numFmtId="10" fontId="0" fillId="10" borderId="11" xfId="2" applyNumberFormat="1" applyFont="1" applyFill="1" applyBorder="1"/>
    <xf numFmtId="10" fontId="0" fillId="11" borderId="12" xfId="2" applyNumberFormat="1" applyFont="1" applyFill="1" applyBorder="1"/>
    <xf numFmtId="10" fontId="0" fillId="10" borderId="7" xfId="2" applyNumberFormat="1" applyFont="1" applyFill="1" applyBorder="1"/>
    <xf numFmtId="10" fontId="2" fillId="13" borderId="13" xfId="2" applyNumberFormat="1" applyFont="1" applyFill="1" applyBorder="1"/>
    <xf numFmtId="10" fontId="0" fillId="13" borderId="8" xfId="2" applyNumberFormat="1" applyFont="1" applyFill="1" applyBorder="1"/>
    <xf numFmtId="10" fontId="0" fillId="13" borderId="10" xfId="2" applyNumberFormat="1" applyFont="1" applyFill="1" applyBorder="1"/>
    <xf numFmtId="10" fontId="0" fillId="13" borderId="12" xfId="2" applyNumberFormat="1" applyFont="1" applyFill="1" applyBorder="1"/>
    <xf numFmtId="15" fontId="0" fillId="0" borderId="1" xfId="0" applyNumberFormat="1" applyBorder="1"/>
    <xf numFmtId="0" fontId="0" fillId="0" borderId="1" xfId="0" applyNumberFormat="1" applyBorder="1"/>
    <xf numFmtId="0" fontId="2" fillId="16" borderId="1" xfId="0" applyFont="1" applyFill="1" applyBorder="1" applyAlignment="1">
      <alignment horizontal="center"/>
    </xf>
    <xf numFmtId="0" fontId="2" fillId="0" borderId="0" xfId="0" applyFont="1"/>
    <xf numFmtId="0" fontId="0" fillId="17" borderId="0" xfId="0" applyFill="1"/>
    <xf numFmtId="0" fontId="3" fillId="0" borderId="0" xfId="0" applyFont="1"/>
    <xf numFmtId="0" fontId="2" fillId="17" borderId="0" xfId="0" applyFont="1" applyFill="1"/>
    <xf numFmtId="0" fontId="2" fillId="0" borderId="1" xfId="0" applyNumberFormat="1" applyFont="1" applyBorder="1" applyAlignment="1">
      <alignment horizontal="center"/>
    </xf>
    <xf numFmtId="3" fontId="2" fillId="3" borderId="8" xfId="0" applyNumberFormat="1" applyFont="1" applyFill="1" applyBorder="1"/>
    <xf numFmtId="166" fontId="2" fillId="4" borderId="9" xfId="1" applyNumberFormat="1" applyFont="1" applyFill="1" applyBorder="1"/>
    <xf numFmtId="3" fontId="2" fillId="7" borderId="8" xfId="0" applyNumberFormat="1" applyFont="1" applyFill="1" applyBorder="1"/>
    <xf numFmtId="166" fontId="2" fillId="6" borderId="9" xfId="1" applyNumberFormat="1" applyFont="1" applyFill="1" applyBorder="1"/>
    <xf numFmtId="3" fontId="2" fillId="11" borderId="8" xfId="0" applyNumberFormat="1" applyFont="1" applyFill="1" applyBorder="1"/>
    <xf numFmtId="166" fontId="2" fillId="10" borderId="9" xfId="1" applyNumberFormat="1" applyFont="1" applyFill="1" applyBorder="1"/>
    <xf numFmtId="3" fontId="2" fillId="13" borderId="8" xfId="0" applyNumberFormat="1" applyFont="1" applyFill="1" applyBorder="1"/>
    <xf numFmtId="0" fontId="2" fillId="18" borderId="6" xfId="0" applyFont="1" applyFill="1" applyBorder="1" applyAlignment="1">
      <alignment horizontal="center"/>
    </xf>
    <xf numFmtId="9" fontId="4" fillId="0" borderId="0" xfId="0" applyNumberFormat="1" applyFont="1"/>
    <xf numFmtId="15" fontId="0" fillId="19" borderId="1" xfId="0" applyNumberFormat="1" applyFill="1" applyBorder="1"/>
    <xf numFmtId="0" fontId="0" fillId="19" borderId="1" xfId="0" applyNumberFormat="1" applyFill="1" applyBorder="1"/>
    <xf numFmtId="0" fontId="0" fillId="0" borderId="1" xfId="0" applyBorder="1"/>
    <xf numFmtId="3" fontId="5" fillId="3" borderId="8" xfId="0" applyNumberFormat="1" applyFont="1" applyFill="1" applyBorder="1"/>
    <xf numFmtId="166" fontId="5" fillId="4" borderId="9" xfId="1" applyNumberFormat="1" applyFont="1" applyFill="1" applyBorder="1"/>
    <xf numFmtId="3" fontId="5" fillId="7" borderId="8" xfId="0" applyNumberFormat="1" applyFont="1" applyFill="1" applyBorder="1"/>
    <xf numFmtId="166" fontId="5" fillId="6" borderId="9" xfId="1" applyNumberFormat="1" applyFont="1" applyFill="1" applyBorder="1"/>
    <xf numFmtId="3" fontId="5" fillId="11" borderId="8" xfId="0" applyNumberFormat="1" applyFont="1" applyFill="1" applyBorder="1"/>
    <xf numFmtId="166" fontId="5" fillId="10" borderId="9" xfId="1" applyNumberFormat="1" applyFont="1" applyFill="1" applyBorder="1"/>
    <xf numFmtId="3" fontId="5" fillId="13" borderId="8" xfId="0" applyNumberFormat="1" applyFont="1" applyFill="1" applyBorder="1"/>
    <xf numFmtId="166" fontId="5" fillId="12" borderId="9" xfId="1" applyNumberFormat="1" applyFont="1" applyFill="1" applyBorder="1"/>
    <xf numFmtId="0" fontId="5" fillId="0" borderId="1" xfId="0" applyNumberFormat="1" applyFont="1" applyBorder="1" applyAlignment="1">
      <alignment horizontal="center"/>
    </xf>
    <xf numFmtId="15" fontId="6" fillId="0" borderId="0" xfId="0" applyNumberFormat="1" applyFont="1" applyAlignment="1">
      <alignment horizontal="center"/>
    </xf>
    <xf numFmtId="0" fontId="2" fillId="0" borderId="1" xfId="0" applyFont="1" applyBorder="1"/>
    <xf numFmtId="0" fontId="2" fillId="18" borderId="1" xfId="0" applyFont="1" applyFill="1" applyBorder="1" applyAlignment="1">
      <alignment horizontal="center"/>
    </xf>
    <xf numFmtId="0" fontId="9" fillId="0" borderId="0" xfId="3" applyFont="1"/>
    <xf numFmtId="0" fontId="9" fillId="0" borderId="0" xfId="3" applyFont="1" applyFill="1"/>
    <xf numFmtId="167" fontId="9" fillId="0" borderId="0" xfId="4" applyNumberFormat="1" applyFont="1"/>
    <xf numFmtId="167" fontId="9" fillId="0" borderId="0" xfId="3" applyNumberFormat="1" applyFont="1"/>
    <xf numFmtId="0" fontId="9" fillId="0" borderId="0" xfId="3" applyFont="1" applyFill="1" applyBorder="1"/>
    <xf numFmtId="0" fontId="9" fillId="0" borderId="0" xfId="3" applyFont="1" applyAlignment="1">
      <alignment wrapText="1"/>
    </xf>
    <xf numFmtId="0" fontId="9" fillId="20" borderId="0" xfId="3" applyFont="1" applyFill="1"/>
    <xf numFmtId="0" fontId="11" fillId="0" borderId="0" xfId="3" applyFont="1"/>
    <xf numFmtId="3" fontId="9" fillId="0" borderId="0" xfId="3" applyNumberFormat="1" applyFont="1"/>
    <xf numFmtId="9" fontId="9" fillId="0" borderId="0" xfId="5" applyFont="1"/>
    <xf numFmtId="9" fontId="9" fillId="0" borderId="0" xfId="5" applyFont="1" applyFill="1" applyBorder="1"/>
    <xf numFmtId="168" fontId="9" fillId="0" borderId="0" xfId="5" applyNumberFormat="1" applyFont="1"/>
    <xf numFmtId="0" fontId="11" fillId="20" borderId="0" xfId="3" applyFont="1" applyFill="1"/>
    <xf numFmtId="0" fontId="11" fillId="0" borderId="19" xfId="3" applyFont="1" applyBorder="1" applyAlignment="1">
      <alignment horizontal="center" wrapText="1"/>
    </xf>
    <xf numFmtId="0" fontId="11" fillId="0" borderId="0" xfId="3" applyFont="1" applyAlignment="1">
      <alignment horizontal="center" wrapText="1"/>
    </xf>
    <xf numFmtId="17" fontId="11" fillId="0" borderId="0" xfId="3" applyNumberFormat="1" applyFont="1" applyFill="1" applyAlignment="1">
      <alignment horizontal="center" wrapText="1" readingOrder="1"/>
    </xf>
    <xf numFmtId="0" fontId="11" fillId="21" borderId="0" xfId="3" applyFont="1" applyFill="1" applyAlignment="1">
      <alignment horizontal="center" wrapText="1" readingOrder="1"/>
    </xf>
    <xf numFmtId="0" fontId="11" fillId="22" borderId="0" xfId="3" applyFont="1" applyFill="1" applyAlignment="1">
      <alignment horizontal="center" wrapText="1" readingOrder="1"/>
    </xf>
    <xf numFmtId="0" fontId="11" fillId="0" borderId="0" xfId="3" applyFont="1" applyFill="1" applyBorder="1" applyAlignment="1">
      <alignment horizontal="center" wrapText="1" readingOrder="1"/>
    </xf>
    <xf numFmtId="0" fontId="11" fillId="12" borderId="0" xfId="3" applyFont="1" applyFill="1" applyAlignment="1">
      <alignment horizontal="center" wrapText="1" readingOrder="1"/>
    </xf>
    <xf numFmtId="0" fontId="11" fillId="20" borderId="0" xfId="3" applyFont="1" applyFill="1" applyAlignment="1">
      <alignment horizontal="center" wrapText="1" readingOrder="1"/>
    </xf>
    <xf numFmtId="0" fontId="9" fillId="0" borderId="21" xfId="3" applyFont="1" applyBorder="1" applyAlignment="1">
      <alignment horizontal="left" wrapText="1" readingOrder="1"/>
    </xf>
    <xf numFmtId="3" fontId="9" fillId="0" borderId="0" xfId="3" applyNumberFormat="1" applyFont="1" applyFill="1" applyBorder="1" applyAlignment="1">
      <alignment horizontal="right" wrapText="1" readingOrder="1"/>
    </xf>
    <xf numFmtId="3" fontId="9" fillId="0" borderId="0" xfId="3" applyNumberFormat="1" applyFont="1" applyBorder="1" applyAlignment="1">
      <alignment horizontal="right" wrapText="1" readingOrder="1"/>
    </xf>
    <xf numFmtId="167" fontId="9" fillId="0" borderId="0" xfId="4" applyNumberFormat="1" applyFont="1" applyFill="1"/>
    <xf numFmtId="9" fontId="9" fillId="0" borderId="0" xfId="5" applyFont="1" applyBorder="1" applyAlignment="1">
      <alignment horizontal="right" wrapText="1" readingOrder="1"/>
    </xf>
    <xf numFmtId="3" fontId="9" fillId="20" borderId="0" xfId="3" applyNumberFormat="1" applyFont="1" applyFill="1" applyBorder="1" applyAlignment="1">
      <alignment horizontal="right" wrapText="1" readingOrder="1"/>
    </xf>
    <xf numFmtId="9" fontId="9" fillId="20" borderId="0" xfId="5" applyFont="1" applyFill="1" applyBorder="1" applyAlignment="1">
      <alignment horizontal="center" wrapText="1" readingOrder="1"/>
    </xf>
    <xf numFmtId="0" fontId="9" fillId="0" borderId="22" xfId="3" applyFont="1" applyBorder="1" applyAlignment="1">
      <alignment horizontal="left" wrapText="1" readingOrder="1"/>
    </xf>
    <xf numFmtId="3" fontId="9" fillId="0" borderId="19" xfId="3" applyNumberFormat="1" applyFont="1" applyFill="1" applyBorder="1" applyAlignment="1">
      <alignment horizontal="right" wrapText="1" readingOrder="1"/>
    </xf>
    <xf numFmtId="3" fontId="9" fillId="0" borderId="19" xfId="3" applyNumberFormat="1" applyFont="1" applyBorder="1" applyAlignment="1">
      <alignment horizontal="right" wrapText="1" readingOrder="1"/>
    </xf>
    <xf numFmtId="167" fontId="9" fillId="0" borderId="0" xfId="5" applyNumberFormat="1" applyFont="1" applyFill="1"/>
    <xf numFmtId="9" fontId="9" fillId="0" borderId="19" xfId="5" applyFont="1" applyBorder="1" applyAlignment="1">
      <alignment horizontal="right" wrapText="1" readingOrder="1"/>
    </xf>
    <xf numFmtId="3" fontId="9" fillId="20" borderId="19" xfId="3" applyNumberFormat="1" applyFont="1" applyFill="1" applyBorder="1" applyAlignment="1">
      <alignment horizontal="right" wrapText="1" readingOrder="1"/>
    </xf>
    <xf numFmtId="9" fontId="9" fillId="20" borderId="19" xfId="5" applyFont="1" applyFill="1" applyBorder="1" applyAlignment="1">
      <alignment horizontal="center" wrapText="1" readingOrder="1"/>
    </xf>
    <xf numFmtId="0" fontId="9" fillId="0" borderId="23" xfId="3" applyFont="1" applyBorder="1" applyAlignment="1">
      <alignment horizontal="left" wrapText="1" readingOrder="1"/>
    </xf>
    <xf numFmtId="3" fontId="9" fillId="0" borderId="24" xfId="3" applyNumberFormat="1" applyFont="1" applyFill="1" applyBorder="1" applyAlignment="1">
      <alignment horizontal="right" wrapText="1" readingOrder="1"/>
    </xf>
    <xf numFmtId="3" fontId="9" fillId="0" borderId="24" xfId="3" applyNumberFormat="1" applyFont="1" applyBorder="1" applyAlignment="1">
      <alignment horizontal="right" wrapText="1" readingOrder="1"/>
    </xf>
    <xf numFmtId="167" fontId="9" fillId="0" borderId="25" xfId="3" applyNumberFormat="1" applyFont="1" applyBorder="1" applyAlignment="1">
      <alignment horizontal="left" wrapText="1" readingOrder="1"/>
    </xf>
    <xf numFmtId="9" fontId="11" fillId="0" borderId="0" xfId="5" applyFont="1" applyFill="1" applyBorder="1" applyAlignment="1">
      <alignment horizontal="right" wrapText="1" readingOrder="1"/>
    </xf>
    <xf numFmtId="3" fontId="9" fillId="0" borderId="25" xfId="3" applyNumberFormat="1" applyFont="1" applyBorder="1" applyAlignment="1">
      <alignment horizontal="right" wrapText="1" readingOrder="1"/>
    </xf>
    <xf numFmtId="9" fontId="9" fillId="0" borderId="24" xfId="5" applyFont="1" applyBorder="1" applyAlignment="1">
      <alignment horizontal="right" wrapText="1" readingOrder="1"/>
    </xf>
    <xf numFmtId="3" fontId="9" fillId="20" borderId="24" xfId="3" applyNumberFormat="1" applyFont="1" applyFill="1" applyBorder="1" applyAlignment="1">
      <alignment horizontal="right" wrapText="1" readingOrder="1"/>
    </xf>
    <xf numFmtId="9" fontId="9" fillId="20" borderId="24" xfId="5" applyFont="1" applyFill="1" applyBorder="1" applyAlignment="1">
      <alignment horizontal="center" wrapText="1" readingOrder="1"/>
    </xf>
    <xf numFmtId="166" fontId="9" fillId="0" borderId="0" xfId="3" applyNumberFormat="1" applyFont="1"/>
    <xf numFmtId="0" fontId="9" fillId="0" borderId="26" xfId="3" applyFont="1" applyBorder="1" applyAlignment="1">
      <alignment wrapText="1"/>
    </xf>
    <xf numFmtId="0" fontId="9" fillId="0" borderId="27" xfId="3" applyFont="1" applyBorder="1" applyAlignment="1">
      <alignment wrapText="1"/>
    </xf>
    <xf numFmtId="0" fontId="9" fillId="20" borderId="27" xfId="3" applyFont="1" applyFill="1" applyBorder="1" applyAlignment="1">
      <alignment wrapText="1"/>
    </xf>
    <xf numFmtId="9" fontId="9" fillId="20" borderId="0" xfId="5" applyFont="1" applyFill="1" applyAlignment="1">
      <alignment horizontal="center" readingOrder="1"/>
    </xf>
    <xf numFmtId="164" fontId="9" fillId="0" borderId="0" xfId="6" applyFont="1"/>
    <xf numFmtId="0" fontId="9" fillId="0" borderId="23" xfId="7" applyFont="1" applyBorder="1" applyAlignment="1">
      <alignment horizontal="left" wrapText="1" readingOrder="1"/>
    </xf>
    <xf numFmtId="164" fontId="9" fillId="0" borderId="25" xfId="6" applyFont="1" applyBorder="1" applyAlignment="1">
      <alignment horizontal="left" wrapText="1" readingOrder="1"/>
    </xf>
    <xf numFmtId="0" fontId="9" fillId="0" borderId="0" xfId="3" applyFont="1" applyBorder="1" applyAlignment="1">
      <alignment horizontal="left" wrapText="1" readingOrder="1"/>
    </xf>
    <xf numFmtId="167" fontId="9" fillId="0" borderId="0" xfId="3" applyNumberFormat="1" applyFont="1" applyBorder="1" applyAlignment="1">
      <alignment horizontal="left" wrapText="1" readingOrder="1"/>
    </xf>
    <xf numFmtId="9" fontId="9" fillId="0" borderId="0" xfId="5" applyFont="1" applyBorder="1" applyAlignment="1">
      <alignment horizontal="center" wrapText="1"/>
    </xf>
    <xf numFmtId="9" fontId="9" fillId="0" borderId="0" xfId="5" applyFont="1" applyAlignment="1">
      <alignment horizontal="center"/>
    </xf>
    <xf numFmtId="9" fontId="9" fillId="0" borderId="25" xfId="5" applyFont="1" applyBorder="1" applyAlignment="1">
      <alignment horizontal="center" wrapText="1"/>
    </xf>
    <xf numFmtId="0" fontId="9" fillId="0" borderId="0" xfId="3" applyFont="1" applyBorder="1" applyAlignment="1">
      <alignment horizontal="center" vertical="center" wrapText="1" readingOrder="1"/>
    </xf>
    <xf numFmtId="167" fontId="9" fillId="0" borderId="0" xfId="3" applyNumberFormat="1" applyFont="1" applyFill="1" applyBorder="1" applyAlignment="1">
      <alignment horizontal="left" wrapText="1" readingOrder="1"/>
    </xf>
    <xf numFmtId="0" fontId="11" fillId="0" borderId="0" xfId="3" applyFont="1" applyBorder="1" applyAlignment="1">
      <alignment vertical="center" readingOrder="1"/>
    </xf>
    <xf numFmtId="0" fontId="11" fillId="0" borderId="0" xfId="3" applyFont="1" applyBorder="1" applyAlignment="1">
      <alignment vertical="center" wrapText="1" readingOrder="1"/>
    </xf>
    <xf numFmtId="3" fontId="11" fillId="0" borderId="27" xfId="3" applyNumberFormat="1" applyFont="1" applyFill="1" applyBorder="1" applyAlignment="1">
      <alignment horizontal="right" wrapText="1" readingOrder="1"/>
    </xf>
    <xf numFmtId="3" fontId="11" fillId="0" borderId="27" xfId="3" applyNumberFormat="1" applyFont="1" applyBorder="1" applyAlignment="1">
      <alignment horizontal="right" wrapText="1" readingOrder="1"/>
    </xf>
    <xf numFmtId="3" fontId="11" fillId="0" borderId="0" xfId="3" applyNumberFormat="1" applyFont="1" applyFill="1" applyBorder="1" applyAlignment="1">
      <alignment horizontal="right" wrapText="1" readingOrder="1"/>
    </xf>
    <xf numFmtId="9" fontId="11" fillId="0" borderId="27" xfId="5" applyFont="1" applyBorder="1" applyAlignment="1">
      <alignment horizontal="center" wrapText="1"/>
    </xf>
    <xf numFmtId="9" fontId="11" fillId="20" borderId="0" xfId="5" applyFont="1" applyFill="1" applyBorder="1" applyAlignment="1">
      <alignment horizontal="center" vertical="center" wrapText="1" readingOrder="1"/>
    </xf>
    <xf numFmtId="0" fontId="9" fillId="0" borderId="19" xfId="3" applyFont="1" applyBorder="1" applyAlignment="1">
      <alignment wrapText="1"/>
    </xf>
    <xf numFmtId="9" fontId="9" fillId="0" borderId="19" xfId="5" applyFont="1" applyBorder="1" applyAlignment="1">
      <alignment wrapText="1"/>
    </xf>
    <xf numFmtId="9" fontId="9" fillId="0" borderId="19" xfId="5" applyFont="1" applyFill="1" applyBorder="1" applyAlignment="1">
      <alignment wrapText="1"/>
    </xf>
    <xf numFmtId="164" fontId="9" fillId="0" borderId="19" xfId="6" applyFont="1" applyBorder="1" applyAlignment="1">
      <alignment wrapText="1"/>
    </xf>
    <xf numFmtId="167" fontId="9" fillId="0" borderId="19" xfId="4" applyNumberFormat="1" applyFont="1" applyBorder="1" applyAlignment="1">
      <alignment wrapText="1"/>
    </xf>
    <xf numFmtId="167" fontId="9" fillId="0" borderId="0" xfId="4" applyNumberFormat="1" applyFont="1" applyFill="1" applyBorder="1" applyAlignment="1">
      <alignment wrapText="1"/>
    </xf>
    <xf numFmtId="167" fontId="9" fillId="20" borderId="19" xfId="4" applyNumberFormat="1" applyFont="1" applyFill="1" applyBorder="1" applyAlignment="1">
      <alignment wrapText="1"/>
    </xf>
    <xf numFmtId="0" fontId="9" fillId="0" borderId="28" xfId="3" applyFont="1" applyBorder="1" applyAlignment="1">
      <alignment horizontal="left" wrapText="1" readingOrder="1"/>
    </xf>
    <xf numFmtId="0" fontId="9" fillId="0" borderId="0" xfId="3" applyFont="1" applyFill="1" applyBorder="1" applyAlignment="1">
      <alignment horizontal="left" wrapText="1" readingOrder="1"/>
    </xf>
    <xf numFmtId="166" fontId="9" fillId="0" borderId="0" xfId="8" applyNumberFormat="1" applyFont="1" applyBorder="1" applyAlignment="1">
      <alignment horizontal="right" wrapText="1" readingOrder="1"/>
    </xf>
    <xf numFmtId="44" fontId="9" fillId="0" borderId="0" xfId="8" applyFont="1" applyFill="1" applyBorder="1" applyAlignment="1">
      <alignment horizontal="right" wrapText="1" readingOrder="1"/>
    </xf>
    <xf numFmtId="166" fontId="9" fillId="0" borderId="29" xfId="8" applyNumberFormat="1" applyFont="1" applyBorder="1" applyAlignment="1">
      <alignment horizontal="right" wrapText="1" readingOrder="1"/>
    </xf>
    <xf numFmtId="44" fontId="9" fillId="0" borderId="29" xfId="8" applyFont="1" applyBorder="1" applyAlignment="1">
      <alignment horizontal="right" wrapText="1" readingOrder="1"/>
    </xf>
    <xf numFmtId="166" fontId="9" fillId="0" borderId="0" xfId="8" applyNumberFormat="1" applyFont="1" applyFill="1" applyBorder="1" applyAlignment="1">
      <alignment horizontal="right" wrapText="1" readingOrder="1"/>
    </xf>
    <xf numFmtId="9" fontId="9" fillId="0" borderId="0" xfId="5" applyFont="1" applyBorder="1" applyAlignment="1">
      <alignment horizontal="center" wrapText="1" readingOrder="1"/>
    </xf>
    <xf numFmtId="44" fontId="9" fillId="20" borderId="0" xfId="8" applyFont="1" applyFill="1" applyBorder="1" applyAlignment="1">
      <alignment horizontal="right" wrapText="1" readingOrder="1"/>
    </xf>
    <xf numFmtId="166" fontId="9" fillId="20" borderId="29" xfId="8" applyNumberFormat="1" applyFont="1" applyFill="1" applyBorder="1" applyAlignment="1">
      <alignment horizontal="right" wrapText="1" readingOrder="1"/>
    </xf>
    <xf numFmtId="9" fontId="9" fillId="20" borderId="29" xfId="5" applyFont="1" applyFill="1" applyBorder="1" applyAlignment="1">
      <alignment horizontal="center" wrapText="1" readingOrder="1"/>
    </xf>
    <xf numFmtId="0" fontId="9" fillId="0" borderId="19" xfId="3" applyFont="1" applyFill="1" applyBorder="1" applyAlignment="1">
      <alignment horizontal="left" wrapText="1" readingOrder="1"/>
    </xf>
    <xf numFmtId="166" fontId="9" fillId="0" borderId="19" xfId="8" applyNumberFormat="1" applyFont="1" applyBorder="1" applyAlignment="1">
      <alignment horizontal="right" wrapText="1" readingOrder="1"/>
    </xf>
    <xf numFmtId="44" fontId="9" fillId="0" borderId="19" xfId="8" applyFont="1" applyBorder="1" applyAlignment="1">
      <alignment horizontal="right" wrapText="1" readingOrder="1"/>
    </xf>
    <xf numFmtId="9" fontId="9" fillId="0" borderId="19" xfId="5" applyFont="1" applyBorder="1" applyAlignment="1">
      <alignment horizontal="center" wrapText="1" readingOrder="1"/>
    </xf>
    <xf numFmtId="44" fontId="9" fillId="20" borderId="19" xfId="8" applyFont="1" applyFill="1" applyBorder="1" applyAlignment="1">
      <alignment horizontal="right" wrapText="1" readingOrder="1"/>
    </xf>
    <xf numFmtId="166" fontId="9" fillId="20" borderId="19" xfId="8" applyNumberFormat="1" applyFont="1" applyFill="1" applyBorder="1" applyAlignment="1">
      <alignment horizontal="right" wrapText="1" readingOrder="1"/>
    </xf>
    <xf numFmtId="0" fontId="9" fillId="0" borderId="24" xfId="3" applyFont="1" applyFill="1" applyBorder="1" applyAlignment="1">
      <alignment horizontal="left" wrapText="1" readingOrder="1"/>
    </xf>
    <xf numFmtId="166" fontId="9" fillId="0" borderId="24" xfId="8" applyNumberFormat="1" applyFont="1" applyBorder="1" applyAlignment="1">
      <alignment horizontal="right" wrapText="1" readingOrder="1"/>
    </xf>
    <xf numFmtId="44" fontId="9" fillId="0" borderId="24" xfId="8" applyFont="1" applyBorder="1" applyAlignment="1">
      <alignment horizontal="right" wrapText="1" readingOrder="1"/>
    </xf>
    <xf numFmtId="9" fontId="9" fillId="0" borderId="24" xfId="5" applyFont="1" applyBorder="1" applyAlignment="1">
      <alignment horizontal="center" wrapText="1" readingOrder="1"/>
    </xf>
    <xf numFmtId="44" fontId="9" fillId="20" borderId="24" xfId="8" applyFont="1" applyFill="1" applyBorder="1" applyAlignment="1">
      <alignment horizontal="right" wrapText="1" readingOrder="1"/>
    </xf>
    <xf numFmtId="166" fontId="9" fillId="20" borderId="24" xfId="8" applyNumberFormat="1" applyFont="1" applyFill="1" applyBorder="1" applyAlignment="1">
      <alignment horizontal="right" wrapText="1" readingOrder="1"/>
    </xf>
    <xf numFmtId="0" fontId="9" fillId="0" borderId="27" xfId="3" applyFont="1" applyFill="1" applyBorder="1" applyAlignment="1">
      <alignment wrapText="1"/>
    </xf>
    <xf numFmtId="166" fontId="9" fillId="0" borderId="27" xfId="3" applyNumberFormat="1" applyFont="1" applyBorder="1" applyAlignment="1">
      <alignment wrapText="1"/>
    </xf>
    <xf numFmtId="0" fontId="9" fillId="0" borderId="0" xfId="3" applyFont="1" applyFill="1" applyBorder="1" applyAlignment="1">
      <alignment wrapText="1"/>
    </xf>
    <xf numFmtId="166" fontId="9" fillId="0" borderId="0" xfId="3" applyNumberFormat="1" applyFont="1" applyFill="1"/>
    <xf numFmtId="166" fontId="9" fillId="0" borderId="0" xfId="3" applyNumberFormat="1" applyFont="1" applyFill="1" applyBorder="1"/>
    <xf numFmtId="166" fontId="9" fillId="0" borderId="0" xfId="5" applyNumberFormat="1" applyFont="1" applyFill="1"/>
    <xf numFmtId="166" fontId="9" fillId="20" borderId="0" xfId="3" applyNumberFormat="1" applyFont="1" applyFill="1"/>
    <xf numFmtId="9" fontId="9" fillId="20" borderId="0" xfId="5" applyFont="1" applyFill="1" applyAlignment="1">
      <alignment horizontal="center"/>
    </xf>
    <xf numFmtId="44" fontId="9" fillId="0" borderId="0" xfId="8" applyFont="1" applyBorder="1" applyAlignment="1">
      <alignment horizontal="right" wrapText="1" readingOrder="1"/>
    </xf>
    <xf numFmtId="166" fontId="9" fillId="20" borderId="0" xfId="8" applyNumberFormat="1" applyFont="1" applyFill="1" applyBorder="1" applyAlignment="1">
      <alignment horizontal="right" wrapText="1" readingOrder="1"/>
    </xf>
    <xf numFmtId="164" fontId="9" fillId="0" borderId="0" xfId="5" applyNumberFormat="1" applyFont="1"/>
    <xf numFmtId="166" fontId="9" fillId="0" borderId="0" xfId="3" applyNumberFormat="1" applyFont="1" applyBorder="1" applyAlignment="1">
      <alignment horizontal="right" wrapText="1" readingOrder="1"/>
    </xf>
    <xf numFmtId="166" fontId="9" fillId="0" borderId="0" xfId="3" applyNumberFormat="1" applyFont="1" applyBorder="1" applyAlignment="1">
      <alignment horizontal="left" wrapText="1" readingOrder="1"/>
    </xf>
    <xf numFmtId="166" fontId="11" fillId="0" borderId="0" xfId="5" applyNumberFormat="1" applyFont="1" applyFill="1" applyBorder="1" applyAlignment="1">
      <alignment horizontal="right" wrapText="1" readingOrder="1"/>
    </xf>
    <xf numFmtId="166" fontId="9" fillId="20" borderId="0" xfId="3" applyNumberFormat="1" applyFont="1" applyFill="1" applyBorder="1" applyAlignment="1">
      <alignment horizontal="right" wrapText="1" readingOrder="1"/>
    </xf>
    <xf numFmtId="166" fontId="9" fillId="0" borderId="0" xfId="3" applyNumberFormat="1" applyFont="1" applyFill="1" applyBorder="1" applyAlignment="1">
      <alignment horizontal="right" wrapText="1" readingOrder="1"/>
    </xf>
    <xf numFmtId="166" fontId="9" fillId="0" borderId="19" xfId="8" applyNumberFormat="1" applyFont="1" applyFill="1" applyBorder="1" applyAlignment="1">
      <alignment horizontal="right" wrapText="1" readingOrder="1"/>
    </xf>
    <xf numFmtId="166" fontId="9" fillId="20" borderId="19" xfId="3" applyNumberFormat="1" applyFont="1" applyFill="1" applyBorder="1" applyAlignment="1">
      <alignment horizontal="right" wrapText="1" readingOrder="1"/>
    </xf>
    <xf numFmtId="166" fontId="9" fillId="20" borderId="24" xfId="3" applyNumberFormat="1" applyFont="1" applyFill="1" applyBorder="1" applyAlignment="1">
      <alignment horizontal="right" wrapText="1" readingOrder="1"/>
    </xf>
    <xf numFmtId="0" fontId="11" fillId="0" borderId="0" xfId="3" applyFont="1" applyFill="1" applyBorder="1" applyAlignment="1">
      <alignment horizontal="left" vertical="center" wrapText="1" readingOrder="1"/>
    </xf>
    <xf numFmtId="166" fontId="11" fillId="0" borderId="27" xfId="8" applyNumberFormat="1" applyFont="1" applyBorder="1" applyAlignment="1">
      <alignment horizontal="right" wrapText="1" readingOrder="1"/>
    </xf>
    <xf numFmtId="166" fontId="11" fillId="0" borderId="0" xfId="8" applyNumberFormat="1" applyFont="1" applyFill="1" applyBorder="1" applyAlignment="1">
      <alignment horizontal="right" wrapText="1" readingOrder="1"/>
    </xf>
    <xf numFmtId="44" fontId="11" fillId="0" borderId="0" xfId="8" applyFont="1" applyFill="1" applyBorder="1" applyAlignment="1">
      <alignment horizontal="right" wrapText="1" readingOrder="1"/>
    </xf>
    <xf numFmtId="9" fontId="11" fillId="20" borderId="27" xfId="5" applyFont="1" applyFill="1" applyBorder="1" applyAlignment="1">
      <alignment horizontal="center" wrapText="1" readingOrder="1"/>
    </xf>
    <xf numFmtId="169" fontId="9" fillId="0" borderId="0" xfId="3" applyNumberFormat="1" applyFont="1"/>
    <xf numFmtId="0" fontId="9" fillId="0" borderId="19" xfId="3" applyFont="1" applyBorder="1" applyAlignment="1">
      <alignment horizontal="center" vertical="center" wrapText="1"/>
    </xf>
    <xf numFmtId="0" fontId="9" fillId="0" borderId="19" xfId="3" applyFont="1" applyFill="1" applyBorder="1" applyAlignment="1">
      <alignment wrapText="1"/>
    </xf>
    <xf numFmtId="165" fontId="9" fillId="0" borderId="19" xfId="3" applyNumberFormat="1" applyFont="1" applyBorder="1" applyAlignment="1">
      <alignment wrapText="1"/>
    </xf>
    <xf numFmtId="0" fontId="9" fillId="0" borderId="19" xfId="3" applyFont="1" applyBorder="1" applyAlignment="1">
      <alignment horizontal="right" wrapText="1"/>
    </xf>
    <xf numFmtId="0" fontId="9" fillId="0" borderId="0" xfId="3" applyFont="1" applyFill="1" applyBorder="1" applyAlignment="1">
      <alignment horizontal="right" wrapText="1"/>
    </xf>
    <xf numFmtId="0" fontId="9" fillId="20" borderId="19" xfId="3" applyFont="1" applyFill="1" applyBorder="1" applyAlignment="1">
      <alignment horizontal="right" wrapText="1"/>
    </xf>
    <xf numFmtId="170" fontId="9" fillId="0" borderId="29" xfId="8" applyNumberFormat="1" applyFont="1" applyBorder="1" applyAlignment="1">
      <alignment horizontal="right" wrapText="1" readingOrder="1"/>
    </xf>
    <xf numFmtId="170" fontId="9" fillId="0" borderId="0" xfId="8" applyNumberFormat="1" applyFont="1" applyFill="1" applyBorder="1" applyAlignment="1">
      <alignment horizontal="right" wrapText="1" readingOrder="1"/>
    </xf>
    <xf numFmtId="9" fontId="9" fillId="0" borderId="29" xfId="5" applyFont="1" applyBorder="1" applyAlignment="1">
      <alignment horizontal="center"/>
    </xf>
    <xf numFmtId="170" fontId="9" fillId="20" borderId="0" xfId="8" applyNumberFormat="1" applyFont="1" applyFill="1" applyBorder="1" applyAlignment="1">
      <alignment horizontal="right" wrapText="1" readingOrder="1"/>
    </xf>
    <xf numFmtId="170" fontId="9" fillId="20" borderId="29" xfId="8" applyNumberFormat="1" applyFont="1" applyFill="1" applyBorder="1" applyAlignment="1">
      <alignment horizontal="right" wrapText="1" readingOrder="1"/>
    </xf>
    <xf numFmtId="170" fontId="9" fillId="0" borderId="19" xfId="8" applyNumberFormat="1" applyFont="1" applyBorder="1" applyAlignment="1">
      <alignment horizontal="right" wrapText="1" readingOrder="1"/>
    </xf>
    <xf numFmtId="170" fontId="9" fillId="20" borderId="19" xfId="8" applyNumberFormat="1" applyFont="1" applyFill="1" applyBorder="1" applyAlignment="1">
      <alignment horizontal="right" wrapText="1" readingOrder="1"/>
    </xf>
    <xf numFmtId="0" fontId="9" fillId="0" borderId="25" xfId="3" applyFont="1" applyFill="1" applyBorder="1" applyAlignment="1">
      <alignment horizontal="left" wrapText="1" readingOrder="1"/>
    </xf>
    <xf numFmtId="0" fontId="9" fillId="0" borderId="25" xfId="3" applyFont="1" applyBorder="1" applyAlignment="1">
      <alignment horizontal="right" wrapText="1" readingOrder="1"/>
    </xf>
    <xf numFmtId="0" fontId="9" fillId="0" borderId="0" xfId="3" applyFont="1" applyFill="1" applyBorder="1" applyAlignment="1">
      <alignment horizontal="right" wrapText="1" readingOrder="1"/>
    </xf>
    <xf numFmtId="0" fontId="9" fillId="20" borderId="25" xfId="3" applyFont="1" applyFill="1" applyBorder="1" applyAlignment="1">
      <alignment horizontal="right" wrapText="1" readingOrder="1"/>
    </xf>
    <xf numFmtId="9" fontId="9" fillId="20" borderId="25" xfId="5" applyFont="1" applyFill="1" applyBorder="1" applyAlignment="1">
      <alignment horizontal="center" wrapText="1" readingOrder="1"/>
    </xf>
    <xf numFmtId="170" fontId="9" fillId="0" borderId="0" xfId="8" applyNumberFormat="1" applyFont="1" applyBorder="1" applyAlignment="1">
      <alignment horizontal="right" wrapText="1" readingOrder="1"/>
    </xf>
    <xf numFmtId="0" fontId="9" fillId="0" borderId="0" xfId="3" applyFont="1" applyBorder="1" applyAlignment="1">
      <alignment horizontal="right" wrapText="1" readingOrder="1"/>
    </xf>
    <xf numFmtId="0" fontId="9" fillId="20" borderId="0" xfId="3" applyFont="1" applyFill="1" applyBorder="1" applyAlignment="1">
      <alignment horizontal="right" wrapText="1" readingOrder="1"/>
    </xf>
    <xf numFmtId="0" fontId="9" fillId="0" borderId="34" xfId="3" applyFont="1" applyBorder="1" applyAlignment="1">
      <alignment horizontal="left" wrapText="1" readingOrder="1"/>
    </xf>
    <xf numFmtId="0" fontId="9" fillId="0" borderId="34" xfId="3" applyFont="1" applyFill="1" applyBorder="1" applyAlignment="1">
      <alignment horizontal="left" wrapText="1" readingOrder="1"/>
    </xf>
    <xf numFmtId="171" fontId="9" fillId="0" borderId="34" xfId="8" applyNumberFormat="1" applyFont="1" applyBorder="1" applyAlignment="1">
      <alignment horizontal="right" wrapText="1" readingOrder="1"/>
    </xf>
    <xf numFmtId="171" fontId="9" fillId="0" borderId="0" xfId="8" applyNumberFormat="1" applyFont="1" applyBorder="1" applyAlignment="1">
      <alignment horizontal="right" wrapText="1" readingOrder="1"/>
    </xf>
    <xf numFmtId="0" fontId="9" fillId="0" borderId="36" xfId="3" applyFont="1" applyBorder="1" applyAlignment="1">
      <alignment horizontal="left" wrapText="1" readingOrder="1"/>
    </xf>
    <xf numFmtId="0" fontId="9" fillId="0" borderId="36" xfId="3" applyFont="1" applyFill="1" applyBorder="1" applyAlignment="1">
      <alignment horizontal="left" wrapText="1" readingOrder="1"/>
    </xf>
    <xf numFmtId="171" fontId="9" fillId="0" borderId="36" xfId="8" applyNumberFormat="1" applyFont="1" applyBorder="1" applyAlignment="1">
      <alignment horizontal="right" wrapText="1" readingOrder="1"/>
    </xf>
    <xf numFmtId="0" fontId="9" fillId="0" borderId="37" xfId="3" applyFont="1" applyBorder="1" applyAlignment="1"/>
    <xf numFmtId="0" fontId="9" fillId="0" borderId="21" xfId="3" applyFont="1" applyBorder="1" applyAlignment="1">
      <alignment wrapText="1"/>
    </xf>
    <xf numFmtId="0" fontId="9" fillId="0" borderId="0" xfId="3" applyFont="1" applyBorder="1"/>
    <xf numFmtId="171" fontId="9" fillId="0" borderId="34" xfId="8" applyNumberFormat="1" applyFont="1" applyFill="1" applyBorder="1" applyAlignment="1">
      <alignment horizontal="right" wrapText="1" readingOrder="1"/>
    </xf>
    <xf numFmtId="0" fontId="9" fillId="0" borderId="34" xfId="8" applyNumberFormat="1" applyFont="1" applyBorder="1" applyAlignment="1">
      <alignment horizontal="right" wrapText="1" readingOrder="1"/>
    </xf>
    <xf numFmtId="171" fontId="9" fillId="0" borderId="36" xfId="8" applyNumberFormat="1" applyFont="1" applyFill="1" applyBorder="1" applyAlignment="1">
      <alignment horizontal="right" wrapText="1" readingOrder="1"/>
    </xf>
    <xf numFmtId="0" fontId="9" fillId="0" borderId="36" xfId="8" applyNumberFormat="1" applyFont="1" applyBorder="1" applyAlignment="1">
      <alignment horizontal="right" wrapText="1" readingOrder="1"/>
    </xf>
    <xf numFmtId="172" fontId="9" fillId="0" borderId="0" xfId="4" applyNumberFormat="1" applyFont="1" applyBorder="1" applyAlignment="1">
      <alignment horizontal="right" wrapText="1" readingOrder="1"/>
    </xf>
    <xf numFmtId="168" fontId="9" fillId="0" borderId="34" xfId="5" applyNumberFormat="1" applyFont="1" applyFill="1" applyBorder="1" applyAlignment="1">
      <alignment horizontal="center" wrapText="1" readingOrder="1"/>
    </xf>
    <xf numFmtId="9" fontId="9" fillId="0" borderId="0" xfId="5" applyFont="1" applyFill="1" applyBorder="1" applyAlignment="1">
      <alignment horizontal="center" wrapText="1" readingOrder="1"/>
    </xf>
    <xf numFmtId="10" fontId="9" fillId="0" borderId="34" xfId="5" applyNumberFormat="1" applyFont="1" applyFill="1" applyBorder="1" applyAlignment="1">
      <alignment horizontal="center" wrapText="1" readingOrder="1"/>
    </xf>
    <xf numFmtId="9" fontId="9" fillId="0" borderId="34" xfId="5" applyFont="1" applyFill="1" applyBorder="1" applyAlignment="1">
      <alignment horizontal="center" wrapText="1" readingOrder="1"/>
    </xf>
    <xf numFmtId="168" fontId="9" fillId="20" borderId="29" xfId="5" applyNumberFormat="1" applyFont="1" applyFill="1" applyBorder="1" applyAlignment="1">
      <alignment horizontal="center" wrapText="1" readingOrder="1"/>
    </xf>
    <xf numFmtId="168" fontId="9" fillId="0" borderId="36" xfId="5" applyNumberFormat="1" applyFont="1" applyFill="1" applyBorder="1" applyAlignment="1">
      <alignment horizontal="center" wrapText="1" readingOrder="1"/>
    </xf>
    <xf numFmtId="10" fontId="9" fillId="0" borderId="36" xfId="5" applyNumberFormat="1" applyFont="1" applyFill="1" applyBorder="1" applyAlignment="1">
      <alignment horizontal="center" wrapText="1" readingOrder="1"/>
    </xf>
    <xf numFmtId="9" fontId="9" fillId="0" borderId="36" xfId="5" applyFont="1" applyFill="1" applyBorder="1" applyAlignment="1">
      <alignment horizontal="center" wrapText="1" readingOrder="1"/>
    </xf>
    <xf numFmtId="168" fontId="9" fillId="20" borderId="19" xfId="5" applyNumberFormat="1" applyFont="1" applyFill="1" applyBorder="1" applyAlignment="1">
      <alignment horizontal="center" wrapText="1" readingOrder="1"/>
    </xf>
    <xf numFmtId="0" fontId="9" fillId="0" borderId="37" xfId="3" applyFont="1" applyBorder="1" applyAlignment="1">
      <alignment vertical="center" wrapText="1" readingOrder="1"/>
    </xf>
    <xf numFmtId="168" fontId="9" fillId="0" borderId="0" xfId="3" applyNumberFormat="1" applyFont="1"/>
    <xf numFmtId="10" fontId="9" fillId="0" borderId="0" xfId="3" applyNumberFormat="1" applyFont="1"/>
    <xf numFmtId="168" fontId="9" fillId="20" borderId="0" xfId="3" applyNumberFormat="1" applyFont="1" applyFill="1"/>
    <xf numFmtId="168" fontId="9" fillId="0" borderId="34" xfId="5" applyNumberFormat="1" applyFont="1" applyBorder="1" applyAlignment="1">
      <alignment horizontal="center" wrapText="1" readingOrder="1"/>
    </xf>
    <xf numFmtId="10" fontId="9" fillId="0" borderId="34" xfId="5" applyNumberFormat="1" applyFont="1" applyBorder="1" applyAlignment="1">
      <alignment horizontal="center" wrapText="1" readingOrder="1"/>
    </xf>
    <xf numFmtId="9" fontId="9" fillId="0" borderId="34" xfId="5" applyFont="1" applyBorder="1" applyAlignment="1">
      <alignment horizontal="center" wrapText="1" readingOrder="1"/>
    </xf>
    <xf numFmtId="168" fontId="9" fillId="20" borderId="0" xfId="5" applyNumberFormat="1" applyFont="1" applyFill="1" applyBorder="1" applyAlignment="1">
      <alignment horizontal="center" wrapText="1" readingOrder="1"/>
    </xf>
    <xf numFmtId="168" fontId="9" fillId="0" borderId="36" xfId="5" applyNumberFormat="1" applyFont="1" applyBorder="1" applyAlignment="1">
      <alignment horizontal="center" wrapText="1" readingOrder="1"/>
    </xf>
    <xf numFmtId="10" fontId="9" fillId="0" borderId="36" xfId="5" applyNumberFormat="1" applyFont="1" applyBorder="1" applyAlignment="1">
      <alignment horizontal="center" wrapText="1" readingOrder="1"/>
    </xf>
    <xf numFmtId="9" fontId="9" fillId="0" borderId="36" xfId="5" applyFont="1" applyBorder="1" applyAlignment="1">
      <alignment horizontal="center" wrapText="1" readingOrder="1"/>
    </xf>
    <xf numFmtId="168" fontId="9" fillId="0" borderId="0" xfId="3" applyNumberFormat="1" applyFont="1" applyBorder="1" applyAlignment="1">
      <alignment horizontal="right" wrapText="1" readingOrder="1"/>
    </xf>
    <xf numFmtId="10" fontId="9" fillId="0" borderId="0" xfId="3" applyNumberFormat="1" applyFont="1" applyBorder="1" applyAlignment="1">
      <alignment horizontal="right" wrapText="1" readingOrder="1"/>
    </xf>
    <xf numFmtId="9" fontId="9" fillId="0" borderId="34" xfId="5" applyFont="1" applyBorder="1" applyAlignment="1">
      <alignment wrapText="1" readingOrder="1"/>
    </xf>
    <xf numFmtId="168" fontId="9" fillId="0" borderId="34" xfId="5" applyNumberFormat="1" applyFont="1" applyBorder="1" applyAlignment="1">
      <alignment wrapText="1" readingOrder="1"/>
    </xf>
    <xf numFmtId="9" fontId="9" fillId="0" borderId="36" xfId="5" applyFont="1" applyBorder="1" applyAlignment="1">
      <alignment wrapText="1" readingOrder="1"/>
    </xf>
    <xf numFmtId="168" fontId="9" fillId="0" borderId="36" xfId="5" applyNumberFormat="1" applyFont="1" applyBorder="1" applyAlignment="1">
      <alignment wrapText="1" readingOrder="1"/>
    </xf>
    <xf numFmtId="168" fontId="9" fillId="0" borderId="0" xfId="5" applyNumberFormat="1" applyFont="1" applyBorder="1" applyAlignment="1">
      <alignment horizontal="center" wrapText="1" readingOrder="1"/>
    </xf>
    <xf numFmtId="10" fontId="9" fillId="0" borderId="0" xfId="5" applyNumberFormat="1" applyFont="1" applyBorder="1" applyAlignment="1">
      <alignment horizontal="center" wrapText="1" readingOrder="1"/>
    </xf>
    <xf numFmtId="9" fontId="9" fillId="0" borderId="0" xfId="5" applyFont="1" applyBorder="1" applyAlignment="1">
      <alignment wrapText="1" readingOrder="1"/>
    </xf>
    <xf numFmtId="168" fontId="9" fillId="0" borderId="0" xfId="5" applyNumberFormat="1" applyFont="1" applyBorder="1" applyAlignment="1">
      <alignment wrapText="1" readingOrder="1"/>
    </xf>
    <xf numFmtId="9" fontId="9" fillId="0" borderId="34" xfId="5" applyFont="1" applyBorder="1" applyAlignment="1">
      <alignment horizontal="right" wrapText="1" readingOrder="1"/>
    </xf>
    <xf numFmtId="9" fontId="9" fillId="0" borderId="36" xfId="5" applyFont="1" applyBorder="1" applyAlignment="1">
      <alignment horizontal="right" wrapText="1" readingOrder="1"/>
    </xf>
    <xf numFmtId="0" fontId="12" fillId="0" borderId="0" xfId="3" applyFont="1"/>
    <xf numFmtId="0" fontId="8" fillId="0" borderId="0" xfId="3"/>
    <xf numFmtId="0" fontId="12" fillId="19" borderId="0" xfId="3" applyFont="1" applyFill="1" applyAlignment="1">
      <alignment horizontal="center"/>
    </xf>
    <xf numFmtId="0" fontId="12" fillId="23" borderId="0" xfId="3" applyFont="1" applyFill="1" applyAlignment="1">
      <alignment horizontal="center"/>
    </xf>
    <xf numFmtId="0" fontId="12" fillId="4" borderId="0" xfId="3" applyFont="1" applyFill="1" applyAlignment="1">
      <alignment horizontal="center"/>
    </xf>
    <xf numFmtId="0" fontId="12" fillId="0" borderId="0" xfId="3" applyFont="1" applyAlignment="1">
      <alignment horizontal="center"/>
    </xf>
    <xf numFmtId="164" fontId="0" fillId="0" borderId="0" xfId="6" applyFont="1"/>
    <xf numFmtId="164" fontId="12" fillId="0" borderId="0" xfId="3" applyNumberFormat="1" applyFont="1"/>
    <xf numFmtId="164" fontId="8" fillId="0" borderId="0" xfId="3" applyNumberFormat="1"/>
    <xf numFmtId="9" fontId="0" fillId="0" borderId="0" xfId="5" applyFont="1"/>
    <xf numFmtId="164" fontId="12" fillId="0" borderId="0" xfId="6" applyFont="1"/>
    <xf numFmtId="168" fontId="12" fillId="0" borderId="0" xfId="5" applyNumberFormat="1" applyFont="1"/>
    <xf numFmtId="9" fontId="12" fillId="0" borderId="0" xfId="5" applyFont="1"/>
    <xf numFmtId="168" fontId="0" fillId="0" borderId="0" xfId="5" applyNumberFormat="1" applyFont="1"/>
    <xf numFmtId="173" fontId="0" fillId="0" borderId="0" xfId="6" applyNumberFormat="1" applyFont="1"/>
    <xf numFmtId="173" fontId="12" fillId="0" borderId="0" xfId="3" applyNumberFormat="1" applyFont="1"/>
    <xf numFmtId="173" fontId="12" fillId="0" borderId="0" xfId="6" applyNumberFormat="1" applyFont="1"/>
    <xf numFmtId="173" fontId="8" fillId="0" borderId="0" xfId="3" applyNumberFormat="1"/>
    <xf numFmtId="3" fontId="2" fillId="7" borderId="1" xfId="0" applyNumberFormat="1" applyFont="1" applyFill="1" applyBorder="1"/>
    <xf numFmtId="166" fontId="2" fillId="6" borderId="1" xfId="1" applyNumberFormat="1" applyFont="1" applyFill="1" applyBorder="1"/>
    <xf numFmtId="3" fontId="2" fillId="11" borderId="1" xfId="0" applyNumberFormat="1" applyFont="1" applyFill="1" applyBorder="1"/>
    <xf numFmtId="166" fontId="2" fillId="10" borderId="1" xfId="1" applyNumberFormat="1" applyFont="1" applyFill="1" applyBorder="1"/>
    <xf numFmtId="3" fontId="2" fillId="13" borderId="1" xfId="0" applyNumberFormat="1" applyFont="1" applyFill="1" applyBorder="1"/>
    <xf numFmtId="166" fontId="2" fillId="12" borderId="1" xfId="1" applyNumberFormat="1" applyFont="1" applyFill="1" applyBorder="1"/>
    <xf numFmtId="3" fontId="2" fillId="3" borderId="1" xfId="0" applyNumberFormat="1" applyFont="1" applyFill="1" applyBorder="1"/>
    <xf numFmtId="3" fontId="0" fillId="3" borderId="1" xfId="0" applyNumberFormat="1" applyFont="1" applyFill="1" applyBorder="1"/>
    <xf numFmtId="3" fontId="0" fillId="3" borderId="38" xfId="0" applyNumberFormat="1" applyFont="1" applyFill="1" applyBorder="1"/>
    <xf numFmtId="3" fontId="0" fillId="7" borderId="1" xfId="0" applyNumberFormat="1" applyFont="1" applyFill="1" applyBorder="1"/>
    <xf numFmtId="3" fontId="0" fillId="7" borderId="38" xfId="0" applyNumberFormat="1" applyFont="1" applyFill="1" applyBorder="1"/>
    <xf numFmtId="3" fontId="0" fillId="11" borderId="1" xfId="0" applyNumberFormat="1" applyFont="1" applyFill="1" applyBorder="1"/>
    <xf numFmtId="3" fontId="0" fillId="11" borderId="38" xfId="0" applyNumberFormat="1" applyFont="1" applyFill="1" applyBorder="1"/>
    <xf numFmtId="3" fontId="0" fillId="13" borderId="1" xfId="0" applyNumberFormat="1" applyFont="1" applyFill="1" applyBorder="1"/>
    <xf numFmtId="166" fontId="2" fillId="4" borderId="1" xfId="1" applyNumberFormat="1" applyFont="1" applyFill="1" applyBorder="1"/>
    <xf numFmtId="166" fontId="1" fillId="4" borderId="1" xfId="1" applyNumberFormat="1" applyFont="1" applyFill="1" applyBorder="1"/>
    <xf numFmtId="166" fontId="1" fillId="6" borderId="1" xfId="1" applyNumberFormat="1" applyFont="1" applyFill="1" applyBorder="1"/>
    <xf numFmtId="166" fontId="1" fillId="10" borderId="1" xfId="1" applyNumberFormat="1" applyFont="1" applyFill="1" applyBorder="1"/>
    <xf numFmtId="166" fontId="1" fillId="12" borderId="1" xfId="1" applyNumberFormat="1" applyFont="1" applyFill="1" applyBorder="1"/>
    <xf numFmtId="0" fontId="2" fillId="0" borderId="0" xfId="0" applyFont="1" applyAlignment="1">
      <alignment horizontal="center"/>
    </xf>
    <xf numFmtId="0" fontId="2" fillId="16" borderId="1" xfId="0" applyNumberFormat="1" applyFont="1" applyFill="1" applyBorder="1" applyAlignment="1">
      <alignment horizontal="center"/>
    </xf>
    <xf numFmtId="0" fontId="2" fillId="0" borderId="0" xfId="0" applyFont="1" applyAlignment="1"/>
    <xf numFmtId="3" fontId="0" fillId="0" borderId="0" xfId="0" applyNumberFormat="1"/>
    <xf numFmtId="3" fontId="0" fillId="0" borderId="1" xfId="0" applyNumberFormat="1" applyBorder="1"/>
    <xf numFmtId="0" fontId="2" fillId="0" borderId="1" xfId="0" applyFont="1" applyBorder="1" applyAlignment="1">
      <alignment horizontal="center"/>
    </xf>
    <xf numFmtId="0" fontId="4" fillId="0" borderId="0" xfId="0" applyFont="1"/>
    <xf numFmtId="9" fontId="0" fillId="0" borderId="1" xfId="2" applyFont="1" applyBorder="1" applyAlignment="1">
      <alignment horizontal="center"/>
    </xf>
    <xf numFmtId="3" fontId="0" fillId="3" borderId="39" xfId="0" applyNumberFormat="1" applyFill="1" applyBorder="1"/>
    <xf numFmtId="0" fontId="2" fillId="0" borderId="1" xfId="0" applyNumberFormat="1" applyFont="1" applyBorder="1"/>
    <xf numFmtId="166" fontId="0" fillId="0" borderId="1" xfId="1" applyNumberFormat="1" applyFont="1" applyBorder="1"/>
    <xf numFmtId="0" fontId="2" fillId="0" borderId="0" xfId="0" applyNumberFormat="1" applyFont="1" applyBorder="1"/>
    <xf numFmtId="3" fontId="0" fillId="0" borderId="0" xfId="0" applyNumberFormat="1" applyBorder="1"/>
    <xf numFmtId="166" fontId="0" fillId="0" borderId="0" xfId="1" applyNumberFormat="1" applyFont="1" applyBorder="1"/>
    <xf numFmtId="166" fontId="0" fillId="0" borderId="1" xfId="0" applyNumberFormat="1" applyBorder="1"/>
    <xf numFmtId="10" fontId="0" fillId="0" borderId="0" xfId="0" applyNumberFormat="1"/>
    <xf numFmtId="174" fontId="0" fillId="0" borderId="0" xfId="13" applyNumberFormat="1" applyFont="1"/>
    <xf numFmtId="0" fontId="0" fillId="0" borderId="0" xfId="0" applyNumberFormat="1" applyFont="1" applyFill="1" applyBorder="1" applyAlignment="1"/>
    <xf numFmtId="0" fontId="14" fillId="0" borderId="0" xfId="0" applyNumberFormat="1" applyFont="1" applyFill="1" applyBorder="1" applyAlignment="1"/>
    <xf numFmtId="0" fontId="0" fillId="0" borderId="0" xfId="13" applyNumberFormat="1" applyFont="1" applyFill="1" applyBorder="1" applyAlignment="1"/>
    <xf numFmtId="0" fontId="0" fillId="0" borderId="0" xfId="0" applyNumberFormat="1" applyFont="1" applyFill="1" applyBorder="1" applyAlignment="1">
      <alignment horizontal="center" vertical="center" wrapText="1"/>
    </xf>
    <xf numFmtId="17" fontId="0" fillId="0" borderId="0" xfId="0" applyNumberFormat="1" applyFont="1" applyFill="1" applyBorder="1" applyAlignment="1">
      <alignment horizontal="center" vertical="center" wrapText="1"/>
    </xf>
    <xf numFmtId="17" fontId="15" fillId="0" borderId="0" xfId="13" applyNumberFormat="1" applyFont="1" applyFill="1" applyBorder="1" applyAlignment="1">
      <alignment horizontal="center" vertical="center" wrapText="1"/>
    </xf>
    <xf numFmtId="0" fontId="15" fillId="0" borderId="0" xfId="0" applyNumberFormat="1" applyFont="1" applyFill="1" applyBorder="1" applyAlignment="1">
      <alignment horizontal="center" vertical="center" wrapText="1"/>
    </xf>
    <xf numFmtId="10" fontId="0" fillId="0" borderId="0" xfId="2" applyNumberFormat="1" applyFont="1" applyFill="1" applyBorder="1" applyAlignment="1"/>
    <xf numFmtId="0" fontId="15" fillId="0" borderId="0" xfId="0" applyNumberFormat="1" applyFont="1" applyFill="1" applyBorder="1" applyAlignment="1"/>
    <xf numFmtId="3" fontId="15" fillId="0" borderId="0" xfId="0" applyNumberFormat="1" applyFont="1" applyFill="1" applyBorder="1" applyAlignment="1"/>
    <xf numFmtId="9" fontId="15" fillId="0" borderId="0" xfId="0" applyNumberFormat="1" applyFont="1" applyFill="1" applyBorder="1" applyAlignment="1"/>
    <xf numFmtId="9" fontId="16" fillId="0" borderId="0" xfId="2" applyNumberFormat="1" applyFont="1" applyFill="1" applyBorder="1" applyAlignment="1"/>
    <xf numFmtId="3" fontId="15" fillId="0" borderId="0" xfId="13" applyNumberFormat="1" applyFont="1" applyFill="1" applyBorder="1" applyAlignment="1"/>
    <xf numFmtId="3" fontId="0" fillId="0" borderId="0" xfId="0" applyNumberFormat="1" applyFont="1" applyFill="1" applyBorder="1" applyAlignment="1"/>
    <xf numFmtId="10" fontId="16" fillId="0" borderId="0" xfId="2" applyNumberFormat="1" applyFont="1" applyFill="1" applyBorder="1" applyAlignment="1"/>
    <xf numFmtId="9" fontId="15" fillId="0" borderId="0" xfId="2" applyNumberFormat="1" applyFont="1" applyFill="1" applyBorder="1" applyAlignment="1"/>
    <xf numFmtId="9" fontId="0" fillId="0" borderId="0" xfId="0" applyNumberFormat="1" applyFont="1" applyFill="1" applyBorder="1" applyAlignment="1"/>
    <xf numFmtId="0" fontId="0" fillId="0" borderId="0" xfId="2" applyNumberFormat="1" applyFont="1" applyFill="1" applyBorder="1" applyAlignment="1"/>
    <xf numFmtId="0" fontId="18" fillId="0" borderId="0" xfId="0" applyNumberFormat="1" applyFont="1" applyFill="1" applyBorder="1" applyAlignment="1"/>
    <xf numFmtId="3" fontId="18" fillId="0" borderId="0" xfId="0" applyNumberFormat="1" applyFont="1" applyFill="1" applyBorder="1" applyAlignment="1"/>
    <xf numFmtId="9" fontId="18" fillId="0" borderId="0" xfId="0" applyNumberFormat="1" applyFont="1" applyFill="1" applyBorder="1" applyAlignment="1"/>
    <xf numFmtId="10" fontId="18" fillId="0" borderId="0" xfId="2" applyNumberFormat="1" applyFont="1" applyFill="1" applyBorder="1" applyAlignment="1"/>
    <xf numFmtId="9" fontId="18" fillId="0" borderId="0" xfId="2" applyNumberFormat="1" applyFont="1" applyFill="1" applyBorder="1" applyAlignment="1"/>
    <xf numFmtId="168" fontId="18" fillId="0" borderId="0" xfId="0" applyNumberFormat="1" applyFont="1" applyFill="1" applyBorder="1" applyAlignment="1"/>
    <xf numFmtId="3" fontId="18" fillId="0" borderId="0" xfId="13" applyNumberFormat="1" applyFont="1" applyFill="1" applyBorder="1" applyAlignment="1"/>
    <xf numFmtId="10" fontId="15" fillId="0" borderId="0" xfId="2" applyNumberFormat="1" applyFont="1" applyFill="1" applyBorder="1" applyAlignment="1"/>
    <xf numFmtId="168" fontId="15" fillId="0" borderId="0" xfId="0" applyNumberFormat="1" applyFont="1" applyFill="1" applyBorder="1" applyAlignment="1"/>
    <xf numFmtId="9" fontId="15" fillId="0" borderId="0" xfId="2" applyFont="1" applyFill="1" applyBorder="1" applyAlignment="1"/>
    <xf numFmtId="10" fontId="19" fillId="0" borderId="0" xfId="2" applyNumberFormat="1" applyFont="1" applyFill="1" applyBorder="1" applyAlignment="1"/>
    <xf numFmtId="9" fontId="19" fillId="0" borderId="0" xfId="2" applyNumberFormat="1" applyFont="1" applyFill="1" applyBorder="1" applyAlignment="1"/>
    <xf numFmtId="9" fontId="14" fillId="0" borderId="0" xfId="2" applyFont="1" applyFill="1" applyBorder="1" applyAlignment="1"/>
    <xf numFmtId="168" fontId="0" fillId="0" borderId="0" xfId="0" applyNumberFormat="1" applyFont="1" applyFill="1" applyBorder="1" applyAlignment="1"/>
    <xf numFmtId="3" fontId="19" fillId="0" borderId="0" xfId="13" applyNumberFormat="1" applyFont="1" applyFill="1" applyBorder="1" applyAlignment="1"/>
    <xf numFmtId="9" fontId="17" fillId="0" borderId="0" xfId="2" applyFont="1" applyFill="1" applyBorder="1" applyAlignment="1"/>
    <xf numFmtId="10" fontId="15" fillId="0" borderId="0" xfId="0" applyNumberFormat="1" applyFont="1" applyFill="1" applyBorder="1" applyAlignment="1"/>
    <xf numFmtId="9" fontId="0" fillId="0" borderId="0" xfId="2" applyFont="1" applyFill="1" applyBorder="1" applyAlignment="1"/>
    <xf numFmtId="0" fontId="17" fillId="0" borderId="0" xfId="0" applyNumberFormat="1" applyFont="1" applyFill="1" applyBorder="1" applyAlignment="1"/>
    <xf numFmtId="9" fontId="20" fillId="3" borderId="0" xfId="2" applyNumberFormat="1" applyFont="1" applyFill="1" applyBorder="1" applyAlignment="1"/>
    <xf numFmtId="173" fontId="18" fillId="0" borderId="0" xfId="0" applyNumberFormat="1" applyFont="1" applyFill="1" applyBorder="1" applyAlignment="1"/>
    <xf numFmtId="173" fontId="18" fillId="0" borderId="0" xfId="13" applyNumberFormat="1" applyFont="1" applyFill="1" applyBorder="1" applyAlignment="1"/>
    <xf numFmtId="173" fontId="15" fillId="0" borderId="0" xfId="0" applyNumberFormat="1" applyFont="1" applyFill="1" applyBorder="1" applyAlignment="1"/>
    <xf numFmtId="173" fontId="15" fillId="0" borderId="0" xfId="13" applyNumberFormat="1" applyFont="1" applyFill="1" applyBorder="1" applyAlignment="1"/>
    <xf numFmtId="175" fontId="15" fillId="0" borderId="0" xfId="0" applyNumberFormat="1" applyFont="1" applyFill="1" applyBorder="1" applyAlignment="1"/>
    <xf numFmtId="173" fontId="0" fillId="0" borderId="0" xfId="0" applyNumberFormat="1" applyFont="1" applyFill="1" applyBorder="1" applyAlignment="1"/>
    <xf numFmtId="175" fontId="0" fillId="0" borderId="0" xfId="0" applyNumberFormat="1" applyFont="1" applyFill="1" applyBorder="1" applyAlignment="1"/>
    <xf numFmtId="3" fontId="0" fillId="0" borderId="0" xfId="13" applyNumberFormat="1" applyFont="1" applyFill="1" applyBorder="1" applyAlignment="1"/>
    <xf numFmtId="10" fontId="0" fillId="0" borderId="0" xfId="0" applyNumberFormat="1" applyFont="1" applyFill="1" applyBorder="1" applyAlignment="1"/>
    <xf numFmtId="10" fontId="0" fillId="0" borderId="0" xfId="13" applyNumberFormat="1" applyFont="1" applyFill="1" applyBorder="1" applyAlignment="1"/>
    <xf numFmtId="176" fontId="0" fillId="0" borderId="0" xfId="0" applyNumberFormat="1" applyFont="1" applyFill="1" applyBorder="1" applyAlignment="1"/>
    <xf numFmtId="176" fontId="14" fillId="0" borderId="0" xfId="0" applyNumberFormat="1" applyFont="1" applyFill="1" applyBorder="1" applyAlignment="1"/>
    <xf numFmtId="176" fontId="15" fillId="0" borderId="0" xfId="0" applyNumberFormat="1" applyFont="1" applyFill="1" applyBorder="1" applyAlignment="1"/>
    <xf numFmtId="176" fontId="15" fillId="0" borderId="0" xfId="13" applyNumberFormat="1" applyFont="1" applyFill="1" applyBorder="1" applyAlignment="1"/>
    <xf numFmtId="0" fontId="0" fillId="0" borderId="0" xfId="0" applyNumberFormat="1" applyFont="1" applyFill="1" applyBorder="1" applyAlignment="1">
      <alignment vertical="center"/>
    </xf>
    <xf numFmtId="0" fontId="0" fillId="0" borderId="0" xfId="0" applyNumberFormat="1" applyFont="1" applyFill="1" applyBorder="1" applyAlignment="1">
      <alignment horizontal="center" vertical="center"/>
    </xf>
    <xf numFmtId="177" fontId="0" fillId="0" borderId="0" xfId="0" applyNumberFormat="1" applyFont="1" applyFill="1" applyBorder="1" applyAlignment="1"/>
    <xf numFmtId="177" fontId="15" fillId="0" borderId="0" xfId="0" applyNumberFormat="1" applyFont="1" applyFill="1" applyBorder="1" applyAlignment="1"/>
    <xf numFmtId="0" fontId="15" fillId="0" borderId="0" xfId="13" applyNumberFormat="1" applyFont="1" applyFill="1" applyBorder="1" applyAlignment="1"/>
    <xf numFmtId="176" fontId="14" fillId="0" borderId="0" xfId="2" applyNumberFormat="1" applyFont="1" applyFill="1" applyBorder="1" applyAlignment="1"/>
    <xf numFmtId="9" fontId="0" fillId="0" borderId="0" xfId="2" applyFont="1" applyFill="1" applyBorder="1" applyAlignment="1">
      <alignment horizontal="center"/>
    </xf>
    <xf numFmtId="17" fontId="2" fillId="0" borderId="0" xfId="0" applyNumberFormat="1" applyFont="1" applyFill="1" applyBorder="1" applyAlignment="1">
      <alignment horizontal="center" vertical="center" wrapText="1"/>
    </xf>
    <xf numFmtId="168" fontId="0" fillId="0" borderId="0" xfId="2" applyNumberFormat="1" applyFont="1" applyFill="1" applyBorder="1" applyAlignment="1"/>
    <xf numFmtId="0" fontId="2" fillId="0" borderId="0" xfId="0" applyNumberFormat="1" applyFont="1" applyFill="1" applyBorder="1" applyAlignment="1"/>
    <xf numFmtId="0" fontId="2" fillId="0" borderId="0" xfId="13" applyNumberFormat="1" applyFont="1" applyFill="1" applyBorder="1" applyAlignment="1"/>
    <xf numFmtId="166" fontId="0" fillId="0" borderId="1" xfId="1" applyNumberFormat="1" applyFont="1" applyFill="1" applyBorder="1"/>
    <xf numFmtId="9" fontId="0" fillId="0" borderId="0" xfId="2" applyFont="1"/>
    <xf numFmtId="0" fontId="21" fillId="0" borderId="0" xfId="0" applyFont="1" applyAlignment="1">
      <alignment horizontal="center"/>
    </xf>
    <xf numFmtId="17" fontId="2" fillId="16" borderId="41" xfId="0" applyNumberFormat="1" applyFont="1" applyFill="1" applyBorder="1" applyAlignment="1">
      <alignment horizontal="center"/>
    </xf>
    <xf numFmtId="10" fontId="0" fillId="15" borderId="42" xfId="2" applyNumberFormat="1" applyFont="1" applyFill="1" applyBorder="1"/>
    <xf numFmtId="10" fontId="0" fillId="14" borderId="43" xfId="2" applyNumberFormat="1" applyFont="1" applyFill="1" applyBorder="1"/>
    <xf numFmtId="10" fontId="0" fillId="3" borderId="42" xfId="2" applyNumberFormat="1" applyFont="1" applyFill="1" applyBorder="1"/>
    <xf numFmtId="10" fontId="0" fillId="4" borderId="43" xfId="2" applyNumberFormat="1" applyFont="1" applyFill="1" applyBorder="1"/>
    <xf numFmtId="10" fontId="0" fillId="7" borderId="42" xfId="2" applyNumberFormat="1" applyFont="1" applyFill="1" applyBorder="1"/>
    <xf numFmtId="10" fontId="0" fillId="6" borderId="43" xfId="2" applyNumberFormat="1" applyFont="1" applyFill="1" applyBorder="1"/>
    <xf numFmtId="10" fontId="0" fillId="11" borderId="42" xfId="2" applyNumberFormat="1" applyFont="1" applyFill="1" applyBorder="1"/>
    <xf numFmtId="10" fontId="0" fillId="10" borderId="43" xfId="2" applyNumberFormat="1" applyFont="1" applyFill="1" applyBorder="1"/>
    <xf numFmtId="10" fontId="0" fillId="13" borderId="42" xfId="2" applyNumberFormat="1" applyFont="1" applyFill="1" applyBorder="1"/>
    <xf numFmtId="10" fontId="0" fillId="12" borderId="43" xfId="2" applyNumberFormat="1" applyFont="1" applyFill="1" applyBorder="1"/>
    <xf numFmtId="0" fontId="0" fillId="17" borderId="44" xfId="0" applyFill="1" applyBorder="1"/>
    <xf numFmtId="17" fontId="2" fillId="16" borderId="17" xfId="0" applyNumberFormat="1" applyFont="1" applyFill="1" applyBorder="1" applyAlignment="1">
      <alignment horizontal="center"/>
    </xf>
    <xf numFmtId="0" fontId="0" fillId="17" borderId="0" xfId="0" applyFill="1" applyBorder="1"/>
    <xf numFmtId="17" fontId="2" fillId="16" borderId="18" xfId="0" applyNumberFormat="1" applyFont="1" applyFill="1" applyBorder="1" applyAlignment="1">
      <alignment horizontal="center"/>
    </xf>
    <xf numFmtId="0" fontId="0" fillId="17" borderId="45" xfId="0" applyFill="1" applyBorder="1"/>
    <xf numFmtId="3" fontId="0" fillId="15" borderId="42" xfId="0" applyNumberFormat="1" applyFill="1" applyBorder="1"/>
    <xf numFmtId="166" fontId="0" fillId="14" borderId="43" xfId="1" applyNumberFormat="1" applyFont="1" applyFill="1" applyBorder="1"/>
    <xf numFmtId="3" fontId="0" fillId="3" borderId="42" xfId="0" applyNumberFormat="1" applyFill="1" applyBorder="1"/>
    <xf numFmtId="166" fontId="0" fillId="4" borderId="43" xfId="1" applyNumberFormat="1" applyFont="1" applyFill="1" applyBorder="1"/>
    <xf numFmtId="3" fontId="0" fillId="7" borderId="42" xfId="0" applyNumberFormat="1" applyFill="1" applyBorder="1"/>
    <xf numFmtId="166" fontId="0" fillId="6" borderId="43" xfId="1" applyNumberFormat="1" applyFont="1" applyFill="1" applyBorder="1"/>
    <xf numFmtId="3" fontId="0" fillId="11" borderId="42" xfId="0" applyNumberFormat="1" applyFill="1" applyBorder="1"/>
    <xf numFmtId="166" fontId="0" fillId="10" borderId="43" xfId="1" applyNumberFormat="1" applyFont="1" applyFill="1" applyBorder="1"/>
    <xf numFmtId="3" fontId="0" fillId="13" borderId="42" xfId="0" applyNumberFormat="1" applyFill="1" applyBorder="1"/>
    <xf numFmtId="166" fontId="0" fillId="12" borderId="43" xfId="1" applyNumberFormat="1" applyFont="1" applyFill="1" applyBorder="1"/>
    <xf numFmtId="168" fontId="0" fillId="0" borderId="1" xfId="0" applyNumberFormat="1" applyBorder="1"/>
    <xf numFmtId="3" fontId="0" fillId="0" borderId="0" xfId="0" applyNumberFormat="1" applyFill="1" applyBorder="1"/>
    <xf numFmtId="166" fontId="0" fillId="0" borderId="0" xfId="1" applyNumberFormat="1" applyFont="1" applyFill="1" applyBorder="1"/>
    <xf numFmtId="0" fontId="22" fillId="0" borderId="0" xfId="0" applyFont="1" applyAlignment="1">
      <alignment horizontal="center"/>
    </xf>
    <xf numFmtId="0" fontId="0" fillId="0" borderId="0" xfId="0" applyFill="1"/>
    <xf numFmtId="0" fontId="2" fillId="25" borderId="47" xfId="0" applyFont="1" applyFill="1" applyBorder="1" applyAlignment="1">
      <alignment horizontal="center"/>
    </xf>
    <xf numFmtId="0" fontId="0" fillId="25" borderId="48" xfId="0" applyFill="1" applyBorder="1"/>
    <xf numFmtId="0" fontId="0" fillId="0" borderId="52" xfId="0" quotePrefix="1" applyFill="1" applyBorder="1" applyAlignment="1">
      <alignment horizontal="right"/>
    </xf>
    <xf numFmtId="0" fontId="0" fillId="0" borderId="0" xfId="0" applyFill="1" applyBorder="1"/>
    <xf numFmtId="0" fontId="0" fillId="0" borderId="53" xfId="0" quotePrefix="1" applyFill="1" applyBorder="1" applyAlignment="1">
      <alignment horizontal="right"/>
    </xf>
    <xf numFmtId="0" fontId="0" fillId="0" borderId="54" xfId="0" applyFill="1" applyBorder="1"/>
    <xf numFmtId="166" fontId="2" fillId="25" borderId="57" xfId="0" applyNumberFormat="1" applyFont="1" applyFill="1" applyBorder="1"/>
    <xf numFmtId="9" fontId="2" fillId="25" borderId="57" xfId="2" applyFont="1" applyFill="1" applyBorder="1"/>
    <xf numFmtId="0" fontId="2" fillId="18" borderId="58" xfId="0" applyFont="1" applyFill="1" applyBorder="1" applyAlignment="1">
      <alignment horizontal="center"/>
    </xf>
    <xf numFmtId="0" fontId="0" fillId="18" borderId="58" xfId="0" applyFill="1" applyBorder="1"/>
    <xf numFmtId="166" fontId="2" fillId="18" borderId="58" xfId="0" applyNumberFormat="1" applyFont="1" applyFill="1" applyBorder="1"/>
    <xf numFmtId="9" fontId="2" fillId="18" borderId="58" xfId="2" applyFont="1" applyFill="1" applyBorder="1"/>
    <xf numFmtId="0" fontId="0" fillId="0" borderId="59" xfId="0" quotePrefix="1" applyFill="1" applyBorder="1" applyAlignment="1">
      <alignment horizontal="right"/>
    </xf>
    <xf numFmtId="0" fontId="0" fillId="0" borderId="59" xfId="0" applyBorder="1"/>
    <xf numFmtId="166" fontId="0" fillId="0" borderId="59" xfId="1" applyNumberFormat="1" applyFont="1" applyBorder="1"/>
    <xf numFmtId="9" fontId="0" fillId="0" borderId="59" xfId="2" applyFont="1" applyBorder="1"/>
    <xf numFmtId="0" fontId="0" fillId="0" borderId="60" xfId="0" quotePrefix="1" applyFill="1" applyBorder="1" applyAlignment="1">
      <alignment horizontal="right"/>
    </xf>
    <xf numFmtId="0" fontId="0" fillId="0" borderId="60" xfId="0" applyBorder="1"/>
    <xf numFmtId="166" fontId="0" fillId="0" borderId="60" xfId="1" applyNumberFormat="1" applyFont="1" applyBorder="1"/>
    <xf numFmtId="9" fontId="0" fillId="0" borderId="60" xfId="2" applyFont="1" applyBorder="1"/>
    <xf numFmtId="166" fontId="2" fillId="0" borderId="59" xfId="1" applyNumberFormat="1" applyFont="1" applyBorder="1"/>
    <xf numFmtId="166" fontId="2" fillId="0" borderId="60" xfId="1" applyNumberFormat="1" applyFont="1" applyBorder="1"/>
    <xf numFmtId="9" fontId="2" fillId="0" borderId="59" xfId="2" applyFont="1" applyBorder="1"/>
    <xf numFmtId="9" fontId="2" fillId="0" borderId="60" xfId="2" applyFont="1" applyBorder="1"/>
    <xf numFmtId="0" fontId="0" fillId="0" borderId="0" xfId="0" quotePrefix="1" applyFill="1" applyBorder="1" applyAlignment="1">
      <alignment horizontal="right"/>
    </xf>
    <xf numFmtId="0" fontId="0" fillId="0" borderId="0" xfId="0" applyBorder="1"/>
    <xf numFmtId="166" fontId="2" fillId="0" borderId="0" xfId="1" applyNumberFormat="1" applyFont="1" applyBorder="1"/>
    <xf numFmtId="0" fontId="0" fillId="24" borderId="0" xfId="0" applyFill="1"/>
    <xf numFmtId="0" fontId="0" fillId="24" borderId="0" xfId="0" quotePrefix="1" applyFill="1" applyBorder="1" applyAlignment="1">
      <alignment horizontal="right"/>
    </xf>
    <xf numFmtId="0" fontId="0" fillId="24" borderId="0" xfId="0" applyFill="1" applyBorder="1"/>
    <xf numFmtId="166" fontId="0" fillId="24" borderId="0" xfId="1" applyNumberFormat="1" applyFont="1" applyFill="1" applyBorder="1"/>
    <xf numFmtId="166" fontId="2" fillId="24" borderId="0" xfId="1" applyNumberFormat="1" applyFont="1" applyFill="1" applyBorder="1"/>
    <xf numFmtId="0" fontId="0" fillId="25" borderId="51" xfId="0" applyFill="1" applyBorder="1"/>
    <xf numFmtId="0" fontId="0" fillId="0" borderId="64" xfId="0" applyBorder="1"/>
    <xf numFmtId="0" fontId="0" fillId="0" borderId="66" xfId="0" applyBorder="1"/>
    <xf numFmtId="0" fontId="2" fillId="0" borderId="0" xfId="0" applyFont="1" applyBorder="1" applyAlignment="1">
      <alignment horizontal="center"/>
    </xf>
    <xf numFmtId="0" fontId="0" fillId="0" borderId="50" xfId="0" applyBorder="1"/>
    <xf numFmtId="0" fontId="0" fillId="0" borderId="56" xfId="0" applyBorder="1"/>
    <xf numFmtId="0" fontId="4" fillId="0" borderId="0" xfId="0" applyFont="1" applyFill="1"/>
    <xf numFmtId="0" fontId="4" fillId="24" borderId="0" xfId="0" applyFont="1" applyFill="1"/>
    <xf numFmtId="166" fontId="0" fillId="0" borderId="61" xfId="1" applyNumberFormat="1" applyFont="1" applyBorder="1"/>
    <xf numFmtId="166" fontId="0" fillId="0" borderId="62" xfId="1" applyNumberFormat="1" applyFont="1" applyBorder="1"/>
    <xf numFmtId="166" fontId="2" fillId="25" borderId="48" xfId="0" applyNumberFormat="1" applyFont="1" applyFill="1" applyBorder="1"/>
    <xf numFmtId="166" fontId="0" fillId="0" borderId="67" xfId="1" applyNumberFormat="1" applyFont="1" applyBorder="1"/>
    <xf numFmtId="9" fontId="0" fillId="0" borderId="68" xfId="2" applyFont="1" applyBorder="1"/>
    <xf numFmtId="166" fontId="0" fillId="0" borderId="69" xfId="1" applyNumberFormat="1" applyFont="1" applyBorder="1"/>
    <xf numFmtId="9" fontId="0" fillId="0" borderId="70" xfId="2" applyFont="1" applyBorder="1"/>
    <xf numFmtId="9" fontId="2" fillId="25" borderId="48" xfId="2" applyFont="1" applyFill="1" applyBorder="1"/>
    <xf numFmtId="166" fontId="2" fillId="18" borderId="58" xfId="1" applyNumberFormat="1" applyFont="1" applyFill="1" applyBorder="1"/>
    <xf numFmtId="166" fontId="0" fillId="0" borderId="63" xfId="1" applyNumberFormat="1" applyFont="1" applyBorder="1"/>
    <xf numFmtId="9" fontId="0" fillId="0" borderId="64" xfId="2" applyFont="1" applyBorder="1"/>
    <xf numFmtId="166" fontId="0" fillId="0" borderId="65" xfId="1" applyNumberFormat="1" applyFont="1" applyBorder="1"/>
    <xf numFmtId="9" fontId="0" fillId="0" borderId="66" xfId="2" applyFont="1" applyBorder="1"/>
    <xf numFmtId="0" fontId="0" fillId="0" borderId="63" xfId="0" quotePrefix="1" applyFill="1" applyBorder="1" applyAlignment="1">
      <alignment horizontal="right"/>
    </xf>
    <xf numFmtId="0" fontId="0" fillId="0" borderId="65" xfId="0" quotePrefix="1" applyFill="1" applyBorder="1" applyAlignment="1">
      <alignment horizontal="right"/>
    </xf>
    <xf numFmtId="166" fontId="0" fillId="0" borderId="49" xfId="1" applyNumberFormat="1" applyFont="1" applyBorder="1"/>
    <xf numFmtId="166" fontId="2" fillId="0" borderId="49" xfId="1" applyNumberFormat="1" applyFont="1" applyBorder="1"/>
    <xf numFmtId="166" fontId="0" fillId="0" borderId="55" xfId="1" applyNumberFormat="1" applyFont="1" applyBorder="1"/>
    <xf numFmtId="166" fontId="2" fillId="0" borderId="55" xfId="1" applyNumberFormat="1" applyFont="1" applyBorder="1"/>
    <xf numFmtId="0" fontId="6" fillId="0" borderId="0" xfId="0" applyFont="1" applyAlignment="1">
      <alignment horizontal="center"/>
    </xf>
    <xf numFmtId="9" fontId="0" fillId="0" borderId="49" xfId="2" applyFont="1" applyBorder="1"/>
    <xf numFmtId="9" fontId="0" fillId="0" borderId="55" xfId="2" applyFont="1" applyBorder="1"/>
    <xf numFmtId="9" fontId="2" fillId="0" borderId="49" xfId="2" applyFont="1" applyBorder="1"/>
    <xf numFmtId="9" fontId="2" fillId="0" borderId="55" xfId="2" applyFont="1" applyBorder="1"/>
    <xf numFmtId="9" fontId="2" fillId="18" borderId="71" xfId="2" applyFont="1" applyFill="1" applyBorder="1"/>
    <xf numFmtId="0" fontId="2" fillId="0" borderId="0" xfId="0" applyFont="1" applyAlignment="1">
      <alignment horizontal="left"/>
    </xf>
    <xf numFmtId="0" fontId="6" fillId="0" borderId="1" xfId="0" applyFont="1" applyBorder="1" applyAlignment="1">
      <alignment horizontal="center"/>
    </xf>
    <xf numFmtId="0" fontId="13" fillId="26" borderId="72" xfId="0" applyFont="1" applyFill="1" applyBorder="1" applyAlignment="1">
      <alignment horizontal="center"/>
    </xf>
    <xf numFmtId="0" fontId="4" fillId="26" borderId="73" xfId="0" applyFont="1" applyFill="1" applyBorder="1"/>
    <xf numFmtId="0" fontId="0" fillId="0" borderId="74" xfId="0" quotePrefix="1" applyFill="1" applyBorder="1" applyAlignment="1">
      <alignment horizontal="right"/>
    </xf>
    <xf numFmtId="0" fontId="0" fillId="0" borderId="75" xfId="0" applyFill="1" applyBorder="1"/>
    <xf numFmtId="0" fontId="0" fillId="0" borderId="76" xfId="0" quotePrefix="1" applyFill="1" applyBorder="1" applyAlignment="1">
      <alignment horizontal="right"/>
    </xf>
    <xf numFmtId="0" fontId="0" fillId="0" borderId="77" xfId="0" applyFill="1" applyBorder="1"/>
    <xf numFmtId="17" fontId="2" fillId="0" borderId="78" xfId="0" quotePrefix="1" applyNumberFormat="1" applyFont="1" applyBorder="1" applyAlignment="1">
      <alignment horizontal="center"/>
    </xf>
    <xf numFmtId="17" fontId="2" fillId="0" borderId="79" xfId="0" quotePrefix="1" applyNumberFormat="1" applyFont="1" applyBorder="1" applyAlignment="1">
      <alignment horizontal="center"/>
    </xf>
    <xf numFmtId="166" fontId="13" fillId="26" borderId="80" xfId="0" applyNumberFormat="1" applyFont="1" applyFill="1" applyBorder="1"/>
    <xf numFmtId="166" fontId="13" fillId="26" borderId="81" xfId="0" applyNumberFormat="1" applyFont="1" applyFill="1" applyBorder="1"/>
    <xf numFmtId="166" fontId="0" fillId="0" borderId="75" xfId="1" applyNumberFormat="1" applyFont="1" applyFill="1" applyBorder="1"/>
    <xf numFmtId="166" fontId="0" fillId="0" borderId="82" xfId="1" applyNumberFormat="1" applyFont="1" applyFill="1" applyBorder="1"/>
    <xf numFmtId="166" fontId="2" fillId="0" borderId="82" xfId="1" applyNumberFormat="1" applyFont="1" applyFill="1" applyBorder="1"/>
    <xf numFmtId="166" fontId="24" fillId="0" borderId="77" xfId="1" applyNumberFormat="1" applyFont="1" applyFill="1" applyBorder="1"/>
    <xf numFmtId="166" fontId="24" fillId="0" borderId="83" xfId="1" applyNumberFormat="1" applyFont="1" applyFill="1" applyBorder="1"/>
    <xf numFmtId="166" fontId="0" fillId="0" borderId="83" xfId="1" applyNumberFormat="1" applyFont="1" applyFill="1" applyBorder="1"/>
    <xf numFmtId="166" fontId="2" fillId="0" borderId="83" xfId="1" applyNumberFormat="1" applyFont="1" applyFill="1" applyBorder="1"/>
    <xf numFmtId="166" fontId="13" fillId="26" borderId="79" xfId="0" applyNumberFormat="1" applyFont="1" applyFill="1" applyBorder="1"/>
    <xf numFmtId="166" fontId="23" fillId="0" borderId="83" xfId="1" applyNumberFormat="1" applyFont="1" applyFill="1" applyBorder="1"/>
    <xf numFmtId="9" fontId="0" fillId="0" borderId="0" xfId="2" applyFont="1" applyBorder="1"/>
    <xf numFmtId="166" fontId="0" fillId="0" borderId="82" xfId="1" applyNumberFormat="1" applyFont="1" applyBorder="1"/>
    <xf numFmtId="166" fontId="0" fillId="0" borderId="83" xfId="1" applyNumberFormat="1" applyFont="1" applyBorder="1"/>
    <xf numFmtId="166" fontId="0" fillId="0" borderId="74" xfId="1" applyNumberFormat="1" applyFont="1" applyBorder="1"/>
    <xf numFmtId="9" fontId="0" fillId="0" borderId="75" xfId="2" applyFont="1" applyBorder="1"/>
    <xf numFmtId="166" fontId="0" fillId="0" borderId="76" xfId="1" applyNumberFormat="1" applyFont="1" applyBorder="1"/>
    <xf numFmtId="9" fontId="0" fillId="0" borderId="77" xfId="2" applyFont="1" applyBorder="1"/>
    <xf numFmtId="0" fontId="4" fillId="26" borderId="84" xfId="0" applyFont="1" applyFill="1" applyBorder="1"/>
    <xf numFmtId="166" fontId="13" fillId="26" borderId="72" xfId="0" applyNumberFormat="1" applyFont="1" applyFill="1" applyBorder="1"/>
    <xf numFmtId="9" fontId="13" fillId="26" borderId="73" xfId="2" applyFont="1" applyFill="1" applyBorder="1"/>
    <xf numFmtId="0" fontId="0" fillId="0" borderId="85" xfId="0" applyFill="1" applyBorder="1"/>
    <xf numFmtId="9" fontId="13" fillId="26" borderId="81" xfId="2" applyFont="1" applyFill="1" applyBorder="1"/>
    <xf numFmtId="9" fontId="0" fillId="0" borderId="82" xfId="2" applyFont="1" applyBorder="1"/>
    <xf numFmtId="9" fontId="0" fillId="0" borderId="83" xfId="2" applyFont="1" applyBorder="1"/>
    <xf numFmtId="9" fontId="13" fillId="26" borderId="79" xfId="2" applyFont="1" applyFill="1" applyBorder="1"/>
    <xf numFmtId="166" fontId="23" fillId="0" borderId="82" xfId="1" applyNumberFormat="1" applyFont="1" applyFill="1" applyBorder="1"/>
    <xf numFmtId="9" fontId="0" fillId="0" borderId="82" xfId="2" applyFont="1" applyFill="1" applyBorder="1"/>
    <xf numFmtId="9" fontId="2" fillId="0" borderId="82" xfId="2" applyFont="1" applyFill="1" applyBorder="1"/>
    <xf numFmtId="9" fontId="0" fillId="0" borderId="0" xfId="2" applyFont="1" applyFill="1"/>
    <xf numFmtId="9" fontId="23" fillId="0" borderId="83" xfId="2" applyFont="1" applyFill="1" applyBorder="1"/>
    <xf numFmtId="9" fontId="0" fillId="0" borderId="83" xfId="2" applyFont="1" applyFill="1" applyBorder="1"/>
    <xf numFmtId="9" fontId="2" fillId="0" borderId="83" xfId="2" applyFont="1" applyFill="1" applyBorder="1"/>
    <xf numFmtId="9" fontId="2" fillId="0" borderId="0" xfId="2" applyFont="1" applyBorder="1"/>
    <xf numFmtId="9" fontId="0" fillId="24" borderId="0" xfId="2" applyFont="1" applyFill="1" applyBorder="1"/>
    <xf numFmtId="9" fontId="2" fillId="24" borderId="0" xfId="2" applyFont="1" applyFill="1" applyBorder="1"/>
    <xf numFmtId="9" fontId="0" fillId="24" borderId="0" xfId="2" applyFont="1" applyFill="1"/>
    <xf numFmtId="166" fontId="24" fillId="0" borderId="82" xfId="1" applyNumberFormat="1" applyFont="1" applyFill="1" applyBorder="1"/>
    <xf numFmtId="0" fontId="25" fillId="0" borderId="0" xfId="0" applyFont="1"/>
    <xf numFmtId="0" fontId="25" fillId="0" borderId="0" xfId="0" applyFont="1" applyFill="1"/>
    <xf numFmtId="9" fontId="24" fillId="0" borderId="82" xfId="2" applyFont="1" applyFill="1" applyBorder="1"/>
    <xf numFmtId="9" fontId="24" fillId="0" borderId="83" xfId="2" applyFont="1" applyFill="1" applyBorder="1"/>
    <xf numFmtId="166" fontId="1" fillId="0" borderId="83" xfId="1" applyNumberFormat="1" applyFont="1" applyFill="1" applyBorder="1"/>
    <xf numFmtId="166" fontId="0" fillId="0" borderId="0" xfId="0" applyNumberFormat="1"/>
    <xf numFmtId="0" fontId="13" fillId="26" borderId="89" xfId="0" applyFont="1" applyFill="1" applyBorder="1" applyAlignment="1">
      <alignment horizontal="center"/>
    </xf>
    <xf numFmtId="0" fontId="13" fillId="26" borderId="90" xfId="0" applyFont="1" applyFill="1" applyBorder="1" applyAlignment="1">
      <alignment horizontal="center"/>
    </xf>
    <xf numFmtId="0" fontId="13" fillId="26" borderId="91" xfId="0" applyFont="1" applyFill="1" applyBorder="1" applyAlignment="1">
      <alignment horizontal="center"/>
    </xf>
    <xf numFmtId="166" fontId="2" fillId="0" borderId="0" xfId="0" applyNumberFormat="1" applyFont="1"/>
    <xf numFmtId="0" fontId="2" fillId="25" borderId="47" xfId="0" applyFont="1" applyFill="1" applyBorder="1" applyAlignment="1">
      <alignment horizontal="left"/>
    </xf>
    <xf numFmtId="0" fontId="2" fillId="18" borderId="47" xfId="0" applyFont="1" applyFill="1" applyBorder="1" applyAlignment="1">
      <alignment horizontal="left"/>
    </xf>
    <xf numFmtId="0" fontId="0" fillId="18" borderId="48" xfId="0" applyFill="1" applyBorder="1"/>
    <xf numFmtId="0" fontId="26" fillId="0" borderId="0" xfId="0" applyFont="1"/>
    <xf numFmtId="0" fontId="0" fillId="0" borderId="0" xfId="0"/>
    <xf numFmtId="164" fontId="0" fillId="0" borderId="0" xfId="13" applyFont="1" applyFill="1" applyBorder="1" applyAlignment="1"/>
    <xf numFmtId="176" fontId="0" fillId="0" borderId="0" xfId="13" applyNumberFormat="1" applyFont="1" applyFill="1" applyBorder="1" applyAlignment="1"/>
    <xf numFmtId="164" fontId="0" fillId="0" borderId="0" xfId="13" applyFont="1"/>
    <xf numFmtId="178" fontId="0" fillId="0" borderId="0" xfId="0" applyNumberFormat="1"/>
    <xf numFmtId="164" fontId="0" fillId="0" borderId="0" xfId="0" applyNumberFormat="1"/>
    <xf numFmtId="166" fontId="0" fillId="4" borderId="46" xfId="1" applyNumberFormat="1" applyFont="1" applyFill="1" applyBorder="1"/>
    <xf numFmtId="166" fontId="0" fillId="6" borderId="46" xfId="1" applyNumberFormat="1" applyFont="1" applyFill="1" applyBorder="1"/>
    <xf numFmtId="166" fontId="0" fillId="10" borderId="46" xfId="1" applyNumberFormat="1" applyFont="1" applyFill="1" applyBorder="1"/>
    <xf numFmtId="166" fontId="0" fillId="12" borderId="46" xfId="1" applyNumberFormat="1" applyFont="1" applyFill="1" applyBorder="1"/>
    <xf numFmtId="166" fontId="13" fillId="26" borderId="84" xfId="0" applyNumberFormat="1" applyFont="1" applyFill="1" applyBorder="1"/>
    <xf numFmtId="166" fontId="0" fillId="0" borderId="85" xfId="1" applyNumberFormat="1" applyFont="1" applyBorder="1"/>
    <xf numFmtId="166" fontId="0" fillId="0" borderId="93" xfId="1" applyNumberFormat="1" applyFont="1" applyBorder="1"/>
    <xf numFmtId="166" fontId="0" fillId="0" borderId="94" xfId="1" applyNumberFormat="1" applyFont="1" applyBorder="1"/>
    <xf numFmtId="0" fontId="5" fillId="26" borderId="92" xfId="0" applyFont="1" applyFill="1" applyBorder="1" applyAlignment="1">
      <alignment horizontal="center"/>
    </xf>
    <xf numFmtId="164" fontId="0" fillId="0" borderId="0" xfId="13" applyFont="1" applyFill="1" applyBorder="1"/>
    <xf numFmtId="0" fontId="2" fillId="8" borderId="11" xfId="0" applyFont="1" applyFill="1" applyBorder="1" applyAlignment="1">
      <alignment horizontal="center"/>
    </xf>
    <xf numFmtId="0" fontId="13" fillId="26" borderId="86" xfId="0" applyFont="1" applyFill="1" applyBorder="1" applyAlignment="1">
      <alignment horizontal="center"/>
    </xf>
    <xf numFmtId="0" fontId="13" fillId="26" borderId="87" xfId="0" applyFont="1" applyFill="1" applyBorder="1" applyAlignment="1">
      <alignment horizontal="center"/>
    </xf>
    <xf numFmtId="0" fontId="13" fillId="26" borderId="88" xfId="0" applyFont="1" applyFill="1" applyBorder="1" applyAlignment="1">
      <alignment horizontal="center"/>
    </xf>
    <xf numFmtId="0" fontId="13" fillId="26" borderId="0" xfId="0" applyFont="1" applyFill="1" applyBorder="1" applyAlignment="1">
      <alignment horizontal="center"/>
    </xf>
    <xf numFmtId="0" fontId="13" fillId="26" borderId="75" xfId="0" applyFont="1" applyFill="1" applyBorder="1" applyAlignment="1">
      <alignment horizontal="center"/>
    </xf>
    <xf numFmtId="0" fontId="13" fillId="26" borderId="89" xfId="0" applyFont="1" applyFill="1" applyBorder="1" applyAlignment="1">
      <alignment horizontal="center"/>
    </xf>
    <xf numFmtId="15" fontId="7" fillId="0" borderId="0" xfId="0" applyNumberFormat="1" applyFont="1" applyAlignment="1">
      <alignment horizontal="center" vertical="center"/>
    </xf>
    <xf numFmtId="0" fontId="2" fillId="9" borderId="3" xfId="0" applyFont="1" applyFill="1" applyBorder="1" applyAlignment="1">
      <alignment horizontal="center"/>
    </xf>
    <xf numFmtId="0" fontId="2" fillId="9" borderId="4" xfId="0" applyFont="1" applyFill="1" applyBorder="1" applyAlignment="1">
      <alignment horizontal="center"/>
    </xf>
    <xf numFmtId="0" fontId="2" fillId="8" borderId="3" xfId="0" applyFont="1" applyFill="1" applyBorder="1" applyAlignment="1">
      <alignment horizontal="center"/>
    </xf>
    <xf numFmtId="0" fontId="2" fillId="8" borderId="5" xfId="0" applyFont="1" applyFill="1" applyBorder="1" applyAlignment="1">
      <alignment horizontal="center"/>
    </xf>
    <xf numFmtId="0" fontId="2" fillId="18" borderId="3" xfId="0" applyFont="1" applyFill="1" applyBorder="1" applyAlignment="1">
      <alignment horizontal="center"/>
    </xf>
    <xf numFmtId="0" fontId="2" fillId="18" borderId="4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5" borderId="3" xfId="0" applyFont="1" applyFill="1" applyBorder="1" applyAlignment="1">
      <alignment horizontal="center"/>
    </xf>
    <xf numFmtId="0" fontId="2" fillId="5" borderId="4" xfId="0" applyFont="1" applyFill="1" applyBorder="1" applyAlignment="1">
      <alignment horizontal="center"/>
    </xf>
    <xf numFmtId="0" fontId="2" fillId="8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2" fillId="9" borderId="1" xfId="0" applyFont="1" applyFill="1" applyBorder="1" applyAlignment="1">
      <alignment horizontal="center"/>
    </xf>
    <xf numFmtId="0" fontId="2" fillId="16" borderId="38" xfId="0" applyFont="1" applyFill="1" applyBorder="1" applyAlignment="1">
      <alignment horizontal="center"/>
    </xf>
    <xf numFmtId="0" fontId="2" fillId="16" borderId="40" xfId="0" applyFont="1" applyFill="1" applyBorder="1" applyAlignment="1">
      <alignment horizontal="center"/>
    </xf>
    <xf numFmtId="0" fontId="0" fillId="0" borderId="0" xfId="0" applyNumberFormat="1" applyFont="1" applyFill="1" applyBorder="1" applyAlignment="1">
      <alignment vertical="center"/>
    </xf>
    <xf numFmtId="0" fontId="0" fillId="0" borderId="0" xfId="0" applyNumberFormat="1" applyFont="1" applyFill="1" applyBorder="1" applyAlignment="1">
      <alignment horizontal="center" vertical="center"/>
    </xf>
    <xf numFmtId="0" fontId="9" fillId="0" borderId="33" xfId="3" applyFont="1" applyBorder="1" applyAlignment="1">
      <alignment horizontal="center" vertical="center" wrapText="1" readingOrder="1"/>
    </xf>
    <xf numFmtId="0" fontId="9" fillId="0" borderId="35" xfId="3" applyFont="1" applyBorder="1" applyAlignment="1">
      <alignment horizontal="center" vertical="center" wrapText="1" readingOrder="1"/>
    </xf>
    <xf numFmtId="0" fontId="9" fillId="0" borderId="20" xfId="3" applyFont="1" applyBorder="1" applyAlignment="1">
      <alignment horizontal="center" vertical="center" wrapText="1" readingOrder="1"/>
    </xf>
    <xf numFmtId="0" fontId="9" fillId="0" borderId="0" xfId="3" applyFont="1" applyBorder="1" applyAlignment="1">
      <alignment horizontal="center" vertical="center" wrapText="1" readingOrder="1"/>
    </xf>
    <xf numFmtId="0" fontId="11" fillId="0" borderId="0" xfId="3" applyFont="1" applyBorder="1" applyAlignment="1">
      <alignment horizontal="left" vertical="center" wrapText="1" readingOrder="1"/>
    </xf>
    <xf numFmtId="0" fontId="9" fillId="0" borderId="30" xfId="3" applyFont="1" applyBorder="1" applyAlignment="1">
      <alignment horizontal="center" vertical="center" wrapText="1" readingOrder="1"/>
    </xf>
    <xf numFmtId="0" fontId="9" fillId="0" borderId="31" xfId="3" applyFont="1" applyBorder="1" applyAlignment="1">
      <alignment horizontal="center" vertical="center" wrapText="1" readingOrder="1"/>
    </xf>
    <xf numFmtId="0" fontId="9" fillId="0" borderId="32" xfId="3" applyFont="1" applyBorder="1" applyAlignment="1">
      <alignment horizontal="center" vertical="center" wrapText="1" readingOrder="1"/>
    </xf>
  </cellXfs>
  <cellStyles count="14">
    <cellStyle name="Comma [0]" xfId="13" builtinId="6"/>
    <cellStyle name="Comma [0] 2" xfId="6"/>
    <cellStyle name="Comma 2" xfId="4"/>
    <cellStyle name="Comma 2 2" xfId="9"/>
    <cellStyle name="Comma 4" xfId="11"/>
    <cellStyle name="Currency" xfId="1" builtinId="4"/>
    <cellStyle name="Currency 2" xfId="8"/>
    <cellStyle name="Currency 3" xfId="12"/>
    <cellStyle name="Normal" xfId="0" builtinId="0"/>
    <cellStyle name="Normal 2" xfId="3"/>
    <cellStyle name="Normal 3" xfId="7"/>
    <cellStyle name="Percent" xfId="2" builtinId="5"/>
    <cellStyle name="Percent 2" xfId="5"/>
    <cellStyle name="Percent 3" xfId="10"/>
  </cellStyles>
  <dxfs count="21">
    <dxf>
      <font>
        <b/>
        <i val="0"/>
        <color rgb="FF00B050"/>
      </font>
    </dxf>
    <dxf>
      <font>
        <b/>
        <i val="0"/>
        <color rgb="FF00B050"/>
      </font>
    </dxf>
    <dxf>
      <font>
        <b/>
        <i val="0"/>
        <color rgb="FF00B050"/>
      </font>
    </dxf>
    <dxf>
      <font>
        <b/>
        <i val="0"/>
        <color rgb="FF00B050"/>
      </font>
    </dxf>
    <dxf>
      <font>
        <b/>
        <i val="0"/>
        <color rgb="FF00B050"/>
      </font>
    </dxf>
    <dxf>
      <font>
        <b/>
        <i val="0"/>
        <color rgb="FF00B050"/>
      </font>
    </dxf>
    <dxf>
      <font>
        <b/>
        <i val="0"/>
        <color rgb="FF00B050"/>
      </font>
    </dxf>
    <dxf>
      <font>
        <b/>
        <i val="0"/>
        <color rgb="FF00B050"/>
      </font>
    </dxf>
    <dxf>
      <font>
        <b/>
        <i val="0"/>
        <color rgb="FF00B050"/>
      </font>
    </dxf>
    <dxf>
      <font>
        <b/>
        <i val="0"/>
        <color rgb="FF00B050"/>
      </font>
    </dxf>
    <dxf>
      <font>
        <b/>
        <i val="0"/>
        <color rgb="FF00B050"/>
      </font>
    </dxf>
    <dxf>
      <font>
        <b/>
        <i val="0"/>
        <color rgb="FF00B050"/>
      </font>
    </dxf>
    <dxf>
      <font>
        <b/>
        <i val="0"/>
        <color rgb="FF00B050"/>
      </font>
    </dxf>
    <dxf>
      <font>
        <b/>
        <i val="0"/>
        <color rgb="FF00B050"/>
      </font>
    </dxf>
    <dxf>
      <font>
        <b/>
        <i val="0"/>
        <color rgb="FF00B050"/>
      </font>
    </dxf>
    <dxf>
      <font>
        <b/>
        <i val="0"/>
        <color rgb="FF00B050"/>
      </font>
    </dxf>
    <dxf>
      <font>
        <b/>
        <i val="0"/>
        <color rgb="FF00B050"/>
      </font>
    </dxf>
    <dxf>
      <font>
        <b/>
        <i val="0"/>
        <color rgb="FF00B050"/>
      </font>
    </dxf>
    <dxf>
      <font>
        <b/>
        <i val="0"/>
        <color rgb="FF00B050"/>
      </font>
    </dxf>
    <dxf>
      <font>
        <b/>
        <i val="0"/>
        <color rgb="FF00B050"/>
      </font>
    </dxf>
    <dxf>
      <font>
        <b/>
        <i val="0"/>
        <color rgb="FF00B050"/>
      </font>
    </dxf>
  </dxfs>
  <tableStyles count="0" defaultTableStyle="TableStyleMedium2" defaultPivotStyle="PivotStyleLight16"/>
  <colors>
    <mruColors>
      <color rgb="FFED7D31"/>
      <color rgb="FFCC99FF"/>
      <color rgb="FF0000FF"/>
      <color rgb="FFFF5050"/>
      <color rgb="FFFFDDDD"/>
      <color rgb="FF4472C4"/>
      <color rgb="FFFF0000"/>
      <color rgb="FF6199FF"/>
      <color rgb="FF0052E7"/>
      <color rgb="FF00CC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19.xml.rels><?xml version="1.0" encoding="UTF-8" standalone="yes"?>
<Relationships xmlns="http://schemas.openxmlformats.org/package/2006/relationships"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_rels/chart20.xml.rels><?xml version="1.0" encoding="UTF-8" standalone="yes"?>
<Relationships xmlns="http://schemas.openxmlformats.org/package/2006/relationships"><Relationship Id="rId2" Type="http://schemas.microsoft.com/office/2011/relationships/chartColorStyle" Target="colors20.xml"/><Relationship Id="rId1" Type="http://schemas.microsoft.com/office/2011/relationships/chartStyle" Target="style20.xml"/></Relationships>
</file>

<file path=xl/charts/_rels/chart21.xml.rels><?xml version="1.0" encoding="UTF-8" standalone="yes"?>
<Relationships xmlns="http://schemas.openxmlformats.org/package/2006/relationships"><Relationship Id="rId2" Type="http://schemas.microsoft.com/office/2011/relationships/chartColorStyle" Target="colors21.xml"/><Relationship Id="rId1" Type="http://schemas.microsoft.com/office/2011/relationships/chartStyle" Target="style21.xml"/></Relationships>
</file>

<file path=xl/charts/_rels/chart22.xml.rels><?xml version="1.0" encoding="UTF-8" standalone="yes"?>
<Relationships xmlns="http://schemas.openxmlformats.org/package/2006/relationships"><Relationship Id="rId2" Type="http://schemas.microsoft.com/office/2011/relationships/chartColorStyle" Target="colors22.xml"/><Relationship Id="rId1" Type="http://schemas.microsoft.com/office/2011/relationships/chartStyle" Target="style22.xml"/></Relationships>
</file>

<file path=xl/charts/_rels/chart23.xml.rels><?xml version="1.0" encoding="UTF-8" standalone="yes"?>
<Relationships xmlns="http://schemas.openxmlformats.org/package/2006/relationships"><Relationship Id="rId2" Type="http://schemas.microsoft.com/office/2011/relationships/chartColorStyle" Target="colors23.xml"/><Relationship Id="rId1" Type="http://schemas.microsoft.com/office/2011/relationships/chartStyle" Target="style23.xml"/></Relationships>
</file>

<file path=xl/charts/_rels/chart24.xml.rels><?xml version="1.0" encoding="UTF-8" standalone="yes"?>
<Relationships xmlns="http://schemas.openxmlformats.org/package/2006/relationships"><Relationship Id="rId2" Type="http://schemas.microsoft.com/office/2011/relationships/chartColorStyle" Target="colors24.xml"/><Relationship Id="rId1" Type="http://schemas.microsoft.com/office/2011/relationships/chartStyle" Target="style24.xml"/></Relationships>
</file>

<file path=xl/charts/_rels/chart25.xml.rels><?xml version="1.0" encoding="UTF-8" standalone="yes"?>
<Relationships xmlns="http://schemas.openxmlformats.org/package/2006/relationships"><Relationship Id="rId2" Type="http://schemas.microsoft.com/office/2011/relationships/chartColorStyle" Target="colors25.xml"/><Relationship Id="rId1" Type="http://schemas.microsoft.com/office/2011/relationships/chartStyle" Target="style25.xml"/></Relationships>
</file>

<file path=xl/charts/_rels/chart26.xml.rels><?xml version="1.0" encoding="UTF-8" standalone="yes"?>
<Relationships xmlns="http://schemas.openxmlformats.org/package/2006/relationships"><Relationship Id="rId2" Type="http://schemas.microsoft.com/office/2011/relationships/chartColorStyle" Target="colors26.xml"/><Relationship Id="rId1" Type="http://schemas.microsoft.com/office/2011/relationships/chartStyle" Target="style26.xml"/></Relationships>
</file>

<file path=xl/charts/_rels/chart27.xml.rels><?xml version="1.0" encoding="UTF-8" standalone="yes"?>
<Relationships xmlns="http://schemas.openxmlformats.org/package/2006/relationships"><Relationship Id="rId2" Type="http://schemas.microsoft.com/office/2011/relationships/chartColorStyle" Target="colors27.xml"/><Relationship Id="rId1" Type="http://schemas.microsoft.com/office/2011/relationships/chartStyle" Target="style27.xml"/></Relationships>
</file>

<file path=xl/charts/_rels/chart28.xml.rels><?xml version="1.0" encoding="UTF-8" standalone="yes"?>
<Relationships xmlns="http://schemas.openxmlformats.org/package/2006/relationships"><Relationship Id="rId2" Type="http://schemas.microsoft.com/office/2011/relationships/chartColorStyle" Target="colors28.xml"/><Relationship Id="rId1" Type="http://schemas.microsoft.com/office/2011/relationships/chartStyle" Target="style28.xml"/></Relationships>
</file>

<file path=xl/charts/_rels/chart29.xml.rels><?xml version="1.0" encoding="UTF-8" standalone="yes"?>
<Relationships xmlns="http://schemas.openxmlformats.org/package/2006/relationships"><Relationship Id="rId2" Type="http://schemas.microsoft.com/office/2011/relationships/chartColorStyle" Target="colors29.xml"/><Relationship Id="rId1" Type="http://schemas.microsoft.com/office/2011/relationships/chartStyle" Target="style29.xml"/></Relationships>
</file>

<file path=xl/charts/_rels/chart30.xml.rels><?xml version="1.0" encoding="UTF-8" standalone="yes"?>
<Relationships xmlns="http://schemas.openxmlformats.org/package/2006/relationships"><Relationship Id="rId2" Type="http://schemas.microsoft.com/office/2011/relationships/chartColorStyle" Target="colors30.xml"/><Relationship Id="rId1" Type="http://schemas.microsoft.com/office/2011/relationships/chartStyle" Target="style30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200" b="1"/>
              <a:t>[VN][TOTAL] Accumulated Views</a:t>
            </a:r>
            <a:r>
              <a:rPr lang="en-US" sz="1200" b="1" baseline="0"/>
              <a:t> vs FY Target</a:t>
            </a:r>
            <a:endParaRPr lang="en-US" sz="1200" b="1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VN_Graphs!$R$7</c:f>
              <c:strCache>
                <c:ptCount val="1"/>
                <c:pt idx="0">
                  <c:v>Views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FF5050"/>
              </a:solidFill>
              <a:ln>
                <a:noFill/>
              </a:ln>
              <a:effectLst/>
            </c:spPr>
          </c:dPt>
          <c:dPt>
            <c:idx val="1"/>
            <c:invertIfNegative val="0"/>
            <c:bubble3D val="0"/>
            <c:spPr>
              <a:solidFill>
                <a:schemeClr val="accent4"/>
              </a:solidFill>
              <a:ln>
                <a:noFill/>
              </a:ln>
              <a:effectLst/>
            </c:spPr>
          </c:dPt>
          <c:dPt>
            <c:idx val="2"/>
            <c:invertIfNegative val="0"/>
            <c:bubble3D val="0"/>
            <c:spPr>
              <a:solidFill>
                <a:schemeClr val="accent6"/>
              </a:solidFill>
              <a:ln>
                <a:noFill/>
              </a:ln>
              <a:effectLst/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VN_Graphs!$S$6:$W$6</c:f>
              <c:strCache>
                <c:ptCount val="3"/>
                <c:pt idx="0">
                  <c:v>TOTAL</c:v>
                </c:pt>
                <c:pt idx="1">
                  <c:v>KIDS</c:v>
                </c:pt>
                <c:pt idx="2">
                  <c:v>AFF</c:v>
                </c:pt>
              </c:strCache>
            </c:strRef>
          </c:cat>
          <c:val>
            <c:numRef>
              <c:f>VN_Graphs!$S$7:$W$7</c:f>
              <c:numCache>
                <c:formatCode>0.0%</c:formatCode>
                <c:ptCount val="3"/>
                <c:pt idx="0">
                  <c:v>0.26327527722175731</c:v>
                </c:pt>
                <c:pt idx="1">
                  <c:v>0.70144846217142853</c:v>
                </c:pt>
                <c:pt idx="2">
                  <c:v>1.3821398903999997</c:v>
                </c:pt>
              </c:numCache>
            </c:numRef>
          </c:val>
        </c:ser>
        <c:dLbls>
          <c:dLblPos val="inBase"/>
          <c:showLegendKey val="0"/>
          <c:showVal val="1"/>
          <c:showCatName val="0"/>
          <c:showSerName val="0"/>
          <c:showPercent val="0"/>
          <c:showBubbleSize val="0"/>
        </c:dLbls>
        <c:gapWidth val="80"/>
        <c:overlap val="-27"/>
        <c:axId val="1759969408"/>
        <c:axId val="1759966144"/>
      </c:barChart>
      <c:catAx>
        <c:axId val="17599694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59966144"/>
        <c:crosses val="autoZero"/>
        <c:auto val="1"/>
        <c:lblAlgn val="ctr"/>
        <c:lblOffset val="100"/>
        <c:noMultiLvlLbl val="0"/>
      </c:catAx>
      <c:valAx>
        <c:axId val="1759966144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5996940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200" b="1"/>
              <a:t>[VN][TOTAL] Accumulated Revenue vs FY Target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VN_Graphs!$R$8</c:f>
              <c:strCache>
                <c:ptCount val="1"/>
                <c:pt idx="0">
                  <c:v>Revenue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FF5050"/>
              </a:solidFill>
              <a:ln>
                <a:noFill/>
              </a:ln>
              <a:effectLst/>
            </c:spPr>
          </c:dPt>
          <c:dPt>
            <c:idx val="1"/>
            <c:invertIfNegative val="0"/>
            <c:bubble3D val="0"/>
            <c:spPr>
              <a:solidFill>
                <a:schemeClr val="accent4"/>
              </a:solidFill>
              <a:ln>
                <a:noFill/>
              </a:ln>
              <a:effectLst/>
            </c:spPr>
          </c:dPt>
          <c:dPt>
            <c:idx val="2"/>
            <c:invertIfNegative val="0"/>
            <c:bubble3D val="0"/>
            <c:spPr>
              <a:solidFill>
                <a:schemeClr val="accent6"/>
              </a:solidFill>
              <a:ln>
                <a:noFill/>
              </a:ln>
              <a:effectLst/>
            </c:spPr>
          </c:dPt>
          <c:dLbls>
            <c:dLbl>
              <c:idx val="0"/>
              <c:layout/>
              <c:tx>
                <c:rich>
                  <a:bodyPr/>
                  <a:lstStyle/>
                  <a:p>
                    <a:fld id="{D896BCFD-FD48-48C9-9B24-1894D055F885}" type="VALUE">
                      <a:rPr lang="en-US">
                        <a:solidFill>
                          <a:sysClr val="windowText" lastClr="000000"/>
                        </a:solidFill>
                      </a:rPr>
                      <a:pPr/>
                      <a:t>[VALUE]</a:t>
                    </a:fld>
                    <a:endParaRPr lang="en-US"/>
                  </a:p>
                </c:rich>
              </c:tx>
              <c:dLblPos val="inBase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showDataLabelsRange val="0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VN_Graphs!$S$6:$W$6</c:f>
              <c:strCache>
                <c:ptCount val="3"/>
                <c:pt idx="0">
                  <c:v>TOTAL</c:v>
                </c:pt>
                <c:pt idx="1">
                  <c:v>KIDS</c:v>
                </c:pt>
                <c:pt idx="2">
                  <c:v>AFF</c:v>
                </c:pt>
              </c:strCache>
            </c:strRef>
          </c:cat>
          <c:val>
            <c:numRef>
              <c:f>VN_Graphs!$S$8:$W$8</c:f>
              <c:numCache>
                <c:formatCode>0.0%</c:formatCode>
                <c:ptCount val="3"/>
                <c:pt idx="0">
                  <c:v>0.26949032349362723</c:v>
                </c:pt>
                <c:pt idx="1">
                  <c:v>0.81453506838993794</c:v>
                </c:pt>
                <c:pt idx="2">
                  <c:v>2.4061257089081511</c:v>
                </c:pt>
              </c:numCache>
            </c:numRef>
          </c:val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80"/>
        <c:overlap val="-27"/>
        <c:axId val="1759971584"/>
        <c:axId val="1759966688"/>
      </c:barChart>
      <c:catAx>
        <c:axId val="17599715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59966688"/>
        <c:crosses val="autoZero"/>
        <c:auto val="1"/>
        <c:lblAlgn val="ctr"/>
        <c:lblOffset val="100"/>
        <c:noMultiLvlLbl val="0"/>
      </c:catAx>
      <c:valAx>
        <c:axId val="1759966688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5997158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200" b="1"/>
              <a:t>[VN][LOCAL] Accumulated Views</a:t>
            </a:r>
            <a:r>
              <a:rPr lang="en-US" sz="1200" b="1" baseline="0"/>
              <a:t> vs FY Target</a:t>
            </a:r>
            <a:endParaRPr lang="en-US" sz="1200" b="1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VN_Graphs!$R$32</c:f>
              <c:strCache>
                <c:ptCount val="1"/>
                <c:pt idx="0">
                  <c:v>Views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FF5050"/>
              </a:solidFill>
              <a:ln>
                <a:noFill/>
              </a:ln>
              <a:effectLst/>
            </c:spPr>
          </c:dPt>
          <c:dPt>
            <c:idx val="1"/>
            <c:invertIfNegative val="0"/>
            <c:bubble3D val="0"/>
            <c:spPr>
              <a:solidFill>
                <a:srgbClr val="FFC000"/>
              </a:solidFill>
              <a:ln>
                <a:noFill/>
              </a:ln>
              <a:effectLst/>
            </c:spPr>
          </c:dPt>
          <c:dPt>
            <c:idx val="2"/>
            <c:invertIfNegative val="0"/>
            <c:bubble3D val="0"/>
            <c:spPr>
              <a:solidFill>
                <a:schemeClr val="accent6"/>
              </a:solidFill>
              <a:ln>
                <a:noFill/>
              </a:ln>
              <a:effectLst/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VN_Graphs!$S$6:$W$6</c:f>
              <c:strCache>
                <c:ptCount val="3"/>
                <c:pt idx="0">
                  <c:v>TOTAL</c:v>
                </c:pt>
                <c:pt idx="1">
                  <c:v>KIDS</c:v>
                </c:pt>
                <c:pt idx="2">
                  <c:v>AFF</c:v>
                </c:pt>
              </c:strCache>
            </c:strRef>
          </c:cat>
          <c:val>
            <c:numRef>
              <c:f>VN_Graphs!$S$32:$W$32</c:f>
              <c:numCache>
                <c:formatCode>0.0%</c:formatCode>
                <c:ptCount val="3"/>
                <c:pt idx="0">
                  <c:v>0.6315019819396207</c:v>
                </c:pt>
                <c:pt idx="1">
                  <c:v>0.58456793443417676</c:v>
                </c:pt>
                <c:pt idx="2">
                  <c:v>0.98157164022598875</c:v>
                </c:pt>
              </c:numCache>
            </c:numRef>
          </c:val>
        </c:ser>
        <c:dLbls>
          <c:dLblPos val="inBase"/>
          <c:showLegendKey val="0"/>
          <c:showVal val="1"/>
          <c:showCatName val="0"/>
          <c:showSerName val="0"/>
          <c:showPercent val="0"/>
          <c:showBubbleSize val="0"/>
        </c:dLbls>
        <c:gapWidth val="80"/>
        <c:overlap val="-27"/>
        <c:axId val="1759980288"/>
        <c:axId val="1759970496"/>
      </c:barChart>
      <c:catAx>
        <c:axId val="17599802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59970496"/>
        <c:crosses val="autoZero"/>
        <c:auto val="1"/>
        <c:lblAlgn val="ctr"/>
        <c:lblOffset val="100"/>
        <c:noMultiLvlLbl val="0"/>
      </c:catAx>
      <c:valAx>
        <c:axId val="1759970496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5998028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200" b="1"/>
              <a:t>[VN][LOCAL] Accumulated Revenue vs FY Target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VN_Graphs!$R$33</c:f>
              <c:strCache>
                <c:ptCount val="1"/>
                <c:pt idx="0">
                  <c:v>Revenue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FF5050"/>
              </a:solidFill>
              <a:ln>
                <a:noFill/>
              </a:ln>
              <a:effectLst/>
            </c:spPr>
          </c:dPt>
          <c:dPt>
            <c:idx val="1"/>
            <c:invertIfNegative val="0"/>
            <c:bubble3D val="0"/>
            <c:spPr>
              <a:solidFill>
                <a:srgbClr val="FFC000"/>
              </a:solidFill>
              <a:ln>
                <a:noFill/>
              </a:ln>
              <a:effectLst/>
            </c:spPr>
          </c:dPt>
          <c:dPt>
            <c:idx val="2"/>
            <c:invertIfNegative val="0"/>
            <c:bubble3D val="0"/>
            <c:spPr>
              <a:solidFill>
                <a:schemeClr val="accent6"/>
              </a:solidFill>
              <a:ln>
                <a:noFill/>
              </a:ln>
              <a:effectLst/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VN_Graphs!$S$6:$W$6</c:f>
              <c:strCache>
                <c:ptCount val="3"/>
                <c:pt idx="0">
                  <c:v>TOTAL</c:v>
                </c:pt>
                <c:pt idx="1">
                  <c:v>KIDS</c:v>
                </c:pt>
                <c:pt idx="2">
                  <c:v>AFF</c:v>
                </c:pt>
              </c:strCache>
            </c:strRef>
          </c:cat>
          <c:val>
            <c:numRef>
              <c:f>VN_Graphs!$S$33:$W$33</c:f>
              <c:numCache>
                <c:formatCode>0.0%</c:formatCode>
                <c:ptCount val="3"/>
                <c:pt idx="0">
                  <c:v>0.66109469476485572</c:v>
                </c:pt>
                <c:pt idx="1">
                  <c:v>0.61849219401618227</c:v>
                </c:pt>
                <c:pt idx="2">
                  <c:v>1.4269408974792994</c:v>
                </c:pt>
              </c:numCache>
            </c:numRef>
          </c:val>
        </c:ser>
        <c:dLbls>
          <c:dLblPos val="inBase"/>
          <c:showLegendKey val="0"/>
          <c:showVal val="1"/>
          <c:showCatName val="0"/>
          <c:showSerName val="0"/>
          <c:showPercent val="0"/>
          <c:showBubbleSize val="0"/>
        </c:dLbls>
        <c:gapWidth val="80"/>
        <c:overlap val="-27"/>
        <c:axId val="1759967776"/>
        <c:axId val="1759971040"/>
      </c:barChart>
      <c:catAx>
        <c:axId val="17599677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59971040"/>
        <c:crosses val="autoZero"/>
        <c:auto val="1"/>
        <c:lblAlgn val="ctr"/>
        <c:lblOffset val="100"/>
        <c:noMultiLvlLbl val="0"/>
      </c:catAx>
      <c:valAx>
        <c:axId val="1759971040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5996777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200" b="1"/>
              <a:t>[VN][OVERSEAS]</a:t>
            </a:r>
            <a:r>
              <a:rPr lang="en-US" sz="1200" b="1" baseline="0"/>
              <a:t> </a:t>
            </a:r>
            <a:r>
              <a:rPr lang="en-US" sz="1200" b="1"/>
              <a:t>Accumulated Views</a:t>
            </a:r>
            <a:r>
              <a:rPr lang="en-US" sz="1200" b="1" baseline="0"/>
              <a:t> vs FY Target</a:t>
            </a:r>
            <a:endParaRPr lang="en-US" sz="1200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VN_Graphs!$R$57</c:f>
              <c:strCache>
                <c:ptCount val="1"/>
                <c:pt idx="0">
                  <c:v>Views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FF5050"/>
              </a:solidFill>
              <a:ln>
                <a:noFill/>
              </a:ln>
              <a:effectLst/>
            </c:spPr>
          </c:dPt>
          <c:dPt>
            <c:idx val="1"/>
            <c:invertIfNegative val="0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</c:dPt>
          <c:dPt>
            <c:idx val="2"/>
            <c:invertIfNegative val="0"/>
            <c:bubble3D val="0"/>
            <c:spPr>
              <a:solidFill>
                <a:srgbClr val="FFC000"/>
              </a:solidFill>
              <a:ln>
                <a:noFill/>
              </a:ln>
              <a:effectLst/>
            </c:spPr>
          </c:dPt>
          <c:dPt>
            <c:idx val="3"/>
            <c:invertIfNegative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</c:dPt>
          <c:dPt>
            <c:idx val="4"/>
            <c:invertIfNegative val="0"/>
            <c:bubble3D val="0"/>
            <c:spPr>
              <a:solidFill>
                <a:schemeClr val="accent6"/>
              </a:solidFill>
              <a:ln>
                <a:noFill/>
              </a:ln>
              <a:effectLst/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VN_Graphs!$S$6:$W$6</c:f>
              <c:strCache>
                <c:ptCount val="3"/>
                <c:pt idx="0">
                  <c:v>TOTAL</c:v>
                </c:pt>
                <c:pt idx="1">
                  <c:v>KIDS</c:v>
                </c:pt>
                <c:pt idx="2">
                  <c:v>AFF</c:v>
                </c:pt>
              </c:strCache>
            </c:strRef>
          </c:cat>
          <c:val>
            <c:numRef>
              <c:f>VN_Graphs!$S$57:$W$57</c:f>
              <c:numCache>
                <c:formatCode>0.0%</c:formatCode>
                <c:ptCount val="3"/>
                <c:pt idx="0">
                  <c:v>3.0444655424124503</c:v>
                </c:pt>
                <c:pt idx="1">
                  <c:v>2.6351035087719281</c:v>
                </c:pt>
                <c:pt idx="2">
                  <c:v>4.4647738156521752</c:v>
                </c:pt>
              </c:numCache>
            </c:numRef>
          </c:val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80"/>
        <c:overlap val="-27"/>
        <c:axId val="1759978112"/>
        <c:axId val="1759979200"/>
      </c:barChart>
      <c:catAx>
        <c:axId val="17599781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59979200"/>
        <c:crosses val="autoZero"/>
        <c:auto val="1"/>
        <c:lblAlgn val="ctr"/>
        <c:lblOffset val="100"/>
        <c:noMultiLvlLbl val="0"/>
      </c:catAx>
      <c:valAx>
        <c:axId val="1759979200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599781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200" b="1"/>
              <a:t>[VN][OVERSEAS] Accumulated Revenue vs FY Target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VN_Graphs!$R$58</c:f>
              <c:strCache>
                <c:ptCount val="1"/>
                <c:pt idx="0">
                  <c:v>Revenue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FF5050"/>
              </a:solidFill>
              <a:ln>
                <a:noFill/>
              </a:ln>
              <a:effectLst/>
            </c:spPr>
          </c:dPt>
          <c:dPt>
            <c:idx val="1"/>
            <c:invertIfNegative val="0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</c:dPt>
          <c:dPt>
            <c:idx val="2"/>
            <c:invertIfNegative val="0"/>
            <c:bubble3D val="0"/>
            <c:spPr>
              <a:solidFill>
                <a:srgbClr val="FFC000"/>
              </a:solidFill>
              <a:ln>
                <a:noFill/>
              </a:ln>
              <a:effectLst/>
            </c:spPr>
          </c:dPt>
          <c:dPt>
            <c:idx val="3"/>
            <c:invertIfNegative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</c:dPt>
          <c:dPt>
            <c:idx val="4"/>
            <c:invertIfNegative val="0"/>
            <c:bubble3D val="0"/>
            <c:spPr>
              <a:solidFill>
                <a:schemeClr val="accent6"/>
              </a:solidFill>
              <a:ln>
                <a:noFill/>
              </a:ln>
              <a:effectLst/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VN_Graphs!$S$6:$W$6</c:f>
              <c:strCache>
                <c:ptCount val="3"/>
                <c:pt idx="0">
                  <c:v>TOTAL</c:v>
                </c:pt>
                <c:pt idx="1">
                  <c:v>KIDS</c:v>
                </c:pt>
                <c:pt idx="2">
                  <c:v>AFF</c:v>
                </c:pt>
              </c:strCache>
            </c:strRef>
          </c:cat>
          <c:val>
            <c:numRef>
              <c:f>VN_Graphs!$S$58:$W$58</c:f>
              <c:numCache>
                <c:formatCode>0.0%</c:formatCode>
                <c:ptCount val="3"/>
                <c:pt idx="0">
                  <c:v>2.397942599690448</c:v>
                </c:pt>
                <c:pt idx="1">
                  <c:v>2.0505220146084255</c:v>
                </c:pt>
                <c:pt idx="2">
                  <c:v>3.1079433506960989</c:v>
                </c:pt>
              </c:numCache>
            </c:numRef>
          </c:val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80"/>
        <c:overlap val="-27"/>
        <c:axId val="1759973760"/>
        <c:axId val="1759968320"/>
      </c:barChart>
      <c:catAx>
        <c:axId val="17599737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59968320"/>
        <c:crosses val="autoZero"/>
        <c:auto val="1"/>
        <c:lblAlgn val="ctr"/>
        <c:lblOffset val="100"/>
        <c:noMultiLvlLbl val="0"/>
      </c:catAx>
      <c:valAx>
        <c:axId val="1759968320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5997376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[VN][MUSIC][2018 VIEWS] TARGET vs ACTUAL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VN_Data!$C$384</c:f>
              <c:strCache>
                <c:ptCount val="1"/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VN_Data!$B$385:$B$396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VN_Data!$C$385:$C$396</c:f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-27"/>
        <c:axId val="1759979744"/>
        <c:axId val="1759967232"/>
      </c:barChart>
      <c:barChart>
        <c:barDir val="col"/>
        <c:grouping val="clustered"/>
        <c:varyColors val="0"/>
        <c:ser>
          <c:idx val="1"/>
          <c:order val="1"/>
          <c:tx>
            <c:strRef>
              <c:f>VN_Data!$D$384</c:f>
              <c:strCache>
                <c:ptCount val="1"/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VN_Data!$B$385:$B$396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VN_Data!$D$385:$D$396</c:f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759975392"/>
        <c:axId val="1759978656"/>
      </c:barChart>
      <c:catAx>
        <c:axId val="17599797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59967232"/>
        <c:crosses val="autoZero"/>
        <c:auto val="1"/>
        <c:lblAlgn val="ctr"/>
        <c:lblOffset val="100"/>
        <c:noMultiLvlLbl val="0"/>
      </c:catAx>
      <c:valAx>
        <c:axId val="17599672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59979744"/>
        <c:crosses val="autoZero"/>
        <c:crossBetween val="between"/>
      </c:valAx>
      <c:valAx>
        <c:axId val="1759978656"/>
        <c:scaling>
          <c:orientation val="minMax"/>
          <c:max val="2500000000"/>
        </c:scaling>
        <c:delete val="1"/>
        <c:axPos val="r"/>
        <c:numFmt formatCode="#,##0" sourceLinked="1"/>
        <c:majorTickMark val="out"/>
        <c:minorTickMark val="none"/>
        <c:tickLblPos val="nextTo"/>
        <c:crossAx val="1759975392"/>
        <c:crosses val="max"/>
        <c:crossBetween val="between"/>
      </c:valAx>
      <c:catAx>
        <c:axId val="1759975392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759978656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bg1">
          <a:lumMod val="50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[VN][MUSIC][2018 REVENUE] TARGET vs ACTUAL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VN_Data!$C$384</c:f>
              <c:strCache>
                <c:ptCount val="1"/>
              </c:strCache>
            </c:strRef>
          </c:tx>
          <c:spPr>
            <a:solidFill>
              <a:schemeClr val="bg1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strRef>
              <c:f>VN_Data!$B$401:$B$412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VN_Data!$C$401:$C$412</c:f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-27"/>
        <c:axId val="1759969952"/>
        <c:axId val="1759972672"/>
      </c:barChart>
      <c:barChart>
        <c:barDir val="col"/>
        <c:grouping val="clustered"/>
        <c:varyColors val="0"/>
        <c:ser>
          <c:idx val="1"/>
          <c:order val="1"/>
          <c:tx>
            <c:strRef>
              <c:f>VN_Data!$D$384</c:f>
              <c:strCache>
                <c:ptCount val="1"/>
              </c:strCache>
            </c:strRef>
          </c:tx>
          <c:spPr>
            <a:solidFill>
              <a:srgbClr val="00B0F0"/>
            </a:solidFill>
            <a:ln>
              <a:noFill/>
            </a:ln>
            <a:effectLst/>
          </c:spPr>
          <c:invertIfNegative val="0"/>
          <c:cat>
            <c:strRef>
              <c:f>VN_Data!$B$401:$B$412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VN_Data!$D$401:$D$412</c:f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759976480"/>
        <c:axId val="1759980832"/>
      </c:barChart>
      <c:catAx>
        <c:axId val="17599699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59972672"/>
        <c:crosses val="autoZero"/>
        <c:auto val="1"/>
        <c:lblAlgn val="ctr"/>
        <c:lblOffset val="100"/>
        <c:noMultiLvlLbl val="0"/>
      </c:catAx>
      <c:valAx>
        <c:axId val="17599726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_);_(&quot;$&quot;* \(#,##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59969952"/>
        <c:crosses val="autoZero"/>
        <c:crossBetween val="between"/>
      </c:valAx>
      <c:valAx>
        <c:axId val="1759980832"/>
        <c:scaling>
          <c:orientation val="minMax"/>
          <c:max val="500000"/>
        </c:scaling>
        <c:delete val="1"/>
        <c:axPos val="r"/>
        <c:numFmt formatCode="_(&quot;$&quot;* #,##0_);_(&quot;$&quot;* \(#,##0\);_(&quot;$&quot;* &quot;-&quot;??_);_(@_)" sourceLinked="1"/>
        <c:majorTickMark val="out"/>
        <c:minorTickMark val="none"/>
        <c:tickLblPos val="nextTo"/>
        <c:crossAx val="1759976480"/>
        <c:crosses val="max"/>
        <c:crossBetween val="between"/>
      </c:valAx>
      <c:catAx>
        <c:axId val="1759976480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759980832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bg1">
          <a:lumMod val="50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1" i="0" u="none" strike="noStrike" baseline="0">
                <a:effectLst/>
              </a:rPr>
              <a:t>[VN]</a:t>
            </a:r>
            <a:r>
              <a:rPr lang="en-US" b="1"/>
              <a:t>[KIDS][2018 VIEWS] TARGET vs ACTUAL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VN_Data!$E$384</c:f>
              <c:strCache>
                <c:ptCount val="1"/>
                <c:pt idx="0">
                  <c:v>Target</c:v>
                </c:pt>
              </c:strCache>
            </c:strRef>
          </c:tx>
          <c:spPr>
            <a:solidFill>
              <a:schemeClr val="bg1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strRef>
              <c:f>VN_Data!$B$385:$B$396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VN_Data!$E$385:$E$396</c:f>
              <c:numCache>
                <c:formatCode>#,##0</c:formatCode>
                <c:ptCount val="12"/>
                <c:pt idx="0">
                  <c:v>569674736.83402956</c:v>
                </c:pt>
                <c:pt idx="1">
                  <c:v>508439589.17777473</c:v>
                </c:pt>
                <c:pt idx="2">
                  <c:v>627519177.87771106</c:v>
                </c:pt>
                <c:pt idx="3">
                  <c:v>658895895.71846128</c:v>
                </c:pt>
                <c:pt idx="4">
                  <c:v>713830067.76421547</c:v>
                </c:pt>
                <c:pt idx="5">
                  <c:v>700547432.74220216</c:v>
                </c:pt>
                <c:pt idx="6">
                  <c:v>756363432.58724153</c:v>
                </c:pt>
                <c:pt idx="7">
                  <c:v>749302914.2797215</c:v>
                </c:pt>
                <c:pt idx="8">
                  <c:v>790556961.82225585</c:v>
                </c:pt>
                <c:pt idx="9">
                  <c:v>848257957.42272496</c:v>
                </c:pt>
                <c:pt idx="10">
                  <c:v>865704178.90948462</c:v>
                </c:pt>
                <c:pt idx="11">
                  <c:v>960907654.86417639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-27"/>
        <c:axId val="1759968864"/>
        <c:axId val="1759972128"/>
      </c:barChart>
      <c:barChart>
        <c:barDir val="col"/>
        <c:grouping val="clustered"/>
        <c:varyColors val="0"/>
        <c:ser>
          <c:idx val="1"/>
          <c:order val="1"/>
          <c:tx>
            <c:strRef>
              <c:f>VN_Data!$F$384</c:f>
              <c:strCache>
                <c:ptCount val="1"/>
                <c:pt idx="0">
                  <c:v>Actual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VN_Data!$B$385:$B$396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VN_Data!$F$385:$F$396</c:f>
              <c:numCache>
                <c:formatCode>#,##0</c:formatCode>
                <c:ptCount val="12"/>
                <c:pt idx="0">
                  <c:v>712243496</c:v>
                </c:pt>
                <c:pt idx="1">
                  <c:v>640353919</c:v>
                </c:pt>
                <c:pt idx="2">
                  <c:v>663392460</c:v>
                </c:pt>
                <c:pt idx="3">
                  <c:v>693831478</c:v>
                </c:pt>
                <c:pt idx="4">
                  <c:v>796396532</c:v>
                </c:pt>
                <c:pt idx="5">
                  <c:v>913021074</c:v>
                </c:pt>
                <c:pt idx="6">
                  <c:v>907602165</c:v>
                </c:pt>
                <c:pt idx="7">
                  <c:v>810832920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804929600"/>
        <c:axId val="1804936128"/>
      </c:barChart>
      <c:catAx>
        <c:axId val="17599688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59972128"/>
        <c:crosses val="autoZero"/>
        <c:auto val="1"/>
        <c:lblAlgn val="ctr"/>
        <c:lblOffset val="100"/>
        <c:noMultiLvlLbl val="0"/>
      </c:catAx>
      <c:valAx>
        <c:axId val="17599721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59968864"/>
        <c:crosses val="autoZero"/>
        <c:crossBetween val="between"/>
      </c:valAx>
      <c:valAx>
        <c:axId val="1804936128"/>
        <c:scaling>
          <c:orientation val="minMax"/>
          <c:max val="1200000000"/>
        </c:scaling>
        <c:delete val="1"/>
        <c:axPos val="r"/>
        <c:numFmt formatCode="#,##0" sourceLinked="1"/>
        <c:majorTickMark val="out"/>
        <c:minorTickMark val="none"/>
        <c:tickLblPos val="nextTo"/>
        <c:crossAx val="1804929600"/>
        <c:crosses val="max"/>
        <c:crossBetween val="between"/>
      </c:valAx>
      <c:catAx>
        <c:axId val="1804929600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804936128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bg1">
          <a:lumMod val="50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1" i="0" u="none" strike="noStrike" baseline="0">
                <a:effectLst/>
              </a:rPr>
              <a:t>[VN]</a:t>
            </a:r>
            <a:r>
              <a:rPr lang="en-US" b="1"/>
              <a:t>[KIDS][2018 REVENUE] TARGET vs ACTUAL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VN_Data!$E$384</c:f>
              <c:strCache>
                <c:ptCount val="1"/>
                <c:pt idx="0">
                  <c:v>Target</c:v>
                </c:pt>
              </c:strCache>
            </c:strRef>
          </c:tx>
          <c:spPr>
            <a:solidFill>
              <a:schemeClr val="bg1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strRef>
              <c:f>VN_Data!$B$401:$B$412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VN_Data!$E$401:$E$412</c:f>
              <c:numCache>
                <c:formatCode>_("$"* #,##0_);_("$"* \(#,##0\);_("$"* "-"??_);_(@_)</c:formatCode>
                <c:ptCount val="12"/>
                <c:pt idx="0">
                  <c:v>118464.40869439059</c:v>
                </c:pt>
                <c:pt idx="1">
                  <c:v>105730.50092321732</c:v>
                </c:pt>
                <c:pt idx="2">
                  <c:v>130493.21576872235</c:v>
                </c:pt>
                <c:pt idx="3">
                  <c:v>137018.03438088796</c:v>
                </c:pt>
                <c:pt idx="4">
                  <c:v>148441.64822180182</c:v>
                </c:pt>
                <c:pt idx="5">
                  <c:v>145679.5115110692</c:v>
                </c:pt>
                <c:pt idx="6">
                  <c:v>157286.50228983568</c:v>
                </c:pt>
                <c:pt idx="7">
                  <c:v>155818.26072619413</c:v>
                </c:pt>
                <c:pt idx="8">
                  <c:v>164397.07953697184</c:v>
                </c:pt>
                <c:pt idx="9">
                  <c:v>176396.05699360892</c:v>
                </c:pt>
                <c:pt idx="10">
                  <c:v>180024.01550878966</c:v>
                </c:pt>
                <c:pt idx="11">
                  <c:v>199821.66977603344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-27"/>
        <c:axId val="1804939936"/>
        <c:axId val="1804937216"/>
      </c:barChart>
      <c:barChart>
        <c:barDir val="col"/>
        <c:grouping val="clustered"/>
        <c:varyColors val="0"/>
        <c:ser>
          <c:idx val="1"/>
          <c:order val="1"/>
          <c:tx>
            <c:strRef>
              <c:f>VN_Data!$F$384</c:f>
              <c:strCache>
                <c:ptCount val="1"/>
                <c:pt idx="0">
                  <c:v>Actual</c:v>
                </c:pt>
              </c:strCache>
            </c:strRef>
          </c:tx>
          <c:spPr>
            <a:solidFill>
              <a:srgbClr val="00B0F0"/>
            </a:solidFill>
            <a:ln>
              <a:noFill/>
            </a:ln>
            <a:effectLst/>
          </c:spPr>
          <c:invertIfNegative val="0"/>
          <c:cat>
            <c:strRef>
              <c:f>VN_Data!$B$401:$B$412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VN_Data!$F$401:$F$412</c:f>
              <c:numCache>
                <c:formatCode>_("$"* #,##0_);_("$"* \(#,##0\);_("$"* "-"??_);_(@_)</c:formatCode>
                <c:ptCount val="12"/>
                <c:pt idx="0">
                  <c:v>148369.26999999999</c:v>
                </c:pt>
                <c:pt idx="1">
                  <c:v>118213.66</c:v>
                </c:pt>
                <c:pt idx="2">
                  <c:v>168146.83</c:v>
                </c:pt>
                <c:pt idx="3">
                  <c:v>170290.55</c:v>
                </c:pt>
                <c:pt idx="4">
                  <c:v>206786.54000000004</c:v>
                </c:pt>
                <c:pt idx="5">
                  <c:v>232102.97999999998</c:v>
                </c:pt>
                <c:pt idx="6">
                  <c:v>204887.84000000003</c:v>
                </c:pt>
                <c:pt idx="7">
                  <c:v>233306.64100001781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804940480"/>
        <c:axId val="1804935040"/>
      </c:barChart>
      <c:catAx>
        <c:axId val="18049399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04937216"/>
        <c:crosses val="autoZero"/>
        <c:auto val="1"/>
        <c:lblAlgn val="ctr"/>
        <c:lblOffset val="100"/>
        <c:noMultiLvlLbl val="0"/>
      </c:catAx>
      <c:valAx>
        <c:axId val="18049372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_);_(&quot;$&quot;* \(#,##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04939936"/>
        <c:crosses val="autoZero"/>
        <c:crossBetween val="between"/>
      </c:valAx>
      <c:valAx>
        <c:axId val="1804935040"/>
        <c:scaling>
          <c:orientation val="minMax"/>
          <c:max val="250000"/>
        </c:scaling>
        <c:delete val="1"/>
        <c:axPos val="r"/>
        <c:numFmt formatCode="_(&quot;$&quot;* #,##0_);_(&quot;$&quot;* \(#,##0\);_(&quot;$&quot;* &quot;-&quot;??_);_(@_)" sourceLinked="1"/>
        <c:majorTickMark val="out"/>
        <c:minorTickMark val="none"/>
        <c:tickLblPos val="nextTo"/>
        <c:crossAx val="1804940480"/>
        <c:crosses val="max"/>
        <c:crossBetween val="between"/>
      </c:valAx>
      <c:catAx>
        <c:axId val="1804940480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804935040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bg1">
          <a:lumMod val="50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1" i="0" u="none" strike="noStrike" baseline="0">
                <a:effectLst/>
              </a:rPr>
              <a:t>[VN]</a:t>
            </a:r>
            <a:r>
              <a:rPr lang="en-US" b="1"/>
              <a:t>[ENTERTAINMENT][2018 VIEWS] TARGET vs ACTUAL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VN_Data!$G$384</c:f>
              <c:strCache>
                <c:ptCount val="1"/>
              </c:strCache>
            </c:strRef>
          </c:tx>
          <c:spPr>
            <a:solidFill>
              <a:schemeClr val="bg1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strRef>
              <c:f>VN_Data!$B$385:$B$396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VN_Data!$G$385:$G$396</c:f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-27"/>
        <c:axId val="1804938848"/>
        <c:axId val="1804939392"/>
      </c:barChart>
      <c:barChart>
        <c:barDir val="col"/>
        <c:grouping val="clustered"/>
        <c:varyColors val="0"/>
        <c:ser>
          <c:idx val="1"/>
          <c:order val="1"/>
          <c:tx>
            <c:strRef>
              <c:f>VN_Data!$H$384</c:f>
              <c:strCache>
                <c:ptCount val="1"/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VN_Data!$B$385:$B$396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VN_Data!$H$385:$H$396</c:f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804941024"/>
        <c:axId val="1804942112"/>
      </c:barChart>
      <c:catAx>
        <c:axId val="18049388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04939392"/>
        <c:crosses val="autoZero"/>
        <c:auto val="1"/>
        <c:lblAlgn val="ctr"/>
        <c:lblOffset val="100"/>
        <c:noMultiLvlLbl val="0"/>
      </c:catAx>
      <c:valAx>
        <c:axId val="18049393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04938848"/>
        <c:crosses val="autoZero"/>
        <c:crossBetween val="between"/>
      </c:valAx>
      <c:valAx>
        <c:axId val="1804942112"/>
        <c:scaling>
          <c:orientation val="minMax"/>
          <c:max val="2500000000"/>
        </c:scaling>
        <c:delete val="1"/>
        <c:axPos val="r"/>
        <c:numFmt formatCode="#,##0" sourceLinked="1"/>
        <c:majorTickMark val="out"/>
        <c:minorTickMark val="none"/>
        <c:tickLblPos val="nextTo"/>
        <c:crossAx val="1804941024"/>
        <c:crosses val="max"/>
        <c:crossBetween val="between"/>
      </c:valAx>
      <c:catAx>
        <c:axId val="1804941024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804942112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bg1">
          <a:lumMod val="50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1" i="0" u="none" strike="noStrike" baseline="0">
                <a:effectLst/>
              </a:rPr>
              <a:t>[VN]</a:t>
            </a:r>
            <a:r>
              <a:rPr lang="en-US" b="1"/>
              <a:t>[ENTERTAINMENT][2018 REVENUE] TARGET vs ACTUAL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VN_Data!$G$384</c:f>
              <c:strCache>
                <c:ptCount val="1"/>
              </c:strCache>
            </c:strRef>
          </c:tx>
          <c:spPr>
            <a:solidFill>
              <a:schemeClr val="bg1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strRef>
              <c:f>VN_Data!$B$401:$B$412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VN_Data!$G$401:$G$412</c:f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-27"/>
        <c:axId val="1804932320"/>
        <c:axId val="1804933408"/>
      </c:barChart>
      <c:barChart>
        <c:barDir val="col"/>
        <c:grouping val="clustered"/>
        <c:varyColors val="0"/>
        <c:ser>
          <c:idx val="1"/>
          <c:order val="1"/>
          <c:tx>
            <c:strRef>
              <c:f>VN_Data!$H$384</c:f>
              <c:strCache>
                <c:ptCount val="1"/>
              </c:strCache>
            </c:strRef>
          </c:tx>
          <c:spPr>
            <a:solidFill>
              <a:srgbClr val="00B0F0"/>
            </a:solidFill>
            <a:ln>
              <a:noFill/>
            </a:ln>
            <a:effectLst/>
          </c:spPr>
          <c:invertIfNegative val="0"/>
          <c:cat>
            <c:strRef>
              <c:f>VN_Data!$B$401:$B$412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VN_Data!$H$401:$H$412</c:f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804930688"/>
        <c:axId val="1804931776"/>
      </c:barChart>
      <c:catAx>
        <c:axId val="18049323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04933408"/>
        <c:crosses val="autoZero"/>
        <c:auto val="1"/>
        <c:lblAlgn val="ctr"/>
        <c:lblOffset val="100"/>
        <c:noMultiLvlLbl val="0"/>
      </c:catAx>
      <c:valAx>
        <c:axId val="18049334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_);_(&quot;$&quot;* \(#,##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04932320"/>
        <c:crosses val="autoZero"/>
        <c:crossBetween val="between"/>
      </c:valAx>
      <c:valAx>
        <c:axId val="1804931776"/>
        <c:scaling>
          <c:orientation val="minMax"/>
          <c:max val="700000"/>
        </c:scaling>
        <c:delete val="1"/>
        <c:axPos val="r"/>
        <c:numFmt formatCode="_(&quot;$&quot;* #,##0_);_(&quot;$&quot;* \(#,##0\);_(&quot;$&quot;* &quot;-&quot;??_);_(@_)" sourceLinked="1"/>
        <c:majorTickMark val="out"/>
        <c:minorTickMark val="none"/>
        <c:tickLblPos val="nextTo"/>
        <c:crossAx val="1804930688"/>
        <c:crosses val="max"/>
        <c:crossBetween val="between"/>
      </c:valAx>
      <c:catAx>
        <c:axId val="1804930688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804931776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bg1">
          <a:lumMod val="50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1" i="0" u="none" strike="noStrike" baseline="0">
                <a:effectLst/>
              </a:rPr>
              <a:t>[VN]</a:t>
            </a:r>
            <a:r>
              <a:rPr lang="en-US" b="1"/>
              <a:t>[AFFILIATE][2018 VIEWS] TARGET vs ACTUAL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VN_Data!$I$384</c:f>
              <c:strCache>
                <c:ptCount val="1"/>
                <c:pt idx="0">
                  <c:v>Target</c:v>
                </c:pt>
              </c:strCache>
            </c:strRef>
          </c:tx>
          <c:spPr>
            <a:solidFill>
              <a:schemeClr val="bg1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strRef>
              <c:f>VN_Data!$B$385:$B$396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VN_Data!$I$385:$I$396</c:f>
              <c:numCache>
                <c:formatCode>#,##0</c:formatCode>
                <c:ptCount val="12"/>
                <c:pt idx="0">
                  <c:v>81382105.262004226</c:v>
                </c:pt>
                <c:pt idx="1">
                  <c:v>72634227.025396392</c:v>
                </c:pt>
                <c:pt idx="2">
                  <c:v>89645596.839673027</c:v>
                </c:pt>
                <c:pt idx="3">
                  <c:v>94127985.102637336</c:v>
                </c:pt>
                <c:pt idx="4">
                  <c:v>101975723.96631651</c:v>
                </c:pt>
                <c:pt idx="5">
                  <c:v>100078204.67745745</c:v>
                </c:pt>
                <c:pt idx="6">
                  <c:v>108051918.94103451</c:v>
                </c:pt>
                <c:pt idx="7">
                  <c:v>107043273.46853167</c:v>
                </c:pt>
                <c:pt idx="8">
                  <c:v>112936708.83175085</c:v>
                </c:pt>
                <c:pt idx="9">
                  <c:v>121179708.20324643</c:v>
                </c:pt>
                <c:pt idx="10">
                  <c:v>123672025.55849782</c:v>
                </c:pt>
                <c:pt idx="11">
                  <c:v>137272522.1234538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-27"/>
        <c:axId val="1804933952"/>
        <c:axId val="1804936672"/>
      </c:barChart>
      <c:barChart>
        <c:barDir val="col"/>
        <c:grouping val="clustered"/>
        <c:varyColors val="0"/>
        <c:ser>
          <c:idx val="1"/>
          <c:order val="1"/>
          <c:tx>
            <c:strRef>
              <c:f>VN_Data!$J$384</c:f>
              <c:strCache>
                <c:ptCount val="1"/>
                <c:pt idx="0">
                  <c:v>Actual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VN_Data!$B$385:$B$396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VN_Data!$J$385:$J$396</c:f>
              <c:numCache>
                <c:formatCode>#,##0</c:formatCode>
                <c:ptCount val="12"/>
                <c:pt idx="0">
                  <c:v>125989099</c:v>
                </c:pt>
                <c:pt idx="1">
                  <c:v>100703382</c:v>
                </c:pt>
                <c:pt idx="2">
                  <c:v>169816435</c:v>
                </c:pt>
                <c:pt idx="3">
                  <c:v>358703577</c:v>
                </c:pt>
                <c:pt idx="4">
                  <c:v>401198859</c:v>
                </c:pt>
                <c:pt idx="5">
                  <c:v>164515860</c:v>
                </c:pt>
                <c:pt idx="6">
                  <c:v>214738755</c:v>
                </c:pt>
                <c:pt idx="7">
                  <c:v>192008896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804943200"/>
        <c:axId val="1804935584"/>
      </c:barChart>
      <c:catAx>
        <c:axId val="18049339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04936672"/>
        <c:crosses val="autoZero"/>
        <c:auto val="1"/>
        <c:lblAlgn val="ctr"/>
        <c:lblOffset val="100"/>
        <c:noMultiLvlLbl val="0"/>
      </c:catAx>
      <c:valAx>
        <c:axId val="18049366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04933952"/>
        <c:crosses val="autoZero"/>
        <c:crossBetween val="between"/>
      </c:valAx>
      <c:valAx>
        <c:axId val="1804935584"/>
        <c:scaling>
          <c:orientation val="minMax"/>
        </c:scaling>
        <c:delete val="1"/>
        <c:axPos val="r"/>
        <c:numFmt formatCode="#,##0" sourceLinked="1"/>
        <c:majorTickMark val="out"/>
        <c:minorTickMark val="none"/>
        <c:tickLblPos val="nextTo"/>
        <c:crossAx val="1804943200"/>
        <c:crosses val="max"/>
        <c:crossBetween val="between"/>
      </c:valAx>
      <c:catAx>
        <c:axId val="1804943200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804935584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bg1">
          <a:lumMod val="50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1" i="0" u="none" strike="noStrike" baseline="0">
                <a:effectLst/>
              </a:rPr>
              <a:t>[VN]</a:t>
            </a:r>
            <a:r>
              <a:rPr lang="en-US" b="1"/>
              <a:t>[AFFILIATE][2018 REVENUE] TARGET vs ACTUAL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VN_Data!$I$384</c:f>
              <c:strCache>
                <c:ptCount val="1"/>
                <c:pt idx="0">
                  <c:v>Target</c:v>
                </c:pt>
              </c:strCache>
            </c:strRef>
          </c:tx>
          <c:spPr>
            <a:solidFill>
              <a:schemeClr val="bg1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strRef>
              <c:f>VN_Data!$B$401:$B$412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VN_Data!$I$401:$I$412</c:f>
              <c:numCache>
                <c:formatCode>_("$"* #,##0_);_("$"* \(#,##0\);_("$"* "-"??_);_(@_)</c:formatCode>
                <c:ptCount val="12"/>
                <c:pt idx="0">
                  <c:v>13623.456484334463</c:v>
                </c:pt>
                <c:pt idx="1">
                  <c:v>12159.051771492457</c:v>
                </c:pt>
                <c:pt idx="2">
                  <c:v>15006.774322507856</c:v>
                </c:pt>
                <c:pt idx="3">
                  <c:v>15757.131188428062</c:v>
                </c:pt>
                <c:pt idx="4">
                  <c:v>17070.851551959495</c:v>
                </c:pt>
                <c:pt idx="5">
                  <c:v>16753.20467643653</c:v>
                </c:pt>
                <c:pt idx="6">
                  <c:v>18088.013464420492</c:v>
                </c:pt>
                <c:pt idx="7">
                  <c:v>17919.165071293719</c:v>
                </c:pt>
                <c:pt idx="8">
                  <c:v>18905.732818043078</c:v>
                </c:pt>
                <c:pt idx="9">
                  <c:v>20285.620237721268</c:v>
                </c:pt>
                <c:pt idx="10">
                  <c:v>20702.836982423396</c:v>
                </c:pt>
                <c:pt idx="11">
                  <c:v>22979.575492953481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-27"/>
        <c:axId val="1804932864"/>
        <c:axId val="1804937760"/>
      </c:barChart>
      <c:barChart>
        <c:barDir val="col"/>
        <c:grouping val="clustered"/>
        <c:varyColors val="0"/>
        <c:ser>
          <c:idx val="1"/>
          <c:order val="1"/>
          <c:tx>
            <c:strRef>
              <c:f>VN_Data!$J$384</c:f>
              <c:strCache>
                <c:ptCount val="1"/>
                <c:pt idx="0">
                  <c:v>Actual</c:v>
                </c:pt>
              </c:strCache>
            </c:strRef>
          </c:tx>
          <c:spPr>
            <a:solidFill>
              <a:srgbClr val="00B0F0"/>
            </a:solidFill>
            <a:ln>
              <a:noFill/>
            </a:ln>
            <a:effectLst/>
          </c:spPr>
          <c:invertIfNegative val="0"/>
          <c:cat>
            <c:strRef>
              <c:f>VN_Data!$B$401:$B$412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VN_Data!$J$401:$J$412</c:f>
              <c:numCache>
                <c:formatCode>_("$"* #,##0_);_("$"* \(#,##0\);_("$"* "-"??_);_(@_)</c:formatCode>
                <c:ptCount val="12"/>
                <c:pt idx="0">
                  <c:v>17239.806</c:v>
                </c:pt>
                <c:pt idx="1">
                  <c:v>16223.649999999996</c:v>
                </c:pt>
                <c:pt idx="2">
                  <c:v>38199.730000000003</c:v>
                </c:pt>
                <c:pt idx="3">
                  <c:v>121615.77</c:v>
                </c:pt>
                <c:pt idx="4">
                  <c:v>176027.96000000005</c:v>
                </c:pt>
                <c:pt idx="5">
                  <c:v>51696.229999999996</c:v>
                </c:pt>
                <c:pt idx="6">
                  <c:v>40203.839999999997</c:v>
                </c:pt>
                <c:pt idx="7">
                  <c:v>42278.220999997204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804941568"/>
        <c:axId val="1804938304"/>
      </c:barChart>
      <c:catAx>
        <c:axId val="18049328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04937760"/>
        <c:crosses val="autoZero"/>
        <c:auto val="1"/>
        <c:lblAlgn val="ctr"/>
        <c:lblOffset val="100"/>
        <c:noMultiLvlLbl val="0"/>
      </c:catAx>
      <c:valAx>
        <c:axId val="18049377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_);_(&quot;$&quot;* \(#,##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04932864"/>
        <c:crosses val="autoZero"/>
        <c:crossBetween val="between"/>
      </c:valAx>
      <c:valAx>
        <c:axId val="1804938304"/>
        <c:scaling>
          <c:orientation val="minMax"/>
          <c:max val="40000"/>
        </c:scaling>
        <c:delete val="1"/>
        <c:axPos val="r"/>
        <c:numFmt formatCode="_(&quot;$&quot;* #,##0_);_(&quot;$&quot;* \(#,##0\);_(&quot;$&quot;* &quot;-&quot;??_);_(@_)" sourceLinked="1"/>
        <c:majorTickMark val="out"/>
        <c:minorTickMark val="none"/>
        <c:tickLblPos val="nextTo"/>
        <c:crossAx val="1804941568"/>
        <c:crosses val="max"/>
        <c:crossBetween val="between"/>
      </c:valAx>
      <c:catAx>
        <c:axId val="1804941568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804938304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bg1">
          <a:lumMod val="50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1" i="0" u="none" strike="noStrike" baseline="0">
                <a:effectLst/>
              </a:rPr>
              <a:t>[VN]</a:t>
            </a:r>
            <a:r>
              <a:rPr lang="en-US" b="1"/>
              <a:t>[MUSIC][2018</a:t>
            </a:r>
            <a:r>
              <a:rPr lang="en-US" b="1" baseline="0"/>
              <a:t> VIEWS] TARGET vs ACTUAL (local)</a:t>
            </a:r>
            <a:endParaRPr lang="en-US" b="1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VN_Data!$L$384</c:f>
              <c:strCache>
                <c:ptCount val="1"/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VN_Data!$B$385:$B$396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VN_Data!$L$385:$L$396</c:f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-27"/>
        <c:axId val="1804934496"/>
        <c:axId val="1804942656"/>
      </c:barChart>
      <c:barChart>
        <c:barDir val="col"/>
        <c:grouping val="clustered"/>
        <c:varyColors val="0"/>
        <c:ser>
          <c:idx val="1"/>
          <c:order val="1"/>
          <c:tx>
            <c:strRef>
              <c:f>VN_Data!$M$384</c:f>
              <c:strCache>
                <c:ptCount val="1"/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VN_Data!$B$385:$B$396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VN_Data!$M$385:$M$396</c:f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804943744"/>
        <c:axId val="1804930144"/>
      </c:barChart>
      <c:catAx>
        <c:axId val="18049344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04942656"/>
        <c:crosses val="autoZero"/>
        <c:auto val="1"/>
        <c:lblAlgn val="ctr"/>
        <c:lblOffset val="100"/>
        <c:noMultiLvlLbl val="0"/>
      </c:catAx>
      <c:valAx>
        <c:axId val="18049426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04934496"/>
        <c:crosses val="autoZero"/>
        <c:crossBetween val="between"/>
      </c:valAx>
      <c:valAx>
        <c:axId val="1804930144"/>
        <c:scaling>
          <c:orientation val="minMax"/>
          <c:max val="2500000000"/>
        </c:scaling>
        <c:delete val="1"/>
        <c:axPos val="r"/>
        <c:numFmt formatCode="#,##0" sourceLinked="1"/>
        <c:majorTickMark val="out"/>
        <c:minorTickMark val="none"/>
        <c:tickLblPos val="nextTo"/>
        <c:crossAx val="1804943744"/>
        <c:crosses val="max"/>
        <c:crossBetween val="between"/>
      </c:valAx>
      <c:catAx>
        <c:axId val="1804943744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804930144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bg1">
          <a:lumMod val="50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1" i="0" u="none" strike="noStrike" baseline="0">
                <a:effectLst/>
              </a:rPr>
              <a:t>[VN]</a:t>
            </a:r>
            <a:r>
              <a:rPr lang="en-US" b="1"/>
              <a:t>[MUSIC][2018 REVENUE] TARGET vs ACTUAL (local)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VN_Data!$L$384</c:f>
              <c:strCache>
                <c:ptCount val="1"/>
              </c:strCache>
            </c:strRef>
          </c:tx>
          <c:spPr>
            <a:solidFill>
              <a:schemeClr val="bg1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strRef>
              <c:f>VN_Data!$B$401:$B$412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VN_Data!$L$401:$L$412</c:f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-27"/>
        <c:axId val="1804928512"/>
        <c:axId val="1804929056"/>
      </c:barChart>
      <c:barChart>
        <c:barDir val="col"/>
        <c:grouping val="clustered"/>
        <c:varyColors val="0"/>
        <c:ser>
          <c:idx val="1"/>
          <c:order val="1"/>
          <c:tx>
            <c:strRef>
              <c:f>VN_Data!$M$384</c:f>
              <c:strCache>
                <c:ptCount val="1"/>
              </c:strCache>
            </c:strRef>
          </c:tx>
          <c:spPr>
            <a:solidFill>
              <a:srgbClr val="00B0F0"/>
            </a:solidFill>
            <a:ln>
              <a:noFill/>
            </a:ln>
            <a:effectLst/>
          </c:spPr>
          <c:invertIfNegative val="0"/>
          <c:cat>
            <c:strRef>
              <c:f>VN_Data!$B$401:$B$412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VN_Data!$M$401:$M$412</c:f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805615648"/>
        <c:axId val="1804931232"/>
      </c:barChart>
      <c:catAx>
        <c:axId val="18049285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04929056"/>
        <c:crosses val="autoZero"/>
        <c:auto val="1"/>
        <c:lblAlgn val="ctr"/>
        <c:lblOffset val="100"/>
        <c:noMultiLvlLbl val="0"/>
      </c:catAx>
      <c:valAx>
        <c:axId val="18049290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_);_(&quot;$&quot;* \(#,##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04928512"/>
        <c:crosses val="autoZero"/>
        <c:crossBetween val="between"/>
      </c:valAx>
      <c:valAx>
        <c:axId val="1804931232"/>
        <c:scaling>
          <c:orientation val="minMax"/>
          <c:max val="250000"/>
        </c:scaling>
        <c:delete val="1"/>
        <c:axPos val="r"/>
        <c:numFmt formatCode="_(&quot;$&quot;* #,##0_);_(&quot;$&quot;* \(#,##0\);_(&quot;$&quot;* &quot;-&quot;??_);_(@_)" sourceLinked="1"/>
        <c:majorTickMark val="out"/>
        <c:minorTickMark val="none"/>
        <c:tickLblPos val="nextTo"/>
        <c:crossAx val="1805615648"/>
        <c:crosses val="max"/>
        <c:crossBetween val="between"/>
      </c:valAx>
      <c:catAx>
        <c:axId val="1805615648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804931232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bg1">
          <a:lumMod val="50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1" i="0" u="none" strike="noStrike" baseline="0">
                <a:effectLst/>
              </a:rPr>
              <a:t>[VN]</a:t>
            </a:r>
            <a:r>
              <a:rPr lang="en-US" b="1"/>
              <a:t>[KIDS][2018 VIEWS] TARGET vs ACTUAL (local)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VN_Data!$N$384</c:f>
              <c:strCache>
                <c:ptCount val="1"/>
                <c:pt idx="0">
                  <c:v>Target</c:v>
                </c:pt>
              </c:strCache>
            </c:strRef>
          </c:tx>
          <c:spPr>
            <a:solidFill>
              <a:schemeClr val="bg1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strRef>
              <c:f>VN_Data!$B$385:$B$396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VN_Data!$N$385:$N$396</c:f>
              <c:numCache>
                <c:formatCode>#,##0</c:formatCode>
                <c:ptCount val="12"/>
                <c:pt idx="0">
                  <c:v>537203276.83448982</c:v>
                </c:pt>
                <c:pt idx="1">
                  <c:v>479458532.59464157</c:v>
                </c:pt>
                <c:pt idx="2">
                  <c:v>591750584.73868155</c:v>
                </c:pt>
                <c:pt idx="3">
                  <c:v>621338829.66250896</c:v>
                </c:pt>
                <c:pt idx="4">
                  <c:v>673141753.9016552</c:v>
                </c:pt>
                <c:pt idx="5">
                  <c:v>660616229.07589662</c:v>
                </c:pt>
                <c:pt idx="6">
                  <c:v>713250716.92976868</c:v>
                </c:pt>
                <c:pt idx="7">
                  <c:v>706592648.16577733</c:v>
                </c:pt>
                <c:pt idx="8">
                  <c:v>745495214.99838722</c:v>
                </c:pt>
                <c:pt idx="9">
                  <c:v>799907253.84962964</c:v>
                </c:pt>
                <c:pt idx="10">
                  <c:v>816359040.71164393</c:v>
                </c:pt>
                <c:pt idx="11">
                  <c:v>906135918.53691828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-27"/>
        <c:axId val="1805628704"/>
        <c:axId val="1805621632"/>
      </c:barChart>
      <c:barChart>
        <c:barDir val="col"/>
        <c:grouping val="clustered"/>
        <c:varyColors val="0"/>
        <c:ser>
          <c:idx val="1"/>
          <c:order val="1"/>
          <c:tx>
            <c:strRef>
              <c:f>VN_Data!$O$384</c:f>
              <c:strCache>
                <c:ptCount val="1"/>
                <c:pt idx="0">
                  <c:v>Actual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VN_Data!$B$385:$B$396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VN_Data!$O$385:$O$396</c:f>
              <c:numCache>
                <c:formatCode>#,##0</c:formatCode>
                <c:ptCount val="12"/>
                <c:pt idx="0">
                  <c:v>600131253</c:v>
                </c:pt>
                <c:pt idx="1">
                  <c:v>559835027</c:v>
                </c:pt>
                <c:pt idx="2">
                  <c:v>551862891</c:v>
                </c:pt>
                <c:pt idx="3">
                  <c:v>547962867</c:v>
                </c:pt>
                <c:pt idx="4">
                  <c:v>579917316</c:v>
                </c:pt>
                <c:pt idx="5">
                  <c:v>684471205</c:v>
                </c:pt>
                <c:pt idx="6">
                  <c:v>680408129</c:v>
                </c:pt>
                <c:pt idx="7">
                  <c:v>618827481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805624896"/>
        <c:axId val="1805627616"/>
      </c:barChart>
      <c:catAx>
        <c:axId val="18056287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05621632"/>
        <c:crosses val="autoZero"/>
        <c:auto val="1"/>
        <c:lblAlgn val="ctr"/>
        <c:lblOffset val="100"/>
        <c:noMultiLvlLbl val="0"/>
      </c:catAx>
      <c:valAx>
        <c:axId val="18056216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05628704"/>
        <c:crosses val="autoZero"/>
        <c:crossBetween val="between"/>
      </c:valAx>
      <c:valAx>
        <c:axId val="1805627616"/>
        <c:scaling>
          <c:orientation val="minMax"/>
          <c:max val="1000000000"/>
        </c:scaling>
        <c:delete val="1"/>
        <c:axPos val="r"/>
        <c:numFmt formatCode="#,##0" sourceLinked="1"/>
        <c:majorTickMark val="out"/>
        <c:minorTickMark val="none"/>
        <c:tickLblPos val="nextTo"/>
        <c:crossAx val="1805624896"/>
        <c:crosses val="max"/>
        <c:crossBetween val="between"/>
      </c:valAx>
      <c:catAx>
        <c:axId val="1805624896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805627616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bg1">
          <a:lumMod val="50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1" i="0" u="none" strike="noStrike" baseline="0">
                <a:effectLst/>
              </a:rPr>
              <a:t>[VN]</a:t>
            </a:r>
            <a:r>
              <a:rPr lang="en-US" b="1"/>
              <a:t>[KIDS][2018</a:t>
            </a:r>
            <a:r>
              <a:rPr lang="en-US" b="1" baseline="0"/>
              <a:t> REVENUE] TARGET vs ACTUAL (local)</a:t>
            </a:r>
            <a:endParaRPr lang="en-US" b="1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VN_Data!$N$384</c:f>
              <c:strCache>
                <c:ptCount val="1"/>
                <c:pt idx="0">
                  <c:v>Target</c:v>
                </c:pt>
              </c:strCache>
            </c:strRef>
          </c:tx>
          <c:spPr>
            <a:solidFill>
              <a:schemeClr val="bg1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strRef>
              <c:f>VN_Data!$B$401:$B$412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VN_Data!$N$401:$N$412</c:f>
              <c:numCache>
                <c:formatCode>_("$"* #,##0_);_("$"* \(#,##0\);_("$"* "-"??_);_(@_)</c:formatCode>
                <c:ptCount val="12"/>
                <c:pt idx="0">
                  <c:v>102246.79726097024</c:v>
                </c:pt>
                <c:pt idx="1">
                  <c:v>91256.14360753505</c:v>
                </c:pt>
                <c:pt idx="2">
                  <c:v>112628.87751423339</c:v>
                </c:pt>
                <c:pt idx="3">
                  <c:v>118260.45760782727</c:v>
                </c:pt>
                <c:pt idx="4">
                  <c:v>128120.19473269457</c:v>
                </c:pt>
                <c:pt idx="5">
                  <c:v>125736.19066445214</c:v>
                </c:pt>
                <c:pt idx="6">
                  <c:v>135754.20068152048</c:v>
                </c:pt>
                <c:pt idx="7">
                  <c:v>134486.9593290982</c:v>
                </c:pt>
                <c:pt idx="8">
                  <c:v>141891.34987433814</c:v>
                </c:pt>
                <c:pt idx="9">
                  <c:v>152247.68414274041</c:v>
                </c:pt>
                <c:pt idx="10">
                  <c:v>155378.98022450152</c:v>
                </c:pt>
                <c:pt idx="11">
                  <c:v>172466.36338384115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-27"/>
        <c:axId val="1805629248"/>
        <c:axId val="1805625984"/>
      </c:barChart>
      <c:barChart>
        <c:barDir val="col"/>
        <c:grouping val="clustered"/>
        <c:varyColors val="0"/>
        <c:ser>
          <c:idx val="1"/>
          <c:order val="1"/>
          <c:tx>
            <c:strRef>
              <c:f>VN_Data!$O$384</c:f>
              <c:strCache>
                <c:ptCount val="1"/>
                <c:pt idx="0">
                  <c:v>Actual</c:v>
                </c:pt>
              </c:strCache>
            </c:strRef>
          </c:tx>
          <c:spPr>
            <a:solidFill>
              <a:srgbClr val="00B0F0"/>
            </a:solidFill>
            <a:ln>
              <a:noFill/>
            </a:ln>
            <a:effectLst/>
          </c:spPr>
          <c:invertIfNegative val="0"/>
          <c:cat>
            <c:strRef>
              <c:f>VN_Data!$B$401:$B$412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VN_Data!$O$401:$O$412</c:f>
              <c:numCache>
                <c:formatCode>_("$"* #,##0_);_("$"* \(#,##0\);_("$"* "-"??_);_(@_)</c:formatCode>
                <c:ptCount val="12"/>
                <c:pt idx="0">
                  <c:v>115656.79299999999</c:v>
                </c:pt>
                <c:pt idx="1">
                  <c:v>94450.7</c:v>
                </c:pt>
                <c:pt idx="2">
                  <c:v>125455.74999999999</c:v>
                </c:pt>
                <c:pt idx="3">
                  <c:v>116613.42000000001</c:v>
                </c:pt>
                <c:pt idx="4">
                  <c:v>122478.54000000001</c:v>
                </c:pt>
                <c:pt idx="5">
                  <c:v>123175.16000000003</c:v>
                </c:pt>
                <c:pt idx="6">
                  <c:v>121549.84</c:v>
                </c:pt>
                <c:pt idx="7">
                  <c:v>151945.83000000729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805628160"/>
        <c:axId val="1805620544"/>
      </c:barChart>
      <c:catAx>
        <c:axId val="18056292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05625984"/>
        <c:crosses val="autoZero"/>
        <c:auto val="1"/>
        <c:lblAlgn val="ctr"/>
        <c:lblOffset val="100"/>
        <c:noMultiLvlLbl val="0"/>
      </c:catAx>
      <c:valAx>
        <c:axId val="18056259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_);_(&quot;$&quot;* \(#,##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05629248"/>
        <c:crosses val="autoZero"/>
        <c:crossBetween val="between"/>
      </c:valAx>
      <c:valAx>
        <c:axId val="1805620544"/>
        <c:scaling>
          <c:orientation val="minMax"/>
          <c:max val="200000"/>
        </c:scaling>
        <c:delete val="1"/>
        <c:axPos val="r"/>
        <c:numFmt formatCode="_(&quot;$&quot;* #,##0_);_(&quot;$&quot;* \(#,##0\);_(&quot;$&quot;* &quot;-&quot;??_);_(@_)" sourceLinked="1"/>
        <c:majorTickMark val="out"/>
        <c:minorTickMark val="none"/>
        <c:tickLblPos val="nextTo"/>
        <c:crossAx val="1805628160"/>
        <c:crosses val="max"/>
        <c:crossBetween val="between"/>
      </c:valAx>
      <c:catAx>
        <c:axId val="1805628160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805620544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bg1">
          <a:lumMod val="50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1" i="0" u="none" strike="noStrike" baseline="0">
                <a:effectLst/>
              </a:rPr>
              <a:t>[VN]</a:t>
            </a:r>
            <a:r>
              <a:rPr lang="en-US" b="1"/>
              <a:t>[ENTERTAINMENT][2018 VIEWS] TARGET vs ACTUAL (local)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VN_Data!$P$384</c:f>
              <c:strCache>
                <c:ptCount val="1"/>
              </c:strCache>
            </c:strRef>
          </c:tx>
          <c:spPr>
            <a:solidFill>
              <a:schemeClr val="bg1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strRef>
              <c:f>VN_Data!$B$385:$B$396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VN_Data!$P$385:$P$396</c:f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-27"/>
        <c:axId val="1805629792"/>
        <c:axId val="1805627072"/>
      </c:barChart>
      <c:barChart>
        <c:barDir val="col"/>
        <c:grouping val="clustered"/>
        <c:varyColors val="0"/>
        <c:ser>
          <c:idx val="1"/>
          <c:order val="1"/>
          <c:tx>
            <c:strRef>
              <c:f>VN_Data!$Q$384</c:f>
              <c:strCache>
                <c:ptCount val="1"/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VN_Data!$B$385:$B$396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VN_Data!$Q$385:$Q$396</c:f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805617280"/>
        <c:axId val="1805630336"/>
      </c:barChart>
      <c:catAx>
        <c:axId val="18056297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05627072"/>
        <c:crosses val="autoZero"/>
        <c:auto val="1"/>
        <c:lblAlgn val="ctr"/>
        <c:lblOffset val="100"/>
        <c:noMultiLvlLbl val="0"/>
      </c:catAx>
      <c:valAx>
        <c:axId val="18056270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05629792"/>
        <c:crosses val="autoZero"/>
        <c:crossBetween val="between"/>
      </c:valAx>
      <c:valAx>
        <c:axId val="1805630336"/>
        <c:scaling>
          <c:orientation val="minMax"/>
          <c:max val="2500000000"/>
        </c:scaling>
        <c:delete val="1"/>
        <c:axPos val="r"/>
        <c:numFmt formatCode="#,##0" sourceLinked="1"/>
        <c:majorTickMark val="out"/>
        <c:minorTickMark val="none"/>
        <c:tickLblPos val="nextTo"/>
        <c:crossAx val="1805617280"/>
        <c:crosses val="max"/>
        <c:crossBetween val="between"/>
      </c:valAx>
      <c:catAx>
        <c:axId val="1805617280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805630336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bg1">
          <a:lumMod val="50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1" i="0" u="none" strike="noStrike" baseline="0">
                <a:effectLst/>
              </a:rPr>
              <a:t>[VN]</a:t>
            </a:r>
            <a:r>
              <a:rPr lang="en-US" b="1"/>
              <a:t>[ENTERTAINMENT][2018</a:t>
            </a:r>
            <a:r>
              <a:rPr lang="en-US" b="1" baseline="0"/>
              <a:t> REVENUE] TARGET vs ACTUAL (local)</a:t>
            </a:r>
            <a:endParaRPr lang="en-US" b="1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VN_Data!$P$384</c:f>
              <c:strCache>
                <c:ptCount val="1"/>
              </c:strCache>
            </c:strRef>
          </c:tx>
          <c:spPr>
            <a:solidFill>
              <a:schemeClr val="bg1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strRef>
              <c:f>VN_Data!$B$401:$B$412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VN_Data!$P$401:$P$412</c:f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-27"/>
        <c:axId val="1805618368"/>
        <c:axId val="1805630880"/>
      </c:barChart>
      <c:barChart>
        <c:barDir val="col"/>
        <c:grouping val="clustered"/>
        <c:varyColors val="0"/>
        <c:ser>
          <c:idx val="1"/>
          <c:order val="1"/>
          <c:tx>
            <c:strRef>
              <c:f>VN_Data!$Q$384</c:f>
              <c:strCache>
                <c:ptCount val="1"/>
              </c:strCache>
            </c:strRef>
          </c:tx>
          <c:spPr>
            <a:solidFill>
              <a:srgbClr val="00B0F0"/>
            </a:solidFill>
            <a:ln>
              <a:noFill/>
            </a:ln>
            <a:effectLst/>
          </c:spPr>
          <c:invertIfNegative val="0"/>
          <c:cat>
            <c:strRef>
              <c:f>VN_Data!$B$401:$B$412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VN_Data!$Q$401:$Q$412</c:f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805626528"/>
        <c:axId val="1805616192"/>
      </c:barChart>
      <c:catAx>
        <c:axId val="18056183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05630880"/>
        <c:crosses val="autoZero"/>
        <c:auto val="1"/>
        <c:lblAlgn val="ctr"/>
        <c:lblOffset val="100"/>
        <c:noMultiLvlLbl val="0"/>
      </c:catAx>
      <c:valAx>
        <c:axId val="18056308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_);_(&quot;$&quot;* \(#,##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05618368"/>
        <c:crosses val="autoZero"/>
        <c:crossBetween val="between"/>
      </c:valAx>
      <c:valAx>
        <c:axId val="1805616192"/>
        <c:scaling>
          <c:orientation val="minMax"/>
          <c:max val="250000"/>
        </c:scaling>
        <c:delete val="1"/>
        <c:axPos val="r"/>
        <c:numFmt formatCode="_(&quot;$&quot;* #,##0_);_(&quot;$&quot;* \(#,##0\);_(&quot;$&quot;* &quot;-&quot;??_);_(@_)" sourceLinked="1"/>
        <c:majorTickMark val="out"/>
        <c:minorTickMark val="none"/>
        <c:tickLblPos val="nextTo"/>
        <c:crossAx val="1805626528"/>
        <c:crosses val="max"/>
        <c:crossBetween val="between"/>
      </c:valAx>
      <c:catAx>
        <c:axId val="1805626528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805616192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bg1">
          <a:lumMod val="50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1" i="0" u="none" strike="noStrike" baseline="0">
                <a:effectLst/>
              </a:rPr>
              <a:t>[VN]</a:t>
            </a:r>
            <a:r>
              <a:rPr lang="en-US" b="1"/>
              <a:t>[AFFILIATE][2018 VIEWS]</a:t>
            </a:r>
            <a:r>
              <a:rPr lang="en-US" b="1" baseline="0"/>
              <a:t> TARGET vs ACTUAL (local)</a:t>
            </a:r>
            <a:endParaRPr lang="en-US" b="1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VN_Data!$R$384</c:f>
              <c:strCache>
                <c:ptCount val="1"/>
                <c:pt idx="0">
                  <c:v>Target</c:v>
                </c:pt>
              </c:strCache>
            </c:strRef>
          </c:tx>
          <c:spPr>
            <a:solidFill>
              <a:schemeClr val="bg1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strRef>
              <c:f>VN_Data!$B$385:$B$396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VN_Data!$R$385:$R$396</c:f>
              <c:numCache>
                <c:formatCode>#,##0</c:formatCode>
                <c:ptCount val="12"/>
                <c:pt idx="0">
                  <c:v>72023163.156873748</c:v>
                </c:pt>
                <c:pt idx="1">
                  <c:v>64281290.917475805</c:v>
                </c:pt>
                <c:pt idx="2">
                  <c:v>79336353.203110635</c:v>
                </c:pt>
                <c:pt idx="3">
                  <c:v>83303266.815834045</c:v>
                </c:pt>
                <c:pt idx="4">
                  <c:v>90248515.710190102</c:v>
                </c:pt>
                <c:pt idx="5">
                  <c:v>88569211.139549851</c:v>
                </c:pt>
                <c:pt idx="6">
                  <c:v>95625948.26281555</c:v>
                </c:pt>
                <c:pt idx="7">
                  <c:v>94733297.019650534</c:v>
                </c:pt>
                <c:pt idx="8">
                  <c:v>99948987.31609951</c:v>
                </c:pt>
                <c:pt idx="9">
                  <c:v>107244041.75987309</c:v>
                </c:pt>
                <c:pt idx="10">
                  <c:v>109449742.61927056</c:v>
                </c:pt>
                <c:pt idx="11">
                  <c:v>121486182.07925661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-27"/>
        <c:axId val="1805623264"/>
        <c:axId val="1805621088"/>
      </c:barChart>
      <c:barChart>
        <c:barDir val="col"/>
        <c:grouping val="clustered"/>
        <c:varyColors val="0"/>
        <c:ser>
          <c:idx val="1"/>
          <c:order val="1"/>
          <c:tx>
            <c:strRef>
              <c:f>VN_Data!$S$384</c:f>
              <c:strCache>
                <c:ptCount val="1"/>
                <c:pt idx="0">
                  <c:v>Actual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VN_Data!$B$385:$B$396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VN_Data!$S$385:$S$396</c:f>
              <c:numCache>
                <c:formatCode>#,##0</c:formatCode>
                <c:ptCount val="12"/>
                <c:pt idx="0">
                  <c:v>100691266</c:v>
                </c:pt>
                <c:pt idx="1">
                  <c:v>87725110</c:v>
                </c:pt>
                <c:pt idx="2">
                  <c:v>153626660</c:v>
                </c:pt>
                <c:pt idx="3">
                  <c:v>184714554</c:v>
                </c:pt>
                <c:pt idx="4">
                  <c:v>156759564</c:v>
                </c:pt>
                <c:pt idx="5">
                  <c:v>122963683</c:v>
                </c:pt>
                <c:pt idx="6">
                  <c:v>153441957</c:v>
                </c:pt>
                <c:pt idx="7">
                  <c:v>125940833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805617824"/>
        <c:axId val="1805622176"/>
      </c:barChart>
      <c:catAx>
        <c:axId val="18056232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05621088"/>
        <c:crosses val="autoZero"/>
        <c:auto val="1"/>
        <c:lblAlgn val="ctr"/>
        <c:lblOffset val="100"/>
        <c:noMultiLvlLbl val="0"/>
      </c:catAx>
      <c:valAx>
        <c:axId val="18056210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05623264"/>
        <c:crosses val="autoZero"/>
        <c:crossBetween val="between"/>
      </c:valAx>
      <c:valAx>
        <c:axId val="1805622176"/>
        <c:scaling>
          <c:orientation val="minMax"/>
        </c:scaling>
        <c:delete val="1"/>
        <c:axPos val="r"/>
        <c:numFmt formatCode="#,##0" sourceLinked="1"/>
        <c:majorTickMark val="out"/>
        <c:minorTickMark val="none"/>
        <c:tickLblPos val="nextTo"/>
        <c:crossAx val="1805617824"/>
        <c:crosses val="max"/>
        <c:crossBetween val="between"/>
      </c:valAx>
      <c:catAx>
        <c:axId val="1805617824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805622176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bg1">
          <a:lumMod val="50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1" i="0" u="none" strike="noStrike" baseline="0">
                <a:effectLst/>
              </a:rPr>
              <a:t>[VN]</a:t>
            </a:r>
            <a:r>
              <a:rPr lang="en-US" b="1"/>
              <a:t>[AFFILIATE][2018 REVENUE]</a:t>
            </a:r>
            <a:r>
              <a:rPr lang="en-US" b="1" baseline="0"/>
              <a:t> TARGET vs ACTUAL (local)</a:t>
            </a:r>
            <a:endParaRPr lang="en-US" b="1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VN_Data!$R$384</c:f>
              <c:strCache>
                <c:ptCount val="1"/>
                <c:pt idx="0">
                  <c:v>Target</c:v>
                </c:pt>
              </c:strCache>
            </c:strRef>
          </c:tx>
          <c:spPr>
            <a:solidFill>
              <a:schemeClr val="bg1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strRef>
              <c:f>VN_Data!$B$401:$B$412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VN_Data!$R$401:$R$412</c:f>
              <c:numCache>
                <c:formatCode>_("$"* #,##0_);_("$"* \(#,##0\);_("$"* "-"??_);_(@_)</c:formatCode>
                <c:ptCount val="12"/>
                <c:pt idx="0">
                  <c:v>5687.7859306748032</c:v>
                </c:pt>
                <c:pt idx="1">
                  <c:v>5076.3977317919152</c:v>
                </c:pt>
                <c:pt idx="2">
                  <c:v>6265.3204019495124</c:v>
                </c:pt>
                <c:pt idx="3">
                  <c:v>6578.5939995767949</c:v>
                </c:pt>
                <c:pt idx="4">
                  <c:v>7127.0715617231754</c:v>
                </c:pt>
                <c:pt idx="5">
                  <c:v>6994.454157938766</c:v>
                </c:pt>
                <c:pt idx="6">
                  <c:v>7551.7361262238619</c:v>
                </c:pt>
                <c:pt idx="7">
                  <c:v>7481.2420107291746</c:v>
                </c:pt>
                <c:pt idx="8">
                  <c:v>7893.1335271054359</c:v>
                </c:pt>
                <c:pt idx="9">
                  <c:v>8469.2358004591733</c:v>
                </c:pt>
                <c:pt idx="10">
                  <c:v>8643.4235723573984</c:v>
                </c:pt>
                <c:pt idx="11">
                  <c:v>9593.9607053463151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-27"/>
        <c:axId val="1805616736"/>
        <c:axId val="1805618912"/>
      </c:barChart>
      <c:barChart>
        <c:barDir val="col"/>
        <c:grouping val="clustered"/>
        <c:varyColors val="0"/>
        <c:ser>
          <c:idx val="1"/>
          <c:order val="1"/>
          <c:tx>
            <c:strRef>
              <c:f>VN_Data!$S$384</c:f>
              <c:strCache>
                <c:ptCount val="1"/>
                <c:pt idx="0">
                  <c:v>Actual</c:v>
                </c:pt>
              </c:strCache>
            </c:strRef>
          </c:tx>
          <c:spPr>
            <a:solidFill>
              <a:srgbClr val="00B0F0"/>
            </a:solidFill>
            <a:ln>
              <a:noFill/>
            </a:ln>
            <a:effectLst/>
          </c:spPr>
          <c:invertIfNegative val="0"/>
          <c:cat>
            <c:strRef>
              <c:f>VN_Data!$B$401:$B$412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VN_Data!$S$401:$S$412</c:f>
              <c:numCache>
                <c:formatCode>_("$"* #,##0_);_("$"* \(#,##0\);_("$"* "-"??_);_(@_)</c:formatCode>
                <c:ptCount val="12"/>
                <c:pt idx="0">
                  <c:v>8851.1309999999994</c:v>
                </c:pt>
                <c:pt idx="1">
                  <c:v>7885.42</c:v>
                </c:pt>
                <c:pt idx="2">
                  <c:v>18017.339999999997</c:v>
                </c:pt>
                <c:pt idx="3">
                  <c:v>23800.710000000006</c:v>
                </c:pt>
                <c:pt idx="4">
                  <c:v>22565.05</c:v>
                </c:pt>
                <c:pt idx="5">
                  <c:v>15439.14</c:v>
                </c:pt>
                <c:pt idx="6">
                  <c:v>14448.869999999999</c:v>
                </c:pt>
                <c:pt idx="7">
                  <c:v>13653.256999999603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805620000"/>
        <c:axId val="1805619456"/>
      </c:barChart>
      <c:catAx>
        <c:axId val="18056167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05618912"/>
        <c:crosses val="autoZero"/>
        <c:auto val="1"/>
        <c:lblAlgn val="ctr"/>
        <c:lblOffset val="100"/>
        <c:noMultiLvlLbl val="0"/>
      </c:catAx>
      <c:valAx>
        <c:axId val="18056189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_);_(&quot;$&quot;* \(#,##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05616736"/>
        <c:crosses val="autoZero"/>
        <c:crossBetween val="between"/>
      </c:valAx>
      <c:valAx>
        <c:axId val="1805619456"/>
        <c:scaling>
          <c:orientation val="minMax"/>
        </c:scaling>
        <c:delete val="1"/>
        <c:axPos val="r"/>
        <c:numFmt formatCode="_(&quot;$&quot;* #,##0_);_(&quot;$&quot;* \(#,##0\);_(&quot;$&quot;* &quot;-&quot;??_);_(@_)" sourceLinked="1"/>
        <c:majorTickMark val="out"/>
        <c:minorTickMark val="none"/>
        <c:tickLblPos val="nextTo"/>
        <c:crossAx val="1805620000"/>
        <c:crosses val="max"/>
        <c:crossBetween val="between"/>
      </c:valAx>
      <c:catAx>
        <c:axId val="1805620000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805619456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bg1">
          <a:lumMod val="50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1" i="0" u="none" strike="noStrike" baseline="0">
                <a:effectLst/>
              </a:rPr>
              <a:t>[VN]</a:t>
            </a:r>
            <a:r>
              <a:rPr lang="en-US" b="1"/>
              <a:t>[MUSIC][2018 VIEWS]</a:t>
            </a:r>
            <a:r>
              <a:rPr lang="en-US" b="1" baseline="0"/>
              <a:t> TARGET vs ACTUAL (oversea)</a:t>
            </a:r>
            <a:endParaRPr lang="en-US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VN_Data!$U$384</c:f>
              <c:strCache>
                <c:ptCount val="1"/>
              </c:strCache>
            </c:strRef>
          </c:tx>
          <c:spPr>
            <a:solidFill>
              <a:schemeClr val="bg1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strRef>
              <c:f>VN_Data!$B$385:$B$396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VN_Data!$U$385:$U$396</c:f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-27"/>
        <c:axId val="1805622720"/>
        <c:axId val="1805623808"/>
      </c:barChart>
      <c:barChart>
        <c:barDir val="col"/>
        <c:grouping val="clustered"/>
        <c:varyColors val="0"/>
        <c:ser>
          <c:idx val="1"/>
          <c:order val="1"/>
          <c:tx>
            <c:strRef>
              <c:f>VN_Data!$V$384</c:f>
              <c:strCache>
                <c:ptCount val="1"/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VN_Data!$B$385:$B$396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VN_Data!$V$385:$V$396</c:f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805625440"/>
        <c:axId val="1805624352"/>
      </c:barChart>
      <c:catAx>
        <c:axId val="18056227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05623808"/>
        <c:crosses val="autoZero"/>
        <c:auto val="1"/>
        <c:lblAlgn val="ctr"/>
        <c:lblOffset val="100"/>
        <c:noMultiLvlLbl val="0"/>
      </c:catAx>
      <c:valAx>
        <c:axId val="18056238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05622720"/>
        <c:crosses val="autoZero"/>
        <c:crossBetween val="between"/>
      </c:valAx>
      <c:valAx>
        <c:axId val="1805624352"/>
        <c:scaling>
          <c:orientation val="minMax"/>
          <c:max val="200000000"/>
        </c:scaling>
        <c:delete val="1"/>
        <c:axPos val="r"/>
        <c:numFmt formatCode="#,##0" sourceLinked="1"/>
        <c:majorTickMark val="out"/>
        <c:minorTickMark val="none"/>
        <c:tickLblPos val="nextTo"/>
        <c:crossAx val="1805625440"/>
        <c:crosses val="max"/>
        <c:crossBetween val="between"/>
      </c:valAx>
      <c:catAx>
        <c:axId val="1805625440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805624352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bg1">
          <a:lumMod val="50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1" i="0" u="none" strike="noStrike" baseline="0">
                <a:effectLst/>
              </a:rPr>
              <a:t>[VN]</a:t>
            </a:r>
            <a:r>
              <a:rPr lang="en-US" b="1"/>
              <a:t>[MUSIC][2018 REVENUE] TARGET vs ACTUAL (oversea)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VN_Data!$U$400</c:f>
              <c:strCache>
                <c:ptCount val="1"/>
              </c:strCache>
            </c:strRef>
          </c:tx>
          <c:spPr>
            <a:solidFill>
              <a:schemeClr val="bg1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strRef>
              <c:f>VN_Data!$B$401:$B$412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VN_Data!$U$401:$U$412</c:f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-27"/>
        <c:axId val="1807311760"/>
        <c:axId val="1807313936"/>
      </c:barChart>
      <c:barChart>
        <c:barDir val="col"/>
        <c:grouping val="clustered"/>
        <c:varyColors val="0"/>
        <c:ser>
          <c:idx val="1"/>
          <c:order val="1"/>
          <c:tx>
            <c:strRef>
              <c:f>VN_Data!$V$400</c:f>
              <c:strCache>
                <c:ptCount val="1"/>
              </c:strCache>
            </c:strRef>
          </c:tx>
          <c:spPr>
            <a:solidFill>
              <a:srgbClr val="00B0F0"/>
            </a:solidFill>
            <a:ln>
              <a:noFill/>
            </a:ln>
            <a:effectLst/>
          </c:spPr>
          <c:invertIfNegative val="0"/>
          <c:cat>
            <c:strRef>
              <c:f>VN_Data!$B$401:$B$412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VN_Data!$V$401:$V$412</c:f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807306864"/>
        <c:axId val="1807307952"/>
      </c:barChart>
      <c:catAx>
        <c:axId val="18073117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07313936"/>
        <c:crosses val="autoZero"/>
        <c:auto val="1"/>
        <c:lblAlgn val="ctr"/>
        <c:lblOffset val="100"/>
        <c:noMultiLvlLbl val="0"/>
      </c:catAx>
      <c:valAx>
        <c:axId val="18073139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_);_(&quot;$&quot;* \(#,##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07311760"/>
        <c:crosses val="autoZero"/>
        <c:crossBetween val="between"/>
      </c:valAx>
      <c:valAx>
        <c:axId val="1807307952"/>
        <c:scaling>
          <c:orientation val="minMax"/>
          <c:max val="300000"/>
        </c:scaling>
        <c:delete val="1"/>
        <c:axPos val="r"/>
        <c:numFmt formatCode="_(&quot;$&quot;* #,##0_);_(&quot;$&quot;* \(#,##0\);_(&quot;$&quot;* &quot;-&quot;??_);_(@_)" sourceLinked="1"/>
        <c:majorTickMark val="out"/>
        <c:minorTickMark val="none"/>
        <c:tickLblPos val="nextTo"/>
        <c:crossAx val="1807306864"/>
        <c:crosses val="max"/>
        <c:crossBetween val="between"/>
      </c:valAx>
      <c:catAx>
        <c:axId val="1807306864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807307952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bg1">
          <a:lumMod val="50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1" i="0" u="none" strike="noStrike" baseline="0">
                <a:effectLst/>
              </a:rPr>
              <a:t>[VN]</a:t>
            </a:r>
            <a:r>
              <a:rPr lang="en-US" b="1"/>
              <a:t>[KIDS][2018 VIEWS] TARGET vs ACTUAL</a:t>
            </a:r>
            <a:r>
              <a:rPr lang="en-US" b="1" baseline="0"/>
              <a:t> (oversea)</a:t>
            </a:r>
            <a:endParaRPr lang="en-US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VN_Data!$W$384</c:f>
              <c:strCache>
                <c:ptCount val="1"/>
                <c:pt idx="0">
                  <c:v>Target</c:v>
                </c:pt>
              </c:strCache>
            </c:strRef>
          </c:tx>
          <c:spPr>
            <a:solidFill>
              <a:schemeClr val="bg1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strRef>
              <c:f>VN_Data!$B$385:$B$396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VN_Data!$W$385:$W$396</c:f>
              <c:numCache>
                <c:formatCode>#,##0</c:formatCode>
                <c:ptCount val="12"/>
                <c:pt idx="0">
                  <c:v>32471459.999539733</c:v>
                </c:pt>
                <c:pt idx="1">
                  <c:v>28981056.583133161</c:v>
                </c:pt>
                <c:pt idx="2">
                  <c:v>35768593.139029503</c:v>
                </c:pt>
                <c:pt idx="3">
                  <c:v>37557066.055952311</c:v>
                </c:pt>
                <c:pt idx="4">
                  <c:v>40688313.862560272</c:v>
                </c:pt>
                <c:pt idx="5">
                  <c:v>39931203.666305542</c:v>
                </c:pt>
                <c:pt idx="6">
                  <c:v>43112715.657472849</c:v>
                </c:pt>
                <c:pt idx="7">
                  <c:v>42710266.113944173</c:v>
                </c:pt>
                <c:pt idx="8">
                  <c:v>45061746.823868632</c:v>
                </c:pt>
                <c:pt idx="9">
                  <c:v>48350703.573095322</c:v>
                </c:pt>
                <c:pt idx="10">
                  <c:v>49345138.197840691</c:v>
                </c:pt>
                <c:pt idx="11">
                  <c:v>54771736.32725811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-27"/>
        <c:axId val="1807315568"/>
        <c:axId val="1807312304"/>
      </c:barChart>
      <c:barChart>
        <c:barDir val="col"/>
        <c:grouping val="clustered"/>
        <c:varyColors val="0"/>
        <c:ser>
          <c:idx val="1"/>
          <c:order val="1"/>
          <c:tx>
            <c:strRef>
              <c:f>VN_Data!$X$384</c:f>
              <c:strCache>
                <c:ptCount val="1"/>
                <c:pt idx="0">
                  <c:v>Actual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VN_Data!$B$385:$B$396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VN_Data!$X$385:$X$396</c:f>
              <c:numCache>
                <c:formatCode>#,##0</c:formatCode>
                <c:ptCount val="12"/>
                <c:pt idx="0">
                  <c:v>112112243</c:v>
                </c:pt>
                <c:pt idx="1">
                  <c:v>80518892</c:v>
                </c:pt>
                <c:pt idx="2">
                  <c:v>111529569</c:v>
                </c:pt>
                <c:pt idx="3">
                  <c:v>145868611</c:v>
                </c:pt>
                <c:pt idx="4">
                  <c:v>216479216</c:v>
                </c:pt>
                <c:pt idx="5">
                  <c:v>228549869</c:v>
                </c:pt>
                <c:pt idx="6">
                  <c:v>227194036</c:v>
                </c:pt>
                <c:pt idx="7">
                  <c:v>192005439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807309040"/>
        <c:axId val="1807308496"/>
      </c:barChart>
      <c:catAx>
        <c:axId val="18073155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07312304"/>
        <c:crosses val="autoZero"/>
        <c:auto val="1"/>
        <c:lblAlgn val="ctr"/>
        <c:lblOffset val="100"/>
        <c:noMultiLvlLbl val="0"/>
      </c:catAx>
      <c:valAx>
        <c:axId val="18073123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07315568"/>
        <c:crosses val="autoZero"/>
        <c:crossBetween val="between"/>
      </c:valAx>
      <c:valAx>
        <c:axId val="1807308496"/>
        <c:scaling>
          <c:orientation val="minMax"/>
        </c:scaling>
        <c:delete val="1"/>
        <c:axPos val="r"/>
        <c:numFmt formatCode="#,##0" sourceLinked="1"/>
        <c:majorTickMark val="out"/>
        <c:minorTickMark val="none"/>
        <c:tickLblPos val="nextTo"/>
        <c:crossAx val="1807309040"/>
        <c:crosses val="max"/>
        <c:crossBetween val="between"/>
      </c:valAx>
      <c:catAx>
        <c:axId val="1807309040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807308496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bg1">
          <a:lumMod val="50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1" i="0" u="none" strike="noStrike" baseline="0">
                <a:effectLst/>
              </a:rPr>
              <a:t>[VN]</a:t>
            </a:r>
            <a:r>
              <a:rPr lang="en-US" b="1"/>
              <a:t>[KIDS][2018</a:t>
            </a:r>
            <a:r>
              <a:rPr lang="en-US" b="1" baseline="0"/>
              <a:t> REVENUE] TARGET vs ACTUAL (oversea)</a:t>
            </a:r>
            <a:endParaRPr lang="en-US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VN_Data!$W$400</c:f>
              <c:strCache>
                <c:ptCount val="1"/>
                <c:pt idx="0">
                  <c:v>Target</c:v>
                </c:pt>
              </c:strCache>
            </c:strRef>
          </c:tx>
          <c:spPr>
            <a:solidFill>
              <a:schemeClr val="bg1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strRef>
              <c:f>VN_Data!$B$401:$B$412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VN_Data!$W$401:$W$412</c:f>
              <c:numCache>
                <c:formatCode>_("$"* #,##0_);_("$"* \(#,##0\);_("$"* "-"??_);_(@_)</c:formatCode>
                <c:ptCount val="12"/>
                <c:pt idx="0">
                  <c:v>16217.611433420345</c:v>
                </c:pt>
                <c:pt idx="1">
                  <c:v>14474.357315682268</c:v>
                </c:pt>
                <c:pt idx="2">
                  <c:v>17864.338254488961</c:v>
                </c:pt>
                <c:pt idx="3">
                  <c:v>18757.576773060689</c:v>
                </c:pt>
                <c:pt idx="4">
                  <c:v>20321.453489107254</c:v>
                </c:pt>
                <c:pt idx="5">
                  <c:v>19943.320846617062</c:v>
                </c:pt>
                <c:pt idx="6">
                  <c:v>21532.301608315203</c:v>
                </c:pt>
                <c:pt idx="7">
                  <c:v>21331.301397095929</c:v>
                </c:pt>
                <c:pt idx="8">
                  <c:v>22505.729662633705</c:v>
                </c:pt>
                <c:pt idx="9">
                  <c:v>24148.372850868502</c:v>
                </c:pt>
                <c:pt idx="10">
                  <c:v>24645.03528428814</c:v>
                </c:pt>
                <c:pt idx="11">
                  <c:v>27355.306392192288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-27"/>
        <c:axId val="1807317744"/>
        <c:axId val="1807309584"/>
      </c:barChart>
      <c:barChart>
        <c:barDir val="col"/>
        <c:grouping val="clustered"/>
        <c:varyColors val="0"/>
        <c:ser>
          <c:idx val="1"/>
          <c:order val="1"/>
          <c:tx>
            <c:strRef>
              <c:f>VN_Data!$X$400</c:f>
              <c:strCache>
                <c:ptCount val="1"/>
                <c:pt idx="0">
                  <c:v>Actual</c:v>
                </c:pt>
              </c:strCache>
            </c:strRef>
          </c:tx>
          <c:spPr>
            <a:solidFill>
              <a:srgbClr val="00B0F0"/>
            </a:solidFill>
            <a:ln>
              <a:noFill/>
            </a:ln>
            <a:effectLst/>
          </c:spPr>
          <c:invertIfNegative val="0"/>
          <c:cat>
            <c:strRef>
              <c:f>VN_Data!$B$401:$B$412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VN_Data!$X$401:$X$412</c:f>
              <c:numCache>
                <c:formatCode>_("$"* #,##0_);_("$"* \(#,##0\);_("$"* "-"??_);_(@_)</c:formatCode>
                <c:ptCount val="12"/>
                <c:pt idx="0">
                  <c:v>32712.477000000003</c:v>
                </c:pt>
                <c:pt idx="1">
                  <c:v>23762.960000000003</c:v>
                </c:pt>
                <c:pt idx="2">
                  <c:v>42691.080000000009</c:v>
                </c:pt>
                <c:pt idx="3">
                  <c:v>53677.130000000005</c:v>
                </c:pt>
                <c:pt idx="4">
                  <c:v>84308.000000000015</c:v>
                </c:pt>
                <c:pt idx="5">
                  <c:v>108927.82</c:v>
                </c:pt>
                <c:pt idx="6">
                  <c:v>83338</c:v>
                </c:pt>
                <c:pt idx="7">
                  <c:v>81360.811000010523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807310672"/>
        <c:axId val="1807310128"/>
      </c:barChart>
      <c:catAx>
        <c:axId val="18073177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07309584"/>
        <c:crosses val="autoZero"/>
        <c:auto val="1"/>
        <c:lblAlgn val="ctr"/>
        <c:lblOffset val="100"/>
        <c:noMultiLvlLbl val="0"/>
      </c:catAx>
      <c:valAx>
        <c:axId val="18073095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_);_(&quot;$&quot;* \(#,##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07317744"/>
        <c:crosses val="autoZero"/>
        <c:crossBetween val="between"/>
      </c:valAx>
      <c:valAx>
        <c:axId val="1807310128"/>
        <c:scaling>
          <c:orientation val="minMax"/>
          <c:max val="50000"/>
        </c:scaling>
        <c:delete val="1"/>
        <c:axPos val="r"/>
        <c:numFmt formatCode="_(&quot;$&quot;* #,##0_);_(&quot;$&quot;* \(#,##0\);_(&quot;$&quot;* &quot;-&quot;??_);_(@_)" sourceLinked="1"/>
        <c:majorTickMark val="out"/>
        <c:minorTickMark val="none"/>
        <c:tickLblPos val="nextTo"/>
        <c:crossAx val="1807310672"/>
        <c:crosses val="max"/>
        <c:crossBetween val="between"/>
      </c:valAx>
      <c:catAx>
        <c:axId val="1807310672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807310128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bg1">
          <a:lumMod val="50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1" i="0" u="none" strike="noStrike" baseline="0">
                <a:effectLst/>
              </a:rPr>
              <a:t>[VN]</a:t>
            </a:r>
            <a:r>
              <a:rPr lang="en-US" b="1"/>
              <a:t>[ENTERTAINMENT][2018 VIEWS] TARGET vs ACTUAL (overseas)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VN_Data!$Y$384</c:f>
              <c:strCache>
                <c:ptCount val="1"/>
              </c:strCache>
            </c:strRef>
          </c:tx>
          <c:spPr>
            <a:solidFill>
              <a:schemeClr val="bg1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strRef>
              <c:f>VN_Data!$B$385:$B$396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VN_Data!$Y$385:$Y$396</c:f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-27"/>
        <c:axId val="1807312848"/>
        <c:axId val="1807311216"/>
      </c:barChart>
      <c:barChart>
        <c:barDir val="col"/>
        <c:grouping val="clustered"/>
        <c:varyColors val="0"/>
        <c:ser>
          <c:idx val="1"/>
          <c:order val="1"/>
          <c:tx>
            <c:strRef>
              <c:f>VN_Data!$Z$384</c:f>
              <c:strCache>
                <c:ptCount val="1"/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VN_Data!$B$385:$B$396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VN_Data!$Z$385:$Z$396</c:f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807321008"/>
        <c:axId val="1807313392"/>
      </c:barChart>
      <c:catAx>
        <c:axId val="18073128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07311216"/>
        <c:crosses val="autoZero"/>
        <c:auto val="1"/>
        <c:lblAlgn val="ctr"/>
        <c:lblOffset val="100"/>
        <c:noMultiLvlLbl val="0"/>
      </c:catAx>
      <c:valAx>
        <c:axId val="18073112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07312848"/>
        <c:crosses val="autoZero"/>
        <c:crossBetween val="between"/>
      </c:valAx>
      <c:valAx>
        <c:axId val="1807313392"/>
        <c:scaling>
          <c:orientation val="minMax"/>
        </c:scaling>
        <c:delete val="1"/>
        <c:axPos val="r"/>
        <c:numFmt formatCode="#,##0" sourceLinked="1"/>
        <c:majorTickMark val="out"/>
        <c:minorTickMark val="none"/>
        <c:tickLblPos val="nextTo"/>
        <c:crossAx val="1807321008"/>
        <c:crosses val="max"/>
        <c:crossBetween val="between"/>
      </c:valAx>
      <c:catAx>
        <c:axId val="1807321008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807313392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bg1">
          <a:lumMod val="50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1" i="0" u="none" strike="noStrike" baseline="0">
                <a:effectLst/>
              </a:rPr>
              <a:t>[VN]</a:t>
            </a:r>
            <a:r>
              <a:rPr lang="en-US" b="1"/>
              <a:t>[ENTERTAINMENT][2018 REVENUE] TARGET vs ACTUAL (overseas)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VN_Data!$Y$400</c:f>
              <c:strCache>
                <c:ptCount val="1"/>
              </c:strCache>
            </c:strRef>
          </c:tx>
          <c:spPr>
            <a:solidFill>
              <a:schemeClr val="bg1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strRef>
              <c:f>VN_Data!$B$401:$B$412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VN_Data!$Y$401:$Y$412</c:f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-27"/>
        <c:axId val="1807314480"/>
        <c:axId val="1807315024"/>
      </c:barChart>
      <c:barChart>
        <c:barDir val="col"/>
        <c:grouping val="clustered"/>
        <c:varyColors val="0"/>
        <c:ser>
          <c:idx val="1"/>
          <c:order val="1"/>
          <c:tx>
            <c:strRef>
              <c:f>VN_Data!$Z$400</c:f>
              <c:strCache>
                <c:ptCount val="1"/>
              </c:strCache>
            </c:strRef>
          </c:tx>
          <c:spPr>
            <a:solidFill>
              <a:srgbClr val="00B0F0"/>
            </a:solidFill>
            <a:ln>
              <a:noFill/>
            </a:ln>
            <a:effectLst/>
          </c:spPr>
          <c:invertIfNegative val="0"/>
          <c:cat>
            <c:strRef>
              <c:f>VN_Data!$B$401:$B$412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VN_Data!$Z$401:$Z$412</c:f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807316656"/>
        <c:axId val="1807316112"/>
      </c:barChart>
      <c:catAx>
        <c:axId val="18073144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07315024"/>
        <c:crosses val="autoZero"/>
        <c:auto val="1"/>
        <c:lblAlgn val="ctr"/>
        <c:lblOffset val="100"/>
        <c:noMultiLvlLbl val="0"/>
      </c:catAx>
      <c:valAx>
        <c:axId val="18073150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_);_(&quot;$&quot;* \(#,##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07314480"/>
        <c:crosses val="autoZero"/>
        <c:crossBetween val="between"/>
      </c:valAx>
      <c:valAx>
        <c:axId val="1807316112"/>
        <c:scaling>
          <c:orientation val="minMax"/>
          <c:max val="400000"/>
        </c:scaling>
        <c:delete val="1"/>
        <c:axPos val="r"/>
        <c:numFmt formatCode="_(&quot;$&quot;* #,##0_);_(&quot;$&quot;* \(#,##0\);_(&quot;$&quot;* &quot;-&quot;??_);_(@_)" sourceLinked="1"/>
        <c:majorTickMark val="out"/>
        <c:minorTickMark val="none"/>
        <c:tickLblPos val="nextTo"/>
        <c:crossAx val="1807316656"/>
        <c:crosses val="max"/>
        <c:crossBetween val="between"/>
      </c:valAx>
      <c:catAx>
        <c:axId val="1807316656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807316112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bg1">
          <a:lumMod val="50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1" i="0" u="none" strike="noStrike" baseline="0">
                <a:effectLst/>
              </a:rPr>
              <a:t>[VN]</a:t>
            </a:r>
            <a:r>
              <a:rPr lang="en-US" b="1"/>
              <a:t>[AFFILIATE][2018</a:t>
            </a:r>
            <a:r>
              <a:rPr lang="en-US" b="1" baseline="0"/>
              <a:t> VIEWS] TARGET vs ACTUAL (overseas)</a:t>
            </a:r>
            <a:endParaRPr lang="en-US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VN_Data!$AA$384</c:f>
              <c:strCache>
                <c:ptCount val="1"/>
                <c:pt idx="0">
                  <c:v>Target</c:v>
                </c:pt>
              </c:strCache>
            </c:strRef>
          </c:tx>
          <c:spPr>
            <a:solidFill>
              <a:schemeClr val="bg1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strRef>
              <c:f>VN_Data!$B$385:$B$396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VN_Data!$AA$385:$AA$396</c:f>
              <c:numCache>
                <c:formatCode>#,##0</c:formatCode>
                <c:ptCount val="12"/>
                <c:pt idx="0">
                  <c:v>9358942.1051304787</c:v>
                </c:pt>
                <c:pt idx="1">
                  <c:v>8352936.1079205871</c:v>
                </c:pt>
                <c:pt idx="2">
                  <c:v>10309243.636562392</c:v>
                </c:pt>
                <c:pt idx="3">
                  <c:v>10824718.28680329</c:v>
                </c:pt>
                <c:pt idx="4">
                  <c:v>11727208.256126404</c:v>
                </c:pt>
                <c:pt idx="5">
                  <c:v>11508993.5379076</c:v>
                </c:pt>
                <c:pt idx="6">
                  <c:v>12425970.678218961</c:v>
                </c:pt>
                <c:pt idx="7">
                  <c:v>12309976.448881134</c:v>
                </c:pt>
                <c:pt idx="8">
                  <c:v>12987721.515651345</c:v>
                </c:pt>
                <c:pt idx="9">
                  <c:v>13935666.443373337</c:v>
                </c:pt>
                <c:pt idx="10">
                  <c:v>14222282.939227253</c:v>
                </c:pt>
                <c:pt idx="11">
                  <c:v>15786340.044197187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-27"/>
        <c:axId val="1807317200"/>
        <c:axId val="1807318288"/>
      </c:barChart>
      <c:barChart>
        <c:barDir val="col"/>
        <c:grouping val="clustered"/>
        <c:varyColors val="0"/>
        <c:ser>
          <c:idx val="1"/>
          <c:order val="1"/>
          <c:tx>
            <c:strRef>
              <c:f>VN_Data!$AB$384</c:f>
              <c:strCache>
                <c:ptCount val="1"/>
                <c:pt idx="0">
                  <c:v>Actual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VN_Data!$B$385:$B$396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VN_Data!$AB$385:$AB$396</c:f>
              <c:numCache>
                <c:formatCode>#,##0</c:formatCode>
                <c:ptCount val="12"/>
                <c:pt idx="0">
                  <c:v>25297833</c:v>
                </c:pt>
                <c:pt idx="1">
                  <c:v>12978272</c:v>
                </c:pt>
                <c:pt idx="2">
                  <c:v>16189775</c:v>
                </c:pt>
                <c:pt idx="3">
                  <c:v>173989023</c:v>
                </c:pt>
                <c:pt idx="4">
                  <c:v>244439295</c:v>
                </c:pt>
                <c:pt idx="5">
                  <c:v>41552177</c:v>
                </c:pt>
                <c:pt idx="6">
                  <c:v>61296798</c:v>
                </c:pt>
                <c:pt idx="7">
                  <c:v>66068063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807319376"/>
        <c:axId val="1807318832"/>
      </c:barChart>
      <c:catAx>
        <c:axId val="18073172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07318288"/>
        <c:crosses val="autoZero"/>
        <c:auto val="1"/>
        <c:lblAlgn val="ctr"/>
        <c:lblOffset val="100"/>
        <c:noMultiLvlLbl val="0"/>
      </c:catAx>
      <c:valAx>
        <c:axId val="18073182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07317200"/>
        <c:crosses val="autoZero"/>
        <c:crossBetween val="between"/>
      </c:valAx>
      <c:valAx>
        <c:axId val="1807318832"/>
        <c:scaling>
          <c:orientation val="minMax"/>
        </c:scaling>
        <c:delete val="1"/>
        <c:axPos val="r"/>
        <c:numFmt formatCode="#,##0" sourceLinked="1"/>
        <c:majorTickMark val="out"/>
        <c:minorTickMark val="none"/>
        <c:tickLblPos val="nextTo"/>
        <c:crossAx val="1807319376"/>
        <c:crosses val="max"/>
        <c:crossBetween val="between"/>
      </c:valAx>
      <c:catAx>
        <c:axId val="1807319376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807318832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bg1">
          <a:lumMod val="50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1" i="0" u="none" strike="noStrike" baseline="0">
                <a:effectLst/>
              </a:rPr>
              <a:t>[VN]</a:t>
            </a:r>
            <a:r>
              <a:rPr lang="en-US" b="1"/>
              <a:t>[AFFILIATE][2018 REVENUE] TARGET</a:t>
            </a:r>
            <a:r>
              <a:rPr lang="en-US" b="1" baseline="0"/>
              <a:t> vs ACTUAL (overseas)</a:t>
            </a:r>
            <a:endParaRPr lang="en-US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VN_Data!$AA$400</c:f>
              <c:strCache>
                <c:ptCount val="1"/>
                <c:pt idx="0">
                  <c:v>Target</c:v>
                </c:pt>
              </c:strCache>
            </c:strRef>
          </c:tx>
          <c:spPr>
            <a:solidFill>
              <a:schemeClr val="bg1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strRef>
              <c:f>VN_Data!$B$401:$B$412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VN_Data!$AA$401:$AA$412</c:f>
              <c:numCache>
                <c:formatCode>_("$"* #,##0_);_("$"* \(#,##0\);_("$"* "-"??_);_(@_)</c:formatCode>
                <c:ptCount val="12"/>
                <c:pt idx="0">
                  <c:v>7935.6705536596601</c:v>
                </c:pt>
                <c:pt idx="1">
                  <c:v>7082.6540397005419</c:v>
                </c:pt>
                <c:pt idx="2">
                  <c:v>8741.4539205583424</c:v>
                </c:pt>
                <c:pt idx="3">
                  <c:v>9178.5371888512673</c:v>
                </c:pt>
                <c:pt idx="4">
                  <c:v>9943.7799902363186</c:v>
                </c:pt>
                <c:pt idx="5">
                  <c:v>9758.7505184977636</c:v>
                </c:pt>
                <c:pt idx="6">
                  <c:v>10536.277338196629</c:v>
                </c:pt>
                <c:pt idx="7">
                  <c:v>10437.923060564544</c:v>
                </c:pt>
                <c:pt idx="8">
                  <c:v>11012.599290937642</c:v>
                </c:pt>
                <c:pt idx="9">
                  <c:v>11816.384437262095</c:v>
                </c:pt>
                <c:pt idx="10">
                  <c:v>12059.413410065998</c:v>
                </c:pt>
                <c:pt idx="11">
                  <c:v>13385.614787607166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-27"/>
        <c:axId val="1807320464"/>
        <c:axId val="1807319920"/>
      </c:barChart>
      <c:barChart>
        <c:barDir val="col"/>
        <c:grouping val="clustered"/>
        <c:varyColors val="0"/>
        <c:ser>
          <c:idx val="1"/>
          <c:order val="1"/>
          <c:tx>
            <c:strRef>
              <c:f>VN_Data!$AB$400</c:f>
              <c:strCache>
                <c:ptCount val="1"/>
                <c:pt idx="0">
                  <c:v>Actual</c:v>
                </c:pt>
              </c:strCache>
            </c:strRef>
          </c:tx>
          <c:spPr>
            <a:solidFill>
              <a:srgbClr val="00B0F0"/>
            </a:solidFill>
            <a:ln>
              <a:noFill/>
            </a:ln>
            <a:effectLst/>
          </c:spPr>
          <c:invertIfNegative val="0"/>
          <c:cat>
            <c:strRef>
              <c:f>VN_Data!$B$401:$B$412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VN_Data!$AB$401:$AB$412</c:f>
              <c:numCache>
                <c:formatCode>_("$"* #,##0_);_("$"* \(#,##0\);_("$"* "-"??_);_(@_)</c:formatCode>
                <c:ptCount val="12"/>
                <c:pt idx="0">
                  <c:v>8388.6749999999993</c:v>
                </c:pt>
                <c:pt idx="1">
                  <c:v>8338.2300000000014</c:v>
                </c:pt>
                <c:pt idx="2">
                  <c:v>20182.390000000003</c:v>
                </c:pt>
                <c:pt idx="3">
                  <c:v>97815.059999999983</c:v>
                </c:pt>
                <c:pt idx="4">
                  <c:v>153462.91000000003</c:v>
                </c:pt>
                <c:pt idx="5">
                  <c:v>36257.089999999997</c:v>
                </c:pt>
                <c:pt idx="6">
                  <c:v>25754.969999999994</c:v>
                </c:pt>
                <c:pt idx="7">
                  <c:v>28624.963999997599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807307408"/>
        <c:axId val="1807322096"/>
      </c:barChart>
      <c:catAx>
        <c:axId val="18073204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07319920"/>
        <c:crosses val="autoZero"/>
        <c:auto val="1"/>
        <c:lblAlgn val="ctr"/>
        <c:lblOffset val="100"/>
        <c:noMultiLvlLbl val="0"/>
      </c:catAx>
      <c:valAx>
        <c:axId val="18073199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_);_(&quot;$&quot;* \(#,##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07320464"/>
        <c:crosses val="autoZero"/>
        <c:crossBetween val="between"/>
      </c:valAx>
      <c:valAx>
        <c:axId val="1807322096"/>
        <c:scaling>
          <c:orientation val="minMax"/>
          <c:max val="25000"/>
        </c:scaling>
        <c:delete val="1"/>
        <c:axPos val="r"/>
        <c:numFmt formatCode="_(&quot;$&quot;* #,##0_);_(&quot;$&quot;* \(#,##0\);_(&quot;$&quot;* &quot;-&quot;??_);_(@_)" sourceLinked="1"/>
        <c:majorTickMark val="out"/>
        <c:minorTickMark val="none"/>
        <c:tickLblPos val="nextTo"/>
        <c:crossAx val="1807307408"/>
        <c:crosses val="max"/>
        <c:crossBetween val="between"/>
      </c:valAx>
      <c:catAx>
        <c:axId val="1807307408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807322096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bg1">
          <a:lumMod val="50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9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0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9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0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13" Type="http://schemas.openxmlformats.org/officeDocument/2006/relationships/chart" Target="../charts/chart13.xml"/><Relationship Id="rId18" Type="http://schemas.openxmlformats.org/officeDocument/2006/relationships/chart" Target="../charts/chart18.xml"/><Relationship Id="rId26" Type="http://schemas.openxmlformats.org/officeDocument/2006/relationships/chart" Target="../charts/chart26.xml"/><Relationship Id="rId3" Type="http://schemas.openxmlformats.org/officeDocument/2006/relationships/chart" Target="../charts/chart3.xml"/><Relationship Id="rId21" Type="http://schemas.openxmlformats.org/officeDocument/2006/relationships/chart" Target="../charts/chart21.xml"/><Relationship Id="rId7" Type="http://schemas.openxmlformats.org/officeDocument/2006/relationships/chart" Target="../charts/chart7.xml"/><Relationship Id="rId12" Type="http://schemas.openxmlformats.org/officeDocument/2006/relationships/chart" Target="../charts/chart12.xml"/><Relationship Id="rId17" Type="http://schemas.openxmlformats.org/officeDocument/2006/relationships/chart" Target="../charts/chart17.xml"/><Relationship Id="rId25" Type="http://schemas.openxmlformats.org/officeDocument/2006/relationships/chart" Target="../charts/chart25.xml"/><Relationship Id="rId2" Type="http://schemas.openxmlformats.org/officeDocument/2006/relationships/chart" Target="../charts/chart2.xml"/><Relationship Id="rId16" Type="http://schemas.openxmlformats.org/officeDocument/2006/relationships/chart" Target="../charts/chart16.xml"/><Relationship Id="rId20" Type="http://schemas.openxmlformats.org/officeDocument/2006/relationships/chart" Target="../charts/chart20.xml"/><Relationship Id="rId29" Type="http://schemas.openxmlformats.org/officeDocument/2006/relationships/chart" Target="../charts/chart29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11" Type="http://schemas.openxmlformats.org/officeDocument/2006/relationships/chart" Target="../charts/chart11.xml"/><Relationship Id="rId24" Type="http://schemas.openxmlformats.org/officeDocument/2006/relationships/chart" Target="../charts/chart24.xml"/><Relationship Id="rId5" Type="http://schemas.openxmlformats.org/officeDocument/2006/relationships/chart" Target="../charts/chart5.xml"/><Relationship Id="rId15" Type="http://schemas.openxmlformats.org/officeDocument/2006/relationships/chart" Target="../charts/chart15.xml"/><Relationship Id="rId23" Type="http://schemas.openxmlformats.org/officeDocument/2006/relationships/chart" Target="../charts/chart23.xml"/><Relationship Id="rId28" Type="http://schemas.openxmlformats.org/officeDocument/2006/relationships/chart" Target="../charts/chart28.xml"/><Relationship Id="rId10" Type="http://schemas.openxmlformats.org/officeDocument/2006/relationships/chart" Target="../charts/chart10.xml"/><Relationship Id="rId19" Type="http://schemas.openxmlformats.org/officeDocument/2006/relationships/chart" Target="../charts/chart19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Relationship Id="rId14" Type="http://schemas.openxmlformats.org/officeDocument/2006/relationships/chart" Target="../charts/chart14.xml"/><Relationship Id="rId22" Type="http://schemas.openxmlformats.org/officeDocument/2006/relationships/chart" Target="../charts/chart22.xml"/><Relationship Id="rId27" Type="http://schemas.openxmlformats.org/officeDocument/2006/relationships/chart" Target="../charts/chart27.xml"/><Relationship Id="rId30" Type="http://schemas.openxmlformats.org/officeDocument/2006/relationships/chart" Target="../charts/chart30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5</xdr:row>
      <xdr:rowOff>0</xdr:rowOff>
    </xdr:from>
    <xdr:to>
      <xdr:col>8</xdr:col>
      <xdr:colOff>0</xdr:colOff>
      <xdr:row>24</xdr:row>
      <xdr:rowOff>175260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0</xdr:colOff>
      <xdr:row>5</xdr:row>
      <xdr:rowOff>0</xdr:rowOff>
    </xdr:from>
    <xdr:to>
      <xdr:col>16</xdr:col>
      <xdr:colOff>0</xdr:colOff>
      <xdr:row>24</xdr:row>
      <xdr:rowOff>175260</xdr:rowOff>
    </xdr:to>
    <xdr:graphicFrame macro="">
      <xdr:nvGraphicFramePr>
        <xdr:cNvPr id="5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0</xdr:colOff>
      <xdr:row>30</xdr:row>
      <xdr:rowOff>0</xdr:rowOff>
    </xdr:from>
    <xdr:to>
      <xdr:col>8</xdr:col>
      <xdr:colOff>0</xdr:colOff>
      <xdr:row>49</xdr:row>
      <xdr:rowOff>175260</xdr:rowOff>
    </xdr:to>
    <xdr:graphicFrame macro="">
      <xdr:nvGraphicFramePr>
        <xdr:cNvPr id="6" name="Chart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9</xdr:col>
      <xdr:colOff>0</xdr:colOff>
      <xdr:row>30</xdr:row>
      <xdr:rowOff>0</xdr:rowOff>
    </xdr:from>
    <xdr:to>
      <xdr:col>16</xdr:col>
      <xdr:colOff>0</xdr:colOff>
      <xdr:row>49</xdr:row>
      <xdr:rowOff>175260</xdr:rowOff>
    </xdr:to>
    <xdr:graphicFrame macro="">
      <xdr:nvGraphicFramePr>
        <xdr:cNvPr id="7" name="Chart 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</xdr:col>
      <xdr:colOff>0</xdr:colOff>
      <xdr:row>55</xdr:row>
      <xdr:rowOff>0</xdr:rowOff>
    </xdr:from>
    <xdr:to>
      <xdr:col>8</xdr:col>
      <xdr:colOff>0</xdr:colOff>
      <xdr:row>74</xdr:row>
      <xdr:rowOff>175260</xdr:rowOff>
    </xdr:to>
    <xdr:graphicFrame macro="">
      <xdr:nvGraphicFramePr>
        <xdr:cNvPr id="8" name="Chart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9</xdr:col>
      <xdr:colOff>0</xdr:colOff>
      <xdr:row>55</xdr:row>
      <xdr:rowOff>0</xdr:rowOff>
    </xdr:from>
    <xdr:to>
      <xdr:col>16</xdr:col>
      <xdr:colOff>0</xdr:colOff>
      <xdr:row>74</xdr:row>
      <xdr:rowOff>175260</xdr:rowOff>
    </xdr:to>
    <xdr:graphicFrame macro="">
      <xdr:nvGraphicFramePr>
        <xdr:cNvPr id="9" name="Chart 8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26</xdr:col>
      <xdr:colOff>0</xdr:colOff>
      <xdr:row>5</xdr:row>
      <xdr:rowOff>0</xdr:rowOff>
    </xdr:from>
    <xdr:to>
      <xdr:col>34</xdr:col>
      <xdr:colOff>0</xdr:colOff>
      <xdr:row>25</xdr:row>
      <xdr:rowOff>0</xdr:rowOff>
    </xdr:to>
    <xdr:graphicFrame macro="">
      <xdr:nvGraphicFramePr>
        <xdr:cNvPr id="12" name="Chart 1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35</xdr:col>
      <xdr:colOff>0</xdr:colOff>
      <xdr:row>5</xdr:row>
      <xdr:rowOff>0</xdr:rowOff>
    </xdr:from>
    <xdr:to>
      <xdr:col>43</xdr:col>
      <xdr:colOff>0</xdr:colOff>
      <xdr:row>25</xdr:row>
      <xdr:rowOff>0</xdr:rowOff>
    </xdr:to>
    <xdr:graphicFrame macro="">
      <xdr:nvGraphicFramePr>
        <xdr:cNvPr id="14" name="Chart 1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46</xdr:col>
      <xdr:colOff>0</xdr:colOff>
      <xdr:row>5</xdr:row>
      <xdr:rowOff>0</xdr:rowOff>
    </xdr:from>
    <xdr:to>
      <xdr:col>54</xdr:col>
      <xdr:colOff>0</xdr:colOff>
      <xdr:row>25</xdr:row>
      <xdr:rowOff>0</xdr:rowOff>
    </xdr:to>
    <xdr:graphicFrame macro="">
      <xdr:nvGraphicFramePr>
        <xdr:cNvPr id="23" name="Chart 2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55</xdr:col>
      <xdr:colOff>0</xdr:colOff>
      <xdr:row>5</xdr:row>
      <xdr:rowOff>0</xdr:rowOff>
    </xdr:from>
    <xdr:to>
      <xdr:col>63</xdr:col>
      <xdr:colOff>0</xdr:colOff>
      <xdr:row>25</xdr:row>
      <xdr:rowOff>0</xdr:rowOff>
    </xdr:to>
    <xdr:graphicFrame macro="">
      <xdr:nvGraphicFramePr>
        <xdr:cNvPr id="24" name="Chart 2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66</xdr:col>
      <xdr:colOff>0</xdr:colOff>
      <xdr:row>5</xdr:row>
      <xdr:rowOff>0</xdr:rowOff>
    </xdr:from>
    <xdr:to>
      <xdr:col>74</xdr:col>
      <xdr:colOff>0</xdr:colOff>
      <xdr:row>25</xdr:row>
      <xdr:rowOff>0</xdr:rowOff>
    </xdr:to>
    <xdr:graphicFrame macro="">
      <xdr:nvGraphicFramePr>
        <xdr:cNvPr id="27" name="Chart 2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75</xdr:col>
      <xdr:colOff>0</xdr:colOff>
      <xdr:row>5</xdr:row>
      <xdr:rowOff>0</xdr:rowOff>
    </xdr:from>
    <xdr:to>
      <xdr:col>83</xdr:col>
      <xdr:colOff>0</xdr:colOff>
      <xdr:row>25</xdr:row>
      <xdr:rowOff>0</xdr:rowOff>
    </xdr:to>
    <xdr:graphicFrame macro="">
      <xdr:nvGraphicFramePr>
        <xdr:cNvPr id="28" name="Chart 2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86</xdr:col>
      <xdr:colOff>0</xdr:colOff>
      <xdr:row>5</xdr:row>
      <xdr:rowOff>0</xdr:rowOff>
    </xdr:from>
    <xdr:to>
      <xdr:col>94</xdr:col>
      <xdr:colOff>0</xdr:colOff>
      <xdr:row>25</xdr:row>
      <xdr:rowOff>0</xdr:rowOff>
    </xdr:to>
    <xdr:graphicFrame macro="">
      <xdr:nvGraphicFramePr>
        <xdr:cNvPr id="31" name="Chart 30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>
    <xdr:from>
      <xdr:col>95</xdr:col>
      <xdr:colOff>0</xdr:colOff>
      <xdr:row>5</xdr:row>
      <xdr:rowOff>0</xdr:rowOff>
    </xdr:from>
    <xdr:to>
      <xdr:col>103</xdr:col>
      <xdr:colOff>0</xdr:colOff>
      <xdr:row>25</xdr:row>
      <xdr:rowOff>0</xdr:rowOff>
    </xdr:to>
    <xdr:graphicFrame macro="">
      <xdr:nvGraphicFramePr>
        <xdr:cNvPr id="33" name="Chart 3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  <xdr:twoCellAnchor>
    <xdr:from>
      <xdr:col>26</xdr:col>
      <xdr:colOff>0</xdr:colOff>
      <xdr:row>30</xdr:row>
      <xdr:rowOff>0</xdr:rowOff>
    </xdr:from>
    <xdr:to>
      <xdr:col>34</xdr:col>
      <xdr:colOff>0</xdr:colOff>
      <xdr:row>49</xdr:row>
      <xdr:rowOff>175260</xdr:rowOff>
    </xdr:to>
    <xdr:graphicFrame macro="">
      <xdr:nvGraphicFramePr>
        <xdr:cNvPr id="34" name="Chart 3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5"/>
        </a:graphicData>
      </a:graphic>
    </xdr:graphicFrame>
    <xdr:clientData/>
  </xdr:twoCellAnchor>
  <xdr:twoCellAnchor>
    <xdr:from>
      <xdr:col>35</xdr:col>
      <xdr:colOff>0</xdr:colOff>
      <xdr:row>30</xdr:row>
      <xdr:rowOff>0</xdr:rowOff>
    </xdr:from>
    <xdr:to>
      <xdr:col>43</xdr:col>
      <xdr:colOff>0</xdr:colOff>
      <xdr:row>49</xdr:row>
      <xdr:rowOff>175260</xdr:rowOff>
    </xdr:to>
    <xdr:graphicFrame macro="">
      <xdr:nvGraphicFramePr>
        <xdr:cNvPr id="36" name="Chart 3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6"/>
        </a:graphicData>
      </a:graphic>
    </xdr:graphicFrame>
    <xdr:clientData/>
  </xdr:twoCellAnchor>
  <xdr:twoCellAnchor>
    <xdr:from>
      <xdr:col>46</xdr:col>
      <xdr:colOff>0</xdr:colOff>
      <xdr:row>30</xdr:row>
      <xdr:rowOff>0</xdr:rowOff>
    </xdr:from>
    <xdr:to>
      <xdr:col>54</xdr:col>
      <xdr:colOff>0</xdr:colOff>
      <xdr:row>50</xdr:row>
      <xdr:rowOff>0</xdr:rowOff>
    </xdr:to>
    <xdr:graphicFrame macro="">
      <xdr:nvGraphicFramePr>
        <xdr:cNvPr id="40" name="Chart 39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7"/>
        </a:graphicData>
      </a:graphic>
    </xdr:graphicFrame>
    <xdr:clientData/>
  </xdr:twoCellAnchor>
  <xdr:twoCellAnchor>
    <xdr:from>
      <xdr:col>55</xdr:col>
      <xdr:colOff>0</xdr:colOff>
      <xdr:row>30</xdr:row>
      <xdr:rowOff>0</xdr:rowOff>
    </xdr:from>
    <xdr:to>
      <xdr:col>63</xdr:col>
      <xdr:colOff>0</xdr:colOff>
      <xdr:row>50</xdr:row>
      <xdr:rowOff>0</xdr:rowOff>
    </xdr:to>
    <xdr:graphicFrame macro="">
      <xdr:nvGraphicFramePr>
        <xdr:cNvPr id="42" name="Chart 4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8"/>
        </a:graphicData>
      </a:graphic>
    </xdr:graphicFrame>
    <xdr:clientData/>
  </xdr:twoCellAnchor>
  <xdr:twoCellAnchor>
    <xdr:from>
      <xdr:col>66</xdr:col>
      <xdr:colOff>0</xdr:colOff>
      <xdr:row>30</xdr:row>
      <xdr:rowOff>0</xdr:rowOff>
    </xdr:from>
    <xdr:to>
      <xdr:col>74</xdr:col>
      <xdr:colOff>0</xdr:colOff>
      <xdr:row>49</xdr:row>
      <xdr:rowOff>175260</xdr:rowOff>
    </xdr:to>
    <xdr:graphicFrame macro="">
      <xdr:nvGraphicFramePr>
        <xdr:cNvPr id="43" name="Chart 4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9"/>
        </a:graphicData>
      </a:graphic>
    </xdr:graphicFrame>
    <xdr:clientData/>
  </xdr:twoCellAnchor>
  <xdr:twoCellAnchor>
    <xdr:from>
      <xdr:col>75</xdr:col>
      <xdr:colOff>0</xdr:colOff>
      <xdr:row>30</xdr:row>
      <xdr:rowOff>0</xdr:rowOff>
    </xdr:from>
    <xdr:to>
      <xdr:col>83</xdr:col>
      <xdr:colOff>0</xdr:colOff>
      <xdr:row>49</xdr:row>
      <xdr:rowOff>175260</xdr:rowOff>
    </xdr:to>
    <xdr:graphicFrame macro="">
      <xdr:nvGraphicFramePr>
        <xdr:cNvPr id="45" name="Chart 4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0"/>
        </a:graphicData>
      </a:graphic>
    </xdr:graphicFrame>
    <xdr:clientData/>
  </xdr:twoCellAnchor>
  <xdr:twoCellAnchor>
    <xdr:from>
      <xdr:col>86</xdr:col>
      <xdr:colOff>0</xdr:colOff>
      <xdr:row>30</xdr:row>
      <xdr:rowOff>0</xdr:rowOff>
    </xdr:from>
    <xdr:to>
      <xdr:col>94</xdr:col>
      <xdr:colOff>0</xdr:colOff>
      <xdr:row>50</xdr:row>
      <xdr:rowOff>0</xdr:rowOff>
    </xdr:to>
    <xdr:graphicFrame macro="">
      <xdr:nvGraphicFramePr>
        <xdr:cNvPr id="46" name="Chart 4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1"/>
        </a:graphicData>
      </a:graphic>
    </xdr:graphicFrame>
    <xdr:clientData/>
  </xdr:twoCellAnchor>
  <xdr:twoCellAnchor>
    <xdr:from>
      <xdr:col>95</xdr:col>
      <xdr:colOff>0</xdr:colOff>
      <xdr:row>30</xdr:row>
      <xdr:rowOff>0</xdr:rowOff>
    </xdr:from>
    <xdr:to>
      <xdr:col>103</xdr:col>
      <xdr:colOff>0</xdr:colOff>
      <xdr:row>50</xdr:row>
      <xdr:rowOff>0</xdr:rowOff>
    </xdr:to>
    <xdr:graphicFrame macro="">
      <xdr:nvGraphicFramePr>
        <xdr:cNvPr id="48" name="Chart 4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2"/>
        </a:graphicData>
      </a:graphic>
    </xdr:graphicFrame>
    <xdr:clientData/>
  </xdr:twoCellAnchor>
  <xdr:twoCellAnchor>
    <xdr:from>
      <xdr:col>26</xdr:col>
      <xdr:colOff>0</xdr:colOff>
      <xdr:row>55</xdr:row>
      <xdr:rowOff>0</xdr:rowOff>
    </xdr:from>
    <xdr:to>
      <xdr:col>34</xdr:col>
      <xdr:colOff>0</xdr:colOff>
      <xdr:row>74</xdr:row>
      <xdr:rowOff>175260</xdr:rowOff>
    </xdr:to>
    <xdr:graphicFrame macro="">
      <xdr:nvGraphicFramePr>
        <xdr:cNvPr id="49" name="Chart 48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3"/>
        </a:graphicData>
      </a:graphic>
    </xdr:graphicFrame>
    <xdr:clientData/>
  </xdr:twoCellAnchor>
  <xdr:twoCellAnchor>
    <xdr:from>
      <xdr:col>35</xdr:col>
      <xdr:colOff>0</xdr:colOff>
      <xdr:row>55</xdr:row>
      <xdr:rowOff>0</xdr:rowOff>
    </xdr:from>
    <xdr:to>
      <xdr:col>43</xdr:col>
      <xdr:colOff>0</xdr:colOff>
      <xdr:row>74</xdr:row>
      <xdr:rowOff>175260</xdr:rowOff>
    </xdr:to>
    <xdr:graphicFrame macro="">
      <xdr:nvGraphicFramePr>
        <xdr:cNvPr id="51" name="Chart 50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4"/>
        </a:graphicData>
      </a:graphic>
    </xdr:graphicFrame>
    <xdr:clientData/>
  </xdr:twoCellAnchor>
  <xdr:twoCellAnchor>
    <xdr:from>
      <xdr:col>46</xdr:col>
      <xdr:colOff>0</xdr:colOff>
      <xdr:row>55</xdr:row>
      <xdr:rowOff>0</xdr:rowOff>
    </xdr:from>
    <xdr:to>
      <xdr:col>54</xdr:col>
      <xdr:colOff>0</xdr:colOff>
      <xdr:row>75</xdr:row>
      <xdr:rowOff>7620</xdr:rowOff>
    </xdr:to>
    <xdr:graphicFrame macro="">
      <xdr:nvGraphicFramePr>
        <xdr:cNvPr id="52" name="Chart 5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5"/>
        </a:graphicData>
      </a:graphic>
    </xdr:graphicFrame>
    <xdr:clientData/>
  </xdr:twoCellAnchor>
  <xdr:twoCellAnchor>
    <xdr:from>
      <xdr:col>55</xdr:col>
      <xdr:colOff>0</xdr:colOff>
      <xdr:row>55</xdr:row>
      <xdr:rowOff>0</xdr:rowOff>
    </xdr:from>
    <xdr:to>
      <xdr:col>63</xdr:col>
      <xdr:colOff>0</xdr:colOff>
      <xdr:row>75</xdr:row>
      <xdr:rowOff>7620</xdr:rowOff>
    </xdr:to>
    <xdr:graphicFrame macro="">
      <xdr:nvGraphicFramePr>
        <xdr:cNvPr id="54" name="Chart 5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6"/>
        </a:graphicData>
      </a:graphic>
    </xdr:graphicFrame>
    <xdr:clientData/>
  </xdr:twoCellAnchor>
  <xdr:twoCellAnchor>
    <xdr:from>
      <xdr:col>66</xdr:col>
      <xdr:colOff>0</xdr:colOff>
      <xdr:row>55</xdr:row>
      <xdr:rowOff>0</xdr:rowOff>
    </xdr:from>
    <xdr:to>
      <xdr:col>74</xdr:col>
      <xdr:colOff>0</xdr:colOff>
      <xdr:row>75</xdr:row>
      <xdr:rowOff>0</xdr:rowOff>
    </xdr:to>
    <xdr:graphicFrame macro="">
      <xdr:nvGraphicFramePr>
        <xdr:cNvPr id="55" name="Chart 5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7"/>
        </a:graphicData>
      </a:graphic>
    </xdr:graphicFrame>
    <xdr:clientData/>
  </xdr:twoCellAnchor>
  <xdr:twoCellAnchor>
    <xdr:from>
      <xdr:col>75</xdr:col>
      <xdr:colOff>0</xdr:colOff>
      <xdr:row>55</xdr:row>
      <xdr:rowOff>0</xdr:rowOff>
    </xdr:from>
    <xdr:to>
      <xdr:col>83</xdr:col>
      <xdr:colOff>0</xdr:colOff>
      <xdr:row>75</xdr:row>
      <xdr:rowOff>0</xdr:rowOff>
    </xdr:to>
    <xdr:graphicFrame macro="">
      <xdr:nvGraphicFramePr>
        <xdr:cNvPr id="57" name="Chart 5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8"/>
        </a:graphicData>
      </a:graphic>
    </xdr:graphicFrame>
    <xdr:clientData/>
  </xdr:twoCellAnchor>
  <xdr:twoCellAnchor>
    <xdr:from>
      <xdr:col>86</xdr:col>
      <xdr:colOff>0</xdr:colOff>
      <xdr:row>55</xdr:row>
      <xdr:rowOff>0</xdr:rowOff>
    </xdr:from>
    <xdr:to>
      <xdr:col>94</xdr:col>
      <xdr:colOff>0</xdr:colOff>
      <xdr:row>75</xdr:row>
      <xdr:rowOff>15240</xdr:rowOff>
    </xdr:to>
    <xdr:graphicFrame macro="">
      <xdr:nvGraphicFramePr>
        <xdr:cNvPr id="58" name="Chart 5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9"/>
        </a:graphicData>
      </a:graphic>
    </xdr:graphicFrame>
    <xdr:clientData/>
  </xdr:twoCellAnchor>
  <xdr:twoCellAnchor>
    <xdr:from>
      <xdr:col>95</xdr:col>
      <xdr:colOff>0</xdr:colOff>
      <xdr:row>55</xdr:row>
      <xdr:rowOff>0</xdr:rowOff>
    </xdr:from>
    <xdr:to>
      <xdr:col>103</xdr:col>
      <xdr:colOff>0</xdr:colOff>
      <xdr:row>75</xdr:row>
      <xdr:rowOff>15240</xdr:rowOff>
    </xdr:to>
    <xdr:graphicFrame macro="">
      <xdr:nvGraphicFramePr>
        <xdr:cNvPr id="60" name="Chart 59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0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AF93"/>
  <sheetViews>
    <sheetView showGridLines="0" tabSelected="1" workbookViewId="0">
      <pane xSplit="5" ySplit="3" topLeftCell="F4" activePane="bottomRight" state="frozen"/>
      <selection pane="topRight" activeCell="G1" sqref="G1"/>
      <selection pane="bottomLeft" activeCell="A3" sqref="A3"/>
      <selection pane="bottomRight" activeCell="F4" sqref="F4"/>
    </sheetView>
  </sheetViews>
  <sheetFormatPr defaultColWidth="8.77734375" defaultRowHeight="14.4"/>
  <cols>
    <col min="1" max="1" width="2.109375" customWidth="1"/>
    <col min="2" max="2" width="7.6640625" bestFit="1" customWidth="1"/>
    <col min="3" max="3" width="5.77734375" customWidth="1"/>
    <col min="4" max="4" width="20.109375" bestFit="1" customWidth="1"/>
    <col min="5" max="5" width="14.33203125" bestFit="1" customWidth="1"/>
    <col min="6" max="7" width="12.44140625" customWidth="1"/>
    <col min="8" max="8" width="10.44140625" style="596" bestFit="1" customWidth="1"/>
    <col min="9" max="13" width="12.44140625" customWidth="1"/>
    <col min="14" max="14" width="2.109375" customWidth="1"/>
    <col min="15" max="16" width="12.44140625" customWidth="1"/>
    <col min="17" max="17" width="12.44140625" style="596" customWidth="1"/>
    <col min="18" max="22" width="12.44140625" customWidth="1"/>
    <col min="23" max="23" width="2.109375" customWidth="1"/>
    <col min="24" max="25" width="12.44140625" customWidth="1"/>
    <col min="26" max="26" width="12.44140625" style="596" customWidth="1"/>
    <col min="27" max="29" width="12.44140625" customWidth="1"/>
    <col min="30" max="30" width="17.44140625" customWidth="1"/>
    <col min="31" max="31" width="2.6640625" customWidth="1"/>
    <col min="32" max="32" width="0.44140625" customWidth="1"/>
  </cols>
  <sheetData>
    <row r="1" spans="2:32">
      <c r="B1" s="504" t="s">
        <v>141</v>
      </c>
      <c r="AF1" s="499"/>
    </row>
    <row r="2" spans="2:32">
      <c r="B2" s="535">
        <v>8</v>
      </c>
      <c r="C2" s="534">
        <v>2018</v>
      </c>
      <c r="F2" s="613" t="s">
        <v>141</v>
      </c>
      <c r="G2" s="614"/>
      <c r="H2" s="614"/>
      <c r="I2" s="614"/>
      <c r="J2" s="614"/>
      <c r="K2" s="614"/>
      <c r="L2" s="614"/>
      <c r="M2" s="615"/>
      <c r="O2" s="613" t="s">
        <v>145</v>
      </c>
      <c r="P2" s="614"/>
      <c r="Q2" s="614"/>
      <c r="R2" s="614"/>
      <c r="S2" s="614"/>
      <c r="T2" s="614"/>
      <c r="U2" s="614"/>
      <c r="V2" s="615"/>
      <c r="X2" s="616" t="s">
        <v>146</v>
      </c>
      <c r="Y2" s="616"/>
      <c r="Z2" s="616"/>
      <c r="AA2" s="616"/>
      <c r="AB2" s="616"/>
      <c r="AC2" s="616"/>
      <c r="AD2" s="617"/>
      <c r="AF2" s="499"/>
    </row>
    <row r="3" spans="2:32">
      <c r="F3" s="588" t="s">
        <v>29</v>
      </c>
      <c r="G3" s="589" t="s">
        <v>84</v>
      </c>
      <c r="H3" s="610" t="s">
        <v>160</v>
      </c>
      <c r="I3" s="590" t="s">
        <v>149</v>
      </c>
      <c r="J3" s="589" t="s">
        <v>28</v>
      </c>
      <c r="K3" s="590" t="s">
        <v>142</v>
      </c>
      <c r="L3" s="589" t="s">
        <v>143</v>
      </c>
      <c r="M3" s="590" t="s">
        <v>144</v>
      </c>
      <c r="O3" s="588" t="s">
        <v>29</v>
      </c>
      <c r="P3" s="589" t="s">
        <v>84</v>
      </c>
      <c r="Q3" s="610" t="s">
        <v>160</v>
      </c>
      <c r="R3" s="590" t="s">
        <v>149</v>
      </c>
      <c r="S3" s="589" t="s">
        <v>28</v>
      </c>
      <c r="T3" s="590" t="s">
        <v>142</v>
      </c>
      <c r="U3" s="589" t="s">
        <v>143</v>
      </c>
      <c r="V3" s="590" t="s">
        <v>144</v>
      </c>
      <c r="X3" s="588" t="s">
        <v>29</v>
      </c>
      <c r="Y3" s="589" t="s">
        <v>84</v>
      </c>
      <c r="Z3" s="610" t="s">
        <v>160</v>
      </c>
      <c r="AA3" s="590" t="s">
        <v>149</v>
      </c>
      <c r="AB3" s="589" t="s">
        <v>28</v>
      </c>
      <c r="AC3" s="590" t="s">
        <v>142</v>
      </c>
      <c r="AD3" s="588" t="s">
        <v>150</v>
      </c>
      <c r="AF3" s="499"/>
    </row>
    <row r="4" spans="2:32">
      <c r="C4" s="357" t="s">
        <v>128</v>
      </c>
      <c r="AF4" s="499"/>
    </row>
    <row r="5" spans="2:32">
      <c r="D5" s="536" t="s">
        <v>135</v>
      </c>
      <c r="E5" s="562"/>
      <c r="F5" s="553">
        <f>SUM(F6:F9)</f>
        <v>274058.15000000002</v>
      </c>
      <c r="G5" s="563">
        <f>SUM(G6:G9)</f>
        <v>173737.42579748784</v>
      </c>
      <c r="H5" s="606">
        <f>G5-F5</f>
        <v>-100320.72420251218</v>
      </c>
      <c r="I5" s="564">
        <f>IFERROR($F5/G5,0)</f>
        <v>1.5774272511637661</v>
      </c>
      <c r="J5" s="563">
        <f>SUM(J6:J9)</f>
        <v>221862.66111668717</v>
      </c>
      <c r="K5" s="564">
        <f>IFERROR($F5/J5,0)</f>
        <v>1.2352603571083147</v>
      </c>
      <c r="L5" s="563">
        <f>SUM(L6:L9)</f>
        <v>65192.39</v>
      </c>
      <c r="M5" s="564">
        <f>IFERROR($F5/L5,0)</f>
        <v>4.2038365214099382</v>
      </c>
      <c r="O5" s="553">
        <f>SUM(O6:O9)</f>
        <v>1969099.9044949999</v>
      </c>
      <c r="P5" s="563">
        <f>SUM(P6:P9)</f>
        <v>1225309.7310469919</v>
      </c>
      <c r="Q5" s="606">
        <f>P5-O5</f>
        <v>-743790.17344800802</v>
      </c>
      <c r="R5" s="564">
        <f>IFERROR($O5/P5,0)</f>
        <v>1.6070221712941599</v>
      </c>
      <c r="S5" s="563">
        <f>SUM(S6:S9)</f>
        <v>1564720.3034948427</v>
      </c>
      <c r="T5" s="564">
        <f>IFERROR($O5/S5,0)</f>
        <v>1.2584357089870726</v>
      </c>
      <c r="U5" s="563">
        <f>SUM(U6:U9)</f>
        <v>390968.89091700001</v>
      </c>
      <c r="V5" s="564">
        <f>IFERROR($O5/U5,0)</f>
        <v>5.0364618521861528</v>
      </c>
      <c r="X5" s="563">
        <f>SUM(X6:X9)</f>
        <v>1969099.9044949999</v>
      </c>
      <c r="Y5" s="563">
        <f>SUM(Y6:Y9)</f>
        <v>2028822.3183935368</v>
      </c>
      <c r="Z5" s="606">
        <f>Y5-X5</f>
        <v>59722.413898536935</v>
      </c>
      <c r="AA5" s="564">
        <f t="shared" ref="AA5:AA32" si="0">IFERROR(X5/Y5,0)</f>
        <v>0.97056301414022972</v>
      </c>
      <c r="AB5" s="563">
        <f>SUM(AB6:AB9)</f>
        <v>2542461.1908162641</v>
      </c>
      <c r="AC5" s="564">
        <f t="shared" ref="AC5:AC32" si="1">IFERROR(X5/AB5,0)</f>
        <v>0.77448572729749909</v>
      </c>
      <c r="AD5" s="569">
        <f t="shared" ref="AD5:AD32" si="2">IFERROR(Y5/AB5,0)</f>
        <v>0.79797572750448864</v>
      </c>
      <c r="AF5" s="499"/>
    </row>
    <row r="6" spans="2:32" hidden="1">
      <c r="D6" s="538"/>
      <c r="E6" s="472"/>
      <c r="F6" s="556"/>
      <c r="G6" s="558"/>
      <c r="H6" s="368"/>
      <c r="I6" s="559"/>
      <c r="J6" s="558"/>
      <c r="K6" s="559"/>
      <c r="L6" s="558"/>
      <c r="M6" s="559"/>
      <c r="O6" s="556"/>
      <c r="P6" s="558"/>
      <c r="Q6" s="368"/>
      <c r="R6" s="559"/>
      <c r="S6" s="558"/>
      <c r="T6" s="559"/>
      <c r="U6" s="558"/>
      <c r="V6" s="559"/>
      <c r="X6" s="558"/>
      <c r="Y6" s="558"/>
      <c r="Z6" s="368"/>
      <c r="AA6" s="559"/>
      <c r="AB6" s="558"/>
      <c r="AC6" s="559"/>
      <c r="AD6" s="567"/>
      <c r="AF6" s="499"/>
    </row>
    <row r="7" spans="2:32" hidden="1">
      <c r="D7" s="538"/>
      <c r="E7" s="472"/>
      <c r="F7" s="556"/>
      <c r="G7" s="558"/>
      <c r="H7" s="368"/>
      <c r="I7" s="559"/>
      <c r="J7" s="558"/>
      <c r="K7" s="559"/>
      <c r="L7" s="558"/>
      <c r="M7" s="559"/>
      <c r="O7" s="556"/>
      <c r="P7" s="558"/>
      <c r="Q7" s="368"/>
      <c r="R7" s="559"/>
      <c r="S7" s="558"/>
      <c r="T7" s="559"/>
      <c r="U7" s="558"/>
      <c r="V7" s="559"/>
      <c r="X7" s="558"/>
      <c r="Y7" s="558"/>
      <c r="Z7" s="368"/>
      <c r="AA7" s="559"/>
      <c r="AB7" s="558"/>
      <c r="AC7" s="559"/>
      <c r="AD7" s="567"/>
      <c r="AF7" s="499"/>
    </row>
    <row r="8" spans="2:32">
      <c r="D8" s="538" t="s">
        <v>147</v>
      </c>
      <c r="E8" s="472" t="s">
        <v>73</v>
      </c>
      <c r="F8" s="556">
        <f>VLOOKUP($E8,RS_VN_Actual_YT,$B$2+1,0)</f>
        <v>231621.84</v>
      </c>
      <c r="G8" s="558">
        <f>VLOOKUP($E8,RS_VN_Target_YT,$B$2+1,0)</f>
        <v>155818.26072619413</v>
      </c>
      <c r="H8" s="368">
        <f t="shared" ref="H6:H9" si="3">G8-F8</f>
        <v>-75803.579273805866</v>
      </c>
      <c r="I8" s="559">
        <f>IFERROR($F8/G8,0)</f>
        <v>1.4864871352081699</v>
      </c>
      <c r="J8" s="558">
        <f>VLOOKUP($E8,RS_VN_Forecast_YT,$B$2+1,0)</f>
        <v>203602.76565243295</v>
      </c>
      <c r="K8" s="559">
        <f t="shared" ref="K7:K9" si="4">IFERROR($F8/J8,0)</f>
        <v>1.1376163740103509</v>
      </c>
      <c r="L8" s="558">
        <f>VLOOKUP($E8,PAST_VN_Actual_YT_2017,$B$2+1,0)</f>
        <v>46660.800000000003</v>
      </c>
      <c r="M8" s="559">
        <f t="shared" ref="M8" si="5">IFERROR($F8/L8,0)</f>
        <v>4.9639491821829029</v>
      </c>
      <c r="O8" s="556">
        <f>SUMPRODUCT('Revenue Summary'!AS6:BD6,'Revenue Summary'!$AS$8:$BD$8)</f>
        <v>1467627.2893729999</v>
      </c>
      <c r="P8" s="558">
        <f>SUMPRODUCT('Revenue Summary'!E6:P6,'Revenue Summary'!$E$8:$P$8)</f>
        <v>1098932.0825161189</v>
      </c>
      <c r="Q8" s="368">
        <f t="shared" ref="Q6:Q9" si="6">P8-O8</f>
        <v>-368695.20685688104</v>
      </c>
      <c r="R8" s="559">
        <f t="shared" ref="R6:R9" si="7">IFERROR($O8/P8,0)</f>
        <v>1.3355031786975544</v>
      </c>
      <c r="S8" s="558">
        <f>SUMPRODUCT('Revenue Summary'!Y6:AJ6,'Revenue Summary'!$Y$8:$AJ$8)</f>
        <v>1435939.6018265034</v>
      </c>
      <c r="T8" s="559">
        <f t="shared" ref="T6:T9" si="8">IFERROR($O8/S8,0)</f>
        <v>1.0220675629435876</v>
      </c>
      <c r="U8" s="558">
        <f>SUMPRODUCT('Past data'!E6:P6,'Past data'!$E$8:$P$8)</f>
        <v>309360.17874599999</v>
      </c>
      <c r="V8" s="559">
        <f t="shared" ref="V6:V9" si="9">IFERROR($O8/U8,0)</f>
        <v>4.7440730585367117</v>
      </c>
      <c r="X8" s="558">
        <f t="shared" ref="X6:X9" si="10">O8</f>
        <v>1467627.2893729999</v>
      </c>
      <c r="Y8" s="558">
        <f>'Revenue Summary'!Q6</f>
        <v>1819570.9043315225</v>
      </c>
      <c r="Z8" s="368">
        <f t="shared" ref="Z6:Z9" si="11">Y8-X8</f>
        <v>351943.61495852261</v>
      </c>
      <c r="AA8" s="559">
        <f t="shared" si="0"/>
        <v>0.80657878507470404</v>
      </c>
      <c r="AB8" s="558">
        <f>'Revenue Summary'!AK6</f>
        <v>2333209.7767542498</v>
      </c>
      <c r="AC8" s="559">
        <f t="shared" si="1"/>
        <v>0.62901643221066483</v>
      </c>
      <c r="AD8" s="567">
        <f t="shared" si="2"/>
        <v>0.77985739750445626</v>
      </c>
      <c r="AF8" s="499"/>
    </row>
    <row r="9" spans="2:32">
      <c r="D9" s="540" t="s">
        <v>147</v>
      </c>
      <c r="E9" s="565" t="s">
        <v>74</v>
      </c>
      <c r="F9" s="557">
        <f>VLOOKUP($E9,RS_VN_Actual_YT,$B$2+1,0)</f>
        <v>42436.31</v>
      </c>
      <c r="G9" s="560">
        <f>VLOOKUP($E9,RS_VN_Target_YT,$B$2+1,0)</f>
        <v>17919.165071293719</v>
      </c>
      <c r="H9" s="607">
        <f t="shared" si="3"/>
        <v>-24517.144928706279</v>
      </c>
      <c r="I9" s="561">
        <f>IFERROR($F9/G9,0)</f>
        <v>2.3682079958056996</v>
      </c>
      <c r="J9" s="560">
        <f>VLOOKUP($E9,RS_VN_Forecast_YT,$B$2+1,0)</f>
        <v>18259.895464254208</v>
      </c>
      <c r="K9" s="561">
        <f t="shared" si="4"/>
        <v>2.3240171381634593</v>
      </c>
      <c r="L9" s="560">
        <f>VLOOKUP($E9,PAST_VN_Actual_YT_2017,$B$2+1,0)</f>
        <v>18531.59</v>
      </c>
      <c r="M9" s="561">
        <f t="shared" ref="M9" si="12">IFERROR($F9/L9,0)</f>
        <v>2.2899443598741391</v>
      </c>
      <c r="O9" s="557">
        <f>SUMPRODUCT('Revenue Summary'!AS7:BD7,'Revenue Summary'!$AS$8:$BD$8)</f>
        <v>501472.61512199999</v>
      </c>
      <c r="P9" s="560">
        <f>SUMPRODUCT('Revenue Summary'!E7:P7,'Revenue Summary'!$E$8:$P$8)</f>
        <v>126377.64853087309</v>
      </c>
      <c r="Q9" s="607">
        <f t="shared" si="6"/>
        <v>-375094.96659112687</v>
      </c>
      <c r="R9" s="561">
        <f t="shared" si="7"/>
        <v>3.9680483135393523</v>
      </c>
      <c r="S9" s="560">
        <f>SUMPRODUCT('Revenue Summary'!Y7:AJ7,'Revenue Summary'!$Y$8:$AJ$8)</f>
        <v>128780.7016683393</v>
      </c>
      <c r="T9" s="561">
        <f t="shared" si="8"/>
        <v>3.8940043704179232</v>
      </c>
      <c r="U9" s="560">
        <f>SUMPRODUCT('Past data'!E7:P7,'Past data'!$E$8:$P$8)</f>
        <v>81608.712171000006</v>
      </c>
      <c r="V9" s="561">
        <f t="shared" si="9"/>
        <v>6.1448416692476657</v>
      </c>
      <c r="X9" s="560">
        <f t="shared" si="10"/>
        <v>501472.61512199999</v>
      </c>
      <c r="Y9" s="560">
        <f>'Revenue Summary'!Q7</f>
        <v>209251.41406201432</v>
      </c>
      <c r="Z9" s="607">
        <f t="shared" si="11"/>
        <v>-292221.20105998567</v>
      </c>
      <c r="AA9" s="561">
        <f t="shared" si="0"/>
        <v>2.3965076526239493</v>
      </c>
      <c r="AB9" s="560">
        <f>'Revenue Summary'!AK7</f>
        <v>209251.41406201434</v>
      </c>
      <c r="AC9" s="561">
        <f t="shared" si="1"/>
        <v>2.3965076526239488</v>
      </c>
      <c r="AD9" s="568">
        <f t="shared" si="2"/>
        <v>0.99999999999999989</v>
      </c>
      <c r="AF9" s="499"/>
    </row>
    <row r="10" spans="2:32">
      <c r="AF10" s="499"/>
    </row>
    <row r="11" spans="2:32" hidden="1">
      <c r="D11" s="536"/>
      <c r="E11" s="562"/>
      <c r="F11" s="553"/>
      <c r="G11" s="563"/>
      <c r="H11" s="606"/>
      <c r="I11" s="564"/>
      <c r="J11" s="563"/>
      <c r="K11" s="564"/>
      <c r="L11" s="563"/>
      <c r="M11" s="564"/>
      <c r="O11" s="553"/>
      <c r="P11" s="563"/>
      <c r="Q11" s="606"/>
      <c r="R11" s="564"/>
      <c r="S11" s="563"/>
      <c r="T11" s="564"/>
      <c r="U11" s="563"/>
      <c r="V11" s="564"/>
      <c r="X11" s="563"/>
      <c r="Y11" s="563"/>
      <c r="Z11" s="606"/>
      <c r="AA11" s="564"/>
      <c r="AB11" s="563"/>
      <c r="AC11" s="564"/>
      <c r="AD11" s="564"/>
      <c r="AF11" s="499"/>
    </row>
    <row r="12" spans="2:32" hidden="1">
      <c r="C12" s="468"/>
      <c r="D12" s="540"/>
      <c r="E12" s="565"/>
      <c r="F12" s="557"/>
      <c r="G12" s="560"/>
      <c r="H12" s="607"/>
      <c r="I12" s="561"/>
      <c r="J12" s="560"/>
      <c r="K12" s="561"/>
      <c r="L12" s="560"/>
      <c r="M12" s="561"/>
      <c r="O12" s="557"/>
      <c r="P12" s="560"/>
      <c r="Q12" s="607"/>
      <c r="R12" s="561"/>
      <c r="S12" s="560"/>
      <c r="T12" s="561"/>
      <c r="U12" s="560"/>
      <c r="V12" s="561"/>
      <c r="X12" s="560"/>
      <c r="Y12" s="560"/>
      <c r="Z12" s="607"/>
      <c r="AA12" s="561"/>
      <c r="AB12" s="560"/>
      <c r="AC12" s="561"/>
      <c r="AD12" s="561"/>
      <c r="AF12" s="499"/>
    </row>
    <row r="13" spans="2:32" hidden="1">
      <c r="AF13" s="499"/>
    </row>
    <row r="14" spans="2:32">
      <c r="D14" s="536" t="s">
        <v>137</v>
      </c>
      <c r="E14" s="562"/>
      <c r="F14" s="553">
        <f>SUM(F15:F18)</f>
        <v>22185.38</v>
      </c>
      <c r="G14" s="563">
        <f>SUM(G15:G18)</f>
        <v>67916.666666666672</v>
      </c>
      <c r="H14" s="606">
        <f t="shared" ref="H14:H32" si="13">G14-F14</f>
        <v>45731.286666666667</v>
      </c>
      <c r="I14" s="564">
        <f>IFERROR($F14/G14,0)</f>
        <v>0.32665590184049081</v>
      </c>
      <c r="J14" s="563">
        <f>SUM(J15:J18)</f>
        <v>67916.666666666672</v>
      </c>
      <c r="K14" s="564">
        <f>IFERROR($F14/J14,0)</f>
        <v>0.32665590184049081</v>
      </c>
      <c r="L14" s="563">
        <f>SUM(L15:L18)</f>
        <v>0</v>
      </c>
      <c r="M14" s="564">
        <f>IFERROR($F14/L14,0)</f>
        <v>0</v>
      </c>
      <c r="O14" s="553">
        <f>SUM(O15:O18)</f>
        <v>159069.21000000002</v>
      </c>
      <c r="P14" s="563">
        <f>SUM(P15:P18)</f>
        <v>543333.33333333337</v>
      </c>
      <c r="Q14" s="606">
        <f t="shared" ref="Q14:Q32" si="14">P14-O14</f>
        <v>384264.12333333335</v>
      </c>
      <c r="R14" s="564">
        <f>IFERROR($O14/P14,0)</f>
        <v>0.29276541717791416</v>
      </c>
      <c r="S14" s="563">
        <f>SUM(S15:S18)</f>
        <v>543333.33333333337</v>
      </c>
      <c r="T14" s="564">
        <f>IFERROR($O14/S14,0)</f>
        <v>0.29276541717791416</v>
      </c>
      <c r="U14" s="563">
        <f>SUM(U15:U18)</f>
        <v>0</v>
      </c>
      <c r="V14" s="564">
        <f>IFERROR($O14/U14,0)</f>
        <v>0</v>
      </c>
      <c r="X14" s="563">
        <f>SUM(X15:X18)</f>
        <v>159069.21000000002</v>
      </c>
      <c r="Y14" s="563">
        <f>SUM(Y15:Y18)</f>
        <v>814999.99999999988</v>
      </c>
      <c r="Z14" s="606">
        <f t="shared" ref="Z14:Z32" si="15">Y14-X14</f>
        <v>655930.7899999998</v>
      </c>
      <c r="AA14" s="564">
        <f t="shared" si="0"/>
        <v>0.19517694478527614</v>
      </c>
      <c r="AB14" s="563">
        <f>SUM(AB15:AB18)</f>
        <v>814999.99999999988</v>
      </c>
      <c r="AC14" s="564">
        <f t="shared" si="1"/>
        <v>0.19517694478527614</v>
      </c>
      <c r="AD14" s="569">
        <f t="shared" si="2"/>
        <v>1</v>
      </c>
      <c r="AF14" s="499"/>
    </row>
    <row r="15" spans="2:32" hidden="1">
      <c r="D15" s="538"/>
      <c r="E15" s="472"/>
      <c r="F15" s="556"/>
      <c r="G15" s="558"/>
      <c r="H15" s="368"/>
      <c r="I15" s="559"/>
      <c r="J15" s="558"/>
      <c r="K15" s="559"/>
      <c r="L15" s="558"/>
      <c r="M15" s="559"/>
      <c r="O15" s="556"/>
      <c r="P15" s="558"/>
      <c r="Q15" s="368"/>
      <c r="R15" s="559"/>
      <c r="S15" s="558"/>
      <c r="T15" s="559"/>
      <c r="U15" s="558"/>
      <c r="V15" s="559"/>
      <c r="X15" s="558"/>
      <c r="Y15" s="558"/>
      <c r="Z15" s="368"/>
      <c r="AA15" s="559"/>
      <c r="AB15" s="558"/>
      <c r="AC15" s="559"/>
      <c r="AD15" s="567"/>
      <c r="AF15" s="499"/>
    </row>
    <row r="16" spans="2:32" hidden="1">
      <c r="D16" s="538"/>
      <c r="E16" s="472"/>
      <c r="F16" s="556"/>
      <c r="G16" s="558"/>
      <c r="H16" s="368"/>
      <c r="I16" s="559"/>
      <c r="J16" s="558"/>
      <c r="K16" s="559"/>
      <c r="L16" s="558"/>
      <c r="M16" s="559"/>
      <c r="O16" s="556"/>
      <c r="P16" s="558"/>
      <c r="Q16" s="368"/>
      <c r="R16" s="559"/>
      <c r="S16" s="558"/>
      <c r="T16" s="559"/>
      <c r="U16" s="558"/>
      <c r="V16" s="559"/>
      <c r="X16" s="558"/>
      <c r="Y16" s="558"/>
      <c r="Z16" s="368"/>
      <c r="AA16" s="559"/>
      <c r="AB16" s="558"/>
      <c r="AC16" s="559"/>
      <c r="AD16" s="567"/>
      <c r="AF16" s="499"/>
    </row>
    <row r="17" spans="3:32" s="596" customFormat="1">
      <c r="D17" s="540" t="s">
        <v>148</v>
      </c>
      <c r="E17" s="565" t="s">
        <v>73</v>
      </c>
      <c r="F17" s="557">
        <f>VLOOKUP($E17,RS_VN_Actual_BD,$B$2+1,0)</f>
        <v>22185.38</v>
      </c>
      <c r="G17" s="560">
        <f>VLOOKUP($E17,RS_VN_Target_BD,$B$2+1,0)</f>
        <v>67916.666666666672</v>
      </c>
      <c r="H17" s="607">
        <f t="shared" si="13"/>
        <v>45731.286666666667</v>
      </c>
      <c r="I17" s="561">
        <f t="shared" ref="I17" si="16">IFERROR($F17/G17,0)</f>
        <v>0.32665590184049081</v>
      </c>
      <c r="J17" s="560">
        <f>VLOOKUP($E17,RS_VN_Forecast_BD,$B$2+1,0)</f>
        <v>67916.666666666672</v>
      </c>
      <c r="K17" s="561">
        <f t="shared" ref="K17" si="17">IFERROR($F17/J17,0)</f>
        <v>0.32665590184049081</v>
      </c>
      <c r="L17" s="560">
        <f>VLOOKUP($E17,PAST_VN_Actual_BD_2017,$B$2+1,0)</f>
        <v>0</v>
      </c>
      <c r="M17" s="561">
        <f t="shared" ref="M17" si="18">IFERROR($F17/L17,0)</f>
        <v>0</v>
      </c>
      <c r="O17" s="557">
        <f>SUMPRODUCT('Revenue Summary'!AS15:BD15,'Revenue Summary'!$AS$8:$BD$8)</f>
        <v>159069.21000000002</v>
      </c>
      <c r="P17" s="560">
        <f>SUMPRODUCT('Revenue Summary'!E15:P15,'Revenue Summary'!$E$8:$P$8)</f>
        <v>543333.33333333337</v>
      </c>
      <c r="Q17" s="607">
        <f t="shared" si="14"/>
        <v>384264.12333333335</v>
      </c>
      <c r="R17" s="561">
        <f t="shared" ref="R15:R18" si="19">IFERROR($O17/P17,0)</f>
        <v>0.29276541717791416</v>
      </c>
      <c r="S17" s="560">
        <f>SUMPRODUCT('Revenue Summary'!Y15:AJ15,'Revenue Summary'!$Y$8:$AJ$8)</f>
        <v>543333.33333333337</v>
      </c>
      <c r="T17" s="561">
        <f t="shared" ref="T15:T18" si="20">IFERROR($O17/S17,0)</f>
        <v>0.29276541717791416</v>
      </c>
      <c r="U17" s="560">
        <f>SUMPRODUCT('Past data'!E15:P15,'Past data'!$E$8:$P$8)</f>
        <v>0</v>
      </c>
      <c r="V17" s="561">
        <f t="shared" ref="V15:V18" si="21">IFERROR($O17/U17,0)</f>
        <v>0</v>
      </c>
      <c r="X17" s="560">
        <f t="shared" ref="X15:X18" si="22">O17</f>
        <v>159069.21000000002</v>
      </c>
      <c r="Y17" s="560">
        <f>'Revenue Summary'!Q15</f>
        <v>814999.99999999988</v>
      </c>
      <c r="Z17" s="607">
        <f t="shared" si="15"/>
        <v>655930.7899999998</v>
      </c>
      <c r="AA17" s="561">
        <f t="shared" si="0"/>
        <v>0.19517694478527614</v>
      </c>
      <c r="AB17" s="560">
        <f>'Revenue Summary'!AK15</f>
        <v>814999.99999999988</v>
      </c>
      <c r="AC17" s="561">
        <f t="shared" si="1"/>
        <v>0.19517694478527614</v>
      </c>
      <c r="AD17" s="568">
        <f t="shared" si="2"/>
        <v>1</v>
      </c>
      <c r="AF17" s="499"/>
    </row>
    <row r="18" spans="3:32" hidden="1">
      <c r="D18" s="540"/>
      <c r="E18" s="565"/>
      <c r="F18" s="557"/>
      <c r="G18" s="560"/>
      <c r="H18" s="607"/>
      <c r="I18" s="561"/>
      <c r="J18" s="560"/>
      <c r="K18" s="561"/>
      <c r="L18" s="560"/>
      <c r="M18" s="561"/>
      <c r="O18" s="557"/>
      <c r="P18" s="560"/>
      <c r="Q18" s="607"/>
      <c r="R18" s="561"/>
      <c r="S18" s="560"/>
      <c r="T18" s="561"/>
      <c r="U18" s="560"/>
      <c r="V18" s="561"/>
      <c r="X18" s="560"/>
      <c r="Y18" s="560"/>
      <c r="Z18" s="607"/>
      <c r="AA18" s="561"/>
      <c r="AB18" s="560"/>
      <c r="AC18" s="561"/>
      <c r="AD18" s="568"/>
      <c r="AF18" s="499"/>
    </row>
    <row r="19" spans="3:32">
      <c r="AF19" s="499"/>
    </row>
    <row r="20" spans="3:32">
      <c r="D20" s="536" t="s">
        <v>138</v>
      </c>
      <c r="E20" s="562"/>
      <c r="F20" s="553">
        <f>SUM(F21:F21)</f>
        <v>0</v>
      </c>
      <c r="G20" s="563">
        <f>SUM(G21:G21)</f>
        <v>22087.710762247058</v>
      </c>
      <c r="H20" s="606">
        <f t="shared" si="13"/>
        <v>22087.710762247058</v>
      </c>
      <c r="I20" s="564">
        <f>IFERROR($F20/G20,0)</f>
        <v>0</v>
      </c>
      <c r="J20" s="563">
        <f>SUM(J21:J21)</f>
        <v>22087.710762247058</v>
      </c>
      <c r="K20" s="564">
        <f>IFERROR($F20/J20,0)</f>
        <v>0</v>
      </c>
      <c r="L20" s="563">
        <f>SUM(L21:L21)</f>
        <v>0</v>
      </c>
      <c r="M20" s="564">
        <f>IFERROR($F20/L20,0)</f>
        <v>0</v>
      </c>
      <c r="O20" s="553">
        <f>SUM(O21:O21)</f>
        <v>316</v>
      </c>
      <c r="P20" s="563">
        <f>SUM(P21:P21)</f>
        <v>79579.81446903196</v>
      </c>
      <c r="Q20" s="606">
        <f t="shared" si="14"/>
        <v>79263.81446903196</v>
      </c>
      <c r="R20" s="564">
        <f>IFERROR($O20/P20,0)</f>
        <v>3.9708562040311072E-3</v>
      </c>
      <c r="S20" s="563">
        <f>SUM(S21:S21)</f>
        <v>79579.81446903196</v>
      </c>
      <c r="T20" s="564">
        <f>IFERROR($O20/S20,0)</f>
        <v>3.9708562040311072E-3</v>
      </c>
      <c r="U20" s="563">
        <f>SUM(U21:U21)</f>
        <v>0</v>
      </c>
      <c r="V20" s="564">
        <f>IFERROR($O20/U20,0)</f>
        <v>0</v>
      </c>
      <c r="X20" s="563">
        <f>SUM(X21:X21)</f>
        <v>316</v>
      </c>
      <c r="Y20" s="563">
        <f>SUM(Y21:Y21)</f>
        <v>207936.65351650899</v>
      </c>
      <c r="Z20" s="606">
        <f t="shared" si="15"/>
        <v>207620.65351650899</v>
      </c>
      <c r="AA20" s="564">
        <f t="shared" si="0"/>
        <v>1.5196935925243763E-3</v>
      </c>
      <c r="AB20" s="563">
        <f>SUM(AB21:AB21)</f>
        <v>207936.65351650899</v>
      </c>
      <c r="AC20" s="564">
        <f t="shared" si="1"/>
        <v>1.5196935925243763E-3</v>
      </c>
      <c r="AD20" s="564">
        <f t="shared" si="2"/>
        <v>1</v>
      </c>
      <c r="AF20" s="499"/>
    </row>
    <row r="21" spans="3:32">
      <c r="C21" s="468"/>
      <c r="D21" s="540" t="s">
        <v>148</v>
      </c>
      <c r="E21" s="565" t="s">
        <v>73</v>
      </c>
      <c r="F21" s="557">
        <f>VLOOKUP($E21,RS_VN_Actual_APP,$B$2+1,0)</f>
        <v>0</v>
      </c>
      <c r="G21" s="560">
        <f>VLOOKUP($E21,RS_VN_Target_APP,$B$2+1,0)</f>
        <v>22087.710762247058</v>
      </c>
      <c r="H21" s="607">
        <f t="shared" si="13"/>
        <v>22087.710762247058</v>
      </c>
      <c r="I21" s="561">
        <f>IFERROR($F21/G21,0)</f>
        <v>0</v>
      </c>
      <c r="J21" s="560">
        <f>VLOOKUP($E21,RS_VN_Forecast_APP,$B$2+1,0)</f>
        <v>22087.710762247058</v>
      </c>
      <c r="K21" s="561">
        <f>IFERROR($F21/J21,0)</f>
        <v>0</v>
      </c>
      <c r="L21" s="560">
        <f>VLOOKUP($E21,PAST_VN_Actual_APP_2017,$B$2+1,0)</f>
        <v>0</v>
      </c>
      <c r="M21" s="561">
        <f>IFERROR($F21/L21,0)</f>
        <v>0</v>
      </c>
      <c r="O21" s="557">
        <f>SUMPRODUCT('Revenue Summary'!AS19:BD19,'Revenue Summary'!$AS$8:$BD$8)</f>
        <v>316</v>
      </c>
      <c r="P21" s="560">
        <f>SUMPRODUCT('Revenue Summary'!E19:P19,'Revenue Summary'!$E$8:$P$8)</f>
        <v>79579.81446903196</v>
      </c>
      <c r="Q21" s="607">
        <f t="shared" si="14"/>
        <v>79263.81446903196</v>
      </c>
      <c r="R21" s="561">
        <f>IFERROR($O21/P21,0)</f>
        <v>3.9708562040311072E-3</v>
      </c>
      <c r="S21" s="560">
        <f>SUMPRODUCT('Revenue Summary'!Y19:AJ19,'Revenue Summary'!$Y$8:$AJ$8)</f>
        <v>79579.81446903196</v>
      </c>
      <c r="T21" s="561">
        <f>IFERROR($O21/S21,0)</f>
        <v>3.9708562040311072E-3</v>
      </c>
      <c r="U21" s="560">
        <f>SUMPRODUCT('Past data'!E19:P19,'Past data'!$E$8:$P$8)</f>
        <v>0</v>
      </c>
      <c r="V21" s="561">
        <f>IFERROR($O21/U21,0)</f>
        <v>0</v>
      </c>
      <c r="X21" s="560">
        <f t="shared" ref="X21" si="23">O21</f>
        <v>316</v>
      </c>
      <c r="Y21" s="560">
        <f>'Revenue Summary'!Q19</f>
        <v>207936.65351650899</v>
      </c>
      <c r="Z21" s="607">
        <f t="shared" si="15"/>
        <v>207620.65351650899</v>
      </c>
      <c r="AA21" s="561">
        <f t="shared" si="0"/>
        <v>1.5196935925243763E-3</v>
      </c>
      <c r="AB21" s="560">
        <f>'Revenue Summary'!AK19</f>
        <v>207936.65351650899</v>
      </c>
      <c r="AC21" s="561">
        <f t="shared" si="1"/>
        <v>1.5196935925243763E-3</v>
      </c>
      <c r="AD21" s="561">
        <f t="shared" si="2"/>
        <v>1</v>
      </c>
      <c r="AF21" s="499"/>
    </row>
    <row r="22" spans="3:32">
      <c r="AF22" s="499"/>
    </row>
    <row r="23" spans="3:32" s="596" customFormat="1" hidden="1">
      <c r="D23" s="536"/>
      <c r="E23" s="562"/>
      <c r="F23" s="553"/>
      <c r="G23" s="563"/>
      <c r="H23" s="606"/>
      <c r="I23" s="564"/>
      <c r="J23" s="563"/>
      <c r="K23" s="564"/>
      <c r="L23" s="563"/>
      <c r="M23" s="564"/>
      <c r="O23" s="553"/>
      <c r="P23" s="563"/>
      <c r="Q23" s="606"/>
      <c r="R23" s="564"/>
      <c r="S23" s="563"/>
      <c r="T23" s="564"/>
      <c r="U23" s="563"/>
      <c r="V23" s="564"/>
      <c r="X23" s="563"/>
      <c r="Y23" s="563"/>
      <c r="Z23" s="606"/>
      <c r="AA23" s="564"/>
      <c r="AB23" s="563"/>
      <c r="AC23" s="564"/>
      <c r="AD23" s="564"/>
      <c r="AF23" s="499"/>
    </row>
    <row r="24" spans="3:32" s="596" customFormat="1" hidden="1">
      <c r="C24" s="468"/>
      <c r="D24" s="540"/>
      <c r="E24" s="565"/>
      <c r="F24" s="557"/>
      <c r="G24" s="560"/>
      <c r="H24" s="607"/>
      <c r="I24" s="561"/>
      <c r="J24" s="560"/>
      <c r="K24" s="561"/>
      <c r="L24" s="560"/>
      <c r="M24" s="561"/>
      <c r="O24" s="557"/>
      <c r="P24" s="560"/>
      <c r="Q24" s="607"/>
      <c r="R24" s="561"/>
      <c r="S24" s="560"/>
      <c r="T24" s="561"/>
      <c r="U24" s="560"/>
      <c r="V24" s="561"/>
      <c r="X24" s="560"/>
      <c r="Y24" s="560"/>
      <c r="Z24" s="607"/>
      <c r="AA24" s="561"/>
      <c r="AB24" s="560"/>
      <c r="AC24" s="561"/>
      <c r="AD24" s="561"/>
      <c r="AF24" s="499"/>
    </row>
    <row r="25" spans="3:32" s="596" customFormat="1" hidden="1">
      <c r="AF25" s="499"/>
    </row>
    <row r="26" spans="3:32">
      <c r="D26" s="469" t="s">
        <v>140</v>
      </c>
      <c r="E26" s="470"/>
      <c r="F26" s="511">
        <f>SUM(F27:F32)</f>
        <v>296243.53000000003</v>
      </c>
      <c r="G26" s="511">
        <f>SUM(G27:G32)</f>
        <v>263741.80322640162</v>
      </c>
      <c r="H26" s="511">
        <f t="shared" si="13"/>
        <v>-32501.726773598406</v>
      </c>
      <c r="I26" s="516">
        <f>IFERROR($F26/G26,0)</f>
        <v>1.1232331256402999</v>
      </c>
      <c r="J26" s="511">
        <f>SUM(J27:J32)</f>
        <v>311867.03854560084</v>
      </c>
      <c r="K26" s="516">
        <f>IFERROR($F26/J26,0)</f>
        <v>0.94990330296378422</v>
      </c>
      <c r="L26" s="511">
        <f>SUM(L27:L32)</f>
        <v>65192.39</v>
      </c>
      <c r="M26" s="516">
        <f>IFERROR($F26/L26,0)</f>
        <v>4.5441428056250128</v>
      </c>
      <c r="O26" s="511">
        <f>SUM(O27:O32)</f>
        <v>2128485.1144949999</v>
      </c>
      <c r="P26" s="511">
        <f>SUM(P27:P32)</f>
        <v>1848222.8788493574</v>
      </c>
      <c r="Q26" s="511">
        <f t="shared" si="14"/>
        <v>-280262.2356456425</v>
      </c>
      <c r="R26" s="516">
        <f>IFERROR($O26/P26,0)</f>
        <v>1.1516387654610816</v>
      </c>
      <c r="S26" s="511">
        <f>SUM(S27:S32)</f>
        <v>2187633.4512972082</v>
      </c>
      <c r="T26" s="516">
        <f>IFERROR($O26/S26,0)</f>
        <v>0.97296240978252779</v>
      </c>
      <c r="U26" s="511">
        <f>SUM(U27:U32)</f>
        <v>390968.89091700001</v>
      </c>
      <c r="V26" s="516">
        <f>IFERROR($O26/U26,0)</f>
        <v>5.4441290955470487</v>
      </c>
      <c r="X26" s="511">
        <f>SUM(X27:X32)</f>
        <v>2128485.1144949999</v>
      </c>
      <c r="Y26" s="511">
        <f>SUM(Y27:Y32)</f>
        <v>3051758.9719100459</v>
      </c>
      <c r="Z26" s="511">
        <f t="shared" si="15"/>
        <v>923273.85741504608</v>
      </c>
      <c r="AA26" s="516">
        <f t="shared" si="0"/>
        <v>0.6974617373412082</v>
      </c>
      <c r="AB26" s="511">
        <f>SUM(AB27:AB32)</f>
        <v>3565397.8443327732</v>
      </c>
      <c r="AC26" s="516">
        <f t="shared" si="1"/>
        <v>0.59698390121546829</v>
      </c>
      <c r="AD26" s="516">
        <f t="shared" si="2"/>
        <v>0.85593785186156435</v>
      </c>
      <c r="AF26" s="499"/>
    </row>
    <row r="27" spans="3:32" hidden="1">
      <c r="D27" s="471"/>
      <c r="E27" s="472"/>
      <c r="F27" s="509"/>
      <c r="G27" s="512"/>
      <c r="H27" s="368"/>
      <c r="I27" s="513"/>
      <c r="J27" s="512"/>
      <c r="K27" s="513"/>
      <c r="L27" s="512"/>
      <c r="M27" s="513"/>
      <c r="O27" s="509"/>
      <c r="P27" s="512"/>
      <c r="Q27" s="368"/>
      <c r="R27" s="513"/>
      <c r="S27" s="512"/>
      <c r="T27" s="513"/>
      <c r="U27" s="512"/>
      <c r="V27" s="513"/>
      <c r="X27" s="512"/>
      <c r="Y27" s="512"/>
      <c r="Z27" s="368"/>
      <c r="AA27" s="513"/>
      <c r="AB27" s="512"/>
      <c r="AC27" s="513"/>
      <c r="AD27" s="513"/>
      <c r="AF27" s="499"/>
    </row>
    <row r="28" spans="3:32" hidden="1">
      <c r="D28" s="471"/>
      <c r="E28" s="472"/>
      <c r="F28" s="509"/>
      <c r="G28" s="512"/>
      <c r="H28" s="368"/>
      <c r="I28" s="513"/>
      <c r="J28" s="512"/>
      <c r="K28" s="513"/>
      <c r="L28" s="512"/>
      <c r="M28" s="513"/>
      <c r="O28" s="509"/>
      <c r="P28" s="512"/>
      <c r="Q28" s="368"/>
      <c r="R28" s="513"/>
      <c r="S28" s="512"/>
      <c r="T28" s="513"/>
      <c r="U28" s="512"/>
      <c r="V28" s="513"/>
      <c r="X28" s="512"/>
      <c r="Y28" s="512"/>
      <c r="Z28" s="368"/>
      <c r="AA28" s="513"/>
      <c r="AB28" s="512"/>
      <c r="AC28" s="513"/>
      <c r="AD28" s="513"/>
      <c r="AF28" s="499"/>
    </row>
    <row r="29" spans="3:32">
      <c r="D29" s="471" t="s">
        <v>148</v>
      </c>
      <c r="E29" s="472" t="s">
        <v>73</v>
      </c>
      <c r="F29" s="509">
        <f t="shared" ref="F28:L31" si="24">SUMIF($E$6:$E$21,$E29,F$6:F$21)</f>
        <v>253807.22</v>
      </c>
      <c r="G29" s="512">
        <f t="shared" si="24"/>
        <v>245822.63815510788</v>
      </c>
      <c r="H29" s="368">
        <f t="shared" si="13"/>
        <v>-7984.58184489212</v>
      </c>
      <c r="I29" s="513">
        <f t="shared" ref="I27:I32" si="25">IFERROR($F29/G29,0)</f>
        <v>1.0324810680774406</v>
      </c>
      <c r="J29" s="512">
        <f t="shared" si="24"/>
        <v>293607.14308134664</v>
      </c>
      <c r="K29" s="513">
        <f t="shared" ref="K28:K32" si="26">IFERROR($F29/J29,0)</f>
        <v>0.86444497683654886</v>
      </c>
      <c r="L29" s="512">
        <f t="shared" si="24"/>
        <v>46660.800000000003</v>
      </c>
      <c r="M29" s="513">
        <f t="shared" ref="M27:M32" si="27">IFERROR($F29/L29,0)</f>
        <v>5.4394099543942662</v>
      </c>
      <c r="O29" s="509">
        <f t="shared" ref="O28:U31" si="28">SUMIF($E$6:$E$21,$E29,O$6:O$21)</f>
        <v>1627012.4993729999</v>
      </c>
      <c r="P29" s="512">
        <f>SUMIF($E$6:$E$21,$E29,P$6:P$21)</f>
        <v>1721845.2303184844</v>
      </c>
      <c r="Q29" s="368">
        <f t="shared" si="14"/>
        <v>94832.73094548448</v>
      </c>
      <c r="R29" s="513">
        <f t="shared" ref="R27:R32" si="29">IFERROR($O29/P29,0)</f>
        <v>0.94492377754071222</v>
      </c>
      <c r="S29" s="512">
        <f>SUMIF($E$6:$E$21,$E29,S$6:S$21)</f>
        <v>2058852.7496288689</v>
      </c>
      <c r="T29" s="513">
        <f t="shared" ref="T27:T32" si="30">IFERROR($O29/S29,0)</f>
        <v>0.79025199818990799</v>
      </c>
      <c r="U29" s="512">
        <f>SUMIF($E$6:$E$21,$E29,U$6:U$21)</f>
        <v>309360.17874599999</v>
      </c>
      <c r="V29" s="513">
        <f t="shared" ref="V27:V32" si="31">IFERROR($O29/U29,0)</f>
        <v>5.259282257878632</v>
      </c>
      <c r="X29" s="512">
        <f t="shared" ref="X28:AB31" si="32">SUMIF($E$6:$E$21,$E29,X$6:X$21)</f>
        <v>1627012.4993729999</v>
      </c>
      <c r="Y29" s="512">
        <f t="shared" si="32"/>
        <v>2842507.5578480316</v>
      </c>
      <c r="Z29" s="368">
        <f t="shared" si="15"/>
        <v>1215495.0584750318</v>
      </c>
      <c r="AA29" s="513">
        <f t="shared" si="0"/>
        <v>0.57238634067335858</v>
      </c>
      <c r="AB29" s="512">
        <f t="shared" si="32"/>
        <v>3356146.4302707589</v>
      </c>
      <c r="AC29" s="513">
        <f t="shared" si="1"/>
        <v>0.48478590942819494</v>
      </c>
      <c r="AD29" s="513">
        <f t="shared" si="2"/>
        <v>0.84695576218309132</v>
      </c>
      <c r="AF29" s="499"/>
    </row>
    <row r="30" spans="3:32" s="596" customFormat="1">
      <c r="D30" s="473" t="s">
        <v>147</v>
      </c>
      <c r="E30" s="474" t="s">
        <v>74</v>
      </c>
      <c r="F30" s="510">
        <f t="shared" si="24"/>
        <v>42436.31</v>
      </c>
      <c r="G30" s="514">
        <f t="shared" si="24"/>
        <v>17919.165071293719</v>
      </c>
      <c r="H30" s="608">
        <f t="shared" si="13"/>
        <v>-24517.144928706279</v>
      </c>
      <c r="I30" s="515">
        <f t="shared" si="25"/>
        <v>2.3682079958056996</v>
      </c>
      <c r="J30" s="514">
        <f t="shared" si="24"/>
        <v>18259.895464254208</v>
      </c>
      <c r="K30" s="515">
        <f t="shared" si="26"/>
        <v>2.3240171381634593</v>
      </c>
      <c r="L30" s="514">
        <f t="shared" si="24"/>
        <v>18531.59</v>
      </c>
      <c r="M30" s="515">
        <f t="shared" si="27"/>
        <v>2.2899443598741391</v>
      </c>
      <c r="O30" s="510">
        <f t="shared" si="28"/>
        <v>501472.61512199999</v>
      </c>
      <c r="P30" s="514">
        <f t="shared" si="28"/>
        <v>126377.64853087309</v>
      </c>
      <c r="Q30" s="608">
        <f t="shared" si="14"/>
        <v>-375094.96659112687</v>
      </c>
      <c r="R30" s="515">
        <f t="shared" si="29"/>
        <v>3.9680483135393523</v>
      </c>
      <c r="S30" s="514">
        <f t="shared" si="28"/>
        <v>128780.7016683393</v>
      </c>
      <c r="T30" s="515">
        <f t="shared" si="30"/>
        <v>3.8940043704179232</v>
      </c>
      <c r="U30" s="514">
        <f t="shared" si="28"/>
        <v>81608.712171000006</v>
      </c>
      <c r="V30" s="515">
        <f t="shared" si="31"/>
        <v>6.1448416692476657</v>
      </c>
      <c r="X30" s="514">
        <f t="shared" si="32"/>
        <v>501472.61512199999</v>
      </c>
      <c r="Y30" s="514">
        <f t="shared" si="32"/>
        <v>209251.41406201432</v>
      </c>
      <c r="Z30" s="608">
        <f t="shared" si="15"/>
        <v>-292221.20105998567</v>
      </c>
      <c r="AA30" s="515">
        <f t="shared" si="0"/>
        <v>2.3965076526239493</v>
      </c>
      <c r="AB30" s="514">
        <f t="shared" si="32"/>
        <v>209251.41406201434</v>
      </c>
      <c r="AC30" s="515">
        <f t="shared" si="1"/>
        <v>2.3965076526239488</v>
      </c>
      <c r="AD30" s="515">
        <f t="shared" si="2"/>
        <v>0.99999999999999989</v>
      </c>
      <c r="AF30" s="499"/>
    </row>
    <row r="31" spans="3:32" s="596" customFormat="1" hidden="1">
      <c r="D31" s="471"/>
      <c r="E31" s="472"/>
      <c r="F31" s="509"/>
      <c r="G31" s="512"/>
      <c r="H31" s="368"/>
      <c r="I31" s="513"/>
      <c r="J31" s="512"/>
      <c r="K31" s="513"/>
      <c r="L31" s="512"/>
      <c r="M31" s="513"/>
      <c r="O31" s="509"/>
      <c r="P31" s="512"/>
      <c r="Q31" s="368"/>
      <c r="R31" s="513"/>
      <c r="S31" s="512"/>
      <c r="T31" s="513"/>
      <c r="U31" s="512"/>
      <c r="V31" s="513"/>
      <c r="X31" s="512"/>
      <c r="Y31" s="512"/>
      <c r="Z31" s="368"/>
      <c r="AA31" s="513"/>
      <c r="AB31" s="512"/>
      <c r="AC31" s="513"/>
      <c r="AD31" s="513"/>
      <c r="AF31" s="499"/>
    </row>
    <row r="32" spans="3:32" s="596" customFormat="1" hidden="1">
      <c r="D32" s="473"/>
      <c r="E32" s="474"/>
      <c r="F32" s="510"/>
      <c r="G32" s="514"/>
      <c r="H32" s="608"/>
      <c r="I32" s="515"/>
      <c r="J32" s="514"/>
      <c r="K32" s="515"/>
      <c r="L32" s="514"/>
      <c r="M32" s="515"/>
      <c r="O32" s="510"/>
      <c r="P32" s="514"/>
      <c r="Q32" s="608"/>
      <c r="R32" s="515"/>
      <c r="S32" s="514"/>
      <c r="T32" s="515"/>
      <c r="U32" s="514"/>
      <c r="V32" s="515"/>
      <c r="X32" s="514"/>
      <c r="Y32" s="514"/>
      <c r="Z32" s="608"/>
      <c r="AA32" s="515"/>
      <c r="AB32" s="514"/>
      <c r="AC32" s="515"/>
      <c r="AD32" s="515"/>
      <c r="AF32" s="499"/>
    </row>
    <row r="33" spans="1:32">
      <c r="D33" s="493"/>
      <c r="E33" s="494"/>
      <c r="AF33" s="499"/>
    </row>
    <row r="34" spans="1:32" ht="2.5499999999999998" customHeight="1">
      <c r="A34" s="496"/>
      <c r="B34" s="496"/>
      <c r="C34" s="496"/>
      <c r="D34" s="497"/>
      <c r="E34" s="498"/>
      <c r="F34" s="499"/>
      <c r="G34" s="499"/>
      <c r="H34" s="499"/>
      <c r="I34" s="499"/>
      <c r="J34" s="499"/>
      <c r="K34" s="499"/>
      <c r="L34" s="499"/>
      <c r="M34" s="499"/>
      <c r="N34" s="496"/>
      <c r="O34" s="499"/>
      <c r="P34" s="499"/>
      <c r="Q34" s="499"/>
      <c r="R34" s="499"/>
      <c r="S34" s="499"/>
      <c r="T34" s="499"/>
      <c r="U34" s="499"/>
      <c r="V34" s="499"/>
      <c r="W34" s="496"/>
      <c r="X34" s="499"/>
      <c r="Y34" s="499"/>
      <c r="Z34" s="499"/>
      <c r="AA34" s="499"/>
      <c r="AB34" s="499"/>
      <c r="AC34" s="499"/>
      <c r="AD34" s="499"/>
      <c r="AE34" s="499"/>
      <c r="AF34" s="499"/>
    </row>
    <row r="35" spans="1:32" hidden="1">
      <c r="C35" s="357"/>
      <c r="AF35" s="499"/>
    </row>
    <row r="36" spans="1:32" hidden="1">
      <c r="D36" s="536"/>
      <c r="E36" s="562"/>
      <c r="F36" s="553"/>
      <c r="G36" s="563"/>
      <c r="H36" s="606"/>
      <c r="I36" s="564"/>
      <c r="J36" s="563"/>
      <c r="K36" s="564"/>
      <c r="L36" s="563"/>
      <c r="M36" s="564"/>
      <c r="O36" s="553"/>
      <c r="P36" s="563"/>
      <c r="Q36" s="606"/>
      <c r="R36" s="564"/>
      <c r="S36" s="563"/>
      <c r="T36" s="564"/>
      <c r="U36" s="563"/>
      <c r="V36" s="564"/>
      <c r="X36" s="563"/>
      <c r="Y36" s="563"/>
      <c r="Z36" s="606"/>
      <c r="AA36" s="564"/>
      <c r="AB36" s="563"/>
      <c r="AC36" s="564"/>
      <c r="AD36" s="569"/>
      <c r="AF36" s="499"/>
    </row>
    <row r="37" spans="1:32" hidden="1">
      <c r="D37" s="538"/>
      <c r="E37" s="472"/>
      <c r="F37" s="556"/>
      <c r="G37" s="558"/>
      <c r="H37" s="368"/>
      <c r="I37" s="559"/>
      <c r="J37" s="558"/>
      <c r="K37" s="559"/>
      <c r="L37" s="558"/>
      <c r="M37" s="559"/>
      <c r="O37" s="556"/>
      <c r="P37" s="558"/>
      <c r="Q37" s="368"/>
      <c r="R37" s="559"/>
      <c r="S37" s="558"/>
      <c r="T37" s="559"/>
      <c r="U37" s="558"/>
      <c r="V37" s="559"/>
      <c r="X37" s="558"/>
      <c r="Y37" s="558"/>
      <c r="Z37" s="368"/>
      <c r="AA37" s="559"/>
      <c r="AB37" s="558"/>
      <c r="AC37" s="559"/>
      <c r="AD37" s="567"/>
      <c r="AF37" s="499"/>
    </row>
    <row r="38" spans="1:32" hidden="1">
      <c r="D38" s="538"/>
      <c r="E38" s="472"/>
      <c r="F38" s="556"/>
      <c r="G38" s="558"/>
      <c r="H38" s="368"/>
      <c r="I38" s="559"/>
      <c r="J38" s="558"/>
      <c r="K38" s="559"/>
      <c r="L38" s="558"/>
      <c r="M38" s="559"/>
      <c r="O38" s="556"/>
      <c r="P38" s="558"/>
      <c r="Q38" s="368"/>
      <c r="R38" s="559"/>
      <c r="S38" s="558"/>
      <c r="T38" s="559"/>
      <c r="U38" s="558"/>
      <c r="V38" s="559"/>
      <c r="X38" s="558"/>
      <c r="Y38" s="558"/>
      <c r="Z38" s="368"/>
      <c r="AA38" s="559"/>
      <c r="AB38" s="558"/>
      <c r="AC38" s="559"/>
      <c r="AD38" s="567"/>
      <c r="AF38" s="499"/>
    </row>
    <row r="39" spans="1:32" hidden="1">
      <c r="D39" s="538"/>
      <c r="E39" s="472"/>
      <c r="F39" s="556"/>
      <c r="G39" s="558"/>
      <c r="H39" s="368"/>
      <c r="I39" s="559"/>
      <c r="J39" s="558"/>
      <c r="K39" s="559"/>
      <c r="L39" s="558"/>
      <c r="M39" s="559"/>
      <c r="O39" s="556"/>
      <c r="P39" s="558"/>
      <c r="Q39" s="368"/>
      <c r="R39" s="559"/>
      <c r="S39" s="558"/>
      <c r="T39" s="559"/>
      <c r="U39" s="558"/>
      <c r="V39" s="559"/>
      <c r="X39" s="558"/>
      <c r="Y39" s="558"/>
      <c r="Z39" s="368"/>
      <c r="AA39" s="559"/>
      <c r="AB39" s="558"/>
      <c r="AC39" s="559"/>
      <c r="AD39" s="567"/>
      <c r="AF39" s="499"/>
    </row>
    <row r="40" spans="1:32" hidden="1">
      <c r="D40" s="540"/>
      <c r="E40" s="565"/>
      <c r="F40" s="557"/>
      <c r="G40" s="560"/>
      <c r="H40" s="607"/>
      <c r="I40" s="561"/>
      <c r="J40" s="560"/>
      <c r="K40" s="561"/>
      <c r="L40" s="560"/>
      <c r="M40" s="561"/>
      <c r="O40" s="557"/>
      <c r="P40" s="560"/>
      <c r="Q40" s="607"/>
      <c r="R40" s="561"/>
      <c r="S40" s="560"/>
      <c r="T40" s="561"/>
      <c r="U40" s="560"/>
      <c r="V40" s="561"/>
      <c r="X40" s="560"/>
      <c r="Y40" s="560"/>
      <c r="Z40" s="607"/>
      <c r="AA40" s="561"/>
      <c r="AB40" s="560"/>
      <c r="AC40" s="561"/>
      <c r="AD40" s="568"/>
      <c r="AF40" s="499"/>
    </row>
    <row r="41" spans="1:32" hidden="1">
      <c r="AF41" s="499"/>
    </row>
    <row r="42" spans="1:32" hidden="1">
      <c r="D42" s="536"/>
      <c r="E42" s="562"/>
      <c r="F42" s="553"/>
      <c r="G42" s="563"/>
      <c r="H42" s="606"/>
      <c r="I42" s="564"/>
      <c r="J42" s="563"/>
      <c r="K42" s="564"/>
      <c r="L42" s="563"/>
      <c r="M42" s="564"/>
      <c r="O42" s="553"/>
      <c r="P42" s="563"/>
      <c r="Q42" s="606"/>
      <c r="R42" s="564"/>
      <c r="S42" s="563"/>
      <c r="T42" s="564"/>
      <c r="U42" s="563"/>
      <c r="V42" s="564"/>
      <c r="X42" s="563"/>
      <c r="Y42" s="563"/>
      <c r="Z42" s="606"/>
      <c r="AA42" s="564"/>
      <c r="AB42" s="563"/>
      <c r="AC42" s="564"/>
      <c r="AD42" s="564"/>
      <c r="AF42" s="499"/>
    </row>
    <row r="43" spans="1:32" hidden="1">
      <c r="C43" s="468"/>
      <c r="D43" s="540"/>
      <c r="E43" s="565"/>
      <c r="F43" s="557"/>
      <c r="G43" s="560"/>
      <c r="H43" s="607"/>
      <c r="I43" s="561"/>
      <c r="J43" s="560"/>
      <c r="K43" s="561"/>
      <c r="L43" s="560"/>
      <c r="M43" s="561"/>
      <c r="O43" s="557"/>
      <c r="P43" s="560"/>
      <c r="Q43" s="607"/>
      <c r="R43" s="561"/>
      <c r="S43" s="560"/>
      <c r="T43" s="561"/>
      <c r="U43" s="560"/>
      <c r="V43" s="561"/>
      <c r="X43" s="560"/>
      <c r="Y43" s="560"/>
      <c r="Z43" s="607"/>
      <c r="AA43" s="561"/>
      <c r="AB43" s="560"/>
      <c r="AC43" s="561"/>
      <c r="AD43" s="561"/>
      <c r="AF43" s="499"/>
    </row>
    <row r="44" spans="1:32" hidden="1">
      <c r="AF44" s="499"/>
    </row>
    <row r="45" spans="1:32" hidden="1">
      <c r="D45" s="536"/>
      <c r="E45" s="562"/>
      <c r="F45" s="553"/>
      <c r="G45" s="563"/>
      <c r="H45" s="606"/>
      <c r="I45" s="564"/>
      <c r="J45" s="563"/>
      <c r="K45" s="564"/>
      <c r="L45" s="563"/>
      <c r="M45" s="564"/>
      <c r="O45" s="553"/>
      <c r="P45" s="563"/>
      <c r="Q45" s="606"/>
      <c r="R45" s="564"/>
      <c r="S45" s="563"/>
      <c r="T45" s="564"/>
      <c r="U45" s="563"/>
      <c r="V45" s="564"/>
      <c r="X45" s="563"/>
      <c r="Y45" s="563"/>
      <c r="Z45" s="606"/>
      <c r="AA45" s="564"/>
      <c r="AB45" s="563"/>
      <c r="AC45" s="564"/>
      <c r="AD45" s="569"/>
      <c r="AF45" s="499"/>
    </row>
    <row r="46" spans="1:32" hidden="1">
      <c r="D46" s="538"/>
      <c r="E46" s="472"/>
      <c r="F46" s="556"/>
      <c r="G46" s="558"/>
      <c r="H46" s="368"/>
      <c r="I46" s="559"/>
      <c r="J46" s="558"/>
      <c r="K46" s="559"/>
      <c r="L46" s="558"/>
      <c r="M46" s="559"/>
      <c r="O46" s="556"/>
      <c r="P46" s="558"/>
      <c r="Q46" s="368"/>
      <c r="R46" s="559"/>
      <c r="S46" s="558"/>
      <c r="T46" s="559"/>
      <c r="U46" s="558"/>
      <c r="V46" s="559"/>
      <c r="X46" s="558"/>
      <c r="Y46" s="558"/>
      <c r="Z46" s="368"/>
      <c r="AA46" s="559"/>
      <c r="AB46" s="558"/>
      <c r="AC46" s="559"/>
      <c r="AD46" s="567"/>
      <c r="AF46" s="499"/>
    </row>
    <row r="47" spans="1:32" hidden="1">
      <c r="D47" s="538"/>
      <c r="E47" s="472"/>
      <c r="F47" s="556"/>
      <c r="G47" s="558"/>
      <c r="H47" s="368"/>
      <c r="I47" s="559"/>
      <c r="J47" s="558"/>
      <c r="K47" s="559"/>
      <c r="L47" s="558"/>
      <c r="M47" s="559"/>
      <c r="O47" s="556"/>
      <c r="P47" s="558"/>
      <c r="Q47" s="368"/>
      <c r="R47" s="559"/>
      <c r="S47" s="558"/>
      <c r="T47" s="559"/>
      <c r="U47" s="558"/>
      <c r="V47" s="559"/>
      <c r="X47" s="558"/>
      <c r="Y47" s="558"/>
      <c r="Z47" s="368"/>
      <c r="AA47" s="559"/>
      <c r="AB47" s="558"/>
      <c r="AC47" s="559"/>
      <c r="AD47" s="567"/>
      <c r="AF47" s="499"/>
    </row>
    <row r="48" spans="1:32" hidden="1">
      <c r="D48" s="538"/>
      <c r="E48" s="472"/>
      <c r="F48" s="556"/>
      <c r="G48" s="558"/>
      <c r="H48" s="368"/>
      <c r="I48" s="559"/>
      <c r="J48" s="558"/>
      <c r="K48" s="559"/>
      <c r="L48" s="558"/>
      <c r="M48" s="559"/>
      <c r="O48" s="556"/>
      <c r="P48" s="558"/>
      <c r="Q48" s="368"/>
      <c r="R48" s="559"/>
      <c r="S48" s="558"/>
      <c r="T48" s="559"/>
      <c r="U48" s="558"/>
      <c r="V48" s="559"/>
      <c r="X48" s="558"/>
      <c r="Y48" s="558"/>
      <c r="Z48" s="368"/>
      <c r="AA48" s="559"/>
      <c r="AB48" s="558"/>
      <c r="AC48" s="559"/>
      <c r="AD48" s="567"/>
      <c r="AF48" s="499"/>
    </row>
    <row r="49" spans="1:32" hidden="1">
      <c r="D49" s="540"/>
      <c r="E49" s="565"/>
      <c r="F49" s="557"/>
      <c r="G49" s="560"/>
      <c r="H49" s="607"/>
      <c r="I49" s="561"/>
      <c r="J49" s="560"/>
      <c r="K49" s="561"/>
      <c r="L49" s="560"/>
      <c r="M49" s="561"/>
      <c r="O49" s="557"/>
      <c r="P49" s="560"/>
      <c r="Q49" s="607"/>
      <c r="R49" s="561"/>
      <c r="S49" s="560"/>
      <c r="T49" s="561"/>
      <c r="U49" s="560"/>
      <c r="V49" s="561"/>
      <c r="X49" s="560"/>
      <c r="Y49" s="560"/>
      <c r="Z49" s="607"/>
      <c r="AA49" s="561"/>
      <c r="AB49" s="560"/>
      <c r="AC49" s="561"/>
      <c r="AD49" s="568"/>
      <c r="AF49" s="499"/>
    </row>
    <row r="50" spans="1:32" hidden="1">
      <c r="AF50" s="499"/>
    </row>
    <row r="51" spans="1:32" hidden="1">
      <c r="D51" s="536"/>
      <c r="E51" s="562"/>
      <c r="F51" s="553"/>
      <c r="G51" s="563"/>
      <c r="H51" s="606"/>
      <c r="I51" s="564"/>
      <c r="J51" s="563"/>
      <c r="K51" s="564"/>
      <c r="L51" s="563"/>
      <c r="M51" s="564"/>
      <c r="O51" s="553"/>
      <c r="P51" s="563"/>
      <c r="Q51" s="606"/>
      <c r="R51" s="564"/>
      <c r="S51" s="563"/>
      <c r="T51" s="564"/>
      <c r="U51" s="563"/>
      <c r="V51" s="564"/>
      <c r="X51" s="563"/>
      <c r="Y51" s="563"/>
      <c r="Z51" s="606"/>
      <c r="AA51" s="564"/>
      <c r="AB51" s="563"/>
      <c r="AC51" s="564"/>
      <c r="AD51" s="564"/>
      <c r="AF51" s="499"/>
    </row>
    <row r="52" spans="1:32" hidden="1">
      <c r="C52" s="468"/>
      <c r="D52" s="540"/>
      <c r="E52" s="565"/>
      <c r="F52" s="557"/>
      <c r="G52" s="560"/>
      <c r="H52" s="607"/>
      <c r="I52" s="561"/>
      <c r="J52" s="560"/>
      <c r="K52" s="561"/>
      <c r="L52" s="560"/>
      <c r="M52" s="561"/>
      <c r="O52" s="557"/>
      <c r="P52" s="560"/>
      <c r="Q52" s="607"/>
      <c r="R52" s="561"/>
      <c r="S52" s="560"/>
      <c r="T52" s="561"/>
      <c r="U52" s="560"/>
      <c r="V52" s="561"/>
      <c r="X52" s="560"/>
      <c r="Y52" s="560"/>
      <c r="Z52" s="607"/>
      <c r="AA52" s="561"/>
      <c r="AB52" s="560"/>
      <c r="AC52" s="561"/>
      <c r="AD52" s="561"/>
      <c r="AF52" s="499"/>
    </row>
    <row r="53" spans="1:32" hidden="1">
      <c r="AF53" s="499"/>
    </row>
    <row r="54" spans="1:32" hidden="1">
      <c r="D54" s="469"/>
      <c r="E54" s="470"/>
      <c r="F54" s="511"/>
      <c r="G54" s="511"/>
      <c r="H54" s="511"/>
      <c r="I54" s="516"/>
      <c r="J54" s="511"/>
      <c r="K54" s="516"/>
      <c r="L54" s="511"/>
      <c r="M54" s="516"/>
      <c r="O54" s="511"/>
      <c r="P54" s="511"/>
      <c r="Q54" s="511"/>
      <c r="R54" s="516"/>
      <c r="S54" s="511"/>
      <c r="T54" s="516"/>
      <c r="U54" s="511"/>
      <c r="V54" s="516"/>
      <c r="X54" s="511"/>
      <c r="Y54" s="511"/>
      <c r="Z54" s="511"/>
      <c r="AA54" s="516"/>
      <c r="AB54" s="511"/>
      <c r="AC54" s="516"/>
      <c r="AD54" s="516"/>
      <c r="AF54" s="499"/>
    </row>
    <row r="55" spans="1:32" hidden="1">
      <c r="D55" s="471"/>
      <c r="E55" s="472"/>
      <c r="F55" s="509"/>
      <c r="G55" s="512"/>
      <c r="H55" s="368"/>
      <c r="I55" s="513"/>
      <c r="J55" s="512"/>
      <c r="K55" s="513"/>
      <c r="L55" s="512"/>
      <c r="M55" s="513"/>
      <c r="O55" s="509"/>
      <c r="P55" s="512"/>
      <c r="Q55" s="368"/>
      <c r="R55" s="513"/>
      <c r="S55" s="512"/>
      <c r="T55" s="513"/>
      <c r="U55" s="512"/>
      <c r="V55" s="513"/>
      <c r="X55" s="512"/>
      <c r="Y55" s="512"/>
      <c r="Z55" s="368"/>
      <c r="AA55" s="513"/>
      <c r="AB55" s="512"/>
      <c r="AC55" s="513"/>
      <c r="AD55" s="513"/>
      <c r="AF55" s="499"/>
    </row>
    <row r="56" spans="1:32" hidden="1">
      <c r="D56" s="471"/>
      <c r="E56" s="472"/>
      <c r="F56" s="509"/>
      <c r="G56" s="512"/>
      <c r="H56" s="368"/>
      <c r="I56" s="513"/>
      <c r="J56" s="512"/>
      <c r="K56" s="513"/>
      <c r="L56" s="512"/>
      <c r="M56" s="513"/>
      <c r="O56" s="509"/>
      <c r="P56" s="512"/>
      <c r="Q56" s="368"/>
      <c r="R56" s="513"/>
      <c r="S56" s="512"/>
      <c r="T56" s="513"/>
      <c r="U56" s="512"/>
      <c r="V56" s="513"/>
      <c r="X56" s="512"/>
      <c r="Y56" s="512"/>
      <c r="Z56" s="368"/>
      <c r="AA56" s="513"/>
      <c r="AB56" s="512"/>
      <c r="AC56" s="513"/>
      <c r="AD56" s="513"/>
      <c r="AF56" s="499"/>
    </row>
    <row r="57" spans="1:32" hidden="1">
      <c r="D57" s="471"/>
      <c r="E57" s="472"/>
      <c r="F57" s="509"/>
      <c r="G57" s="512"/>
      <c r="H57" s="368"/>
      <c r="I57" s="513"/>
      <c r="J57" s="512"/>
      <c r="K57" s="513"/>
      <c r="L57" s="512"/>
      <c r="M57" s="513"/>
      <c r="O57" s="509"/>
      <c r="P57" s="512"/>
      <c r="Q57" s="368"/>
      <c r="R57" s="513"/>
      <c r="S57" s="512"/>
      <c r="T57" s="513"/>
      <c r="U57" s="512"/>
      <c r="V57" s="513"/>
      <c r="X57" s="512"/>
      <c r="Y57" s="512"/>
      <c r="Z57" s="368"/>
      <c r="AA57" s="513"/>
      <c r="AB57" s="512"/>
      <c r="AC57" s="513"/>
      <c r="AD57" s="513"/>
      <c r="AF57" s="499"/>
    </row>
    <row r="58" spans="1:32" hidden="1">
      <c r="D58" s="471"/>
      <c r="E58" s="472"/>
      <c r="F58" s="509"/>
      <c r="G58" s="512"/>
      <c r="H58" s="368"/>
      <c r="I58" s="513"/>
      <c r="J58" s="512"/>
      <c r="K58" s="513"/>
      <c r="L58" s="512"/>
      <c r="M58" s="513"/>
      <c r="O58" s="509"/>
      <c r="P58" s="512"/>
      <c r="Q58" s="368"/>
      <c r="R58" s="513"/>
      <c r="S58" s="512"/>
      <c r="T58" s="513"/>
      <c r="U58" s="512"/>
      <c r="V58" s="513"/>
      <c r="X58" s="512"/>
      <c r="Y58" s="512"/>
      <c r="Z58" s="368"/>
      <c r="AA58" s="513"/>
      <c r="AB58" s="512"/>
      <c r="AC58" s="513"/>
      <c r="AD58" s="513"/>
      <c r="AF58" s="499"/>
    </row>
    <row r="59" spans="1:32" hidden="1">
      <c r="D59" s="473"/>
      <c r="E59" s="474"/>
      <c r="F59" s="510"/>
      <c r="G59" s="514"/>
      <c r="H59" s="608"/>
      <c r="I59" s="515"/>
      <c r="J59" s="514"/>
      <c r="K59" s="515"/>
      <c r="L59" s="514"/>
      <c r="M59" s="515"/>
      <c r="O59" s="510"/>
      <c r="P59" s="514"/>
      <c r="Q59" s="608"/>
      <c r="R59" s="515"/>
      <c r="S59" s="514"/>
      <c r="T59" s="515"/>
      <c r="U59" s="514"/>
      <c r="V59" s="515"/>
      <c r="X59" s="514"/>
      <c r="Y59" s="514"/>
      <c r="Z59" s="608"/>
      <c r="AA59" s="515"/>
      <c r="AB59" s="514"/>
      <c r="AC59" s="515"/>
      <c r="AD59" s="515"/>
      <c r="AF59" s="499"/>
    </row>
    <row r="60" spans="1:32" hidden="1">
      <c r="AF60" s="499"/>
    </row>
    <row r="61" spans="1:32" ht="2.5499999999999998" hidden="1" customHeight="1">
      <c r="A61" s="496"/>
      <c r="B61" s="496"/>
      <c r="C61" s="496"/>
      <c r="D61" s="497"/>
      <c r="E61" s="498"/>
      <c r="F61" s="499"/>
      <c r="G61" s="499"/>
      <c r="H61" s="499"/>
      <c r="I61" s="499"/>
      <c r="J61" s="499"/>
      <c r="K61" s="499"/>
      <c r="L61" s="499"/>
      <c r="M61" s="499"/>
      <c r="N61" s="496"/>
      <c r="O61" s="499"/>
      <c r="P61" s="499"/>
      <c r="Q61" s="499"/>
      <c r="R61" s="499"/>
      <c r="S61" s="499"/>
      <c r="T61" s="499"/>
      <c r="U61" s="499"/>
      <c r="V61" s="499"/>
      <c r="W61" s="496"/>
      <c r="X61" s="499"/>
      <c r="Y61" s="499"/>
      <c r="Z61" s="499"/>
      <c r="AA61" s="499"/>
      <c r="AB61" s="499"/>
      <c r="AC61" s="499"/>
      <c r="AD61" s="499"/>
      <c r="AE61" s="499"/>
      <c r="AF61" s="499"/>
    </row>
    <row r="62" spans="1:32" hidden="1">
      <c r="C62" s="100"/>
      <c r="AF62" s="499"/>
    </row>
    <row r="63" spans="1:32" hidden="1">
      <c r="C63" s="100"/>
      <c r="D63" s="477"/>
      <c r="E63" s="478"/>
      <c r="F63" s="517"/>
      <c r="G63" s="517"/>
      <c r="H63" s="517"/>
      <c r="I63" s="480"/>
      <c r="J63" s="517"/>
      <c r="K63" s="480"/>
      <c r="L63" s="517"/>
      <c r="M63" s="480"/>
      <c r="O63" s="517"/>
      <c r="P63" s="517"/>
      <c r="Q63" s="517"/>
      <c r="R63" s="533"/>
      <c r="S63" s="517"/>
      <c r="T63" s="533"/>
      <c r="U63" s="517"/>
      <c r="V63" s="533"/>
      <c r="X63" s="517"/>
      <c r="Y63" s="517"/>
      <c r="Z63" s="517"/>
      <c r="AA63" s="533"/>
      <c r="AB63" s="517"/>
      <c r="AC63" s="533"/>
      <c r="AD63" s="533"/>
      <c r="AF63" s="499"/>
    </row>
    <row r="64" spans="1:32" hidden="1">
      <c r="D64" s="522"/>
      <c r="E64" s="502"/>
      <c r="F64" s="483"/>
      <c r="G64" s="518"/>
      <c r="H64" s="368"/>
      <c r="I64" s="519"/>
      <c r="J64" s="518"/>
      <c r="K64" s="519"/>
      <c r="L64" s="518"/>
      <c r="M64" s="519"/>
      <c r="O64" s="483"/>
      <c r="P64" s="518"/>
      <c r="Q64" s="368"/>
      <c r="R64" s="519"/>
      <c r="S64" s="518"/>
      <c r="T64" s="519"/>
      <c r="U64" s="518"/>
      <c r="V64" s="519"/>
      <c r="X64" s="518"/>
      <c r="Y64" s="518"/>
      <c r="Z64" s="368"/>
      <c r="AA64" s="519"/>
      <c r="AB64" s="518"/>
      <c r="AC64" s="519"/>
      <c r="AD64" s="519"/>
      <c r="AF64" s="499"/>
    </row>
    <row r="65" spans="1:32" hidden="1">
      <c r="D65" s="522"/>
      <c r="E65" s="502"/>
      <c r="F65" s="483"/>
      <c r="G65" s="518"/>
      <c r="H65" s="368"/>
      <c r="I65" s="519"/>
      <c r="J65" s="518"/>
      <c r="K65" s="519"/>
      <c r="L65" s="518"/>
      <c r="M65" s="519"/>
      <c r="O65" s="483"/>
      <c r="P65" s="518"/>
      <c r="Q65" s="368"/>
      <c r="R65" s="519"/>
      <c r="S65" s="518"/>
      <c r="T65" s="519"/>
      <c r="U65" s="518"/>
      <c r="V65" s="519"/>
      <c r="X65" s="518"/>
      <c r="Y65" s="518"/>
      <c r="Z65" s="368"/>
      <c r="AA65" s="519"/>
      <c r="AB65" s="518"/>
      <c r="AC65" s="519"/>
      <c r="AD65" s="519"/>
      <c r="AF65" s="499"/>
    </row>
    <row r="66" spans="1:32" hidden="1">
      <c r="D66" s="522"/>
      <c r="E66" s="502"/>
      <c r="F66" s="483"/>
      <c r="G66" s="518"/>
      <c r="H66" s="368"/>
      <c r="I66" s="519"/>
      <c r="J66" s="518"/>
      <c r="K66" s="519"/>
      <c r="L66" s="518"/>
      <c r="M66" s="519"/>
      <c r="O66" s="483"/>
      <c r="P66" s="518"/>
      <c r="Q66" s="368"/>
      <c r="R66" s="519"/>
      <c r="S66" s="518"/>
      <c r="T66" s="519"/>
      <c r="U66" s="518"/>
      <c r="V66" s="519"/>
      <c r="X66" s="518"/>
      <c r="Y66" s="518"/>
      <c r="Z66" s="368"/>
      <c r="AA66" s="519"/>
      <c r="AB66" s="518"/>
      <c r="AC66" s="519"/>
      <c r="AD66" s="519"/>
      <c r="AF66" s="499"/>
    </row>
    <row r="67" spans="1:32" hidden="1">
      <c r="D67" s="522"/>
      <c r="E67" s="502"/>
      <c r="F67" s="483"/>
      <c r="G67" s="518"/>
      <c r="H67" s="368"/>
      <c r="I67" s="519"/>
      <c r="J67" s="518"/>
      <c r="K67" s="519"/>
      <c r="L67" s="518"/>
      <c r="M67" s="519"/>
      <c r="O67" s="483"/>
      <c r="P67" s="518"/>
      <c r="Q67" s="368"/>
      <c r="R67" s="519"/>
      <c r="S67" s="518"/>
      <c r="T67" s="519"/>
      <c r="U67" s="518"/>
      <c r="V67" s="519"/>
      <c r="X67" s="518"/>
      <c r="Y67" s="518"/>
      <c r="Z67" s="368"/>
      <c r="AA67" s="519"/>
      <c r="AB67" s="518"/>
      <c r="AC67" s="519"/>
      <c r="AD67" s="519"/>
      <c r="AF67" s="499"/>
    </row>
    <row r="68" spans="1:32" s="596" customFormat="1" hidden="1">
      <c r="D68" s="522"/>
      <c r="E68" s="502"/>
      <c r="F68" s="483"/>
      <c r="G68" s="518"/>
      <c r="H68" s="368"/>
      <c r="I68" s="519"/>
      <c r="J68" s="518"/>
      <c r="K68" s="519"/>
      <c r="L68" s="518"/>
      <c r="M68" s="519"/>
      <c r="O68" s="483"/>
      <c r="P68" s="518"/>
      <c r="Q68" s="368"/>
      <c r="R68" s="519"/>
      <c r="S68" s="518"/>
      <c r="T68" s="519"/>
      <c r="U68" s="518"/>
      <c r="V68" s="519"/>
      <c r="X68" s="518"/>
      <c r="Y68" s="518"/>
      <c r="Z68" s="368"/>
      <c r="AA68" s="519"/>
      <c r="AB68" s="518"/>
      <c r="AC68" s="519"/>
      <c r="AD68" s="519"/>
      <c r="AF68" s="499"/>
    </row>
    <row r="69" spans="1:32" s="596" customFormat="1" hidden="1">
      <c r="D69" s="523"/>
      <c r="E69" s="503"/>
      <c r="F69" s="487"/>
      <c r="G69" s="520"/>
      <c r="H69" s="609"/>
      <c r="I69" s="521"/>
      <c r="J69" s="520"/>
      <c r="K69" s="521"/>
      <c r="L69" s="520"/>
      <c r="M69" s="521"/>
      <c r="O69" s="487"/>
      <c r="P69" s="520"/>
      <c r="Q69" s="609"/>
      <c r="R69" s="521"/>
      <c r="S69" s="520"/>
      <c r="T69" s="521"/>
      <c r="U69" s="520"/>
      <c r="V69" s="521"/>
      <c r="X69" s="520"/>
      <c r="Y69" s="520"/>
      <c r="Z69" s="609"/>
      <c r="AA69" s="521"/>
      <c r="AB69" s="520"/>
      <c r="AC69" s="521"/>
      <c r="AD69" s="521"/>
      <c r="AF69" s="499"/>
    </row>
    <row r="70" spans="1:32" hidden="1">
      <c r="AF70" s="499"/>
    </row>
    <row r="71" spans="1:32" ht="2.5499999999999998" hidden="1" customHeight="1">
      <c r="A71" s="496"/>
      <c r="B71" s="496"/>
      <c r="C71" s="496"/>
      <c r="D71" s="497"/>
      <c r="E71" s="498"/>
      <c r="F71" s="499"/>
      <c r="G71" s="499"/>
      <c r="H71" s="499"/>
      <c r="I71" s="499"/>
      <c r="J71" s="499"/>
      <c r="K71" s="499"/>
      <c r="L71" s="499"/>
      <c r="M71" s="499"/>
      <c r="N71" s="496"/>
      <c r="O71" s="499"/>
      <c r="P71" s="499"/>
      <c r="Q71" s="499"/>
      <c r="R71" s="499"/>
      <c r="S71" s="499"/>
      <c r="T71" s="499"/>
      <c r="U71" s="499"/>
      <c r="V71" s="499"/>
      <c r="W71" s="496"/>
      <c r="X71" s="499"/>
      <c r="Y71" s="499"/>
      <c r="Z71" s="499"/>
      <c r="AA71" s="499"/>
      <c r="AB71" s="499"/>
      <c r="AC71" s="499"/>
      <c r="AD71" s="499"/>
      <c r="AE71" s="499"/>
      <c r="AF71" s="499"/>
    </row>
    <row r="72" spans="1:32" hidden="1"/>
    <row r="73" spans="1:32" hidden="1">
      <c r="F73" s="618"/>
      <c r="G73" s="618"/>
      <c r="O73" s="618"/>
      <c r="P73" s="618"/>
      <c r="X73" s="618"/>
      <c r="Y73" s="618"/>
    </row>
    <row r="74" spans="1:32" hidden="1">
      <c r="F74" s="588"/>
      <c r="G74" s="588"/>
      <c r="O74" s="588"/>
      <c r="P74" s="588"/>
      <c r="R74" s="596"/>
      <c r="X74" s="588"/>
      <c r="Y74" s="588"/>
    </row>
    <row r="75" spans="1:32" hidden="1">
      <c r="D75" s="592"/>
      <c r="E75" s="470"/>
      <c r="F75" s="470"/>
      <c r="G75" s="470"/>
      <c r="H75" s="470"/>
      <c r="I75" s="470"/>
      <c r="J75" s="470"/>
      <c r="K75" s="470"/>
      <c r="L75" s="470"/>
      <c r="M75" s="470"/>
      <c r="N75" s="470"/>
      <c r="O75" s="470"/>
      <c r="P75" s="470"/>
      <c r="Q75" s="470"/>
      <c r="R75" s="470"/>
      <c r="S75" s="470"/>
      <c r="T75" s="470"/>
      <c r="U75" s="470"/>
      <c r="V75" s="470"/>
      <c r="W75" s="470"/>
      <c r="X75" s="470"/>
      <c r="Y75" s="470"/>
    </row>
    <row r="76" spans="1:32" hidden="1">
      <c r="F76" s="587"/>
      <c r="G76" s="436"/>
      <c r="H76" s="436"/>
      <c r="O76" s="587"/>
      <c r="P76" s="436"/>
      <c r="Q76" s="436"/>
      <c r="X76" s="587"/>
      <c r="Y76" s="436"/>
    </row>
    <row r="77" spans="1:32" hidden="1">
      <c r="F77" s="587"/>
      <c r="G77" s="436"/>
      <c r="H77" s="436"/>
      <c r="O77" s="587"/>
      <c r="P77" s="436"/>
      <c r="Q77" s="436"/>
      <c r="X77" s="587"/>
      <c r="Y77" s="436"/>
    </row>
    <row r="78" spans="1:32" hidden="1">
      <c r="E78" s="100"/>
      <c r="F78" s="591"/>
      <c r="G78" s="436"/>
      <c r="H78" s="436"/>
      <c r="O78" s="591"/>
      <c r="P78" s="436"/>
      <c r="Q78" s="436"/>
      <c r="X78" s="591"/>
      <c r="Y78" s="436"/>
    </row>
    <row r="79" spans="1:32" hidden="1"/>
    <row r="80" spans="1:32" hidden="1">
      <c r="D80" s="592"/>
      <c r="E80" s="470"/>
      <c r="F80" s="470"/>
      <c r="G80" s="470"/>
      <c r="H80" s="470"/>
      <c r="I80" s="470"/>
      <c r="J80" s="470"/>
      <c r="K80" s="470"/>
      <c r="L80" s="470"/>
      <c r="M80" s="470"/>
      <c r="N80" s="470"/>
      <c r="O80" s="470"/>
      <c r="P80" s="470"/>
      <c r="Q80" s="470"/>
      <c r="R80" s="470"/>
      <c r="S80" s="470"/>
      <c r="T80" s="470"/>
      <c r="U80" s="470"/>
      <c r="V80" s="470"/>
      <c r="W80" s="470"/>
      <c r="X80" s="470"/>
      <c r="Y80" s="470"/>
    </row>
    <row r="81" spans="1:25" hidden="1">
      <c r="F81" s="587"/>
      <c r="G81" s="436"/>
      <c r="H81" s="436"/>
      <c r="O81" s="587"/>
      <c r="P81" s="436"/>
      <c r="Q81" s="436"/>
      <c r="X81" s="587"/>
      <c r="Y81" s="436"/>
    </row>
    <row r="82" spans="1:25" hidden="1">
      <c r="F82" s="587"/>
      <c r="G82" s="436"/>
      <c r="H82" s="436"/>
      <c r="O82" s="587"/>
      <c r="P82" s="436"/>
      <c r="Q82" s="436"/>
      <c r="X82" s="587"/>
      <c r="Y82" s="436"/>
    </row>
    <row r="83" spans="1:25" hidden="1">
      <c r="E83" s="100"/>
      <c r="F83" s="591"/>
      <c r="G83" s="436"/>
      <c r="H83" s="436"/>
      <c r="O83" s="591"/>
      <c r="P83" s="436"/>
      <c r="Q83" s="436"/>
      <c r="X83" s="591"/>
      <c r="Y83" s="436"/>
    </row>
    <row r="84" spans="1:25" hidden="1"/>
    <row r="85" spans="1:25" hidden="1">
      <c r="D85" s="593"/>
      <c r="E85" s="594"/>
      <c r="F85" s="594"/>
      <c r="G85" s="594"/>
      <c r="H85" s="594"/>
      <c r="I85" s="594"/>
      <c r="J85" s="594"/>
      <c r="K85" s="594"/>
      <c r="L85" s="594"/>
      <c r="M85" s="594"/>
      <c r="N85" s="594"/>
      <c r="O85" s="594"/>
      <c r="P85" s="594"/>
      <c r="Q85" s="594"/>
      <c r="R85" s="594"/>
      <c r="S85" s="594"/>
      <c r="T85" s="594"/>
      <c r="U85" s="594"/>
      <c r="V85" s="594"/>
      <c r="W85" s="594"/>
      <c r="X85" s="594"/>
      <c r="Y85" s="594"/>
    </row>
    <row r="86" spans="1:25" hidden="1">
      <c r="F86" s="587"/>
      <c r="G86" s="436"/>
      <c r="H86" s="436"/>
      <c r="O86" s="587"/>
      <c r="P86" s="436"/>
      <c r="Q86" s="436"/>
      <c r="X86" s="587"/>
      <c r="Y86" s="436"/>
    </row>
    <row r="87" spans="1:25" hidden="1">
      <c r="F87" s="587"/>
      <c r="G87" s="436"/>
      <c r="H87" s="436"/>
      <c r="O87" s="587"/>
      <c r="P87" s="436"/>
      <c r="Q87" s="436"/>
      <c r="X87" s="587"/>
      <c r="Y87" s="436"/>
    </row>
    <row r="88" spans="1:25" hidden="1">
      <c r="E88" s="100"/>
      <c r="F88" s="591"/>
      <c r="G88" s="436"/>
      <c r="H88" s="436"/>
      <c r="O88" s="591"/>
      <c r="P88" s="436"/>
      <c r="Q88" s="436"/>
      <c r="X88" s="591"/>
      <c r="Y88" s="436"/>
    </row>
    <row r="89" spans="1:25" hidden="1"/>
    <row r="90" spans="1:25" hidden="1"/>
    <row r="91" spans="1:25">
      <c r="A91" s="100" t="s">
        <v>155</v>
      </c>
    </row>
    <row r="92" spans="1:25">
      <c r="A92" t="s">
        <v>152</v>
      </c>
    </row>
    <row r="93" spans="1:25">
      <c r="A93" t="s">
        <v>151</v>
      </c>
    </row>
  </sheetData>
  <mergeCells count="6">
    <mergeCell ref="F2:M2"/>
    <mergeCell ref="O2:V2"/>
    <mergeCell ref="X2:AD2"/>
    <mergeCell ref="F73:G73"/>
    <mergeCell ref="O73:P73"/>
    <mergeCell ref="X73:Y73"/>
  </mergeCells>
  <pageMargins left="0.7" right="0.7" top="0.75" bottom="0.75" header="0.3" footer="0.3"/>
  <pageSetup orientation="portrait" r:id="rId1"/>
  <ignoredErrors>
    <ignoredError sqref="J8:J9 J17 J21 I5:L5 I14:K14 I20:L20 L8:L9 R5:V5 R8:T10 U8:U10 U33:U34 AA5 AA14 L14 L21 R20:U22 AA26 I26:L26 R26:U26 O8:P10 R14:T14 U14 O14:P14 AA17 L17 R17:T17 U17 O17:P17 AA19:AA22 U19 AA29:AA30 I29:L30 R29:U30" formula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theme="5"/>
  </sheetPr>
  <dimension ref="A1:DS80"/>
  <sheetViews>
    <sheetView showGridLines="0" zoomScale="115" zoomScaleNormal="115" zoomScalePageLayoutView="115" workbookViewId="0">
      <pane xSplit="4" ySplit="2" topLeftCell="W3" activePane="bottomRight" state="frozen"/>
      <selection pane="topRight" activeCell="D1" sqref="D1"/>
      <selection pane="bottomLeft" activeCell="A5" sqref="A5"/>
      <selection pane="bottomRight" activeCell="W3" sqref="W3"/>
    </sheetView>
  </sheetViews>
  <sheetFormatPr defaultColWidth="10.44140625" defaultRowHeight="14.4" outlineLevelCol="1"/>
  <cols>
    <col min="1" max="1" width="2.77734375" customWidth="1"/>
    <col min="2" max="2" width="17" customWidth="1"/>
    <col min="3" max="3" width="20.109375" customWidth="1"/>
    <col min="4" max="4" width="12.6640625" bestFit="1" customWidth="1"/>
    <col min="5" max="17" width="13" hidden="1" customWidth="1" outlineLevel="1"/>
    <col min="18" max="18" width="1.44140625" hidden="1" customWidth="1" outlineLevel="1"/>
    <col min="19" max="22" width="11.77734375" hidden="1" customWidth="1" outlineLevel="1"/>
    <col min="23" max="23" width="9.6640625" style="468" bestFit="1" customWidth="1" collapsed="1"/>
    <col min="24" max="24" width="10.109375" style="468" customWidth="1"/>
    <col min="25" max="37" width="13.109375" hidden="1" customWidth="1" outlineLevel="1"/>
    <col min="38" max="38" width="1.44140625" hidden="1" customWidth="1" outlineLevel="1"/>
    <col min="39" max="42" width="12.109375" hidden="1" customWidth="1" outlineLevel="1"/>
    <col min="43" max="43" width="12.109375" style="468" customWidth="1" collapsed="1"/>
    <col min="44" max="44" width="6.109375" style="468" customWidth="1"/>
    <col min="45" max="57" width="12.109375" customWidth="1" outlineLevel="1"/>
    <col min="58" max="58" width="1.44140625" customWidth="1" outlineLevel="1"/>
    <col min="59" max="62" width="12.109375" customWidth="1" outlineLevel="1"/>
    <col min="63" max="63" width="10.109375" style="468" customWidth="1"/>
    <col min="64" max="64" width="10.44140625" style="468"/>
    <col min="65" max="77" width="12.44140625" hidden="1" customWidth="1" outlineLevel="1"/>
    <col min="78" max="78" width="1.44140625" hidden="1" customWidth="1" outlineLevel="1"/>
    <col min="79" max="82" width="10.77734375" hidden="1" customWidth="1" outlineLevel="1"/>
    <col min="83" max="83" width="9.77734375" style="468" bestFit="1" customWidth="1" collapsed="1"/>
    <col min="84" max="84" width="10.44140625" style="468"/>
    <col min="85" max="85" width="13.77734375" hidden="1" customWidth="1" outlineLevel="1"/>
    <col min="86" max="102" width="11.44140625" hidden="1" customWidth="1" outlineLevel="1"/>
    <col min="103" max="103" width="13.77734375" style="468" bestFit="1" customWidth="1" collapsed="1"/>
    <col min="105" max="105" width="13.77734375" hidden="1" customWidth="1" outlineLevel="1"/>
    <col min="106" max="122" width="11.44140625" hidden="1" customWidth="1" outlineLevel="1"/>
    <col min="123" max="123" width="13.77734375" style="468" bestFit="1" customWidth="1" collapsed="1"/>
  </cols>
  <sheetData>
    <row r="1" spans="2:123">
      <c r="E1" s="528" t="s">
        <v>153</v>
      </c>
      <c r="G1" s="587"/>
      <c r="W1" s="528" t="s">
        <v>153</v>
      </c>
      <c r="X1" s="437"/>
      <c r="Y1" s="528" t="s">
        <v>129</v>
      </c>
      <c r="AQ1" s="528" t="s">
        <v>129</v>
      </c>
      <c r="AR1" s="437"/>
      <c r="AS1" s="528" t="s">
        <v>11</v>
      </c>
      <c r="BK1" s="528" t="s">
        <v>11</v>
      </c>
      <c r="BM1" s="528" t="s">
        <v>130</v>
      </c>
      <c r="CE1" s="528" t="s">
        <v>130</v>
      </c>
      <c r="CG1" s="528" t="s">
        <v>154</v>
      </c>
      <c r="CY1" s="528" t="s">
        <v>154</v>
      </c>
      <c r="DA1" s="528" t="s">
        <v>139</v>
      </c>
      <c r="DS1" s="528" t="s">
        <v>139</v>
      </c>
    </row>
    <row r="2" spans="2:123">
      <c r="E2" s="543">
        <v>43101</v>
      </c>
      <c r="F2" s="543">
        <v>43132</v>
      </c>
      <c r="G2" s="543">
        <v>43160</v>
      </c>
      <c r="H2" s="543">
        <v>43191</v>
      </c>
      <c r="I2" s="543">
        <v>43221</v>
      </c>
      <c r="J2" s="543">
        <v>43252</v>
      </c>
      <c r="K2" s="543">
        <v>43282</v>
      </c>
      <c r="L2" s="543">
        <v>43313</v>
      </c>
      <c r="M2" s="543">
        <v>43344</v>
      </c>
      <c r="N2" s="543">
        <v>43374</v>
      </c>
      <c r="O2" s="543">
        <v>43405</v>
      </c>
      <c r="P2" s="543">
        <v>43435</v>
      </c>
      <c r="Q2" s="543" t="s">
        <v>0</v>
      </c>
      <c r="S2" s="543" t="s">
        <v>131</v>
      </c>
      <c r="T2" s="543" t="s">
        <v>132</v>
      </c>
      <c r="U2" s="543" t="s">
        <v>133</v>
      </c>
      <c r="V2" s="543" t="s">
        <v>134</v>
      </c>
      <c r="Y2" s="543">
        <v>43101</v>
      </c>
      <c r="Z2" s="543">
        <v>43132</v>
      </c>
      <c r="AA2" s="543">
        <v>43160</v>
      </c>
      <c r="AB2" s="543">
        <v>43191</v>
      </c>
      <c r="AC2" s="543">
        <v>43221</v>
      </c>
      <c r="AD2" s="543">
        <v>43252</v>
      </c>
      <c r="AE2" s="543">
        <v>43282</v>
      </c>
      <c r="AF2" s="543">
        <v>43313</v>
      </c>
      <c r="AG2" s="543">
        <v>43344</v>
      </c>
      <c r="AH2" s="543">
        <v>43374</v>
      </c>
      <c r="AI2" s="543">
        <v>43405</v>
      </c>
      <c r="AJ2" s="543">
        <v>43435</v>
      </c>
      <c r="AK2" s="543" t="s">
        <v>0</v>
      </c>
      <c r="AM2" s="543" t="s">
        <v>131</v>
      </c>
      <c r="AN2" s="543" t="s">
        <v>132</v>
      </c>
      <c r="AO2" s="543" t="s">
        <v>133</v>
      </c>
      <c r="AP2" s="543" t="s">
        <v>134</v>
      </c>
      <c r="AS2" s="543">
        <v>43101</v>
      </c>
      <c r="AT2" s="543">
        <v>43132</v>
      </c>
      <c r="AU2" s="543">
        <v>43160</v>
      </c>
      <c r="AV2" s="543">
        <v>43191</v>
      </c>
      <c r="AW2" s="543">
        <v>43221</v>
      </c>
      <c r="AX2" s="543">
        <v>43252</v>
      </c>
      <c r="AY2" s="543">
        <v>43282</v>
      </c>
      <c r="AZ2" s="543">
        <v>43313</v>
      </c>
      <c r="BA2" s="543">
        <v>43344</v>
      </c>
      <c r="BB2" s="543">
        <v>43374</v>
      </c>
      <c r="BC2" s="543">
        <v>43405</v>
      </c>
      <c r="BD2" s="543">
        <v>43435</v>
      </c>
      <c r="BE2" s="543" t="s">
        <v>0</v>
      </c>
      <c r="BG2" s="543" t="s">
        <v>131</v>
      </c>
      <c r="BH2" s="543" t="s">
        <v>132</v>
      </c>
      <c r="BI2" s="543" t="s">
        <v>133</v>
      </c>
      <c r="BJ2" s="543" t="s">
        <v>134</v>
      </c>
      <c r="BM2" s="543">
        <v>43101</v>
      </c>
      <c r="BN2" s="543">
        <v>43132</v>
      </c>
      <c r="BO2" s="543">
        <v>43160</v>
      </c>
      <c r="BP2" s="543">
        <v>43191</v>
      </c>
      <c r="BQ2" s="543">
        <v>43221</v>
      </c>
      <c r="BR2" s="543">
        <v>43252</v>
      </c>
      <c r="BS2" s="543">
        <v>43282</v>
      </c>
      <c r="BT2" s="543">
        <v>43313</v>
      </c>
      <c r="BU2" s="543">
        <v>43344</v>
      </c>
      <c r="BV2" s="543">
        <v>43374</v>
      </c>
      <c r="BW2" s="543">
        <v>43405</v>
      </c>
      <c r="BX2" s="543">
        <v>43435</v>
      </c>
      <c r="BY2" s="543" t="s">
        <v>0</v>
      </c>
      <c r="CA2" s="543" t="s">
        <v>131</v>
      </c>
      <c r="CB2" s="543" t="s">
        <v>132</v>
      </c>
      <c r="CC2" s="543" t="s">
        <v>133</v>
      </c>
      <c r="CD2" s="543" t="s">
        <v>134</v>
      </c>
      <c r="CG2" s="543">
        <v>43101</v>
      </c>
      <c r="CH2" s="543">
        <v>43132</v>
      </c>
      <c r="CI2" s="543">
        <v>43160</v>
      </c>
      <c r="CJ2" s="543">
        <v>43191</v>
      </c>
      <c r="CK2" s="543">
        <v>43221</v>
      </c>
      <c r="CL2" s="543">
        <v>43252</v>
      </c>
      <c r="CM2" s="543">
        <v>43282</v>
      </c>
      <c r="CN2" s="543">
        <v>43313</v>
      </c>
      <c r="CO2" s="543">
        <v>43344</v>
      </c>
      <c r="CP2" s="543">
        <v>43374</v>
      </c>
      <c r="CQ2" s="543">
        <v>43405</v>
      </c>
      <c r="CR2" s="543">
        <v>43435</v>
      </c>
      <c r="CS2" s="543" t="s">
        <v>0</v>
      </c>
      <c r="CU2" s="543" t="s">
        <v>131</v>
      </c>
      <c r="CV2" s="543" t="s">
        <v>132</v>
      </c>
      <c r="CW2" s="543" t="s">
        <v>133</v>
      </c>
      <c r="CX2" s="543" t="s">
        <v>134</v>
      </c>
      <c r="DA2" s="543">
        <v>43101</v>
      </c>
      <c r="DB2" s="543">
        <v>43132</v>
      </c>
      <c r="DC2" s="543">
        <v>43160</v>
      </c>
      <c r="DD2" s="543">
        <v>43191</v>
      </c>
      <c r="DE2" s="543">
        <v>43221</v>
      </c>
      <c r="DF2" s="543">
        <v>43252</v>
      </c>
      <c r="DG2" s="543">
        <v>43282</v>
      </c>
      <c r="DH2" s="543">
        <v>43313</v>
      </c>
      <c r="DI2" s="543">
        <v>43344</v>
      </c>
      <c r="DJ2" s="543">
        <v>43374</v>
      </c>
      <c r="DK2" s="543">
        <v>43405</v>
      </c>
      <c r="DL2" s="543">
        <v>43435</v>
      </c>
      <c r="DM2" s="543" t="s">
        <v>0</v>
      </c>
      <c r="DO2" s="543" t="s">
        <v>131</v>
      </c>
      <c r="DP2" s="543" t="s">
        <v>132</v>
      </c>
      <c r="DQ2" s="543" t="s">
        <v>133</v>
      </c>
      <c r="DR2" s="543" t="s">
        <v>134</v>
      </c>
    </row>
    <row r="3" spans="2:123">
      <c r="B3" s="355" t="s">
        <v>128</v>
      </c>
      <c r="C3" s="536" t="s">
        <v>135</v>
      </c>
      <c r="D3" s="537"/>
      <c r="E3" s="553">
        <f>SUBTOTAL(9,E4:E7)</f>
        <v>132087.86517872504</v>
      </c>
      <c r="F3" s="553">
        <f t="shared" ref="F3:G3" si="0">SUBTOTAL(9,F4:F7)</f>
        <v>117889.55269470977</v>
      </c>
      <c r="G3" s="553">
        <f t="shared" si="0"/>
        <v>145499.9900912302</v>
      </c>
      <c r="H3" s="553">
        <f>SUBTOTAL(9,H4:H7)</f>
        <v>152775.16556931601</v>
      </c>
      <c r="I3" s="553">
        <f t="shared" ref="I3:J3" si="1">SUBTOTAL(9,I4:I7)</f>
        <v>165512.49977376132</v>
      </c>
      <c r="J3" s="553">
        <f t="shared" si="1"/>
        <v>162432.71618750572</v>
      </c>
      <c r="K3" s="553">
        <f>SUBTOTAL(9,K4:K7)</f>
        <v>175374.51575425616</v>
      </c>
      <c r="L3" s="553">
        <f t="shared" ref="L3:M3" si="2">SUBTOTAL(9,L4:L7)</f>
        <v>173737.42579748784</v>
      </c>
      <c r="M3" s="553">
        <f t="shared" si="2"/>
        <v>183302.8123550149</v>
      </c>
      <c r="N3" s="553">
        <f>SUBTOTAL(9,N4:N7)</f>
        <v>196681.67723133019</v>
      </c>
      <c r="O3" s="553">
        <f t="shared" ref="O3:Q3" si="3">SUBTOTAL(9,O4:O7)</f>
        <v>200726.85249121307</v>
      </c>
      <c r="P3" s="553">
        <f t="shared" si="3"/>
        <v>222801.24526898691</v>
      </c>
      <c r="Q3" s="553">
        <f t="shared" si="3"/>
        <v>2028822.3183935368</v>
      </c>
      <c r="S3" s="545">
        <f t="shared" ref="S3:V3" si="4">SUBTOTAL(9,S4:S7)</f>
        <v>395477.40796466504</v>
      </c>
      <c r="T3" s="545">
        <f t="shared" si="4"/>
        <v>480720.38153058308</v>
      </c>
      <c r="U3" s="545">
        <f t="shared" si="4"/>
        <v>532414.75390675897</v>
      </c>
      <c r="V3" s="545">
        <f t="shared" si="4"/>
        <v>620209.77499153011</v>
      </c>
      <c r="Y3" s="553">
        <f>SUBTOTAL(9,Y4:Y7)</f>
        <v>168676.17978830374</v>
      </c>
      <c r="Z3" s="553">
        <f t="shared" ref="Z3:AA3" si="5">SUBTOTAL(9,Z4:Z7)</f>
        <v>150544.93733083975</v>
      </c>
      <c r="AA3" s="553">
        <f t="shared" si="5"/>
        <v>185803.46086006478</v>
      </c>
      <c r="AB3" s="553">
        <f>SUBTOTAL(9,AB4:AB7)</f>
        <v>195093.85862122654</v>
      </c>
      <c r="AC3" s="553">
        <f t="shared" ref="AC3:AD3" si="6">SUBTOTAL(9,AC4:AC7)</f>
        <v>211359.43208163226</v>
      </c>
      <c r="AD3" s="553">
        <f t="shared" si="6"/>
        <v>207426.54900261966</v>
      </c>
      <c r="AE3" s="553">
        <f>SUBTOTAL(9,AE4:AE7)</f>
        <v>223953.22469346874</v>
      </c>
      <c r="AF3" s="553">
        <f t="shared" ref="AF3:AG3" si="7">SUBTOTAL(9,AF4:AF7)</f>
        <v>221862.66111668717</v>
      </c>
      <c r="AG3" s="553">
        <f t="shared" si="7"/>
        <v>234077.65800939139</v>
      </c>
      <c r="AH3" s="553">
        <f>SUBTOTAL(9,AH4:AH7)</f>
        <v>251162.46602099258</v>
      </c>
      <c r="AI3" s="553">
        <f t="shared" ref="AI3:AK3" si="8">SUBTOTAL(9,AI4:AI7)</f>
        <v>239720.74276886345</v>
      </c>
      <c r="AJ3" s="553">
        <f t="shared" si="8"/>
        <v>252780.02052217451</v>
      </c>
      <c r="AK3" s="553">
        <f t="shared" si="8"/>
        <v>2542461.1908162641</v>
      </c>
      <c r="AM3" s="545">
        <f t="shared" ref="AM3:AP3" si="9">SUBTOTAL(9,AM4:AM7)</f>
        <v>505024.57797920826</v>
      </c>
      <c r="AN3" s="545">
        <f t="shared" si="9"/>
        <v>613879.83970547852</v>
      </c>
      <c r="AO3" s="545">
        <f t="shared" si="9"/>
        <v>679893.54381954728</v>
      </c>
      <c r="AP3" s="545">
        <f t="shared" si="9"/>
        <v>743663.22931203048</v>
      </c>
      <c r="AS3" s="553">
        <f>SUBTOTAL(9,AS4:AS7)-17531.19</f>
        <v>144173.58447999999</v>
      </c>
      <c r="AT3" s="553">
        <f t="shared" ref="AT3:AU3" si="10">SUBTOTAL(9,AT4:AT7)</f>
        <v>132341.36360700001</v>
      </c>
      <c r="AU3" s="553">
        <f t="shared" si="10"/>
        <v>203483.48640799994</v>
      </c>
      <c r="AV3" s="553">
        <f>SUBTOTAL(9,AV4:AV7)</f>
        <v>288668.10000000003</v>
      </c>
      <c r="AW3" s="553">
        <f t="shared" ref="AW3:AX3" si="11">SUBTOTAL(9,AW4:AW7)</f>
        <v>383417.59</v>
      </c>
      <c r="AX3" s="553">
        <f t="shared" si="11"/>
        <v>282026.40999999997</v>
      </c>
      <c r="AY3" s="553">
        <f>SUBTOTAL(9,AY4:AY7)</f>
        <v>243400.03</v>
      </c>
      <c r="AZ3" s="553">
        <f t="shared" ref="AZ3:BA3" si="12">SUBTOTAL(9,AZ4:AZ7)</f>
        <v>274058.15000000002</v>
      </c>
      <c r="BA3" s="553">
        <f t="shared" si="12"/>
        <v>0</v>
      </c>
      <c r="BB3" s="553">
        <f>SUBTOTAL(9,BB4:BB7)</f>
        <v>0</v>
      </c>
      <c r="BC3" s="553">
        <f t="shared" ref="BC3:BE3" si="13">SUBTOTAL(9,BC4:BC7)</f>
        <v>0</v>
      </c>
      <c r="BD3" s="553">
        <f t="shared" si="13"/>
        <v>0</v>
      </c>
      <c r="BE3" s="553">
        <f t="shared" si="13"/>
        <v>1969099.9044949999</v>
      </c>
      <c r="BG3" s="545">
        <f t="shared" ref="BG3:BJ3" si="14">SUBTOTAL(9,BG4:BG7)</f>
        <v>497529.624495</v>
      </c>
      <c r="BH3" s="545">
        <f t="shared" si="14"/>
        <v>954112.10000000009</v>
      </c>
      <c r="BI3" s="545">
        <f t="shared" si="14"/>
        <v>517458.17999999993</v>
      </c>
      <c r="BJ3" s="545">
        <f t="shared" si="14"/>
        <v>0</v>
      </c>
      <c r="BM3" s="553">
        <f>SUBTOTAL(9,BM4:BM7)</f>
        <v>29616.909301274954</v>
      </c>
      <c r="BN3" s="553">
        <f t="shared" ref="BN3:BO3" si="15">SUBTOTAL(9,BN4:BN7)</f>
        <v>14451.810912290233</v>
      </c>
      <c r="BO3" s="553">
        <f t="shared" si="15"/>
        <v>57983.496316769742</v>
      </c>
      <c r="BP3" s="553">
        <f>SUBTOTAL(9,BP4:BP7)</f>
        <v>135892.93443068402</v>
      </c>
      <c r="BQ3" s="553">
        <f t="shared" ref="BQ3:BR3" si="16">SUBTOTAL(9,BQ4:BQ7)</f>
        <v>217905.09022623871</v>
      </c>
      <c r="BR3" s="553">
        <f t="shared" si="16"/>
        <v>0</v>
      </c>
      <c r="BS3" s="553">
        <f>SUBTOTAL(9,BS4:BS7)</f>
        <v>0</v>
      </c>
      <c r="BT3" s="553">
        <f t="shared" ref="BT3:BU3" si="17">SUBTOTAL(9,BT4:BT7)</f>
        <v>0</v>
      </c>
      <c r="BU3" s="553">
        <f t="shared" si="17"/>
        <v>0</v>
      </c>
      <c r="BV3" s="553">
        <f>SUBTOTAL(9,BV4:BV7)</f>
        <v>0</v>
      </c>
      <c r="BW3" s="553">
        <f t="shared" ref="BW3:BY3" si="18">SUBTOTAL(9,BW4:BW7)</f>
        <v>0</v>
      </c>
      <c r="BX3" s="553">
        <f t="shared" si="18"/>
        <v>0</v>
      </c>
      <c r="BY3" s="553">
        <f t="shared" si="18"/>
        <v>455850.24118725758</v>
      </c>
      <c r="CA3" s="545">
        <f t="shared" ref="CA3:CD3" si="19">SUBTOTAL(9,CA4:CA7)</f>
        <v>102052.21653033493</v>
      </c>
      <c r="CB3" s="545">
        <f t="shared" si="19"/>
        <v>353798.02465692273</v>
      </c>
      <c r="CC3" s="545">
        <f t="shared" si="19"/>
        <v>0</v>
      </c>
      <c r="CD3" s="545">
        <f t="shared" si="19"/>
        <v>0</v>
      </c>
      <c r="CG3" s="569">
        <f t="shared" ref="CG3:CS7" si="20">IFERROR(AS3/E3,0)</f>
        <v>1.0914975746252091</v>
      </c>
      <c r="CH3" s="569">
        <f t="shared" si="20"/>
        <v>1.1225877152126877</v>
      </c>
      <c r="CI3" s="569">
        <f t="shared" si="20"/>
        <v>1.3985120293163829</v>
      </c>
      <c r="CJ3" s="569">
        <f t="shared" si="20"/>
        <v>1.8894962340526982</v>
      </c>
      <c r="CK3" s="569">
        <f t="shared" si="20"/>
        <v>2.3165476355205361</v>
      </c>
      <c r="CL3" s="569">
        <f t="shared" si="20"/>
        <v>1.7362660467638806</v>
      </c>
      <c r="CM3" s="569">
        <f t="shared" si="20"/>
        <v>1.3878871109247406</v>
      </c>
      <c r="CN3" s="569">
        <f t="shared" si="20"/>
        <v>1.5774272511637661</v>
      </c>
      <c r="CO3" s="569">
        <f t="shared" si="20"/>
        <v>0</v>
      </c>
      <c r="CP3" s="569">
        <f t="shared" si="20"/>
        <v>0</v>
      </c>
      <c r="CQ3" s="569">
        <f t="shared" si="20"/>
        <v>0</v>
      </c>
      <c r="CR3" s="569">
        <f t="shared" si="20"/>
        <v>0</v>
      </c>
      <c r="CS3" s="569">
        <f t="shared" si="20"/>
        <v>0.97056301414022972</v>
      </c>
      <c r="CT3" s="436"/>
      <c r="CU3" s="566">
        <f t="shared" ref="CU3:CX7" si="21">IFERROR(BG3/S3,0)</f>
        <v>1.2580481576825069</v>
      </c>
      <c r="CV3" s="566">
        <f t="shared" si="21"/>
        <v>1.9847548318258692</v>
      </c>
      <c r="CW3" s="566">
        <f t="shared" si="21"/>
        <v>0.97190804011907916</v>
      </c>
      <c r="CX3" s="566">
        <f t="shared" si="21"/>
        <v>0</v>
      </c>
      <c r="DA3" s="569">
        <f t="shared" ref="DA3" si="22">IFERROR(AS3/Y3,0)</f>
        <v>0.85473588897344244</v>
      </c>
      <c r="DB3" s="569">
        <f t="shared" ref="DB3:DB7" si="23">IFERROR(AT3/Z3,0)</f>
        <v>0.87908212626350024</v>
      </c>
      <c r="DC3" s="569">
        <f t="shared" ref="DC3:DC7" si="24">IFERROR(AU3/AA3,0)</f>
        <v>1.0951544468875669</v>
      </c>
      <c r="DD3" s="569">
        <f t="shared" ref="DD3:DD7" si="25">IFERROR(AV3/AB3,0)</f>
        <v>1.479637042601363</v>
      </c>
      <c r="DE3" s="569">
        <f t="shared" ref="DE3:DE7" si="26">IFERROR(AW3/AC3,0)</f>
        <v>1.8140547891513763</v>
      </c>
      <c r="DF3" s="569">
        <f t="shared" ref="DF3:DF7" si="27">IFERROR(AX3/AD3,0)</f>
        <v>1.3596447096867921</v>
      </c>
      <c r="DG3" s="569">
        <f t="shared" ref="DG3:DG7" si="28">IFERROR(AY3/AE3,0)</f>
        <v>1.0868342276970946</v>
      </c>
      <c r="DH3" s="569">
        <f t="shared" ref="DH3:DH7" si="29">IFERROR(AZ3/AF3,0)</f>
        <v>1.2352603571083147</v>
      </c>
      <c r="DI3" s="569">
        <f t="shared" ref="DI3:DI7" si="30">IFERROR(BA3/AG3,0)</f>
        <v>0</v>
      </c>
      <c r="DJ3" s="569">
        <f t="shared" ref="DJ3:DJ7" si="31">IFERROR(BB3/AH3,0)</f>
        <v>0</v>
      </c>
      <c r="DK3" s="569">
        <f t="shared" ref="DK3:DK7" si="32">IFERROR(BC3/AI3,0)</f>
        <v>0</v>
      </c>
      <c r="DL3" s="569">
        <f t="shared" ref="DL3:DL7" si="33">IFERROR(BD3/AJ3,0)</f>
        <v>0</v>
      </c>
      <c r="DM3" s="569">
        <f t="shared" ref="DM3:DM7" si="34">IFERROR(BE3/AK3,0)</f>
        <v>0.77448572729749909</v>
      </c>
      <c r="DN3" s="436"/>
      <c r="DO3" s="566">
        <f t="shared" ref="DO3:DR7" si="35">IFERROR(CA3/AM3,0)</f>
        <v>0.20207376230813145</v>
      </c>
      <c r="DP3" s="566">
        <f t="shared" si="35"/>
        <v>0.57633106965471392</v>
      </c>
      <c r="DQ3" s="566">
        <f t="shared" si="35"/>
        <v>0</v>
      </c>
      <c r="DR3" s="566">
        <f t="shared" si="35"/>
        <v>0</v>
      </c>
    </row>
    <row r="4" spans="2:123" hidden="1">
      <c r="C4" s="538"/>
      <c r="D4" s="539"/>
      <c r="E4" s="581"/>
      <c r="F4" s="581"/>
      <c r="G4" s="581"/>
      <c r="H4" s="547"/>
      <c r="I4" s="547"/>
      <c r="J4" s="547"/>
      <c r="K4" s="547"/>
      <c r="L4" s="547"/>
      <c r="M4" s="547"/>
      <c r="N4" s="547"/>
      <c r="O4" s="547"/>
      <c r="P4" s="547"/>
      <c r="Q4" s="548"/>
      <c r="R4" s="468"/>
      <c r="S4" s="547"/>
      <c r="T4" s="547"/>
      <c r="U4" s="547"/>
      <c r="V4" s="547"/>
      <c r="X4" s="507"/>
      <c r="Y4" s="581"/>
      <c r="Z4" s="581"/>
      <c r="AA4" s="581"/>
      <c r="AB4" s="547"/>
      <c r="AC4" s="547"/>
      <c r="AD4" s="547"/>
      <c r="AE4" s="547"/>
      <c r="AF4" s="547"/>
      <c r="AG4" s="547"/>
      <c r="AH4" s="547"/>
      <c r="AI4" s="547"/>
      <c r="AJ4" s="547"/>
      <c r="AK4" s="548"/>
      <c r="AL4" s="468"/>
      <c r="AM4" s="547"/>
      <c r="AN4" s="547"/>
      <c r="AO4" s="547"/>
      <c r="AP4" s="547"/>
      <c r="AR4" s="507"/>
      <c r="AS4" s="570"/>
      <c r="AT4" s="570"/>
      <c r="AU4" s="570"/>
      <c r="AV4" s="570"/>
      <c r="AW4" s="570"/>
      <c r="AX4" s="570"/>
      <c r="AY4" s="570"/>
      <c r="AZ4" s="570"/>
      <c r="BA4" s="547"/>
      <c r="BB4" s="547"/>
      <c r="BC4" s="547"/>
      <c r="BD4" s="547"/>
      <c r="BE4" s="548"/>
      <c r="BF4" s="468"/>
      <c r="BG4" s="547"/>
      <c r="BH4" s="547"/>
      <c r="BI4" s="547"/>
      <c r="BJ4" s="547"/>
      <c r="BM4" s="581"/>
      <c r="BN4" s="581"/>
      <c r="BO4" s="581"/>
      <c r="BP4" s="547"/>
      <c r="BQ4" s="547"/>
      <c r="BR4" s="547"/>
      <c r="BS4" s="547"/>
      <c r="BT4" s="547"/>
      <c r="BU4" s="547"/>
      <c r="BV4" s="547"/>
      <c r="BW4" s="547"/>
      <c r="BX4" s="547"/>
      <c r="BY4" s="548"/>
      <c r="BZ4" s="468"/>
      <c r="CA4" s="547"/>
      <c r="CB4" s="547"/>
      <c r="CC4" s="547"/>
      <c r="CD4" s="547"/>
      <c r="CG4" s="584"/>
      <c r="CH4" s="584"/>
      <c r="CI4" s="584"/>
      <c r="CJ4" s="571"/>
      <c r="CK4" s="571"/>
      <c r="CL4" s="571"/>
      <c r="CM4" s="571"/>
      <c r="CN4" s="571"/>
      <c r="CO4" s="571"/>
      <c r="CP4" s="571"/>
      <c r="CQ4" s="571"/>
      <c r="CR4" s="571"/>
      <c r="CS4" s="572"/>
      <c r="CT4" s="573"/>
      <c r="CU4" s="571"/>
      <c r="CV4" s="571"/>
      <c r="CW4" s="571"/>
      <c r="CX4" s="571"/>
      <c r="DA4" s="584"/>
      <c r="DB4" s="584"/>
      <c r="DC4" s="584"/>
      <c r="DD4" s="571"/>
      <c r="DE4" s="571"/>
      <c r="DF4" s="571"/>
      <c r="DG4" s="571"/>
      <c r="DH4" s="571"/>
      <c r="DI4" s="571"/>
      <c r="DJ4" s="571"/>
      <c r="DK4" s="571"/>
      <c r="DL4" s="571"/>
      <c r="DM4" s="572"/>
      <c r="DN4" s="573"/>
      <c r="DO4" s="571"/>
      <c r="DP4" s="571"/>
      <c r="DQ4" s="571"/>
      <c r="DR4" s="571"/>
    </row>
    <row r="5" spans="2:123" hidden="1">
      <c r="C5" s="538"/>
      <c r="D5" s="539"/>
      <c r="E5" s="581"/>
      <c r="F5" s="581"/>
      <c r="G5" s="581"/>
      <c r="H5" s="547"/>
      <c r="I5" s="547"/>
      <c r="J5" s="547"/>
      <c r="K5" s="547"/>
      <c r="L5" s="547"/>
      <c r="M5" s="547"/>
      <c r="N5" s="547"/>
      <c r="O5" s="547"/>
      <c r="P5" s="547"/>
      <c r="Q5" s="548"/>
      <c r="R5" s="468"/>
      <c r="S5" s="547"/>
      <c r="T5" s="547"/>
      <c r="U5" s="547"/>
      <c r="V5" s="547"/>
      <c r="X5" s="507"/>
      <c r="Y5" s="581"/>
      <c r="Z5" s="581"/>
      <c r="AA5" s="581"/>
      <c r="AB5" s="547"/>
      <c r="AC5" s="547"/>
      <c r="AD5" s="547"/>
      <c r="AE5" s="547"/>
      <c r="AF5" s="547"/>
      <c r="AG5" s="547"/>
      <c r="AH5" s="547"/>
      <c r="AI5" s="547"/>
      <c r="AJ5" s="547"/>
      <c r="AK5" s="548"/>
      <c r="AL5" s="468"/>
      <c r="AM5" s="547"/>
      <c r="AN5" s="547"/>
      <c r="AO5" s="547"/>
      <c r="AP5" s="547"/>
      <c r="AR5" s="507"/>
      <c r="AS5" s="570"/>
      <c r="AT5" s="570"/>
      <c r="AU5" s="570"/>
      <c r="AV5" s="570"/>
      <c r="AW5" s="570"/>
      <c r="AX5" s="570"/>
      <c r="AY5" s="570"/>
      <c r="AZ5" s="570"/>
      <c r="BA5" s="547"/>
      <c r="BB5" s="547"/>
      <c r="BC5" s="547"/>
      <c r="BD5" s="547"/>
      <c r="BE5" s="548"/>
      <c r="BF5" s="468"/>
      <c r="BG5" s="547"/>
      <c r="BH5" s="547"/>
      <c r="BI5" s="547"/>
      <c r="BJ5" s="547"/>
      <c r="BM5" s="581"/>
      <c r="BN5" s="581"/>
      <c r="BO5" s="581"/>
      <c r="BP5" s="547"/>
      <c r="BQ5" s="547"/>
      <c r="BR5" s="547"/>
      <c r="BS5" s="547"/>
      <c r="BT5" s="547"/>
      <c r="BU5" s="547"/>
      <c r="BV5" s="547"/>
      <c r="BW5" s="547"/>
      <c r="BX5" s="547"/>
      <c r="BY5" s="548"/>
      <c r="BZ5" s="468"/>
      <c r="CA5" s="547"/>
      <c r="CB5" s="547"/>
      <c r="CC5" s="547"/>
      <c r="CD5" s="547"/>
      <c r="CG5" s="584"/>
      <c r="CH5" s="584"/>
      <c r="CI5" s="584"/>
      <c r="CJ5" s="571"/>
      <c r="CK5" s="571"/>
      <c r="CL5" s="571"/>
      <c r="CM5" s="571"/>
      <c r="CN5" s="571"/>
      <c r="CO5" s="571"/>
      <c r="CP5" s="571"/>
      <c r="CQ5" s="571"/>
      <c r="CR5" s="571"/>
      <c r="CS5" s="572"/>
      <c r="CT5" s="573"/>
      <c r="CU5" s="571"/>
      <c r="CV5" s="571"/>
      <c r="CW5" s="571"/>
      <c r="CX5" s="571"/>
      <c r="DA5" s="584"/>
      <c r="DB5" s="584"/>
      <c r="DC5" s="584"/>
      <c r="DD5" s="571"/>
      <c r="DE5" s="571"/>
      <c r="DF5" s="571"/>
      <c r="DG5" s="571"/>
      <c r="DH5" s="571"/>
      <c r="DI5" s="571"/>
      <c r="DJ5" s="571"/>
      <c r="DK5" s="571"/>
      <c r="DL5" s="571"/>
      <c r="DM5" s="572"/>
      <c r="DN5" s="573"/>
      <c r="DO5" s="571"/>
      <c r="DP5" s="571"/>
      <c r="DQ5" s="571"/>
      <c r="DR5" s="571"/>
    </row>
    <row r="6" spans="2:123">
      <c r="C6" s="538" t="s">
        <v>147</v>
      </c>
      <c r="D6" s="539" t="s">
        <v>73</v>
      </c>
      <c r="E6" s="581">
        <f t="array" ref="E6:P6">TRANSPOSE('VN_YouTube Performance'!H66:H77)</f>
        <v>118464.40869439059</v>
      </c>
      <c r="F6" s="581">
        <v>105730.50092321732</v>
      </c>
      <c r="G6" s="581">
        <v>130493.21576872235</v>
      </c>
      <c r="H6" s="547">
        <v>137018.03438088796</v>
      </c>
      <c r="I6" s="547">
        <v>148441.64822180182</v>
      </c>
      <c r="J6" s="547">
        <v>145679.5115110692</v>
      </c>
      <c r="K6" s="547">
        <v>157286.50228983568</v>
      </c>
      <c r="L6" s="547">
        <v>155818.26072619413</v>
      </c>
      <c r="M6" s="547">
        <v>164397.07953697184</v>
      </c>
      <c r="N6" s="547">
        <v>176396.05699360892</v>
      </c>
      <c r="O6" s="547">
        <v>180024.01550878966</v>
      </c>
      <c r="P6" s="547">
        <v>199821.66977603344</v>
      </c>
      <c r="Q6" s="548">
        <f t="shared" ref="Q5:Q7" si="36">SUM(E6:P6)</f>
        <v>1819570.9043315225</v>
      </c>
      <c r="R6" s="468"/>
      <c r="S6" s="547">
        <f>SUM(E6:G6)</f>
        <v>354688.12538633024</v>
      </c>
      <c r="T6" s="547">
        <f>SUM(H6:J6)</f>
        <v>431139.19411375897</v>
      </c>
      <c r="U6" s="547">
        <f>SUM(K6:M6)</f>
        <v>477501.84255300171</v>
      </c>
      <c r="V6" s="547">
        <f>SUM(N6:P6)</f>
        <v>556241.74227843201</v>
      </c>
      <c r="X6" s="507" t="s">
        <v>73</v>
      </c>
      <c r="Y6" s="581">
        <v>154793.67520307176</v>
      </c>
      <c r="Z6" s="581">
        <v>138154.68290723464</v>
      </c>
      <c r="AA6" s="581">
        <v>170511.33484334385</v>
      </c>
      <c r="AB6" s="547">
        <v>179037.10780875894</v>
      </c>
      <c r="AC6" s="547">
        <v>193963.98069846816</v>
      </c>
      <c r="AD6" s="547">
        <v>190354.78450545273</v>
      </c>
      <c r="AE6" s="547">
        <v>205521.27020774028</v>
      </c>
      <c r="AF6" s="547">
        <v>203602.76565243295</v>
      </c>
      <c r="AG6" s="547">
        <v>214812.43535202442</v>
      </c>
      <c r="AH6" s="547">
        <v>230491.11757955499</v>
      </c>
      <c r="AI6" s="547">
        <v>219991.07901408401</v>
      </c>
      <c r="AJ6" s="547">
        <v>231975.54298208351</v>
      </c>
      <c r="AK6" s="548">
        <f t="shared" ref="AK5:AK7" si="37">SUM(Y6:AJ6)</f>
        <v>2333209.7767542498</v>
      </c>
      <c r="AL6" s="468"/>
      <c r="AM6" s="547">
        <f t="shared" ref="AM5:AM7" si="38">SUM(Y6:AA6)</f>
        <v>463459.69295365026</v>
      </c>
      <c r="AN6" s="547">
        <f t="shared" ref="AN5:AN7" si="39">SUM(AB6:AD6)</f>
        <v>563355.87301267986</v>
      </c>
      <c r="AO6" s="547">
        <f>SUM(AE6:AG6)</f>
        <v>623936.47121219768</v>
      </c>
      <c r="AP6" s="547">
        <f t="shared" ref="AP5:AP7" si="40">SUM(AH6:AJ6)</f>
        <v>682457.73957572249</v>
      </c>
      <c r="AR6" s="507" t="s">
        <v>73</v>
      </c>
      <c r="AS6" s="570">
        <v>146115.793493</v>
      </c>
      <c r="AT6" s="570">
        <v>116245.57551000001</v>
      </c>
      <c r="AU6" s="570">
        <v>166621.43036999996</v>
      </c>
      <c r="AV6" s="570">
        <v>167993.08000000002</v>
      </c>
      <c r="AW6" s="570">
        <f>204736.01+471.69</f>
        <v>205207.7</v>
      </c>
      <c r="AX6" s="570">
        <f>230170.81+567.68</f>
        <v>230738.49</v>
      </c>
      <c r="AY6" s="570">
        <f>443.39+202639.99</f>
        <v>203083.38</v>
      </c>
      <c r="AZ6" s="570">
        <f>230955.68+666.16</f>
        <v>231621.84</v>
      </c>
      <c r="BA6" s="547">
        <f t="array" ref="BA6:BD6">TRANSPOSE('VN_YouTube Performance'!H14:H17)</f>
        <v>0</v>
      </c>
      <c r="BB6" s="547">
        <v>0</v>
      </c>
      <c r="BC6" s="547">
        <v>0</v>
      </c>
      <c r="BD6" s="547">
        <v>0</v>
      </c>
      <c r="BE6" s="548">
        <f t="shared" ref="BE5:BE7" si="41">SUM(AS6:BD6)</f>
        <v>1467627.2893729999</v>
      </c>
      <c r="BF6" s="468"/>
      <c r="BG6" s="547">
        <f t="shared" ref="BG5:BG7" si="42">SUM(AS6:AU6)</f>
        <v>428982.79937299999</v>
      </c>
      <c r="BH6" s="547">
        <f t="shared" ref="BH5:BH7" si="43">SUM(AV6:AX6)</f>
        <v>603939.27</v>
      </c>
      <c r="BI6" s="547">
        <f t="shared" ref="BI6:BI7" si="44">SUM(AY6:BA6)</f>
        <v>434705.22</v>
      </c>
      <c r="BJ6" s="547">
        <f t="shared" ref="BJ5:BJ7" si="45">SUM(BB6:BD6)</f>
        <v>0</v>
      </c>
      <c r="BM6" s="581">
        <f t="shared" ref="BM4:BQ7" si="46">AS6-E6</f>
        <v>27651.384798609419</v>
      </c>
      <c r="BN6" s="581">
        <f t="shared" si="46"/>
        <v>10515.074586782692</v>
      </c>
      <c r="BO6" s="581">
        <f t="shared" si="46"/>
        <v>36128.214601277607</v>
      </c>
      <c r="BP6" s="547">
        <f t="shared" si="46"/>
        <v>30975.045619112061</v>
      </c>
      <c r="BQ6" s="547">
        <f t="shared" si="46"/>
        <v>56766.051778198191</v>
      </c>
      <c r="BR6" s="547"/>
      <c r="BS6" s="547"/>
      <c r="BT6" s="547"/>
      <c r="BU6" s="547"/>
      <c r="BV6" s="547"/>
      <c r="BW6" s="547"/>
      <c r="BX6" s="547"/>
      <c r="BY6" s="548">
        <f t="shared" ref="BY5:BY7" si="47">SUM(BM6:BX6)</f>
        <v>162035.77138397997</v>
      </c>
      <c r="BZ6" s="468"/>
      <c r="CA6" s="547">
        <f t="shared" ref="CA5:CA7" si="48">SUM(BM6:BO6)</f>
        <v>74294.673986669717</v>
      </c>
      <c r="CB6" s="547">
        <f t="shared" ref="CB5:CB7" si="49">SUM(BP6:BR6)</f>
        <v>87741.097397310252</v>
      </c>
      <c r="CC6" s="547">
        <f t="shared" ref="CC6:CC7" si="50">SUM(BS6:BU6)</f>
        <v>0</v>
      </c>
      <c r="CD6" s="547">
        <f t="shared" ref="CD5:CD7" si="51">SUM(BV6:BX6)</f>
        <v>0</v>
      </c>
      <c r="CG6" s="584">
        <f t="shared" si="20"/>
        <v>1.233415125296774</v>
      </c>
      <c r="CH6" s="584">
        <f t="shared" si="20"/>
        <v>1.0994516671629018</v>
      </c>
      <c r="CI6" s="584">
        <f t="shared" si="20"/>
        <v>1.2768589492446021</v>
      </c>
      <c r="CJ6" s="571">
        <f t="shared" si="20"/>
        <v>1.2260654647329596</v>
      </c>
      <c r="CK6" s="571">
        <f t="shared" si="20"/>
        <v>1.3824132408808762</v>
      </c>
      <c r="CL6" s="571">
        <f t="shared" si="20"/>
        <v>1.5838774279694625</v>
      </c>
      <c r="CM6" s="571">
        <f t="shared" si="20"/>
        <v>1.291168517599643</v>
      </c>
      <c r="CN6" s="571">
        <f t="shared" si="20"/>
        <v>1.4864871352081699</v>
      </c>
      <c r="CO6" s="571">
        <f t="shared" si="20"/>
        <v>0</v>
      </c>
      <c r="CP6" s="571">
        <f t="shared" si="20"/>
        <v>0</v>
      </c>
      <c r="CQ6" s="571">
        <f t="shared" si="20"/>
        <v>0</v>
      </c>
      <c r="CR6" s="571">
        <f t="shared" si="20"/>
        <v>0</v>
      </c>
      <c r="CS6" s="572">
        <f t="shared" si="20"/>
        <v>0.80657878507470404</v>
      </c>
      <c r="CT6" s="573"/>
      <c r="CU6" s="571">
        <f t="shared" si="21"/>
        <v>1.2094647908095235</v>
      </c>
      <c r="CV6" s="571">
        <f t="shared" si="21"/>
        <v>1.4007988098633561</v>
      </c>
      <c r="CW6" s="571">
        <f t="shared" si="21"/>
        <v>0.91037391117867483</v>
      </c>
      <c r="CX6" s="571">
        <f t="shared" si="21"/>
        <v>0</v>
      </c>
      <c r="DA6" s="584">
        <f t="shared" ref="DA5:DA7" si="52">IFERROR(AS6/Y6,0)</f>
        <v>0.94393904209143331</v>
      </c>
      <c r="DB6" s="584">
        <f t="shared" si="23"/>
        <v>0.84141610739358197</v>
      </c>
      <c r="DC6" s="584">
        <f t="shared" si="24"/>
        <v>0.97718682762692743</v>
      </c>
      <c r="DD6" s="571">
        <f t="shared" si="25"/>
        <v>0.93831430844740993</v>
      </c>
      <c r="DE6" s="571">
        <f t="shared" si="26"/>
        <v>1.0579680787177237</v>
      </c>
      <c r="DF6" s="571">
        <f t="shared" si="27"/>
        <v>1.2121496740912781</v>
      </c>
      <c r="DG6" s="571">
        <f t="shared" si="28"/>
        <v>0.98813801508098864</v>
      </c>
      <c r="DH6" s="571">
        <f t="shared" si="29"/>
        <v>1.1376163740103509</v>
      </c>
      <c r="DI6" s="571">
        <f t="shared" si="30"/>
        <v>0</v>
      </c>
      <c r="DJ6" s="571">
        <f t="shared" si="31"/>
        <v>0</v>
      </c>
      <c r="DK6" s="571">
        <f t="shared" si="32"/>
        <v>0</v>
      </c>
      <c r="DL6" s="571">
        <f t="shared" si="33"/>
        <v>0</v>
      </c>
      <c r="DM6" s="572">
        <f t="shared" si="34"/>
        <v>0.62901643221066483</v>
      </c>
      <c r="DN6" s="573"/>
      <c r="DO6" s="571">
        <f t="shared" si="35"/>
        <v>0.1603044992180146</v>
      </c>
      <c r="DP6" s="571">
        <f t="shared" si="35"/>
        <v>0.15574719569016618</v>
      </c>
      <c r="DQ6" s="571">
        <f t="shared" si="35"/>
        <v>0</v>
      </c>
      <c r="DR6" s="571">
        <f t="shared" si="35"/>
        <v>0</v>
      </c>
    </row>
    <row r="7" spans="2:123">
      <c r="C7" s="540" t="s">
        <v>147</v>
      </c>
      <c r="D7" s="541" t="s">
        <v>74</v>
      </c>
      <c r="E7" s="550">
        <f t="array" ref="E7:P7">TRANSPOSE('VN_YouTube Performance'!L66:L77)</f>
        <v>13623.456484334463</v>
      </c>
      <c r="F7" s="550">
        <v>12159.051771492457</v>
      </c>
      <c r="G7" s="550">
        <v>15006.774322507856</v>
      </c>
      <c r="H7" s="551">
        <v>15757.131188428062</v>
      </c>
      <c r="I7" s="551">
        <v>17070.851551959495</v>
      </c>
      <c r="J7" s="551">
        <v>16753.20467643653</v>
      </c>
      <c r="K7" s="551">
        <v>18088.013464420492</v>
      </c>
      <c r="L7" s="551">
        <v>17919.165071293719</v>
      </c>
      <c r="M7" s="551">
        <v>18905.732818043078</v>
      </c>
      <c r="N7" s="551">
        <v>20285.620237721268</v>
      </c>
      <c r="O7" s="551">
        <v>20702.836982423396</v>
      </c>
      <c r="P7" s="551">
        <v>22979.575492953481</v>
      </c>
      <c r="Q7" s="552">
        <f t="shared" si="36"/>
        <v>209251.41406201432</v>
      </c>
      <c r="R7" s="468"/>
      <c r="S7" s="551">
        <f>SUM(E7:G7)</f>
        <v>40789.28257833478</v>
      </c>
      <c r="T7" s="551">
        <f>SUM(H7:J7)</f>
        <v>49581.187416824083</v>
      </c>
      <c r="U7" s="551">
        <f>SUM(K7:M7)</f>
        <v>54912.911353757285</v>
      </c>
      <c r="V7" s="551">
        <f>SUM(N7:P7)</f>
        <v>63968.032713098146</v>
      </c>
      <c r="X7" s="507" t="s">
        <v>74</v>
      </c>
      <c r="Y7" s="550">
        <v>13882.504585231964</v>
      </c>
      <c r="Z7" s="550">
        <v>12390.254423605116</v>
      </c>
      <c r="AA7" s="550">
        <v>15292.126016720935</v>
      </c>
      <c r="AB7" s="551">
        <v>16056.750812467582</v>
      </c>
      <c r="AC7" s="551">
        <v>17395.451383164098</v>
      </c>
      <c r="AD7" s="551">
        <v>17071.764497166932</v>
      </c>
      <c r="AE7" s="551">
        <v>18431.954485728456</v>
      </c>
      <c r="AF7" s="551">
        <v>18259.895464254208</v>
      </c>
      <c r="AG7" s="551">
        <v>19265.222657366983</v>
      </c>
      <c r="AH7" s="551">
        <v>20671.348441437578</v>
      </c>
      <c r="AI7" s="551">
        <v>19729.663754779453</v>
      </c>
      <c r="AJ7" s="551">
        <v>20804.477540091008</v>
      </c>
      <c r="AK7" s="552">
        <f t="shared" si="37"/>
        <v>209251.41406201434</v>
      </c>
      <c r="AL7" s="468"/>
      <c r="AM7" s="551">
        <f t="shared" si="38"/>
        <v>41564.885025558011</v>
      </c>
      <c r="AN7" s="551">
        <f t="shared" si="39"/>
        <v>50523.966692798611</v>
      </c>
      <c r="AO7" s="551">
        <f>SUM(AE7:AG7)</f>
        <v>55957.072607349648</v>
      </c>
      <c r="AP7" s="551">
        <f t="shared" si="40"/>
        <v>61205.489736308038</v>
      </c>
      <c r="AR7" s="507" t="s">
        <v>74</v>
      </c>
      <c r="AS7" s="554">
        <v>15588.980986999999</v>
      </c>
      <c r="AT7" s="554">
        <v>16095.788096999999</v>
      </c>
      <c r="AU7" s="554">
        <v>36862.056037999988</v>
      </c>
      <c r="AV7" s="554">
        <v>120675.02</v>
      </c>
      <c r="AW7" s="554">
        <f>1641.88+176568.01</f>
        <v>178209.89</v>
      </c>
      <c r="AX7" s="554">
        <f>661.72+50626.2</f>
        <v>51287.92</v>
      </c>
      <c r="AY7" s="554">
        <f>462.43+39854.22</f>
        <v>40316.65</v>
      </c>
      <c r="AZ7" s="554">
        <f>41793.11+643.2</f>
        <v>42436.31</v>
      </c>
      <c r="BA7" s="551">
        <f t="array" ref="BA7:BD7">TRANSPOSE('VN_YouTube Performance'!L14:L17)</f>
        <v>0</v>
      </c>
      <c r="BB7" s="551">
        <v>0</v>
      </c>
      <c r="BC7" s="551">
        <v>0</v>
      </c>
      <c r="BD7" s="551">
        <v>0</v>
      </c>
      <c r="BE7" s="552">
        <f t="shared" si="41"/>
        <v>501472.61512199999</v>
      </c>
      <c r="BF7" s="468"/>
      <c r="BG7" s="551">
        <f t="shared" si="42"/>
        <v>68546.82512199998</v>
      </c>
      <c r="BH7" s="551">
        <f t="shared" si="43"/>
        <v>350172.83</v>
      </c>
      <c r="BI7" s="551">
        <f t="shared" si="44"/>
        <v>82752.959999999992</v>
      </c>
      <c r="BJ7" s="551">
        <f t="shared" si="45"/>
        <v>0</v>
      </c>
      <c r="BM7" s="550">
        <f t="shared" si="46"/>
        <v>1965.5245026655357</v>
      </c>
      <c r="BN7" s="550">
        <f t="shared" si="46"/>
        <v>3936.7363255075416</v>
      </c>
      <c r="BO7" s="550">
        <f t="shared" si="46"/>
        <v>21855.281715492132</v>
      </c>
      <c r="BP7" s="551">
        <f t="shared" si="46"/>
        <v>104917.88881157195</v>
      </c>
      <c r="BQ7" s="551">
        <f t="shared" si="46"/>
        <v>161139.03844804052</v>
      </c>
      <c r="BR7" s="551"/>
      <c r="BS7" s="551"/>
      <c r="BT7" s="551"/>
      <c r="BU7" s="551"/>
      <c r="BV7" s="551"/>
      <c r="BW7" s="551"/>
      <c r="BX7" s="551"/>
      <c r="BY7" s="552">
        <f t="shared" si="47"/>
        <v>293814.46980327764</v>
      </c>
      <c r="BZ7" s="468"/>
      <c r="CA7" s="551">
        <f t="shared" si="48"/>
        <v>27757.542543665208</v>
      </c>
      <c r="CB7" s="551">
        <f t="shared" si="49"/>
        <v>266056.92725961248</v>
      </c>
      <c r="CC7" s="551">
        <f t="shared" si="50"/>
        <v>0</v>
      </c>
      <c r="CD7" s="551">
        <f t="shared" si="51"/>
        <v>0</v>
      </c>
      <c r="CG7" s="585">
        <f t="shared" si="20"/>
        <v>1.1442750233705874</v>
      </c>
      <c r="CH7" s="585">
        <f t="shared" si="20"/>
        <v>1.32377001097548</v>
      </c>
      <c r="CI7" s="585">
        <f t="shared" si="20"/>
        <v>2.4563610570669119</v>
      </c>
      <c r="CJ7" s="575">
        <f t="shared" si="20"/>
        <v>7.6584384909242225</v>
      </c>
      <c r="CK7" s="575">
        <f t="shared" si="20"/>
        <v>10.439425910158771</v>
      </c>
      <c r="CL7" s="575">
        <f t="shared" si="20"/>
        <v>3.0613796578356576</v>
      </c>
      <c r="CM7" s="575">
        <f t="shared" si="20"/>
        <v>2.2289153023522297</v>
      </c>
      <c r="CN7" s="575">
        <f t="shared" si="20"/>
        <v>2.3682079958056996</v>
      </c>
      <c r="CO7" s="575">
        <f t="shared" si="20"/>
        <v>0</v>
      </c>
      <c r="CP7" s="575">
        <f t="shared" si="20"/>
        <v>0</v>
      </c>
      <c r="CQ7" s="575">
        <f t="shared" si="20"/>
        <v>0</v>
      </c>
      <c r="CR7" s="575">
        <f t="shared" si="20"/>
        <v>0</v>
      </c>
      <c r="CS7" s="576">
        <f t="shared" si="20"/>
        <v>2.3965076526239493</v>
      </c>
      <c r="CT7" s="573"/>
      <c r="CU7" s="575">
        <f t="shared" si="21"/>
        <v>1.6805106829314183</v>
      </c>
      <c r="CV7" s="575">
        <f t="shared" si="21"/>
        <v>7.0626148392964465</v>
      </c>
      <c r="CW7" s="575">
        <f t="shared" si="21"/>
        <v>1.5069854786407682</v>
      </c>
      <c r="CX7" s="575">
        <f t="shared" si="21"/>
        <v>0</v>
      </c>
      <c r="DA7" s="585">
        <f t="shared" si="52"/>
        <v>1.1229228048361939</v>
      </c>
      <c r="DB7" s="585">
        <f t="shared" si="23"/>
        <v>1.2990684086628066</v>
      </c>
      <c r="DC7" s="585">
        <f t="shared" si="24"/>
        <v>2.4105252597116813</v>
      </c>
      <c r="DD7" s="575">
        <f t="shared" si="25"/>
        <v>7.5155317168090754</v>
      </c>
      <c r="DE7" s="575">
        <f t="shared" si="26"/>
        <v>10.24462579755059</v>
      </c>
      <c r="DF7" s="575">
        <f t="shared" si="27"/>
        <v>3.0042541887519159</v>
      </c>
      <c r="DG7" s="575">
        <f t="shared" si="28"/>
        <v>2.1873236520422448</v>
      </c>
      <c r="DH7" s="575">
        <f t="shared" si="29"/>
        <v>2.3240171381634593</v>
      </c>
      <c r="DI7" s="575">
        <f t="shared" si="30"/>
        <v>0</v>
      </c>
      <c r="DJ7" s="575">
        <f t="shared" si="31"/>
        <v>0</v>
      </c>
      <c r="DK7" s="575">
        <f t="shared" si="32"/>
        <v>0</v>
      </c>
      <c r="DL7" s="575">
        <f t="shared" si="33"/>
        <v>0</v>
      </c>
      <c r="DM7" s="576">
        <f t="shared" si="34"/>
        <v>2.3965076526239488</v>
      </c>
      <c r="DN7" s="573"/>
      <c r="DO7" s="575">
        <f t="shared" si="35"/>
        <v>0.66781232587548967</v>
      </c>
      <c r="DP7" s="575">
        <f t="shared" si="35"/>
        <v>5.2659548462875279</v>
      </c>
      <c r="DQ7" s="575">
        <f t="shared" si="35"/>
        <v>0</v>
      </c>
      <c r="DR7" s="575">
        <f t="shared" si="35"/>
        <v>0</v>
      </c>
    </row>
    <row r="8" spans="2:123">
      <c r="E8" s="582">
        <f>IF(MONTH(E2)&lt;='Current month'!$B$2,1,0)</f>
        <v>1</v>
      </c>
      <c r="F8" s="582">
        <f>IF(MONTH(F2)&lt;='Current month'!$B$2,1,0)</f>
        <v>1</v>
      </c>
      <c r="G8" s="582">
        <f>IF(MONTH(G2)&lt;='Current month'!$B$2,1,0)</f>
        <v>1</v>
      </c>
      <c r="H8" s="582">
        <f>IF(MONTH(H2)&lt;='Current month'!$B$2,1,0)</f>
        <v>1</v>
      </c>
      <c r="I8" s="582">
        <f>IF(MONTH(I2)&lt;='Current month'!$B$2,1,0)</f>
        <v>1</v>
      </c>
      <c r="J8" s="582">
        <f>IF(MONTH(J2)&lt;='Current month'!$B$2,1,0)</f>
        <v>1</v>
      </c>
      <c r="K8" s="582">
        <f>IF(MONTH(K2)&lt;='Current month'!$B$2,1,0)</f>
        <v>1</v>
      </c>
      <c r="L8" s="582">
        <f>IF(MONTH(L2)&lt;='Current month'!$B$2,1,0)</f>
        <v>1</v>
      </c>
      <c r="M8" s="582">
        <f>IF(MONTH(M2)&lt;='Current month'!$B$2,1,0)</f>
        <v>0</v>
      </c>
      <c r="N8" s="582">
        <f>IF(MONTH(N2)&lt;='Current month'!$B$2,1,0)</f>
        <v>0</v>
      </c>
      <c r="O8" s="582">
        <f>IF(MONTH(O2)&lt;='Current month'!$B$2,1,0)</f>
        <v>0</v>
      </c>
      <c r="P8" s="582">
        <f>IF(MONTH(P2)&lt;='Current month'!$B$2,1,0)</f>
        <v>0</v>
      </c>
      <c r="X8" s="507"/>
      <c r="Y8" s="582">
        <f>IF(MONTH(Y2)&lt;='Current month'!$B$2,1,0)</f>
        <v>1</v>
      </c>
      <c r="Z8" s="582">
        <f>IF(MONTH(Z2)&lt;='Current month'!$B$2,1,0)</f>
        <v>1</v>
      </c>
      <c r="AA8" s="582">
        <f>IF(MONTH(AA2)&lt;='Current month'!$B$2,1,0)</f>
        <v>1</v>
      </c>
      <c r="AB8" s="582">
        <f>IF(MONTH(AB2)&lt;='Current month'!$B$2,1,0)</f>
        <v>1</v>
      </c>
      <c r="AC8" s="582">
        <f>IF(MONTH(AC2)&lt;='Current month'!$B$2,1,0)</f>
        <v>1</v>
      </c>
      <c r="AD8" s="582">
        <f>IF(MONTH(AD2)&lt;='Current month'!$B$2,1,0)</f>
        <v>1</v>
      </c>
      <c r="AE8" s="582">
        <f>IF(MONTH(AE2)&lt;='Current month'!$B$2,1,0)</f>
        <v>1</v>
      </c>
      <c r="AF8" s="582">
        <f>IF(MONTH(AF2)&lt;='Current month'!$B$2,1,0)</f>
        <v>1</v>
      </c>
      <c r="AG8" s="582">
        <f>IF(MONTH(AG2)&lt;='Current month'!$B$2,1,0)</f>
        <v>0</v>
      </c>
      <c r="AH8" s="582">
        <f>IF(MONTH(AH2)&lt;='Current month'!$B$2,1,0)</f>
        <v>0</v>
      </c>
      <c r="AI8" s="582">
        <f>IF(MONTH(AI2)&lt;='Current month'!$B$2,1,0)</f>
        <v>0</v>
      </c>
      <c r="AJ8" s="582">
        <f>IF(MONTH(AJ2)&lt;='Current month'!$B$2,1,0)</f>
        <v>0</v>
      </c>
      <c r="AK8" s="582"/>
      <c r="AL8" s="582"/>
      <c r="AM8" s="582"/>
      <c r="AN8" s="582"/>
      <c r="AO8" s="582"/>
      <c r="AP8" s="582"/>
      <c r="AQ8" s="583"/>
      <c r="AR8" s="583"/>
      <c r="AS8" s="595">
        <f>IF(MONTH(AS2)&lt;='Current month'!$B$2,1,0)</f>
        <v>1</v>
      </c>
      <c r="AT8" s="595">
        <f>IF(MONTH(AT2)&lt;='Current month'!$B$2,1,0)</f>
        <v>1</v>
      </c>
      <c r="AU8" s="595">
        <f>IF(MONTH(AU2)&lt;='Current month'!$B$2,1,0)</f>
        <v>1</v>
      </c>
      <c r="AV8" s="595">
        <f>IF(MONTH(AV2)&lt;='Current month'!$B$2,1,0)</f>
        <v>1</v>
      </c>
      <c r="AW8" s="595">
        <f>IF(MONTH(AW2)&lt;='Current month'!$B$2,1,0)</f>
        <v>1</v>
      </c>
      <c r="AX8" s="595">
        <f>IF(MONTH(AX2)&lt;='Current month'!$B$2,1,0)</f>
        <v>1</v>
      </c>
      <c r="AY8" s="595">
        <f>IF(MONTH(AY2)&lt;='Current month'!$B$2,1,0)</f>
        <v>1</v>
      </c>
      <c r="AZ8" s="595">
        <f>IF(MONTH(AZ2)&lt;='Current month'!$B$2,1,0)</f>
        <v>1</v>
      </c>
      <c r="BA8" s="595">
        <f>IF(MONTH(BA2)&lt;='Current month'!$B$2,1,0)</f>
        <v>0</v>
      </c>
      <c r="BB8" s="595">
        <f>IF(MONTH(BB2)&lt;='Current month'!$B$2,1,0)</f>
        <v>0</v>
      </c>
      <c r="BC8" s="595">
        <f>IF(MONTH(BC2)&lt;='Current month'!$B$2,1,0)</f>
        <v>0</v>
      </c>
      <c r="BD8" s="595">
        <f>IF(MONTH(BD2)&lt;='Current month'!$B$2,1,0)</f>
        <v>0</v>
      </c>
      <c r="CG8" s="436"/>
      <c r="CH8" s="436"/>
      <c r="CI8" s="436"/>
      <c r="CJ8" s="436"/>
      <c r="CK8" s="436"/>
      <c r="CL8" s="436"/>
      <c r="CM8" s="436"/>
      <c r="CN8" s="436"/>
      <c r="CO8" s="436"/>
      <c r="CP8" s="436"/>
      <c r="CQ8" s="436"/>
      <c r="CR8" s="436"/>
      <c r="CS8" s="436"/>
      <c r="CT8" s="436"/>
      <c r="CU8" s="436"/>
      <c r="CV8" s="436"/>
      <c r="CW8" s="436"/>
      <c r="CX8" s="436"/>
      <c r="DA8" s="436"/>
      <c r="DB8" s="436"/>
      <c r="DC8" s="436"/>
      <c r="DD8" s="436"/>
      <c r="DE8" s="436"/>
      <c r="DF8" s="436"/>
      <c r="DG8" s="436"/>
      <c r="DH8" s="436"/>
      <c r="DI8" s="436"/>
      <c r="DJ8" s="436"/>
      <c r="DK8" s="436"/>
      <c r="DL8" s="436"/>
      <c r="DM8" s="436"/>
      <c r="DN8" s="436"/>
      <c r="DO8" s="436"/>
      <c r="DP8" s="436"/>
      <c r="DQ8" s="436"/>
      <c r="DR8" s="436"/>
    </row>
    <row r="9" spans="2:123" hidden="1">
      <c r="C9" s="536"/>
      <c r="D9" s="537"/>
      <c r="E9" s="553"/>
      <c r="F9" s="553"/>
      <c r="G9" s="553"/>
      <c r="H9" s="553"/>
      <c r="I9" s="553"/>
      <c r="J9" s="553"/>
      <c r="K9" s="553"/>
      <c r="L9" s="553"/>
      <c r="M9" s="553"/>
      <c r="N9" s="553"/>
      <c r="O9" s="553"/>
      <c r="P9" s="553"/>
      <c r="Q9" s="553"/>
      <c r="S9" s="545"/>
      <c r="T9" s="545"/>
      <c r="U9" s="545"/>
      <c r="V9" s="545"/>
      <c r="X9" s="507"/>
      <c r="Y9" s="553"/>
      <c r="Z9" s="553"/>
      <c r="AA9" s="553"/>
      <c r="AB9" s="553"/>
      <c r="AC9" s="553"/>
      <c r="AD9" s="553"/>
      <c r="AE9" s="553"/>
      <c r="AF9" s="553"/>
      <c r="AG9" s="553"/>
      <c r="AH9" s="553"/>
      <c r="AI9" s="553"/>
      <c r="AJ9" s="553"/>
      <c r="AK9" s="553"/>
      <c r="AM9" s="545"/>
      <c r="AN9" s="545"/>
      <c r="AO9" s="545"/>
      <c r="AP9" s="545"/>
      <c r="AR9" s="507"/>
      <c r="AS9" s="553"/>
      <c r="AT9" s="553"/>
      <c r="AU9" s="553"/>
      <c r="AV9" s="553"/>
      <c r="AW9" s="553"/>
      <c r="AX9" s="553"/>
      <c r="AY9" s="553"/>
      <c r="AZ9" s="553"/>
      <c r="BA9" s="553"/>
      <c r="BB9" s="553"/>
      <c r="BC9" s="553"/>
      <c r="BD9" s="553"/>
      <c r="BE9" s="553"/>
      <c r="BG9" s="545"/>
      <c r="BH9" s="545"/>
      <c r="BI9" s="545"/>
      <c r="BJ9" s="545"/>
      <c r="BM9" s="553"/>
      <c r="BN9" s="553"/>
      <c r="BO9" s="553"/>
      <c r="BP9" s="553"/>
      <c r="BQ9" s="553"/>
      <c r="BR9" s="553"/>
      <c r="BS9" s="553"/>
      <c r="BT9" s="553"/>
      <c r="BU9" s="553"/>
      <c r="BV9" s="553"/>
      <c r="BW9" s="553"/>
      <c r="BX9" s="553"/>
      <c r="BY9" s="553"/>
      <c r="CA9" s="545"/>
      <c r="CB9" s="545"/>
      <c r="CC9" s="545"/>
      <c r="CD9" s="545"/>
      <c r="CG9" s="569"/>
      <c r="CH9" s="569"/>
      <c r="CI9" s="569"/>
      <c r="CJ9" s="569"/>
      <c r="CK9" s="569"/>
      <c r="CL9" s="569"/>
      <c r="CM9" s="569"/>
      <c r="CN9" s="569"/>
      <c r="CO9" s="569"/>
      <c r="CP9" s="569"/>
      <c r="CQ9" s="569"/>
      <c r="CR9" s="569"/>
      <c r="CS9" s="569"/>
      <c r="CT9" s="436"/>
      <c r="CU9" s="566"/>
      <c r="CV9" s="566"/>
      <c r="CW9" s="566"/>
      <c r="CX9" s="566"/>
      <c r="DA9" s="569"/>
      <c r="DB9" s="569"/>
      <c r="DC9" s="569"/>
      <c r="DD9" s="569"/>
      <c r="DE9" s="569"/>
      <c r="DF9" s="569"/>
      <c r="DG9" s="569"/>
      <c r="DH9" s="569"/>
      <c r="DI9" s="569"/>
      <c r="DJ9" s="569"/>
      <c r="DK9" s="569"/>
      <c r="DL9" s="569"/>
      <c r="DM9" s="569"/>
      <c r="DN9" s="436"/>
      <c r="DO9" s="566"/>
      <c r="DP9" s="566"/>
      <c r="DQ9" s="566"/>
      <c r="DR9" s="566"/>
    </row>
    <row r="10" spans="2:123" s="468" customFormat="1" hidden="1">
      <c r="C10" s="540"/>
      <c r="D10" s="541"/>
      <c r="E10" s="550"/>
      <c r="F10" s="550"/>
      <c r="G10" s="550"/>
      <c r="H10" s="551"/>
      <c r="I10" s="551"/>
      <c r="J10" s="551"/>
      <c r="K10" s="551"/>
      <c r="L10" s="551"/>
      <c r="M10" s="551"/>
      <c r="N10" s="551"/>
      <c r="O10" s="551"/>
      <c r="P10" s="551"/>
      <c r="Q10" s="552"/>
      <c r="S10" s="551"/>
      <c r="T10" s="551"/>
      <c r="U10" s="551"/>
      <c r="V10" s="551"/>
      <c r="X10" s="507"/>
      <c r="Y10" s="550"/>
      <c r="Z10" s="550"/>
      <c r="AA10" s="550"/>
      <c r="AB10" s="551"/>
      <c r="AC10" s="551"/>
      <c r="AD10" s="551"/>
      <c r="AE10" s="551"/>
      <c r="AF10" s="551"/>
      <c r="AG10" s="551"/>
      <c r="AH10" s="551"/>
      <c r="AI10" s="551"/>
      <c r="AJ10" s="551"/>
      <c r="AK10" s="552"/>
      <c r="AM10" s="551"/>
      <c r="AN10" s="551"/>
      <c r="AO10" s="551"/>
      <c r="AP10" s="551"/>
      <c r="AR10" s="507"/>
      <c r="AS10" s="554"/>
      <c r="AT10" s="554"/>
      <c r="AU10" s="554"/>
      <c r="AV10" s="554"/>
      <c r="AW10" s="554"/>
      <c r="AX10" s="554"/>
      <c r="AY10" s="554"/>
      <c r="AZ10" s="551"/>
      <c r="BA10" s="551"/>
      <c r="BB10" s="551"/>
      <c r="BC10" s="551"/>
      <c r="BD10" s="551"/>
      <c r="BE10" s="552"/>
      <c r="BG10" s="551"/>
      <c r="BH10" s="551"/>
      <c r="BI10" s="551"/>
      <c r="BJ10" s="551"/>
      <c r="BM10" s="550"/>
      <c r="BN10" s="550"/>
      <c r="BO10" s="550"/>
      <c r="BP10" s="551"/>
      <c r="BQ10" s="551"/>
      <c r="BR10" s="551"/>
      <c r="BS10" s="551"/>
      <c r="BT10" s="551"/>
      <c r="BU10" s="551"/>
      <c r="BV10" s="551"/>
      <c r="BW10" s="551"/>
      <c r="BX10" s="551"/>
      <c r="BY10" s="552"/>
      <c r="CA10" s="551"/>
      <c r="CB10" s="551"/>
      <c r="CC10" s="551"/>
      <c r="CD10" s="551"/>
      <c r="CG10" s="585"/>
      <c r="CH10" s="585"/>
      <c r="CI10" s="585"/>
      <c r="CJ10" s="575"/>
      <c r="CK10" s="575"/>
      <c r="CL10" s="575"/>
      <c r="CM10" s="575"/>
      <c r="CN10" s="575"/>
      <c r="CO10" s="575"/>
      <c r="CP10" s="575"/>
      <c r="CQ10" s="575"/>
      <c r="CR10" s="575"/>
      <c r="CS10" s="576"/>
      <c r="CT10" s="573"/>
      <c r="CU10" s="575"/>
      <c r="CV10" s="575"/>
      <c r="CW10" s="575"/>
      <c r="CX10" s="575"/>
      <c r="DA10" s="585"/>
      <c r="DB10" s="585"/>
      <c r="DC10" s="585"/>
      <c r="DD10" s="575"/>
      <c r="DE10" s="575"/>
      <c r="DF10" s="575"/>
      <c r="DG10" s="575"/>
      <c r="DH10" s="575"/>
      <c r="DI10" s="575"/>
      <c r="DJ10" s="575"/>
      <c r="DK10" s="575"/>
      <c r="DL10" s="575"/>
      <c r="DM10" s="576"/>
      <c r="DN10" s="573"/>
      <c r="DO10" s="575"/>
      <c r="DP10" s="575"/>
      <c r="DQ10" s="575"/>
      <c r="DR10" s="575"/>
    </row>
    <row r="11" spans="2:123" hidden="1">
      <c r="X11" s="507"/>
      <c r="AR11" s="507"/>
      <c r="AV11" s="587"/>
      <c r="CG11" s="436"/>
      <c r="CH11" s="436"/>
      <c r="CI11" s="436"/>
      <c r="CJ11" s="436"/>
      <c r="CK11" s="436"/>
      <c r="CL11" s="436"/>
      <c r="CM11" s="436"/>
      <c r="CN11" s="436"/>
      <c r="CO11" s="436"/>
      <c r="CP11" s="436"/>
      <c r="CQ11" s="436"/>
      <c r="CR11" s="436"/>
      <c r="CS11" s="436"/>
      <c r="CT11" s="436"/>
      <c r="CU11" s="436"/>
      <c r="CV11" s="436"/>
      <c r="CW11" s="436"/>
      <c r="CX11" s="436"/>
      <c r="DA11" s="436"/>
      <c r="DB11" s="436"/>
      <c r="DC11" s="436"/>
      <c r="DD11" s="436"/>
      <c r="DE11" s="436"/>
      <c r="DF11" s="436"/>
      <c r="DG11" s="436"/>
      <c r="DH11" s="436"/>
      <c r="DI11" s="436"/>
      <c r="DJ11" s="436"/>
      <c r="DK11" s="436"/>
      <c r="DL11" s="436"/>
      <c r="DM11" s="436"/>
      <c r="DN11" s="436"/>
      <c r="DO11" s="436"/>
      <c r="DP11" s="436"/>
      <c r="DQ11" s="436"/>
      <c r="DR11" s="436"/>
    </row>
    <row r="12" spans="2:123">
      <c r="C12" s="536" t="s">
        <v>137</v>
      </c>
      <c r="D12" s="537"/>
      <c r="E12" s="553">
        <f>SUBTOTAL(9,E13:E16)</f>
        <v>67916.666666666672</v>
      </c>
      <c r="F12" s="553">
        <f t="shared" ref="F12:G12" si="53">SUBTOTAL(9,F13:F16)</f>
        <v>67916.666666666672</v>
      </c>
      <c r="G12" s="553">
        <f t="shared" si="53"/>
        <v>67916.666666666672</v>
      </c>
      <c r="H12" s="553">
        <f>SUBTOTAL(9,H13:H16)</f>
        <v>67916.666666666672</v>
      </c>
      <c r="I12" s="553">
        <f t="shared" ref="I12:J12" si="54">SUBTOTAL(9,I13:I16)</f>
        <v>67916.666666666672</v>
      </c>
      <c r="J12" s="553">
        <f t="shared" si="54"/>
        <v>67916.666666666672</v>
      </c>
      <c r="K12" s="553">
        <f>SUBTOTAL(9,K13:K16)</f>
        <v>67916.666666666672</v>
      </c>
      <c r="L12" s="553">
        <f t="shared" ref="L12:M12" si="55">SUBTOTAL(9,L13:L16)</f>
        <v>67916.666666666672</v>
      </c>
      <c r="M12" s="553">
        <f t="shared" si="55"/>
        <v>67916.666666666672</v>
      </c>
      <c r="N12" s="553">
        <f>SUBTOTAL(9,N13:N16)</f>
        <v>67916.666666666672</v>
      </c>
      <c r="O12" s="553">
        <f t="shared" ref="O12:Q12" si="56">SUBTOTAL(9,O13:O16)</f>
        <v>67916.666666666672</v>
      </c>
      <c r="P12" s="553">
        <f t="shared" si="56"/>
        <v>67916.666666666672</v>
      </c>
      <c r="Q12" s="553">
        <f t="shared" si="56"/>
        <v>814999.99999999988</v>
      </c>
      <c r="S12" s="545">
        <f t="shared" ref="S12:V12" si="57">SUBTOTAL(9,S13:S16)</f>
        <v>203750</v>
      </c>
      <c r="T12" s="545">
        <f t="shared" si="57"/>
        <v>203750</v>
      </c>
      <c r="U12" s="545">
        <f t="shared" si="57"/>
        <v>203750</v>
      </c>
      <c r="V12" s="545">
        <f t="shared" si="57"/>
        <v>203750</v>
      </c>
      <c r="X12" s="507"/>
      <c r="Y12" s="553">
        <f>SUBTOTAL(9,Y13:Y16)</f>
        <v>67916.666666666672</v>
      </c>
      <c r="Z12" s="553">
        <f t="shared" ref="Z12:AA12" si="58">SUBTOTAL(9,Z13:Z16)</f>
        <v>67916.666666666672</v>
      </c>
      <c r="AA12" s="553">
        <f t="shared" si="58"/>
        <v>67916.666666666672</v>
      </c>
      <c r="AB12" s="553">
        <f>SUBTOTAL(9,AB13:AB16)</f>
        <v>67916.666666666672</v>
      </c>
      <c r="AC12" s="553">
        <f t="shared" ref="AC12:AD12" si="59">SUBTOTAL(9,AC13:AC16)</f>
        <v>67916.666666666672</v>
      </c>
      <c r="AD12" s="553">
        <f t="shared" si="59"/>
        <v>67916.666666666672</v>
      </c>
      <c r="AE12" s="553">
        <f>SUBTOTAL(9,AE13:AE16)</f>
        <v>67916.666666666672</v>
      </c>
      <c r="AF12" s="553">
        <f t="shared" ref="AF12:AG12" si="60">SUBTOTAL(9,AF13:AF16)</f>
        <v>67916.666666666672</v>
      </c>
      <c r="AG12" s="553">
        <f t="shared" si="60"/>
        <v>67916.666666666672</v>
      </c>
      <c r="AH12" s="553">
        <f>SUBTOTAL(9,AH13:AH16)</f>
        <v>67916.666666666672</v>
      </c>
      <c r="AI12" s="553">
        <f t="shared" ref="AI12:AK12" si="61">SUBTOTAL(9,AI13:AI16)</f>
        <v>67916.666666666672</v>
      </c>
      <c r="AJ12" s="553">
        <f t="shared" si="61"/>
        <v>67916.666666666672</v>
      </c>
      <c r="AK12" s="553">
        <f t="shared" si="61"/>
        <v>814999.99999999988</v>
      </c>
      <c r="AM12" s="545">
        <f t="shared" ref="AM12:AP12" si="62">SUBTOTAL(9,AM13:AM16)</f>
        <v>203750</v>
      </c>
      <c r="AN12" s="545">
        <f t="shared" si="62"/>
        <v>203750</v>
      </c>
      <c r="AO12" s="545">
        <f t="shared" si="62"/>
        <v>203750</v>
      </c>
      <c r="AP12" s="545">
        <f t="shared" si="62"/>
        <v>203750</v>
      </c>
      <c r="AR12" s="507"/>
      <c r="AS12" s="553">
        <f>SUBTOTAL(9,AS13:AS16)</f>
        <v>529.45000000000005</v>
      </c>
      <c r="AT12" s="553">
        <f t="shared" ref="AT12:AU12" si="63">SUBTOTAL(9,AT13:AT16)</f>
        <v>69.75</v>
      </c>
      <c r="AU12" s="553">
        <f t="shared" si="63"/>
        <v>20235</v>
      </c>
      <c r="AV12" s="553">
        <f>SUBTOTAL(9,AV13:AV16)</f>
        <v>545.70000000000073</v>
      </c>
      <c r="AW12" s="553">
        <f t="shared" ref="AW12:AX12" si="64">SUBTOTAL(9,AW13:AW16)</f>
        <v>3356.03</v>
      </c>
      <c r="AX12" s="553">
        <f t="shared" si="64"/>
        <v>8945.15</v>
      </c>
      <c r="AY12" s="553">
        <f>SUBTOTAL(9,AY13:AY16)</f>
        <v>103202.75000000001</v>
      </c>
      <c r="AZ12" s="553">
        <f t="shared" ref="AZ12:BA12" si="65">SUBTOTAL(9,AZ13:AZ16)</f>
        <v>22185.38</v>
      </c>
      <c r="BA12" s="553">
        <f t="shared" si="65"/>
        <v>0</v>
      </c>
      <c r="BB12" s="553">
        <f>SUBTOTAL(9,BB13:BB16)</f>
        <v>0</v>
      </c>
      <c r="BC12" s="553">
        <f t="shared" ref="BC12:BE12" si="66">SUBTOTAL(9,BC13:BC16)</f>
        <v>0</v>
      </c>
      <c r="BD12" s="553">
        <f t="shared" si="66"/>
        <v>0</v>
      </c>
      <c r="BE12" s="553">
        <f t="shared" si="66"/>
        <v>159069.21000000002</v>
      </c>
      <c r="BG12" s="545">
        <f t="shared" ref="BG12:BJ12" si="67">SUBTOTAL(9,BG13:BG16)</f>
        <v>20834.2</v>
      </c>
      <c r="BH12" s="545">
        <f t="shared" si="67"/>
        <v>12846.880000000001</v>
      </c>
      <c r="BI12" s="545">
        <f t="shared" si="67"/>
        <v>125388.13000000002</v>
      </c>
      <c r="BJ12" s="545">
        <f t="shared" si="67"/>
        <v>0</v>
      </c>
      <c r="BM12" s="553">
        <f>SUBTOTAL(9,BM13:BM16)</f>
        <v>-67387.216666666674</v>
      </c>
      <c r="BN12" s="553">
        <f t="shared" ref="BN12:BO12" si="68">SUBTOTAL(9,BN13:BN16)</f>
        <v>-67846.916666666672</v>
      </c>
      <c r="BO12" s="553">
        <f t="shared" si="68"/>
        <v>-47681.666666666672</v>
      </c>
      <c r="BP12" s="553">
        <f>SUBTOTAL(9,BP13:BP16)</f>
        <v>-67370.966666666674</v>
      </c>
      <c r="BQ12" s="553">
        <f t="shared" ref="BQ12:BR12" si="69">SUBTOTAL(9,BQ13:BQ16)</f>
        <v>-64560.636666666673</v>
      </c>
      <c r="BR12" s="553">
        <f t="shared" si="69"/>
        <v>0</v>
      </c>
      <c r="BS12" s="553">
        <f>SUBTOTAL(9,BS13:BS16)</f>
        <v>0</v>
      </c>
      <c r="BT12" s="553">
        <f t="shared" ref="BT12:BU12" si="70">SUBTOTAL(9,BT13:BT16)</f>
        <v>0</v>
      </c>
      <c r="BU12" s="553">
        <f t="shared" si="70"/>
        <v>0</v>
      </c>
      <c r="BV12" s="553">
        <f>SUBTOTAL(9,BV13:BV16)</f>
        <v>0</v>
      </c>
      <c r="BW12" s="553">
        <f t="shared" ref="BW12:BY12" si="71">SUBTOTAL(9,BW13:BW16)</f>
        <v>0</v>
      </c>
      <c r="BX12" s="553">
        <f t="shared" si="71"/>
        <v>0</v>
      </c>
      <c r="BY12" s="553">
        <f t="shared" si="71"/>
        <v>-314847.40333333338</v>
      </c>
      <c r="CA12" s="545">
        <f t="shared" ref="CA12:CD12" si="72">SUBTOTAL(9,CA13:CA16)</f>
        <v>-182915.80000000005</v>
      </c>
      <c r="CB12" s="545">
        <f t="shared" si="72"/>
        <v>-131931.60333333333</v>
      </c>
      <c r="CC12" s="545">
        <f t="shared" si="72"/>
        <v>0</v>
      </c>
      <c r="CD12" s="545">
        <f t="shared" si="72"/>
        <v>0</v>
      </c>
      <c r="CG12" s="569">
        <f t="shared" ref="CG12:CS16" si="73">IFERROR(AS12/E12,0)</f>
        <v>7.7955828220858895E-3</v>
      </c>
      <c r="CH12" s="569">
        <f t="shared" si="73"/>
        <v>1.0269938650306748E-3</v>
      </c>
      <c r="CI12" s="569">
        <f t="shared" si="73"/>
        <v>0.29793865030674843</v>
      </c>
      <c r="CJ12" s="569">
        <f t="shared" si="73"/>
        <v>8.034846625766881E-3</v>
      </c>
      <c r="CK12" s="569">
        <f t="shared" si="73"/>
        <v>4.941393865030675E-2</v>
      </c>
      <c r="CL12" s="569">
        <f t="shared" si="73"/>
        <v>0.13170773006134967</v>
      </c>
      <c r="CM12" s="569">
        <f t="shared" si="73"/>
        <v>1.5195496932515338</v>
      </c>
      <c r="CN12" s="569">
        <f t="shared" si="73"/>
        <v>0.32665590184049081</v>
      </c>
      <c r="CO12" s="569">
        <f t="shared" si="73"/>
        <v>0</v>
      </c>
      <c r="CP12" s="569">
        <f t="shared" si="73"/>
        <v>0</v>
      </c>
      <c r="CQ12" s="569">
        <f t="shared" si="73"/>
        <v>0</v>
      </c>
      <c r="CR12" s="569">
        <f t="shared" si="73"/>
        <v>0</v>
      </c>
      <c r="CS12" s="569">
        <f t="shared" si="73"/>
        <v>0.19517694478527614</v>
      </c>
      <c r="CT12" s="436"/>
      <c r="CU12" s="566">
        <f t="shared" ref="CU12:CX16" si="74">IFERROR(BG12/S12,0)</f>
        <v>0.10225374233128835</v>
      </c>
      <c r="CV12" s="566">
        <f t="shared" si="74"/>
        <v>6.3052171779141103E-2</v>
      </c>
      <c r="CW12" s="566">
        <f t="shared" si="74"/>
        <v>0.61540186503067495</v>
      </c>
      <c r="CX12" s="566">
        <f t="shared" si="74"/>
        <v>0</v>
      </c>
      <c r="DA12" s="569">
        <f t="shared" ref="DA12:DA16" si="75">IFERROR(AS12/Y12,0)</f>
        <v>7.7955828220858895E-3</v>
      </c>
      <c r="DB12" s="569">
        <f t="shared" ref="DB12:DB16" si="76">IFERROR(AT12/Z12,0)</f>
        <v>1.0269938650306748E-3</v>
      </c>
      <c r="DC12" s="569">
        <f t="shared" ref="DC12:DC16" si="77">IFERROR(AU12/AA12,0)</f>
        <v>0.29793865030674843</v>
      </c>
      <c r="DD12" s="569">
        <f t="shared" ref="DD12:DD16" si="78">IFERROR(AV12/AB12,0)</f>
        <v>8.034846625766881E-3</v>
      </c>
      <c r="DE12" s="569">
        <f t="shared" ref="DE12:DE16" si="79">IFERROR(AW12/AC12,0)</f>
        <v>4.941393865030675E-2</v>
      </c>
      <c r="DF12" s="569">
        <f t="shared" ref="DF12:DF16" si="80">IFERROR(AX12/AD12,0)</f>
        <v>0.13170773006134967</v>
      </c>
      <c r="DG12" s="569">
        <f t="shared" ref="DG12:DG16" si="81">IFERROR(AY12/AE12,0)</f>
        <v>1.5195496932515338</v>
      </c>
      <c r="DH12" s="569">
        <f t="shared" ref="DH12:DH16" si="82">IFERROR(AZ12/AF12,0)</f>
        <v>0.32665590184049081</v>
      </c>
      <c r="DI12" s="569">
        <f t="shared" ref="DI12:DI16" si="83">IFERROR(BA12/AG12,0)</f>
        <v>0</v>
      </c>
      <c r="DJ12" s="569">
        <f t="shared" ref="DJ12:DJ16" si="84">IFERROR(BB12/AH12,0)</f>
        <v>0</v>
      </c>
      <c r="DK12" s="569">
        <f t="shared" ref="DK12:DK16" si="85">IFERROR(BC12/AI12,0)</f>
        <v>0</v>
      </c>
      <c r="DL12" s="569">
        <f t="shared" ref="DL12:DL16" si="86">IFERROR(BD12/AJ12,0)</f>
        <v>0</v>
      </c>
      <c r="DM12" s="569">
        <f t="shared" ref="DM12:DM16" si="87">IFERROR(BE12/AK12,0)</f>
        <v>0.19517694478527614</v>
      </c>
      <c r="DN12" s="436"/>
      <c r="DO12" s="566">
        <f t="shared" ref="DO12:DR16" si="88">IFERROR(CA12/AM12,0)</f>
        <v>-0.89774625766871186</v>
      </c>
      <c r="DP12" s="566">
        <f t="shared" si="88"/>
        <v>-0.64751707157464211</v>
      </c>
      <c r="DQ12" s="566">
        <f t="shared" si="88"/>
        <v>0</v>
      </c>
      <c r="DR12" s="566">
        <f t="shared" si="88"/>
        <v>0</v>
      </c>
    </row>
    <row r="13" spans="2:123" s="468" customFormat="1" hidden="1">
      <c r="C13" s="538"/>
      <c r="D13" s="539"/>
      <c r="E13" s="581"/>
      <c r="F13" s="581"/>
      <c r="G13" s="581"/>
      <c r="H13" s="547"/>
      <c r="I13" s="547"/>
      <c r="J13" s="547"/>
      <c r="K13" s="547"/>
      <c r="L13" s="547"/>
      <c r="M13" s="547"/>
      <c r="N13" s="547"/>
      <c r="O13" s="547"/>
      <c r="P13" s="547"/>
      <c r="Q13" s="548"/>
      <c r="S13" s="547"/>
      <c r="T13" s="547"/>
      <c r="U13" s="547"/>
      <c r="V13" s="547"/>
      <c r="X13" s="507"/>
      <c r="Y13" s="581"/>
      <c r="Z13" s="581"/>
      <c r="AA13" s="581"/>
      <c r="AB13" s="547"/>
      <c r="AC13" s="547"/>
      <c r="AD13" s="547"/>
      <c r="AE13" s="547"/>
      <c r="AF13" s="547"/>
      <c r="AG13" s="547"/>
      <c r="AH13" s="547"/>
      <c r="AI13" s="547"/>
      <c r="AJ13" s="547"/>
      <c r="AK13" s="548"/>
      <c r="AM13" s="547"/>
      <c r="AN13" s="547"/>
      <c r="AO13" s="547"/>
      <c r="AP13" s="547"/>
      <c r="AR13" s="507"/>
      <c r="AS13" s="570"/>
      <c r="AT13" s="570"/>
      <c r="AU13" s="570"/>
      <c r="AV13" s="570"/>
      <c r="AW13" s="570"/>
      <c r="AX13" s="570"/>
      <c r="AY13" s="570"/>
      <c r="AZ13" s="547"/>
      <c r="BA13" s="547"/>
      <c r="BB13" s="547"/>
      <c r="BC13" s="547"/>
      <c r="BD13" s="547"/>
      <c r="BE13" s="548"/>
      <c r="BG13" s="547"/>
      <c r="BH13" s="547"/>
      <c r="BI13" s="547"/>
      <c r="BJ13" s="547"/>
      <c r="BM13" s="581"/>
      <c r="BN13" s="581"/>
      <c r="BO13" s="581"/>
      <c r="BP13" s="547"/>
      <c r="BQ13" s="547"/>
      <c r="BR13" s="547"/>
      <c r="BS13" s="547"/>
      <c r="BT13" s="547"/>
      <c r="BU13" s="547"/>
      <c r="BV13" s="547"/>
      <c r="BW13" s="547"/>
      <c r="BX13" s="547"/>
      <c r="BY13" s="548"/>
      <c r="CA13" s="547"/>
      <c r="CB13" s="547"/>
      <c r="CC13" s="547"/>
      <c r="CD13" s="547"/>
      <c r="CG13" s="584"/>
      <c r="CH13" s="584"/>
      <c r="CI13" s="584"/>
      <c r="CJ13" s="571"/>
      <c r="CK13" s="571"/>
      <c r="CL13" s="571"/>
      <c r="CM13" s="571"/>
      <c r="CN13" s="571"/>
      <c r="CO13" s="571"/>
      <c r="CP13" s="571"/>
      <c r="CQ13" s="571"/>
      <c r="CR13" s="571"/>
      <c r="CS13" s="572"/>
      <c r="CT13" s="573"/>
      <c r="CU13" s="571"/>
      <c r="CV13" s="571"/>
      <c r="CW13" s="571"/>
      <c r="CX13" s="571"/>
      <c r="DA13" s="584"/>
      <c r="DB13" s="584"/>
      <c r="DC13" s="584"/>
      <c r="DD13" s="571"/>
      <c r="DE13" s="571"/>
      <c r="DF13" s="571"/>
      <c r="DG13" s="571"/>
      <c r="DH13" s="571"/>
      <c r="DI13" s="571"/>
      <c r="DJ13" s="571"/>
      <c r="DK13" s="571"/>
      <c r="DL13" s="571"/>
      <c r="DM13" s="572"/>
      <c r="DN13" s="573"/>
      <c r="DO13" s="571"/>
      <c r="DP13" s="571"/>
      <c r="DQ13" s="571"/>
      <c r="DR13" s="571"/>
    </row>
    <row r="14" spans="2:123" s="468" customFormat="1" hidden="1">
      <c r="C14" s="538"/>
      <c r="D14" s="539"/>
      <c r="E14" s="581"/>
      <c r="F14" s="581"/>
      <c r="G14" s="581"/>
      <c r="H14" s="547"/>
      <c r="I14" s="547"/>
      <c r="J14" s="547"/>
      <c r="K14" s="547"/>
      <c r="L14" s="547"/>
      <c r="M14" s="547"/>
      <c r="N14" s="547"/>
      <c r="O14" s="547"/>
      <c r="P14" s="547"/>
      <c r="Q14" s="548"/>
      <c r="S14" s="547"/>
      <c r="T14" s="547"/>
      <c r="U14" s="547"/>
      <c r="V14" s="547"/>
      <c r="X14" s="507"/>
      <c r="Y14" s="581"/>
      <c r="Z14" s="581"/>
      <c r="AA14" s="581"/>
      <c r="AB14" s="547"/>
      <c r="AC14" s="547"/>
      <c r="AD14" s="547"/>
      <c r="AE14" s="547"/>
      <c r="AF14" s="547"/>
      <c r="AG14" s="547"/>
      <c r="AH14" s="547"/>
      <c r="AI14" s="547"/>
      <c r="AJ14" s="547"/>
      <c r="AK14" s="548"/>
      <c r="AM14" s="547"/>
      <c r="AN14" s="547"/>
      <c r="AO14" s="547"/>
      <c r="AP14" s="547"/>
      <c r="AR14" s="507"/>
      <c r="AS14" s="570"/>
      <c r="AT14" s="570"/>
      <c r="AU14" s="570"/>
      <c r="AV14" s="570"/>
      <c r="AW14" s="570"/>
      <c r="AX14" s="570"/>
      <c r="AY14" s="570"/>
      <c r="AZ14" s="547"/>
      <c r="BA14" s="547"/>
      <c r="BB14" s="547"/>
      <c r="BC14" s="547"/>
      <c r="BD14" s="547"/>
      <c r="BE14" s="548"/>
      <c r="BG14" s="547"/>
      <c r="BH14" s="547"/>
      <c r="BI14" s="547"/>
      <c r="BJ14" s="547"/>
      <c r="BM14" s="581"/>
      <c r="BN14" s="581"/>
      <c r="BO14" s="581"/>
      <c r="BP14" s="547"/>
      <c r="BQ14" s="547"/>
      <c r="BR14" s="547"/>
      <c r="BS14" s="547"/>
      <c r="BT14" s="547"/>
      <c r="BU14" s="547"/>
      <c r="BV14" s="547"/>
      <c r="BW14" s="547"/>
      <c r="BX14" s="547"/>
      <c r="BY14" s="548"/>
      <c r="CA14" s="547"/>
      <c r="CB14" s="547"/>
      <c r="CC14" s="547"/>
      <c r="CD14" s="547"/>
      <c r="CG14" s="584"/>
      <c r="CH14" s="584"/>
      <c r="CI14" s="584"/>
      <c r="CJ14" s="571"/>
      <c r="CK14" s="571"/>
      <c r="CL14" s="571"/>
      <c r="CM14" s="571"/>
      <c r="CN14" s="571"/>
      <c r="CO14" s="571"/>
      <c r="CP14" s="571"/>
      <c r="CQ14" s="571"/>
      <c r="CR14" s="571"/>
      <c r="CS14" s="572"/>
      <c r="CT14" s="573"/>
      <c r="CU14" s="571"/>
      <c r="CV14" s="571"/>
      <c r="CW14" s="571"/>
      <c r="CX14" s="571"/>
      <c r="DA14" s="584"/>
      <c r="DB14" s="584"/>
      <c r="DC14" s="584"/>
      <c r="DD14" s="571"/>
      <c r="DE14" s="571"/>
      <c r="DF14" s="571"/>
      <c r="DG14" s="571"/>
      <c r="DH14" s="571"/>
      <c r="DI14" s="571"/>
      <c r="DJ14" s="571"/>
      <c r="DK14" s="571"/>
      <c r="DL14" s="571"/>
      <c r="DM14" s="572"/>
      <c r="DN14" s="573"/>
      <c r="DO14" s="571"/>
      <c r="DP14" s="571"/>
      <c r="DQ14" s="571"/>
      <c r="DR14" s="571"/>
    </row>
    <row r="15" spans="2:123" s="468" customFormat="1">
      <c r="C15" s="540" t="s">
        <v>148</v>
      </c>
      <c r="D15" s="541" t="s">
        <v>73</v>
      </c>
      <c r="E15" s="550">
        <v>67916.666666666672</v>
      </c>
      <c r="F15" s="550">
        <v>67916.666666666672</v>
      </c>
      <c r="G15" s="550">
        <v>67916.666666666672</v>
      </c>
      <c r="H15" s="551">
        <v>67916.666666666672</v>
      </c>
      <c r="I15" s="551">
        <v>67916.666666666672</v>
      </c>
      <c r="J15" s="551">
        <v>67916.666666666672</v>
      </c>
      <c r="K15" s="551">
        <v>67916.666666666672</v>
      </c>
      <c r="L15" s="551">
        <v>67916.666666666672</v>
      </c>
      <c r="M15" s="551">
        <v>67916.666666666672</v>
      </c>
      <c r="N15" s="551">
        <v>67916.666666666672</v>
      </c>
      <c r="O15" s="551">
        <v>67916.666666666672</v>
      </c>
      <c r="P15" s="551">
        <v>67916.666666666672</v>
      </c>
      <c r="Q15" s="552">
        <f t="shared" ref="Q14:Q16" si="89">SUM(E15:P15)</f>
        <v>814999.99999999988</v>
      </c>
      <c r="S15" s="551">
        <f>SUM(E15:G15)</f>
        <v>203750</v>
      </c>
      <c r="T15" s="551">
        <f>SUM(H15:J15)</f>
        <v>203750</v>
      </c>
      <c r="U15" s="551">
        <f>SUM(K15:M15)</f>
        <v>203750</v>
      </c>
      <c r="V15" s="551">
        <f>SUM(N15:P15)</f>
        <v>203750</v>
      </c>
      <c r="X15" s="507" t="s">
        <v>73</v>
      </c>
      <c r="Y15" s="550">
        <v>67916.666666666672</v>
      </c>
      <c r="Z15" s="550">
        <v>67916.666666666672</v>
      </c>
      <c r="AA15" s="550">
        <v>67916.666666666672</v>
      </c>
      <c r="AB15" s="551">
        <v>67916.666666666672</v>
      </c>
      <c r="AC15" s="551">
        <v>67916.666666666672</v>
      </c>
      <c r="AD15" s="551">
        <v>67916.666666666672</v>
      </c>
      <c r="AE15" s="551">
        <v>67916.666666666672</v>
      </c>
      <c r="AF15" s="551">
        <v>67916.666666666672</v>
      </c>
      <c r="AG15" s="551">
        <v>67916.666666666672</v>
      </c>
      <c r="AH15" s="551">
        <v>67916.666666666672</v>
      </c>
      <c r="AI15" s="551">
        <v>67916.666666666672</v>
      </c>
      <c r="AJ15" s="551">
        <v>67916.666666666672</v>
      </c>
      <c r="AK15" s="552">
        <f t="shared" ref="AK14:AK16" si="90">SUM(Y15:AJ15)</f>
        <v>814999.99999999988</v>
      </c>
      <c r="AM15" s="551">
        <f t="shared" ref="AM13:AM16" si="91">SUM(Y15:AA15)</f>
        <v>203750</v>
      </c>
      <c r="AN15" s="551">
        <f t="shared" ref="AN13:AN16" si="92">SUM(AB15:AD15)</f>
        <v>203750</v>
      </c>
      <c r="AO15" s="551">
        <f t="shared" ref="AO13:AO16" si="93">SUM(AE15:AG15)</f>
        <v>203750</v>
      </c>
      <c r="AP15" s="551">
        <f t="shared" ref="AP13:AP16" si="94">SUM(AH15:AJ15)</f>
        <v>203750</v>
      </c>
      <c r="AR15" s="507" t="s">
        <v>73</v>
      </c>
      <c r="AS15" s="554">
        <v>529.45000000000005</v>
      </c>
      <c r="AT15" s="554">
        <v>69.75</v>
      </c>
      <c r="AU15" s="554">
        <v>20235</v>
      </c>
      <c r="AV15" s="554">
        <v>545.70000000000073</v>
      </c>
      <c r="AW15" s="554">
        <v>3356.03</v>
      </c>
      <c r="AX15" s="554">
        <v>8945.15</v>
      </c>
      <c r="AY15" s="554">
        <v>103202.75000000001</v>
      </c>
      <c r="AZ15" s="554">
        <v>22185.38</v>
      </c>
      <c r="BA15" s="551"/>
      <c r="BB15" s="551"/>
      <c r="BC15" s="551"/>
      <c r="BD15" s="551"/>
      <c r="BE15" s="552">
        <f t="shared" ref="BE14:BE16" si="95">SUM(AS15:BD15)</f>
        <v>159069.21000000002</v>
      </c>
      <c r="BG15" s="551">
        <f t="shared" ref="BG13:BG16" si="96">SUM(AS15:AU15)</f>
        <v>20834.2</v>
      </c>
      <c r="BH15" s="551">
        <f t="shared" ref="BH13:BH16" si="97">SUM(AV15:AX15)</f>
        <v>12846.880000000001</v>
      </c>
      <c r="BI15" s="551">
        <f t="shared" ref="BI13:BI16" si="98">SUM(AY15:BA15)</f>
        <v>125388.13000000002</v>
      </c>
      <c r="BJ15" s="551">
        <f t="shared" ref="BJ13:BJ16" si="99">SUM(BB15:BD15)</f>
        <v>0</v>
      </c>
      <c r="BM15" s="550">
        <f t="shared" ref="BM13:BQ16" si="100">AS15-E15</f>
        <v>-67387.216666666674</v>
      </c>
      <c r="BN15" s="550">
        <f t="shared" si="100"/>
        <v>-67846.916666666672</v>
      </c>
      <c r="BO15" s="550">
        <f t="shared" si="100"/>
        <v>-47681.666666666672</v>
      </c>
      <c r="BP15" s="551">
        <f t="shared" si="100"/>
        <v>-67370.966666666674</v>
      </c>
      <c r="BQ15" s="551">
        <f t="shared" si="100"/>
        <v>-64560.636666666673</v>
      </c>
      <c r="BR15" s="551"/>
      <c r="BS15" s="551"/>
      <c r="BT15" s="551"/>
      <c r="BU15" s="551"/>
      <c r="BV15" s="551"/>
      <c r="BW15" s="551"/>
      <c r="BX15" s="551"/>
      <c r="BY15" s="552">
        <f t="shared" ref="BY14:BY16" si="101">SUM(BM15:BX15)</f>
        <v>-314847.40333333338</v>
      </c>
      <c r="CA15" s="551">
        <f t="shared" ref="CA13:CA16" si="102">SUM(BM15:BO15)</f>
        <v>-182915.80000000005</v>
      </c>
      <c r="CB15" s="551">
        <f t="shared" ref="CB13:CB16" si="103">SUM(BP15:BR15)</f>
        <v>-131931.60333333333</v>
      </c>
      <c r="CC15" s="551">
        <f t="shared" ref="CC13:CC16" si="104">SUM(BS15:BU15)</f>
        <v>0</v>
      </c>
      <c r="CD15" s="551">
        <f t="shared" ref="CD13:CD16" si="105">SUM(BV15:BX15)</f>
        <v>0</v>
      </c>
      <c r="CG15" s="585">
        <f t="shared" si="73"/>
        <v>7.7955828220858895E-3</v>
      </c>
      <c r="CH15" s="585">
        <f t="shared" si="73"/>
        <v>1.0269938650306748E-3</v>
      </c>
      <c r="CI15" s="585">
        <f t="shared" si="73"/>
        <v>0.29793865030674843</v>
      </c>
      <c r="CJ15" s="575">
        <f t="shared" si="73"/>
        <v>8.034846625766881E-3</v>
      </c>
      <c r="CK15" s="575">
        <f t="shared" si="73"/>
        <v>4.941393865030675E-2</v>
      </c>
      <c r="CL15" s="575">
        <f t="shared" si="73"/>
        <v>0.13170773006134967</v>
      </c>
      <c r="CM15" s="575">
        <f t="shared" si="73"/>
        <v>1.5195496932515338</v>
      </c>
      <c r="CN15" s="575">
        <f t="shared" si="73"/>
        <v>0.32665590184049081</v>
      </c>
      <c r="CO15" s="575">
        <f t="shared" si="73"/>
        <v>0</v>
      </c>
      <c r="CP15" s="575">
        <f t="shared" si="73"/>
        <v>0</v>
      </c>
      <c r="CQ15" s="575">
        <f t="shared" si="73"/>
        <v>0</v>
      </c>
      <c r="CR15" s="575">
        <f t="shared" si="73"/>
        <v>0</v>
      </c>
      <c r="CS15" s="576">
        <f t="shared" si="73"/>
        <v>0.19517694478527614</v>
      </c>
      <c r="CT15" s="573"/>
      <c r="CU15" s="575">
        <f t="shared" si="74"/>
        <v>0.10225374233128835</v>
      </c>
      <c r="CV15" s="575">
        <f t="shared" si="74"/>
        <v>6.3052171779141103E-2</v>
      </c>
      <c r="CW15" s="575">
        <f t="shared" si="74"/>
        <v>0.61540186503067495</v>
      </c>
      <c r="CX15" s="575">
        <f t="shared" si="74"/>
        <v>0</v>
      </c>
      <c r="DA15" s="585">
        <f t="shared" si="75"/>
        <v>7.7955828220858895E-3</v>
      </c>
      <c r="DB15" s="585">
        <f t="shared" si="76"/>
        <v>1.0269938650306748E-3</v>
      </c>
      <c r="DC15" s="585">
        <f t="shared" si="77"/>
        <v>0.29793865030674843</v>
      </c>
      <c r="DD15" s="575">
        <f t="shared" si="78"/>
        <v>8.034846625766881E-3</v>
      </c>
      <c r="DE15" s="575">
        <f t="shared" si="79"/>
        <v>4.941393865030675E-2</v>
      </c>
      <c r="DF15" s="575">
        <f t="shared" si="80"/>
        <v>0.13170773006134967</v>
      </c>
      <c r="DG15" s="575">
        <f t="shared" si="81"/>
        <v>1.5195496932515338</v>
      </c>
      <c r="DH15" s="575">
        <f t="shared" si="82"/>
        <v>0.32665590184049081</v>
      </c>
      <c r="DI15" s="575">
        <f t="shared" si="83"/>
        <v>0</v>
      </c>
      <c r="DJ15" s="575">
        <f t="shared" si="84"/>
        <v>0</v>
      </c>
      <c r="DK15" s="575">
        <f t="shared" si="85"/>
        <v>0</v>
      </c>
      <c r="DL15" s="575">
        <f t="shared" si="86"/>
        <v>0</v>
      </c>
      <c r="DM15" s="576">
        <f t="shared" si="87"/>
        <v>0.19517694478527614</v>
      </c>
      <c r="DN15" s="573"/>
      <c r="DO15" s="575">
        <f t="shared" si="88"/>
        <v>-0.89774625766871186</v>
      </c>
      <c r="DP15" s="575">
        <f t="shared" si="88"/>
        <v>-0.64751707157464211</v>
      </c>
      <c r="DQ15" s="575">
        <f t="shared" si="88"/>
        <v>0</v>
      </c>
      <c r="DR15" s="575">
        <f t="shared" si="88"/>
        <v>0</v>
      </c>
    </row>
    <row r="16" spans="2:123" s="468" customFormat="1" hidden="1">
      <c r="C16" s="540"/>
      <c r="D16" s="541"/>
      <c r="E16" s="550"/>
      <c r="F16" s="550"/>
      <c r="G16" s="550"/>
      <c r="H16" s="551"/>
      <c r="I16" s="551"/>
      <c r="J16" s="551"/>
      <c r="K16" s="551"/>
      <c r="L16" s="551"/>
      <c r="M16" s="551"/>
      <c r="N16" s="551"/>
      <c r="O16" s="551"/>
      <c r="P16" s="551"/>
      <c r="Q16" s="552"/>
      <c r="S16" s="551"/>
      <c r="T16" s="551"/>
      <c r="U16" s="551"/>
      <c r="V16" s="551"/>
      <c r="X16" s="507"/>
      <c r="Y16" s="550"/>
      <c r="Z16" s="550"/>
      <c r="AA16" s="550"/>
      <c r="AB16" s="551"/>
      <c r="AC16" s="551"/>
      <c r="AD16" s="551"/>
      <c r="AE16" s="551"/>
      <c r="AF16" s="551"/>
      <c r="AG16" s="551"/>
      <c r="AH16" s="551"/>
      <c r="AI16" s="551"/>
      <c r="AJ16" s="551"/>
      <c r="AK16" s="552"/>
      <c r="AM16" s="551"/>
      <c r="AN16" s="551"/>
      <c r="AO16" s="551"/>
      <c r="AP16" s="551"/>
      <c r="AR16" s="507"/>
      <c r="AS16" s="554"/>
      <c r="AT16" s="554"/>
      <c r="AU16" s="554"/>
      <c r="AV16" s="554"/>
      <c r="AW16" s="554"/>
      <c r="AX16" s="554"/>
      <c r="AY16" s="554"/>
      <c r="AZ16" s="554"/>
      <c r="BA16" s="551"/>
      <c r="BB16" s="551"/>
      <c r="BC16" s="551"/>
      <c r="BD16" s="551"/>
      <c r="BE16" s="552"/>
      <c r="BG16" s="551"/>
      <c r="BH16" s="551"/>
      <c r="BI16" s="551"/>
      <c r="BJ16" s="551"/>
      <c r="BM16" s="550"/>
      <c r="BN16" s="550"/>
      <c r="BO16" s="550"/>
      <c r="BP16" s="551"/>
      <c r="BQ16" s="551"/>
      <c r="BR16" s="551"/>
      <c r="BS16" s="551"/>
      <c r="BT16" s="551"/>
      <c r="BU16" s="551"/>
      <c r="BV16" s="551"/>
      <c r="BW16" s="551"/>
      <c r="BX16" s="551"/>
      <c r="BY16" s="552"/>
      <c r="CA16" s="551"/>
      <c r="CB16" s="551"/>
      <c r="CC16" s="551"/>
      <c r="CD16" s="551"/>
      <c r="CG16" s="585"/>
      <c r="CH16" s="585"/>
      <c r="CI16" s="585"/>
      <c r="CJ16" s="575"/>
      <c r="CK16" s="575"/>
      <c r="CL16" s="575"/>
      <c r="CM16" s="575"/>
      <c r="CN16" s="575"/>
      <c r="CO16" s="575"/>
      <c r="CP16" s="575"/>
      <c r="CQ16" s="575"/>
      <c r="CR16" s="575"/>
      <c r="CS16" s="576"/>
      <c r="CT16" s="573"/>
      <c r="CU16" s="575"/>
      <c r="CV16" s="575"/>
      <c r="CW16" s="575"/>
      <c r="CX16" s="575"/>
      <c r="DA16" s="585"/>
      <c r="DB16" s="585"/>
      <c r="DC16" s="585"/>
      <c r="DD16" s="575"/>
      <c r="DE16" s="575"/>
      <c r="DF16" s="575"/>
      <c r="DG16" s="575"/>
      <c r="DH16" s="575"/>
      <c r="DI16" s="575"/>
      <c r="DJ16" s="575"/>
      <c r="DK16" s="575"/>
      <c r="DL16" s="575"/>
      <c r="DM16" s="576"/>
      <c r="DN16" s="573"/>
      <c r="DO16" s="575"/>
      <c r="DP16" s="575"/>
      <c r="DQ16" s="575"/>
      <c r="DR16" s="575"/>
    </row>
    <row r="17" spans="1:123">
      <c r="X17" s="507"/>
      <c r="AR17" s="507"/>
      <c r="CG17" s="436"/>
      <c r="CH17" s="436"/>
      <c r="CI17" s="436"/>
      <c r="CJ17" s="436"/>
      <c r="CK17" s="436"/>
      <c r="CL17" s="436"/>
      <c r="CM17" s="436"/>
      <c r="CN17" s="436"/>
      <c r="CO17" s="436"/>
      <c r="CP17" s="436"/>
      <c r="CQ17" s="436"/>
      <c r="CR17" s="436"/>
      <c r="CS17" s="436"/>
      <c r="CT17" s="436"/>
      <c r="CU17" s="436"/>
      <c r="CV17" s="436"/>
      <c r="CW17" s="436"/>
      <c r="CX17" s="436"/>
      <c r="DA17" s="436"/>
      <c r="DB17" s="436"/>
      <c r="DC17" s="436"/>
      <c r="DD17" s="436"/>
      <c r="DE17" s="436"/>
      <c r="DF17" s="436"/>
      <c r="DG17" s="436"/>
      <c r="DH17" s="436"/>
      <c r="DI17" s="436"/>
      <c r="DJ17" s="436"/>
      <c r="DK17" s="436"/>
      <c r="DL17" s="436"/>
      <c r="DM17" s="436"/>
      <c r="DN17" s="436"/>
      <c r="DO17" s="436"/>
      <c r="DP17" s="436"/>
      <c r="DQ17" s="436"/>
      <c r="DR17" s="436"/>
    </row>
    <row r="18" spans="1:123">
      <c r="C18" s="536" t="s">
        <v>138</v>
      </c>
      <c r="D18" s="537"/>
      <c r="E18" s="553">
        <f>SUBTOTAL(9,E19:E19)</f>
        <v>269.17799999999994</v>
      </c>
      <c r="F18" s="553">
        <f t="shared" ref="F18:G18" si="106">SUBTOTAL(9,F19:F19)</f>
        <v>265.02839999999998</v>
      </c>
      <c r="G18" s="553">
        <f t="shared" si="106"/>
        <v>384.35846399999991</v>
      </c>
      <c r="H18" s="553">
        <f>SUBTOTAL(9,H19:H19)</f>
        <v>10105.374742419997</v>
      </c>
      <c r="I18" s="553">
        <f t="shared" ref="I18:J18" si="107">SUBTOTAL(9,I19:I19)</f>
        <v>12035.781591710998</v>
      </c>
      <c r="J18" s="553">
        <f t="shared" si="107"/>
        <v>15662.307442090048</v>
      </c>
      <c r="K18" s="553">
        <f>SUBTOTAL(9,K19:K19)</f>
        <v>18770.075066563848</v>
      </c>
      <c r="L18" s="553">
        <f t="shared" ref="L18:M18" si="108">SUBTOTAL(9,L19:L19)</f>
        <v>22087.710762247058</v>
      </c>
      <c r="M18" s="553">
        <f t="shared" si="108"/>
        <v>24239.445635857184</v>
      </c>
      <c r="N18" s="553">
        <f>SUBTOTAL(9,N19:N19)</f>
        <v>33116.499515998366</v>
      </c>
      <c r="O18" s="553">
        <f t="shared" ref="O18:Q18" si="109">SUBTOTAL(9,O19:O19)</f>
        <v>34716.188078582723</v>
      </c>
      <c r="P18" s="553">
        <f t="shared" si="109"/>
        <v>36284.705817038754</v>
      </c>
      <c r="Q18" s="553">
        <f t="shared" si="109"/>
        <v>207936.65351650899</v>
      </c>
      <c r="S18" s="545">
        <f t="shared" ref="S18:V18" si="110">SUBTOTAL(9,S19:S19)</f>
        <v>918.56486399999983</v>
      </c>
      <c r="T18" s="545">
        <f t="shared" si="110"/>
        <v>37803.463776221048</v>
      </c>
      <c r="U18" s="545">
        <f t="shared" si="110"/>
        <v>65097.23146466809</v>
      </c>
      <c r="V18" s="545">
        <f t="shared" si="110"/>
        <v>104117.39341161985</v>
      </c>
      <c r="X18" s="507"/>
      <c r="Y18" s="553">
        <f>SUBTOTAL(9,Y19:Y19)</f>
        <v>269.17799999999994</v>
      </c>
      <c r="Z18" s="553">
        <f t="shared" ref="Z18:AA18" si="111">SUBTOTAL(9,Z19:Z19)</f>
        <v>265.02839999999998</v>
      </c>
      <c r="AA18" s="553">
        <f t="shared" si="111"/>
        <v>384.35846399999991</v>
      </c>
      <c r="AB18" s="553">
        <f>SUBTOTAL(9,AB19:AB19)</f>
        <v>10105.374742419997</v>
      </c>
      <c r="AC18" s="553">
        <f t="shared" ref="AC18:AD18" si="112">SUBTOTAL(9,AC19:AC19)</f>
        <v>12035.781591710998</v>
      </c>
      <c r="AD18" s="553">
        <f t="shared" si="112"/>
        <v>15662.307442090048</v>
      </c>
      <c r="AE18" s="553">
        <f>SUBTOTAL(9,AE19:AE19)</f>
        <v>18770.075066563848</v>
      </c>
      <c r="AF18" s="553">
        <f t="shared" ref="AF18:AG18" si="113">SUBTOTAL(9,AF19:AF19)</f>
        <v>22087.710762247058</v>
      </c>
      <c r="AG18" s="553">
        <f t="shared" si="113"/>
        <v>24239.445635857184</v>
      </c>
      <c r="AH18" s="553">
        <f>SUBTOTAL(9,AH19:AH19)</f>
        <v>33116.499515998366</v>
      </c>
      <c r="AI18" s="553">
        <f t="shared" ref="AI18:AK18" si="114">SUBTOTAL(9,AI19:AI19)</f>
        <v>34716.188078582723</v>
      </c>
      <c r="AJ18" s="553">
        <f t="shared" si="114"/>
        <v>36284.705817038754</v>
      </c>
      <c r="AK18" s="553">
        <f t="shared" si="114"/>
        <v>207936.65351650899</v>
      </c>
      <c r="AM18" s="545">
        <f t="shared" ref="AM18:AP18" si="115">SUBTOTAL(9,AM19:AM19)</f>
        <v>918.56486399999983</v>
      </c>
      <c r="AN18" s="545">
        <f t="shared" si="115"/>
        <v>37803.463776221048</v>
      </c>
      <c r="AO18" s="545">
        <f t="shared" si="115"/>
        <v>65097.23146466809</v>
      </c>
      <c r="AP18" s="545">
        <f t="shared" si="115"/>
        <v>104117.39341161985</v>
      </c>
      <c r="AR18" s="507"/>
      <c r="AS18" s="553">
        <f>SUBTOTAL(9,AS19:AS19)</f>
        <v>-170</v>
      </c>
      <c r="AT18" s="553">
        <f t="shared" ref="AT18:AU18" si="116">SUBTOTAL(9,AT19:AT19)</f>
        <v>0</v>
      </c>
      <c r="AU18" s="553">
        <f t="shared" si="116"/>
        <v>486</v>
      </c>
      <c r="AV18" s="553">
        <f>SUBTOTAL(9,AV19:AV19)</f>
        <v>0</v>
      </c>
      <c r="AW18" s="553">
        <f t="shared" ref="AW18:AX18" si="117">SUBTOTAL(9,AW19:AW19)</f>
        <v>0</v>
      </c>
      <c r="AX18" s="553">
        <f t="shared" si="117"/>
        <v>0</v>
      </c>
      <c r="AY18" s="553">
        <f>SUBTOTAL(9,AY19:AY19)</f>
        <v>0</v>
      </c>
      <c r="AZ18" s="553">
        <f t="shared" ref="AZ18:BA18" si="118">SUBTOTAL(9,AZ19:AZ19)</f>
        <v>0</v>
      </c>
      <c r="BA18" s="553">
        <f t="shared" si="118"/>
        <v>0</v>
      </c>
      <c r="BB18" s="553">
        <f>SUBTOTAL(9,BB19:BB19)</f>
        <v>0</v>
      </c>
      <c r="BC18" s="553">
        <f t="shared" ref="BC18:BE18" si="119">SUBTOTAL(9,BC19:BC19)</f>
        <v>0</v>
      </c>
      <c r="BD18" s="553">
        <f t="shared" si="119"/>
        <v>0</v>
      </c>
      <c r="BE18" s="553">
        <f t="shared" si="119"/>
        <v>316</v>
      </c>
      <c r="BG18" s="545">
        <f t="shared" ref="BG18:BJ18" si="120">SUBTOTAL(9,BG19:BG19)</f>
        <v>316</v>
      </c>
      <c r="BH18" s="545">
        <f t="shared" si="120"/>
        <v>0</v>
      </c>
      <c r="BI18" s="545">
        <f t="shared" si="120"/>
        <v>0</v>
      </c>
      <c r="BJ18" s="545">
        <f t="shared" si="120"/>
        <v>0</v>
      </c>
      <c r="BM18" s="553">
        <f>SUBTOTAL(9,BM19:BM19)</f>
        <v>-439.17799999999994</v>
      </c>
      <c r="BN18" s="553">
        <f t="shared" ref="BN18:BO18" si="121">SUBTOTAL(9,BN19:BN19)</f>
        <v>-265.02839999999998</v>
      </c>
      <c r="BO18" s="553">
        <f t="shared" si="121"/>
        <v>101.64153600000009</v>
      </c>
      <c r="BP18" s="553">
        <f>SUBTOTAL(9,BP19:BP19)</f>
        <v>-10105.374742419997</v>
      </c>
      <c r="BQ18" s="553">
        <f t="shared" ref="BQ18:BR18" si="122">SUBTOTAL(9,BQ19:BQ19)</f>
        <v>-12035.781591710998</v>
      </c>
      <c r="BR18" s="553">
        <f t="shared" si="122"/>
        <v>0</v>
      </c>
      <c r="BS18" s="553">
        <f>SUBTOTAL(9,BS19:BS19)</f>
        <v>0</v>
      </c>
      <c r="BT18" s="553">
        <f t="shared" ref="BT18:BU18" si="123">SUBTOTAL(9,BT19:BT19)</f>
        <v>0</v>
      </c>
      <c r="BU18" s="553">
        <f t="shared" si="123"/>
        <v>0</v>
      </c>
      <c r="BV18" s="553">
        <f>SUBTOTAL(9,BV19:BV19)</f>
        <v>0</v>
      </c>
      <c r="BW18" s="553">
        <f t="shared" ref="BW18:BY18" si="124">SUBTOTAL(9,BW19:BW19)</f>
        <v>0</v>
      </c>
      <c r="BX18" s="553">
        <f t="shared" si="124"/>
        <v>0</v>
      </c>
      <c r="BY18" s="553">
        <f t="shared" si="124"/>
        <v>-22743.721198130996</v>
      </c>
      <c r="CA18" s="545">
        <f t="shared" ref="CA18:CD18" si="125">SUBTOTAL(9,CA19:CA19)</f>
        <v>-602.56486399999983</v>
      </c>
      <c r="CB18" s="545">
        <f t="shared" si="125"/>
        <v>-22141.156334130996</v>
      </c>
      <c r="CC18" s="545">
        <f t="shared" si="125"/>
        <v>0</v>
      </c>
      <c r="CD18" s="545">
        <f t="shared" si="125"/>
        <v>0</v>
      </c>
      <c r="CG18" s="569">
        <f t="shared" ref="CG18:CS19" si="126">IFERROR(AS18/E18,0)</f>
        <v>-0.63155235569028689</v>
      </c>
      <c r="CH18" s="569">
        <f t="shared" si="126"/>
        <v>0</v>
      </c>
      <c r="CI18" s="569">
        <f t="shared" si="126"/>
        <v>1.2644446409276944</v>
      </c>
      <c r="CJ18" s="569">
        <f t="shared" si="126"/>
        <v>0</v>
      </c>
      <c r="CK18" s="569">
        <f t="shared" si="126"/>
        <v>0</v>
      </c>
      <c r="CL18" s="569">
        <f t="shared" si="126"/>
        <v>0</v>
      </c>
      <c r="CM18" s="569">
        <f t="shared" si="126"/>
        <v>0</v>
      </c>
      <c r="CN18" s="569">
        <f t="shared" si="126"/>
        <v>0</v>
      </c>
      <c r="CO18" s="569">
        <f t="shared" si="126"/>
        <v>0</v>
      </c>
      <c r="CP18" s="569">
        <f t="shared" si="126"/>
        <v>0</v>
      </c>
      <c r="CQ18" s="569">
        <f t="shared" si="126"/>
        <v>0</v>
      </c>
      <c r="CR18" s="569">
        <f t="shared" si="126"/>
        <v>0</v>
      </c>
      <c r="CS18" s="569">
        <f t="shared" si="126"/>
        <v>1.5196935925243763E-3</v>
      </c>
      <c r="CT18" s="436"/>
      <c r="CU18" s="566">
        <f t="shared" ref="CU18:CX19" si="127">IFERROR(BG18/S18,0)</f>
        <v>0.34401490018237846</v>
      </c>
      <c r="CV18" s="566">
        <f t="shared" si="127"/>
        <v>0</v>
      </c>
      <c r="CW18" s="566">
        <f t="shared" si="127"/>
        <v>0</v>
      </c>
      <c r="CX18" s="566">
        <f t="shared" si="127"/>
        <v>0</v>
      </c>
      <c r="DA18" s="569">
        <f t="shared" ref="DA18:DA19" si="128">IFERROR(AS18/Y18,0)</f>
        <v>-0.63155235569028689</v>
      </c>
      <c r="DB18" s="569">
        <f t="shared" ref="DB18:DB19" si="129">IFERROR(AT18/Z18,0)</f>
        <v>0</v>
      </c>
      <c r="DC18" s="569">
        <f t="shared" ref="DC18:DC19" si="130">IFERROR(AU18/AA18,0)</f>
        <v>1.2644446409276944</v>
      </c>
      <c r="DD18" s="569">
        <f t="shared" ref="DD18:DD19" si="131">IFERROR(AV18/AB18,0)</f>
        <v>0</v>
      </c>
      <c r="DE18" s="569">
        <f t="shared" ref="DE18:DE19" si="132">IFERROR(AW18/AC18,0)</f>
        <v>0</v>
      </c>
      <c r="DF18" s="569">
        <f t="shared" ref="DF18:DF19" si="133">IFERROR(AX18/AD18,0)</f>
        <v>0</v>
      </c>
      <c r="DG18" s="569">
        <f t="shared" ref="DG18:DG19" si="134">IFERROR(AY18/AE18,0)</f>
        <v>0</v>
      </c>
      <c r="DH18" s="569">
        <f t="shared" ref="DH18:DH19" si="135">IFERROR(AZ18/AF18,0)</f>
        <v>0</v>
      </c>
      <c r="DI18" s="569">
        <f t="shared" ref="DI18:DI19" si="136">IFERROR(BA18/AG18,0)</f>
        <v>0</v>
      </c>
      <c r="DJ18" s="569">
        <f t="shared" ref="DJ18:DJ19" si="137">IFERROR(BB18/AH18,0)</f>
        <v>0</v>
      </c>
      <c r="DK18" s="569">
        <f t="shared" ref="DK18:DK19" si="138">IFERROR(BC18/AI18,0)</f>
        <v>0</v>
      </c>
      <c r="DL18" s="569">
        <f t="shared" ref="DL18:DL19" si="139">IFERROR(BD18/AJ18,0)</f>
        <v>0</v>
      </c>
      <c r="DM18" s="569">
        <f t="shared" ref="DM18:DM19" si="140">IFERROR(BE18/AK18,0)</f>
        <v>1.5196935925243763E-3</v>
      </c>
      <c r="DN18" s="436"/>
      <c r="DO18" s="566">
        <f t="shared" ref="DO18:DR19" si="141">IFERROR(CA18/AM18,0)</f>
        <v>-0.65598509981762154</v>
      </c>
      <c r="DP18" s="566">
        <f t="shared" si="141"/>
        <v>-0.5856912071654693</v>
      </c>
      <c r="DQ18" s="566">
        <f t="shared" si="141"/>
        <v>0</v>
      </c>
      <c r="DR18" s="566">
        <f t="shared" si="141"/>
        <v>0</v>
      </c>
    </row>
    <row r="19" spans="1:123" s="468" customFormat="1">
      <c r="C19" s="540" t="s">
        <v>148</v>
      </c>
      <c r="D19" s="541" t="s">
        <v>73</v>
      </c>
      <c r="E19" s="550">
        <v>269.17799999999994</v>
      </c>
      <c r="F19" s="550">
        <v>265.02839999999998</v>
      </c>
      <c r="G19" s="550">
        <v>384.35846399999991</v>
      </c>
      <c r="H19" s="551">
        <v>10105.374742419997</v>
      </c>
      <c r="I19" s="551">
        <v>12035.781591710998</v>
      </c>
      <c r="J19" s="551">
        <v>15662.307442090048</v>
      </c>
      <c r="K19" s="551">
        <v>18770.075066563848</v>
      </c>
      <c r="L19" s="551">
        <v>22087.710762247058</v>
      </c>
      <c r="M19" s="551">
        <v>24239.445635857184</v>
      </c>
      <c r="N19" s="551">
        <v>33116.499515998366</v>
      </c>
      <c r="O19" s="551">
        <v>34716.188078582723</v>
      </c>
      <c r="P19" s="551">
        <v>36284.705817038754</v>
      </c>
      <c r="Q19" s="552">
        <f>SUM(E19:P19)</f>
        <v>207936.65351650899</v>
      </c>
      <c r="S19" s="551">
        <f>SUM(E19:G19)</f>
        <v>918.56486399999983</v>
      </c>
      <c r="T19" s="551">
        <f>SUM(H19:J19)</f>
        <v>37803.463776221048</v>
      </c>
      <c r="U19" s="551">
        <f>SUM(K19:M19)</f>
        <v>65097.23146466809</v>
      </c>
      <c r="V19" s="551">
        <f>SUM(N19:P19)</f>
        <v>104117.39341161985</v>
      </c>
      <c r="X19" s="507" t="s">
        <v>73</v>
      </c>
      <c r="Y19" s="550">
        <v>269.17799999999994</v>
      </c>
      <c r="Z19" s="550">
        <v>265.02839999999998</v>
      </c>
      <c r="AA19" s="550">
        <v>384.35846399999991</v>
      </c>
      <c r="AB19" s="551">
        <v>10105.374742419997</v>
      </c>
      <c r="AC19" s="551">
        <v>12035.781591710998</v>
      </c>
      <c r="AD19" s="551">
        <v>15662.307442090048</v>
      </c>
      <c r="AE19" s="551">
        <v>18770.075066563848</v>
      </c>
      <c r="AF19" s="551">
        <v>22087.710762247058</v>
      </c>
      <c r="AG19" s="551">
        <v>24239.445635857184</v>
      </c>
      <c r="AH19" s="551">
        <v>33116.499515998366</v>
      </c>
      <c r="AI19" s="551">
        <v>34716.188078582723</v>
      </c>
      <c r="AJ19" s="551">
        <v>36284.705817038754</v>
      </c>
      <c r="AK19" s="552">
        <f>SUM(Y19:AJ19)</f>
        <v>207936.65351650899</v>
      </c>
      <c r="AM19" s="551">
        <f t="shared" ref="AM19" si="142">SUM(Y19:AA19)</f>
        <v>918.56486399999983</v>
      </c>
      <c r="AN19" s="551">
        <f>SUM(AB19:AD19)</f>
        <v>37803.463776221048</v>
      </c>
      <c r="AO19" s="551">
        <f>SUM(AE19:AG19)</f>
        <v>65097.23146466809</v>
      </c>
      <c r="AP19" s="551">
        <f>SUM(AH19:AJ19)</f>
        <v>104117.39341161985</v>
      </c>
      <c r="AR19" s="507" t="s">
        <v>73</v>
      </c>
      <c r="AS19" s="554">
        <v>-170</v>
      </c>
      <c r="AT19" s="554">
        <v>0</v>
      </c>
      <c r="AU19" s="554">
        <v>486</v>
      </c>
      <c r="AV19" s="554">
        <v>0</v>
      </c>
      <c r="AW19" s="554">
        <v>0</v>
      </c>
      <c r="AX19" s="554">
        <v>0</v>
      </c>
      <c r="AY19" s="554">
        <v>0</v>
      </c>
      <c r="AZ19" s="554">
        <v>0</v>
      </c>
      <c r="BA19" s="551"/>
      <c r="BB19" s="551"/>
      <c r="BC19" s="551"/>
      <c r="BD19" s="551"/>
      <c r="BE19" s="552">
        <f>SUM(AS19:BD19)</f>
        <v>316</v>
      </c>
      <c r="BG19" s="551">
        <f t="shared" ref="BG19" si="143">SUM(AS19:AU19)</f>
        <v>316</v>
      </c>
      <c r="BH19" s="551">
        <f>SUM(AV19:AX19)</f>
        <v>0</v>
      </c>
      <c r="BI19" s="551">
        <f>SUM(AY19:BA19)</f>
        <v>0</v>
      </c>
      <c r="BJ19" s="551">
        <f>SUM(BB19:BD19)</f>
        <v>0</v>
      </c>
      <c r="BM19" s="550">
        <f>AS19-E19</f>
        <v>-439.17799999999994</v>
      </c>
      <c r="BN19" s="550">
        <f>AT19-F19</f>
        <v>-265.02839999999998</v>
      </c>
      <c r="BO19" s="550">
        <f>AU19-G19</f>
        <v>101.64153600000009</v>
      </c>
      <c r="BP19" s="551">
        <f>AV19-H19</f>
        <v>-10105.374742419997</v>
      </c>
      <c r="BQ19" s="551">
        <f>AW19-I19</f>
        <v>-12035.781591710998</v>
      </c>
      <c r="BR19" s="551"/>
      <c r="BS19" s="551"/>
      <c r="BT19" s="551"/>
      <c r="BU19" s="551"/>
      <c r="BV19" s="551"/>
      <c r="BW19" s="551"/>
      <c r="BX19" s="551"/>
      <c r="BY19" s="552">
        <f>SUM(BM19:BX19)</f>
        <v>-22743.721198130996</v>
      </c>
      <c r="CA19" s="551">
        <f t="shared" ref="CA19" si="144">SUM(BM19:BO19)</f>
        <v>-602.56486399999983</v>
      </c>
      <c r="CB19" s="551">
        <f>SUM(BP19:BR19)</f>
        <v>-22141.156334130996</v>
      </c>
      <c r="CC19" s="551">
        <f>SUM(BS19:BU19)</f>
        <v>0</v>
      </c>
      <c r="CD19" s="551">
        <f>SUM(BV19:BX19)</f>
        <v>0</v>
      </c>
      <c r="CG19" s="585">
        <f t="shared" si="126"/>
        <v>-0.63155235569028689</v>
      </c>
      <c r="CH19" s="585">
        <f t="shared" si="126"/>
        <v>0</v>
      </c>
      <c r="CI19" s="585">
        <f t="shared" si="126"/>
        <v>1.2644446409276944</v>
      </c>
      <c r="CJ19" s="575">
        <f t="shared" si="126"/>
        <v>0</v>
      </c>
      <c r="CK19" s="575">
        <f t="shared" si="126"/>
        <v>0</v>
      </c>
      <c r="CL19" s="575">
        <f t="shared" si="126"/>
        <v>0</v>
      </c>
      <c r="CM19" s="575">
        <f t="shared" si="126"/>
        <v>0</v>
      </c>
      <c r="CN19" s="575">
        <f t="shared" si="126"/>
        <v>0</v>
      </c>
      <c r="CO19" s="575">
        <f t="shared" si="126"/>
        <v>0</v>
      </c>
      <c r="CP19" s="575">
        <f t="shared" si="126"/>
        <v>0</v>
      </c>
      <c r="CQ19" s="575">
        <f t="shared" si="126"/>
        <v>0</v>
      </c>
      <c r="CR19" s="575">
        <f t="shared" si="126"/>
        <v>0</v>
      </c>
      <c r="CS19" s="576">
        <f t="shared" si="126"/>
        <v>1.5196935925243763E-3</v>
      </c>
      <c r="CT19" s="573"/>
      <c r="CU19" s="575">
        <f t="shared" si="127"/>
        <v>0.34401490018237846</v>
      </c>
      <c r="CV19" s="575">
        <f t="shared" si="127"/>
        <v>0</v>
      </c>
      <c r="CW19" s="575">
        <f t="shared" si="127"/>
        <v>0</v>
      </c>
      <c r="CX19" s="575">
        <f t="shared" si="127"/>
        <v>0</v>
      </c>
      <c r="DA19" s="585">
        <f t="shared" si="128"/>
        <v>-0.63155235569028689</v>
      </c>
      <c r="DB19" s="585">
        <f t="shared" si="129"/>
        <v>0</v>
      </c>
      <c r="DC19" s="585">
        <f t="shared" si="130"/>
        <v>1.2644446409276944</v>
      </c>
      <c r="DD19" s="575">
        <f t="shared" si="131"/>
        <v>0</v>
      </c>
      <c r="DE19" s="575">
        <f t="shared" si="132"/>
        <v>0</v>
      </c>
      <c r="DF19" s="575">
        <f t="shared" si="133"/>
        <v>0</v>
      </c>
      <c r="DG19" s="575">
        <f t="shared" si="134"/>
        <v>0</v>
      </c>
      <c r="DH19" s="575">
        <f t="shared" si="135"/>
        <v>0</v>
      </c>
      <c r="DI19" s="575">
        <f t="shared" si="136"/>
        <v>0</v>
      </c>
      <c r="DJ19" s="575">
        <f t="shared" si="137"/>
        <v>0</v>
      </c>
      <c r="DK19" s="575">
        <f t="shared" si="138"/>
        <v>0</v>
      </c>
      <c r="DL19" s="575">
        <f t="shared" si="139"/>
        <v>0</v>
      </c>
      <c r="DM19" s="576">
        <f t="shared" si="140"/>
        <v>1.5196935925243763E-3</v>
      </c>
      <c r="DN19" s="573"/>
      <c r="DO19" s="575">
        <f t="shared" si="141"/>
        <v>-0.65598509981762154</v>
      </c>
      <c r="DP19" s="575">
        <f t="shared" si="141"/>
        <v>-0.5856912071654693</v>
      </c>
      <c r="DQ19" s="575">
        <f t="shared" si="141"/>
        <v>0</v>
      </c>
      <c r="DR19" s="575">
        <f t="shared" si="141"/>
        <v>0</v>
      </c>
    </row>
    <row r="20" spans="1:123">
      <c r="X20" s="507"/>
      <c r="AR20" s="507"/>
      <c r="CG20" s="436"/>
      <c r="CH20" s="436"/>
      <c r="CI20" s="436"/>
      <c r="CJ20" s="436"/>
      <c r="CK20" s="436"/>
      <c r="CL20" s="436"/>
      <c r="CM20" s="436"/>
      <c r="CN20" s="436"/>
      <c r="CO20" s="436"/>
      <c r="CP20" s="436"/>
      <c r="CQ20" s="436"/>
      <c r="CR20" s="436"/>
      <c r="CS20" s="436"/>
      <c r="CT20" s="436"/>
      <c r="CU20" s="436"/>
      <c r="CV20" s="436"/>
      <c r="CW20" s="436"/>
      <c r="CX20" s="436"/>
      <c r="DA20" s="436"/>
      <c r="DB20" s="436"/>
      <c r="DC20" s="436"/>
      <c r="DD20" s="436"/>
      <c r="DE20" s="436"/>
      <c r="DF20" s="436"/>
      <c r="DG20" s="436"/>
      <c r="DH20" s="436"/>
      <c r="DI20" s="436"/>
      <c r="DJ20" s="436"/>
      <c r="DK20" s="436"/>
      <c r="DL20" s="436"/>
      <c r="DM20" s="436"/>
      <c r="DN20" s="436"/>
      <c r="DO20" s="436"/>
      <c r="DP20" s="436"/>
      <c r="DQ20" s="436"/>
      <c r="DR20" s="436"/>
    </row>
    <row r="21" spans="1:123" s="596" customFormat="1" hidden="1">
      <c r="C21" s="536"/>
      <c r="D21" s="537"/>
      <c r="E21" s="553"/>
      <c r="F21" s="553"/>
      <c r="G21" s="553"/>
      <c r="H21" s="553"/>
      <c r="I21" s="553"/>
      <c r="J21" s="553"/>
      <c r="K21" s="553"/>
      <c r="L21" s="553"/>
      <c r="M21" s="553"/>
      <c r="N21" s="553"/>
      <c r="O21" s="553"/>
      <c r="P21" s="553"/>
      <c r="Q21" s="553"/>
      <c r="S21" s="545"/>
      <c r="T21" s="545"/>
      <c r="U21" s="545"/>
      <c r="V21" s="545"/>
      <c r="W21" s="468"/>
      <c r="X21" s="507"/>
      <c r="Y21" s="553"/>
      <c r="Z21" s="553"/>
      <c r="AA21" s="553"/>
      <c r="AB21" s="553"/>
      <c r="AC21" s="553"/>
      <c r="AD21" s="553"/>
      <c r="AE21" s="553"/>
      <c r="AF21" s="553"/>
      <c r="AG21" s="553"/>
      <c r="AH21" s="553"/>
      <c r="AI21" s="553"/>
      <c r="AJ21" s="553"/>
      <c r="AK21" s="553"/>
      <c r="AM21" s="545"/>
      <c r="AN21" s="545"/>
      <c r="AO21" s="545"/>
      <c r="AP21" s="545"/>
      <c r="AQ21" s="468"/>
      <c r="AR21" s="507"/>
      <c r="AS21" s="553"/>
      <c r="AT21" s="553"/>
      <c r="AU21" s="553"/>
      <c r="AV21" s="553"/>
      <c r="AW21" s="553"/>
      <c r="AX21" s="553"/>
      <c r="AY21" s="553"/>
      <c r="AZ21" s="553"/>
      <c r="BA21" s="553"/>
      <c r="BB21" s="553"/>
      <c r="BC21" s="553"/>
      <c r="BD21" s="553"/>
      <c r="BE21" s="553"/>
      <c r="BG21" s="545"/>
      <c r="BH21" s="545"/>
      <c r="BI21" s="545"/>
      <c r="BJ21" s="545"/>
      <c r="BK21" s="468"/>
      <c r="BL21" s="468"/>
      <c r="BM21" s="553"/>
      <c r="BN21" s="553"/>
      <c r="BO21" s="553"/>
      <c r="BP21" s="553"/>
      <c r="BQ21" s="553"/>
      <c r="BR21" s="553"/>
      <c r="BS21" s="553"/>
      <c r="BT21" s="553"/>
      <c r="BU21" s="553"/>
      <c r="BV21" s="553"/>
      <c r="BW21" s="553"/>
      <c r="BX21" s="553"/>
      <c r="BY21" s="553"/>
      <c r="CA21" s="545"/>
      <c r="CB21" s="545"/>
      <c r="CC21" s="545"/>
      <c r="CD21" s="545"/>
      <c r="CE21" s="468"/>
      <c r="CF21" s="468"/>
      <c r="CG21" s="569"/>
      <c r="CH21" s="569"/>
      <c r="CI21" s="569"/>
      <c r="CJ21" s="569"/>
      <c r="CK21" s="569"/>
      <c r="CL21" s="569"/>
      <c r="CM21" s="569"/>
      <c r="CN21" s="569"/>
      <c r="CO21" s="569"/>
      <c r="CP21" s="569"/>
      <c r="CQ21" s="569"/>
      <c r="CR21" s="569"/>
      <c r="CS21" s="569"/>
      <c r="CT21" s="436"/>
      <c r="CU21" s="566"/>
      <c r="CV21" s="566"/>
      <c r="CW21" s="566"/>
      <c r="CX21" s="566"/>
      <c r="CY21" s="468"/>
      <c r="DA21" s="569"/>
      <c r="DB21" s="569"/>
      <c r="DC21" s="569"/>
      <c r="DD21" s="569"/>
      <c r="DE21" s="569"/>
      <c r="DF21" s="569"/>
      <c r="DG21" s="569"/>
      <c r="DH21" s="569"/>
      <c r="DI21" s="569"/>
      <c r="DJ21" s="569"/>
      <c r="DK21" s="569"/>
      <c r="DL21" s="569"/>
      <c r="DM21" s="569"/>
      <c r="DN21" s="436"/>
      <c r="DO21" s="566"/>
      <c r="DP21" s="566"/>
      <c r="DQ21" s="566"/>
      <c r="DR21" s="566"/>
      <c r="DS21" s="468"/>
    </row>
    <row r="22" spans="1:123" s="468" customFormat="1" hidden="1">
      <c r="C22" s="540"/>
      <c r="D22" s="541"/>
      <c r="E22" s="550"/>
      <c r="F22" s="550"/>
      <c r="G22" s="550"/>
      <c r="H22" s="551"/>
      <c r="I22" s="551"/>
      <c r="J22" s="551"/>
      <c r="K22" s="551"/>
      <c r="L22" s="551"/>
      <c r="M22" s="551"/>
      <c r="N22" s="551"/>
      <c r="O22" s="551"/>
      <c r="P22" s="551"/>
      <c r="Q22" s="552"/>
      <c r="S22" s="551"/>
      <c r="T22" s="551"/>
      <c r="U22" s="551"/>
      <c r="V22" s="551"/>
      <c r="X22" s="507"/>
      <c r="Y22" s="550"/>
      <c r="Z22" s="550"/>
      <c r="AA22" s="550"/>
      <c r="AB22" s="551"/>
      <c r="AC22" s="551"/>
      <c r="AD22" s="551"/>
      <c r="AE22" s="551"/>
      <c r="AF22" s="551"/>
      <c r="AG22" s="551"/>
      <c r="AH22" s="551"/>
      <c r="AI22" s="551"/>
      <c r="AJ22" s="551"/>
      <c r="AK22" s="552"/>
      <c r="AM22" s="551"/>
      <c r="AN22" s="551"/>
      <c r="AO22" s="551"/>
      <c r="AP22" s="551"/>
      <c r="AR22" s="507"/>
      <c r="AS22" s="554"/>
      <c r="AT22" s="554"/>
      <c r="AU22" s="554"/>
      <c r="AV22" s="554"/>
      <c r="AW22" s="554"/>
      <c r="AX22" s="554"/>
      <c r="AY22" s="554"/>
      <c r="AZ22" s="554"/>
      <c r="BA22" s="554"/>
      <c r="BB22" s="554"/>
      <c r="BC22" s="554"/>
      <c r="BD22" s="554"/>
      <c r="BE22" s="552"/>
      <c r="BG22" s="551"/>
      <c r="BH22" s="551"/>
      <c r="BI22" s="551"/>
      <c r="BJ22" s="551"/>
      <c r="BM22" s="550"/>
      <c r="BN22" s="550"/>
      <c r="BO22" s="550"/>
      <c r="BP22" s="551"/>
      <c r="BQ22" s="551"/>
      <c r="BR22" s="551"/>
      <c r="BS22" s="551"/>
      <c r="BT22" s="551"/>
      <c r="BU22" s="551"/>
      <c r="BV22" s="551"/>
      <c r="BW22" s="551"/>
      <c r="BX22" s="551"/>
      <c r="BY22" s="552"/>
      <c r="CA22" s="551"/>
      <c r="CB22" s="551"/>
      <c r="CC22" s="551"/>
      <c r="CD22" s="551"/>
      <c r="CG22" s="585"/>
      <c r="CH22" s="585"/>
      <c r="CI22" s="585"/>
      <c r="CJ22" s="575"/>
      <c r="CK22" s="575"/>
      <c r="CL22" s="575"/>
      <c r="CM22" s="575"/>
      <c r="CN22" s="575"/>
      <c r="CO22" s="575"/>
      <c r="CP22" s="575"/>
      <c r="CQ22" s="575"/>
      <c r="CR22" s="575"/>
      <c r="CS22" s="576"/>
      <c r="CT22" s="573"/>
      <c r="CU22" s="575"/>
      <c r="CV22" s="575"/>
      <c r="CW22" s="575"/>
      <c r="CX22" s="575"/>
      <c r="DA22" s="585"/>
      <c r="DB22" s="585"/>
      <c r="DC22" s="585"/>
      <c r="DD22" s="575"/>
      <c r="DE22" s="575"/>
      <c r="DF22" s="575"/>
      <c r="DG22" s="575"/>
      <c r="DH22" s="575"/>
      <c r="DI22" s="575"/>
      <c r="DJ22" s="575"/>
      <c r="DK22" s="575"/>
      <c r="DL22" s="575"/>
      <c r="DM22" s="576"/>
      <c r="DN22" s="573"/>
      <c r="DO22" s="575"/>
      <c r="DP22" s="575"/>
      <c r="DQ22" s="575"/>
      <c r="DR22" s="575"/>
    </row>
    <row r="23" spans="1:123" s="596" customFormat="1" hidden="1">
      <c r="W23" s="468"/>
      <c r="X23" s="507"/>
      <c r="AQ23" s="468"/>
      <c r="AR23" s="507"/>
      <c r="BK23" s="468"/>
      <c r="BL23" s="468"/>
      <c r="CE23" s="468"/>
      <c r="CF23" s="468"/>
      <c r="CG23" s="436"/>
      <c r="CH23" s="436"/>
      <c r="CI23" s="436"/>
      <c r="CJ23" s="436"/>
      <c r="CK23" s="436"/>
      <c r="CL23" s="436"/>
      <c r="CM23" s="436"/>
      <c r="CN23" s="436"/>
      <c r="CO23" s="436"/>
      <c r="CP23" s="436"/>
      <c r="CQ23" s="436"/>
      <c r="CR23" s="436"/>
      <c r="CS23" s="436"/>
      <c r="CT23" s="436"/>
      <c r="CU23" s="436"/>
      <c r="CV23" s="436"/>
      <c r="CW23" s="436"/>
      <c r="CX23" s="436"/>
      <c r="CY23" s="468"/>
      <c r="DA23" s="436"/>
      <c r="DB23" s="436"/>
      <c r="DC23" s="436"/>
      <c r="DD23" s="436"/>
      <c r="DE23" s="436"/>
      <c r="DF23" s="436"/>
      <c r="DG23" s="436"/>
      <c r="DH23" s="436"/>
      <c r="DI23" s="436"/>
      <c r="DJ23" s="436"/>
      <c r="DK23" s="436"/>
      <c r="DL23" s="436"/>
      <c r="DM23" s="436"/>
      <c r="DN23" s="436"/>
      <c r="DO23" s="436"/>
      <c r="DP23" s="436"/>
      <c r="DQ23" s="436"/>
      <c r="DR23" s="436"/>
      <c r="DS23" s="468"/>
    </row>
    <row r="24" spans="1:123">
      <c r="C24" s="469" t="s">
        <v>140</v>
      </c>
      <c r="D24" s="501"/>
      <c r="E24" s="475">
        <f>E18+E12+E9+E3+E21</f>
        <v>200273.70984539171</v>
      </c>
      <c r="F24" s="475">
        <f t="shared" ref="F24:V24" si="145">F18+F12+F9+F3+F21</f>
        <v>186071.24776137643</v>
      </c>
      <c r="G24" s="475">
        <f t="shared" si="145"/>
        <v>213801.01522189687</v>
      </c>
      <c r="H24" s="475">
        <f t="shared" si="145"/>
        <v>230797.20697840268</v>
      </c>
      <c r="I24" s="475">
        <f t="shared" si="145"/>
        <v>245464.94803213899</v>
      </c>
      <c r="J24" s="475">
        <f t="shared" si="145"/>
        <v>246011.69029626244</v>
      </c>
      <c r="K24" s="475">
        <f t="shared" si="145"/>
        <v>262061.2574874867</v>
      </c>
      <c r="L24" s="475">
        <f t="shared" si="145"/>
        <v>263741.80322640156</v>
      </c>
      <c r="M24" s="475">
        <f t="shared" si="145"/>
        <v>275458.92465753877</v>
      </c>
      <c r="N24" s="475">
        <f t="shared" si="145"/>
        <v>297714.84341399523</v>
      </c>
      <c r="O24" s="475">
        <f t="shared" si="145"/>
        <v>303359.70723646245</v>
      </c>
      <c r="P24" s="475">
        <f t="shared" si="145"/>
        <v>327002.61775269231</v>
      </c>
      <c r="Q24" s="475">
        <f t="shared" si="145"/>
        <v>3051758.9719100455</v>
      </c>
      <c r="S24" s="475">
        <f t="shared" si="145"/>
        <v>600145.97282866505</v>
      </c>
      <c r="T24" s="475">
        <f t="shared" si="145"/>
        <v>722273.84530680417</v>
      </c>
      <c r="U24" s="475">
        <f t="shared" si="145"/>
        <v>801261.98537142703</v>
      </c>
      <c r="V24" s="475">
        <f t="shared" si="145"/>
        <v>928077.16840314993</v>
      </c>
      <c r="X24" s="507"/>
      <c r="Y24" s="475">
        <f>Y18+Y12+Y9+Y3</f>
        <v>236862.02445497041</v>
      </c>
      <c r="Z24" s="475">
        <f t="shared" ref="Z24:AA24" si="146">Z18+Z12+Z9+Z3</f>
        <v>218726.63239750642</v>
      </c>
      <c r="AA24" s="475">
        <f t="shared" si="146"/>
        <v>254104.48599073145</v>
      </c>
      <c r="AB24" s="475">
        <f>AB18+AB12+AB9+AB3</f>
        <v>273115.90003031318</v>
      </c>
      <c r="AC24" s="475">
        <f t="shared" ref="AC24:AD24" si="147">AC18+AC12+AC9+AC3</f>
        <v>291311.88034000993</v>
      </c>
      <c r="AD24" s="475">
        <f t="shared" si="147"/>
        <v>291005.52311137639</v>
      </c>
      <c r="AE24" s="475">
        <f>AE18+AE12+AE9+AE3</f>
        <v>310639.96642669925</v>
      </c>
      <c r="AF24" s="475">
        <f t="shared" ref="AF24:AG24" si="148">AF18+AF12+AF9+AF3</f>
        <v>311867.0385456009</v>
      </c>
      <c r="AG24" s="475">
        <f t="shared" si="148"/>
        <v>326233.77031191526</v>
      </c>
      <c r="AH24" s="475">
        <f>AH18+AH12+AH9+AH3</f>
        <v>352195.63220365765</v>
      </c>
      <c r="AI24" s="475">
        <f t="shared" ref="AI24:AK24" si="149">AI18+AI12+AI9+AI3</f>
        <v>342353.59751411283</v>
      </c>
      <c r="AJ24" s="475">
        <f t="shared" si="149"/>
        <v>356981.39300587995</v>
      </c>
      <c r="AK24" s="475">
        <f t="shared" si="149"/>
        <v>3565397.8443327732</v>
      </c>
      <c r="AM24" s="475">
        <f t="shared" ref="AM24:AP24" si="150">AM18+AM12+AM9+AM3</f>
        <v>709693.14284320828</v>
      </c>
      <c r="AN24" s="475">
        <f t="shared" si="150"/>
        <v>855433.30348169955</v>
      </c>
      <c r="AO24" s="475">
        <f t="shared" si="150"/>
        <v>948740.77528421534</v>
      </c>
      <c r="AP24" s="475">
        <f t="shared" si="150"/>
        <v>1051530.6227236502</v>
      </c>
      <c r="AR24" s="507"/>
      <c r="AS24" s="475">
        <f>AS18+AS12+AS9+AS3</f>
        <v>144533.03448</v>
      </c>
      <c r="AT24" s="475">
        <f t="shared" ref="AT24:AU24" si="151">AT18+AT12+AT9+AT3</f>
        <v>132411.11360700001</v>
      </c>
      <c r="AU24" s="475">
        <f t="shared" si="151"/>
        <v>224204.48640799994</v>
      </c>
      <c r="AV24" s="475">
        <f>AV18+AV12+AV9+AV3</f>
        <v>289213.80000000005</v>
      </c>
      <c r="AW24" s="475">
        <f t="shared" ref="AW24:AX24" si="152">AW18+AW12+AW9+AW3</f>
        <v>386773.62000000005</v>
      </c>
      <c r="AX24" s="475">
        <f t="shared" si="152"/>
        <v>290971.56</v>
      </c>
      <c r="AY24" s="475">
        <f>AY18+AY12+AY9+AY3</f>
        <v>346602.78</v>
      </c>
      <c r="AZ24" s="475">
        <f t="shared" ref="AZ24:BA24" si="153">AZ18+AZ12+AZ9+AZ3</f>
        <v>296243.53000000003</v>
      </c>
      <c r="BA24" s="475">
        <f t="shared" si="153"/>
        <v>0</v>
      </c>
      <c r="BB24" s="475">
        <f>BB18+BB12+BB9+BB3</f>
        <v>0</v>
      </c>
      <c r="BC24" s="475">
        <f t="shared" ref="BC24:BE24" si="154">BC18+BC12+BC9+BC3</f>
        <v>0</v>
      </c>
      <c r="BD24" s="475">
        <f t="shared" si="154"/>
        <v>0</v>
      </c>
      <c r="BE24" s="475">
        <f t="shared" si="154"/>
        <v>2128485.1144949999</v>
      </c>
      <c r="BG24" s="475">
        <f t="shared" ref="BG24:BJ24" si="155">BG18+BG12+BG9+BG3</f>
        <v>518679.82449500001</v>
      </c>
      <c r="BH24" s="475">
        <f t="shared" si="155"/>
        <v>966958.9800000001</v>
      </c>
      <c r="BI24" s="475">
        <f t="shared" si="155"/>
        <v>642846.30999999994</v>
      </c>
      <c r="BJ24" s="475">
        <f t="shared" si="155"/>
        <v>0</v>
      </c>
      <c r="BM24" s="475">
        <f>BM18+BM12+BM9+BM3</f>
        <v>-38209.485365391723</v>
      </c>
      <c r="BN24" s="475">
        <f t="shared" ref="BN24:BO24" si="156">BN18+BN12+BN9+BN3</f>
        <v>-53660.134154376436</v>
      </c>
      <c r="BO24" s="475">
        <f t="shared" si="156"/>
        <v>10403.471186103074</v>
      </c>
      <c r="BP24" s="475">
        <f>BP18+BP12+BP9+BP3</f>
        <v>58416.593021597349</v>
      </c>
      <c r="BQ24" s="475">
        <f t="shared" ref="BQ24:BR24" si="157">BQ18+BQ12+BQ9+BQ3</f>
        <v>141308.67196786104</v>
      </c>
      <c r="BR24" s="475">
        <f t="shared" si="157"/>
        <v>0</v>
      </c>
      <c r="BS24" s="475">
        <f>BS18+BS12+BS9+BS3</f>
        <v>0</v>
      </c>
      <c r="BT24" s="475">
        <f t="shared" ref="BT24:BU24" si="158">BT18+BT12+BT9+BT3</f>
        <v>0</v>
      </c>
      <c r="BU24" s="475">
        <f t="shared" si="158"/>
        <v>0</v>
      </c>
      <c r="BV24" s="475">
        <f>BV18+BV12+BV9+BV3</f>
        <v>0</v>
      </c>
      <c r="BW24" s="475">
        <f t="shared" ref="BW24:BY24" si="159">BW18+BW12+BW9+BW3</f>
        <v>0</v>
      </c>
      <c r="BX24" s="475">
        <f t="shared" si="159"/>
        <v>0</v>
      </c>
      <c r="BY24" s="475">
        <f t="shared" si="159"/>
        <v>118259.11665579322</v>
      </c>
      <c r="CA24" s="475">
        <f t="shared" ref="CA24:CD24" si="160">CA18+CA12+CA9+CA3</f>
        <v>-81466.1483336651</v>
      </c>
      <c r="CB24" s="475">
        <f t="shared" si="160"/>
        <v>199725.2649894584</v>
      </c>
      <c r="CC24" s="475">
        <f t="shared" si="160"/>
        <v>0</v>
      </c>
      <c r="CD24" s="475">
        <f t="shared" si="160"/>
        <v>0</v>
      </c>
      <c r="CG24" s="476">
        <f t="shared" ref="CG24:CS30" si="161">IFERROR(AS24/E24,0)</f>
        <v>0.72167752118626716</v>
      </c>
      <c r="CH24" s="476">
        <f t="shared" si="161"/>
        <v>0.71161512162700247</v>
      </c>
      <c r="CI24" s="476">
        <f t="shared" si="161"/>
        <v>1.04865959675311</v>
      </c>
      <c r="CJ24" s="476">
        <f t="shared" si="161"/>
        <v>1.2531078854306232</v>
      </c>
      <c r="CK24" s="476">
        <f t="shared" si="161"/>
        <v>1.5756775991876419</v>
      </c>
      <c r="CL24" s="476">
        <f t="shared" si="161"/>
        <v>1.1827550131849185</v>
      </c>
      <c r="CM24" s="476">
        <f t="shared" si="161"/>
        <v>1.3226021401372163</v>
      </c>
      <c r="CN24" s="476">
        <f t="shared" si="161"/>
        <v>1.1232331256403001</v>
      </c>
      <c r="CO24" s="476">
        <f t="shared" si="161"/>
        <v>0</v>
      </c>
      <c r="CP24" s="476">
        <f t="shared" si="161"/>
        <v>0</v>
      </c>
      <c r="CQ24" s="476">
        <f t="shared" si="161"/>
        <v>0</v>
      </c>
      <c r="CR24" s="476">
        <f t="shared" si="161"/>
        <v>0</v>
      </c>
      <c r="CS24" s="476">
        <f t="shared" si="161"/>
        <v>0.6974617373412082</v>
      </c>
      <c r="CT24" s="436"/>
      <c r="CU24" s="476">
        <f t="shared" ref="CU24:CX30" si="162">IFERROR(BG24/S24,0)</f>
        <v>0.86425611097631627</v>
      </c>
      <c r="CV24" s="476">
        <f t="shared" si="162"/>
        <v>1.3387705871991802</v>
      </c>
      <c r="CW24" s="476">
        <f t="shared" si="162"/>
        <v>0.80229228608918335</v>
      </c>
      <c r="CX24" s="476">
        <f t="shared" si="162"/>
        <v>0</v>
      </c>
      <c r="DA24" s="476">
        <f t="shared" ref="DA24:DA30" si="163">IFERROR(AS24/Y24,0)</f>
        <v>0.61019927028225251</v>
      </c>
      <c r="DB24" s="476">
        <f t="shared" ref="DB24:DB30" si="164">IFERROR(AT24/Z24,0)</f>
        <v>0.6053726158338163</v>
      </c>
      <c r="DC24" s="476">
        <f t="shared" ref="DC24:DC30" si="165">IFERROR(AU24/AA24,0)</f>
        <v>0.88233187042663175</v>
      </c>
      <c r="DD24" s="476">
        <f t="shared" ref="DD24:DD30" si="166">IFERROR(AV24/AB24,0)</f>
        <v>1.0589416433385979</v>
      </c>
      <c r="DE24" s="476">
        <f t="shared" ref="DE24:DE30" si="167">IFERROR(AW24/AC24,0)</f>
        <v>1.3276960059046348</v>
      </c>
      <c r="DF24" s="476">
        <f t="shared" ref="DF24:DF30" si="168">IFERROR(AX24/AD24,0)</f>
        <v>0.99988329049217606</v>
      </c>
      <c r="DG24" s="476">
        <f t="shared" ref="DG24:DG30" si="169">IFERROR(AY24/AE24,0)</f>
        <v>1.1157700793847685</v>
      </c>
      <c r="DH24" s="476">
        <f t="shared" ref="DH24:DH30" si="170">IFERROR(AZ24/AF24,0)</f>
        <v>0.949903302963784</v>
      </c>
      <c r="DI24" s="476">
        <f t="shared" ref="DI24:DI30" si="171">IFERROR(BA24/AG24,0)</f>
        <v>0</v>
      </c>
      <c r="DJ24" s="476">
        <f t="shared" ref="DJ24:DJ30" si="172">IFERROR(BB24/AH24,0)</f>
        <v>0</v>
      </c>
      <c r="DK24" s="476">
        <f t="shared" ref="DK24:DK30" si="173">IFERROR(BC24/AI24,0)</f>
        <v>0</v>
      </c>
      <c r="DL24" s="476">
        <f t="shared" ref="DL24:DL30" si="174">IFERROR(BD24/AJ24,0)</f>
        <v>0</v>
      </c>
      <c r="DM24" s="476">
        <f t="shared" ref="DM24:DM30" si="175">IFERROR(BE24/AK24,0)</f>
        <v>0.59698390121546829</v>
      </c>
      <c r="DN24" s="436"/>
      <c r="DO24" s="476">
        <f t="shared" ref="DO24:DR30" si="176">IFERROR(CA24/AM24,0)</f>
        <v>-0.11479066573377239</v>
      </c>
      <c r="DP24" s="476">
        <f t="shared" si="176"/>
        <v>0.23347847713732503</v>
      </c>
      <c r="DQ24" s="476">
        <f t="shared" si="176"/>
        <v>0</v>
      </c>
      <c r="DR24" s="476">
        <f t="shared" si="176"/>
        <v>0</v>
      </c>
    </row>
    <row r="25" spans="1:123" hidden="1">
      <c r="C25" s="471"/>
      <c r="D25" s="505"/>
      <c r="E25" s="524"/>
      <c r="F25" s="524"/>
      <c r="G25" s="524"/>
      <c r="H25" s="524"/>
      <c r="I25" s="524"/>
      <c r="J25" s="524"/>
      <c r="K25" s="524"/>
      <c r="L25" s="524"/>
      <c r="M25" s="524"/>
      <c r="N25" s="524"/>
      <c r="O25" s="524"/>
      <c r="P25" s="524"/>
      <c r="Q25" s="525"/>
      <c r="S25" s="524"/>
      <c r="T25" s="524"/>
      <c r="U25" s="524"/>
      <c r="V25" s="524"/>
      <c r="X25" s="507"/>
      <c r="Y25" s="524"/>
      <c r="Z25" s="524"/>
      <c r="AA25" s="524"/>
      <c r="AB25" s="524"/>
      <c r="AC25" s="524"/>
      <c r="AD25" s="524"/>
      <c r="AE25" s="524"/>
      <c r="AF25" s="524"/>
      <c r="AG25" s="524"/>
      <c r="AH25" s="524"/>
      <c r="AI25" s="524"/>
      <c r="AJ25" s="524"/>
      <c r="AK25" s="525"/>
      <c r="AM25" s="524"/>
      <c r="AN25" s="524"/>
      <c r="AO25" s="524"/>
      <c r="AP25" s="524"/>
      <c r="AR25" s="507"/>
      <c r="AS25" s="524"/>
      <c r="AT25" s="524"/>
      <c r="AU25" s="524"/>
      <c r="AV25" s="524"/>
      <c r="AW25" s="524"/>
      <c r="AX25" s="524"/>
      <c r="AY25" s="524"/>
      <c r="AZ25" s="524"/>
      <c r="BA25" s="524"/>
      <c r="BB25" s="524"/>
      <c r="BC25" s="524"/>
      <c r="BD25" s="524"/>
      <c r="BE25" s="525"/>
      <c r="BG25" s="524"/>
      <c r="BH25" s="524"/>
      <c r="BI25" s="524"/>
      <c r="BJ25" s="524"/>
      <c r="BM25" s="524"/>
      <c r="BN25" s="524"/>
      <c r="BO25" s="524"/>
      <c r="BP25" s="524"/>
      <c r="BQ25" s="524"/>
      <c r="BR25" s="524"/>
      <c r="BS25" s="524"/>
      <c r="BT25" s="524"/>
      <c r="BU25" s="524"/>
      <c r="BV25" s="524"/>
      <c r="BW25" s="524"/>
      <c r="BX25" s="524"/>
      <c r="BY25" s="525"/>
      <c r="CA25" s="524"/>
      <c r="CB25" s="524"/>
      <c r="CC25" s="524"/>
      <c r="CD25" s="524"/>
      <c r="CG25" s="529"/>
      <c r="CH25" s="529"/>
      <c r="CI25" s="529"/>
      <c r="CJ25" s="529"/>
      <c r="CK25" s="529"/>
      <c r="CL25" s="529"/>
      <c r="CM25" s="529"/>
      <c r="CN25" s="529"/>
      <c r="CO25" s="529"/>
      <c r="CP25" s="529"/>
      <c r="CQ25" s="529"/>
      <c r="CR25" s="529"/>
      <c r="CS25" s="531"/>
      <c r="CT25" s="436"/>
      <c r="CU25" s="529"/>
      <c r="CV25" s="529"/>
      <c r="CW25" s="529"/>
      <c r="CX25" s="529"/>
      <c r="DA25" s="529"/>
      <c r="DB25" s="529"/>
      <c r="DC25" s="529"/>
      <c r="DD25" s="529"/>
      <c r="DE25" s="529"/>
      <c r="DF25" s="529"/>
      <c r="DG25" s="529"/>
      <c r="DH25" s="529"/>
      <c r="DI25" s="529"/>
      <c r="DJ25" s="529"/>
      <c r="DK25" s="529"/>
      <c r="DL25" s="529"/>
      <c r="DM25" s="531"/>
      <c r="DN25" s="436"/>
      <c r="DO25" s="529"/>
      <c r="DP25" s="529"/>
      <c r="DQ25" s="529"/>
      <c r="DR25" s="529"/>
    </row>
    <row r="26" spans="1:123" hidden="1">
      <c r="C26" s="471"/>
      <c r="D26" s="505"/>
      <c r="E26" s="524"/>
      <c r="F26" s="524"/>
      <c r="G26" s="524"/>
      <c r="H26" s="524"/>
      <c r="I26" s="524"/>
      <c r="J26" s="524"/>
      <c r="K26" s="524"/>
      <c r="L26" s="524"/>
      <c r="M26" s="524"/>
      <c r="N26" s="524"/>
      <c r="O26" s="524"/>
      <c r="P26" s="524"/>
      <c r="Q26" s="525"/>
      <c r="S26" s="524"/>
      <c r="T26" s="524"/>
      <c r="U26" s="524"/>
      <c r="V26" s="524"/>
      <c r="X26" s="507"/>
      <c r="Y26" s="524"/>
      <c r="Z26" s="524"/>
      <c r="AA26" s="524"/>
      <c r="AB26" s="524"/>
      <c r="AC26" s="524"/>
      <c r="AD26" s="524"/>
      <c r="AE26" s="524"/>
      <c r="AF26" s="524"/>
      <c r="AG26" s="524"/>
      <c r="AH26" s="524"/>
      <c r="AI26" s="524"/>
      <c r="AJ26" s="524"/>
      <c r="AK26" s="525"/>
      <c r="AM26" s="524"/>
      <c r="AN26" s="524"/>
      <c r="AO26" s="524"/>
      <c r="AP26" s="524"/>
      <c r="AR26" s="507"/>
      <c r="AS26" s="524"/>
      <c r="AT26" s="524"/>
      <c r="AU26" s="524"/>
      <c r="AV26" s="524"/>
      <c r="AW26" s="524"/>
      <c r="AX26" s="524"/>
      <c r="AY26" s="524"/>
      <c r="AZ26" s="524"/>
      <c r="BA26" s="524"/>
      <c r="BB26" s="524"/>
      <c r="BC26" s="524"/>
      <c r="BD26" s="524"/>
      <c r="BE26" s="525"/>
      <c r="BG26" s="524"/>
      <c r="BH26" s="524"/>
      <c r="BI26" s="524"/>
      <c r="BJ26" s="524"/>
      <c r="BM26" s="524"/>
      <c r="BN26" s="524"/>
      <c r="BO26" s="524"/>
      <c r="BP26" s="524"/>
      <c r="BQ26" s="524"/>
      <c r="BR26" s="524"/>
      <c r="BS26" s="524"/>
      <c r="BT26" s="524"/>
      <c r="BU26" s="524"/>
      <c r="BV26" s="524"/>
      <c r="BW26" s="524"/>
      <c r="BX26" s="524"/>
      <c r="BY26" s="525"/>
      <c r="CA26" s="524"/>
      <c r="CB26" s="524"/>
      <c r="CC26" s="524"/>
      <c r="CD26" s="524"/>
      <c r="CG26" s="529"/>
      <c r="CH26" s="529"/>
      <c r="CI26" s="529"/>
      <c r="CJ26" s="529"/>
      <c r="CK26" s="529"/>
      <c r="CL26" s="529"/>
      <c r="CM26" s="529"/>
      <c r="CN26" s="529"/>
      <c r="CO26" s="529"/>
      <c r="CP26" s="529"/>
      <c r="CQ26" s="529"/>
      <c r="CR26" s="529"/>
      <c r="CS26" s="531"/>
      <c r="CT26" s="436"/>
      <c r="CU26" s="529"/>
      <c r="CV26" s="529"/>
      <c r="CW26" s="529"/>
      <c r="CX26" s="529"/>
      <c r="DA26" s="529"/>
      <c r="DB26" s="529"/>
      <c r="DC26" s="529"/>
      <c r="DD26" s="529"/>
      <c r="DE26" s="529"/>
      <c r="DF26" s="529"/>
      <c r="DG26" s="529"/>
      <c r="DH26" s="529"/>
      <c r="DI26" s="529"/>
      <c r="DJ26" s="529"/>
      <c r="DK26" s="529"/>
      <c r="DL26" s="529"/>
      <c r="DM26" s="531"/>
      <c r="DN26" s="436"/>
      <c r="DO26" s="529"/>
      <c r="DP26" s="529"/>
      <c r="DQ26" s="529"/>
      <c r="DR26" s="529"/>
    </row>
    <row r="27" spans="1:123">
      <c r="C27" s="471" t="s">
        <v>148</v>
      </c>
      <c r="D27" s="505" t="s">
        <v>73</v>
      </c>
      <c r="E27" s="524">
        <f t="shared" ref="E25:P29" si="177">SUMIF($D$4:$D$19,$D27,E$4:E$19)</f>
        <v>186650.25336105726</v>
      </c>
      <c r="F27" s="524">
        <f t="shared" si="177"/>
        <v>173912.195989884</v>
      </c>
      <c r="G27" s="524">
        <f t="shared" si="177"/>
        <v>198794.24089938903</v>
      </c>
      <c r="H27" s="524">
        <f t="shared" si="177"/>
        <v>215040.07578997459</v>
      </c>
      <c r="I27" s="524">
        <f t="shared" si="177"/>
        <v>228394.09648017946</v>
      </c>
      <c r="J27" s="524">
        <f t="shared" si="177"/>
        <v>229258.48561982592</v>
      </c>
      <c r="K27" s="524">
        <f t="shared" si="177"/>
        <v>243973.24402306619</v>
      </c>
      <c r="L27" s="524">
        <f t="shared" si="177"/>
        <v>245822.63815510788</v>
      </c>
      <c r="M27" s="524">
        <f t="shared" si="177"/>
        <v>256553.19183949567</v>
      </c>
      <c r="N27" s="524">
        <f t="shared" si="177"/>
        <v>277429.22317627392</v>
      </c>
      <c r="O27" s="524">
        <f t="shared" si="177"/>
        <v>282656.87025403907</v>
      </c>
      <c r="P27" s="524">
        <f t="shared" si="177"/>
        <v>304023.0422597389</v>
      </c>
      <c r="Q27" s="525">
        <f t="shared" ref="Q26:Q29" si="178">SUM(E27:P27)</f>
        <v>2842507.5578480316</v>
      </c>
      <c r="S27" s="524">
        <f t="shared" ref="S25:V29" si="179">SUMIF($D$4:$D$19,$D27,S$4:S$19)</f>
        <v>559356.69025033026</v>
      </c>
      <c r="T27" s="524">
        <f t="shared" si="179"/>
        <v>672692.65788998001</v>
      </c>
      <c r="U27" s="524">
        <f t="shared" si="179"/>
        <v>746349.07401766977</v>
      </c>
      <c r="V27" s="524">
        <f t="shared" si="179"/>
        <v>864109.13569005183</v>
      </c>
      <c r="X27" s="507" t="s">
        <v>73</v>
      </c>
      <c r="Y27" s="524">
        <f t="shared" ref="Y25:AJ30" si="180">SUMIF($D$4:$D$19,$D27,Y$4:Y$19)</f>
        <v>222979.51986973843</v>
      </c>
      <c r="Z27" s="524">
        <f t="shared" si="180"/>
        <v>206336.37797390134</v>
      </c>
      <c r="AA27" s="524">
        <f t="shared" si="180"/>
        <v>238812.3599740105</v>
      </c>
      <c r="AB27" s="524">
        <f t="shared" si="180"/>
        <v>257059.14921784558</v>
      </c>
      <c r="AC27" s="524">
        <f t="shared" si="180"/>
        <v>273916.42895684583</v>
      </c>
      <c r="AD27" s="524">
        <f t="shared" si="180"/>
        <v>273933.75861420948</v>
      </c>
      <c r="AE27" s="524">
        <f t="shared" si="180"/>
        <v>292208.01194097078</v>
      </c>
      <c r="AF27" s="524">
        <f t="shared" si="180"/>
        <v>293607.14308134664</v>
      </c>
      <c r="AG27" s="524">
        <f t="shared" si="180"/>
        <v>306968.54765454825</v>
      </c>
      <c r="AH27" s="524">
        <f t="shared" si="180"/>
        <v>331524.28376222</v>
      </c>
      <c r="AI27" s="524">
        <f t="shared" si="180"/>
        <v>322623.93375933345</v>
      </c>
      <c r="AJ27" s="524">
        <f t="shared" si="180"/>
        <v>336176.91546578897</v>
      </c>
      <c r="AK27" s="525">
        <f t="shared" ref="AK26:AK30" si="181">SUM(Y27:AJ27)</f>
        <v>3356146.4302707589</v>
      </c>
      <c r="AM27" s="524">
        <f t="shared" ref="AM25:AP30" si="182">SUMIF($D$4:$D$19,$D27,AM$4:AM$19)</f>
        <v>668128.25781765021</v>
      </c>
      <c r="AN27" s="524">
        <f t="shared" si="182"/>
        <v>804909.3367889009</v>
      </c>
      <c r="AO27" s="524">
        <f t="shared" si="182"/>
        <v>892783.70267686574</v>
      </c>
      <c r="AP27" s="524">
        <f t="shared" si="182"/>
        <v>990325.13298734231</v>
      </c>
      <c r="AR27" s="507" t="s">
        <v>73</v>
      </c>
      <c r="AS27" s="524">
        <f t="shared" ref="AS25:BD30" si="183">SUMIF($D$4:$D$19,$D27,AS$4:AS$19)</f>
        <v>146475.24349300002</v>
      </c>
      <c r="AT27" s="524">
        <f t="shared" si="183"/>
        <v>116315.32551000001</v>
      </c>
      <c r="AU27" s="524">
        <f t="shared" si="183"/>
        <v>187342.43036999996</v>
      </c>
      <c r="AV27" s="524">
        <f t="shared" si="183"/>
        <v>168538.78000000003</v>
      </c>
      <c r="AW27" s="524">
        <f t="shared" si="183"/>
        <v>208563.73</v>
      </c>
      <c r="AX27" s="524">
        <f t="shared" si="183"/>
        <v>239683.63999999998</v>
      </c>
      <c r="AY27" s="524">
        <f t="shared" si="183"/>
        <v>306286.13</v>
      </c>
      <c r="AZ27" s="524">
        <f t="shared" si="183"/>
        <v>253807.22</v>
      </c>
      <c r="BA27" s="524">
        <f t="shared" si="183"/>
        <v>0</v>
      </c>
      <c r="BB27" s="524">
        <f t="shared" si="183"/>
        <v>0</v>
      </c>
      <c r="BC27" s="524">
        <f t="shared" si="183"/>
        <v>0</v>
      </c>
      <c r="BD27" s="524">
        <f t="shared" si="183"/>
        <v>0</v>
      </c>
      <c r="BE27" s="525">
        <f t="shared" ref="BE26:BE30" si="184">SUM(AS27:BD27)</f>
        <v>1627012.4993729999</v>
      </c>
      <c r="BG27" s="524">
        <f t="shared" ref="BG25:BJ30" si="185">SUMIF($D$4:$D$19,$D27,BG$4:BG$19)</f>
        <v>450132.999373</v>
      </c>
      <c r="BH27" s="524">
        <f t="shared" si="185"/>
        <v>616786.15</v>
      </c>
      <c r="BI27" s="524">
        <f t="shared" si="185"/>
        <v>560093.35</v>
      </c>
      <c r="BJ27" s="524">
        <f t="shared" si="185"/>
        <v>0</v>
      </c>
      <c r="BM27" s="524">
        <f t="shared" ref="BM25:BX30" si="186">SUMIF($D$4:$D$19,$D27,BM$4:BM$19)</f>
        <v>-40175.009868057256</v>
      </c>
      <c r="BN27" s="524">
        <f t="shared" si="186"/>
        <v>-57596.870479883983</v>
      </c>
      <c r="BO27" s="524">
        <f t="shared" si="186"/>
        <v>-11451.810529389066</v>
      </c>
      <c r="BP27" s="524">
        <f t="shared" si="186"/>
        <v>-46501.295789974611</v>
      </c>
      <c r="BQ27" s="524">
        <f t="shared" si="186"/>
        <v>-19830.36648017948</v>
      </c>
      <c r="BR27" s="524">
        <f t="shared" si="186"/>
        <v>0</v>
      </c>
      <c r="BS27" s="524">
        <f t="shared" si="186"/>
        <v>0</v>
      </c>
      <c r="BT27" s="524">
        <f t="shared" si="186"/>
        <v>0</v>
      </c>
      <c r="BU27" s="524">
        <f t="shared" si="186"/>
        <v>0</v>
      </c>
      <c r="BV27" s="524">
        <f t="shared" si="186"/>
        <v>0</v>
      </c>
      <c r="BW27" s="524">
        <f t="shared" si="186"/>
        <v>0</v>
      </c>
      <c r="BX27" s="524">
        <f t="shared" si="186"/>
        <v>0</v>
      </c>
      <c r="BY27" s="525">
        <f t="shared" ref="BY26:BY30" si="187">SUM(BM27:BX27)</f>
        <v>-175555.35314748442</v>
      </c>
      <c r="CA27" s="524">
        <f t="shared" ref="CA25:CD30" si="188">SUMIF($D$4:$D$19,$D27,CA$4:CA$19)</f>
        <v>-109223.69087733033</v>
      </c>
      <c r="CB27" s="524">
        <f t="shared" si="188"/>
        <v>-66331.662270154076</v>
      </c>
      <c r="CC27" s="524">
        <f t="shared" si="188"/>
        <v>0</v>
      </c>
      <c r="CD27" s="524">
        <f t="shared" si="188"/>
        <v>0</v>
      </c>
      <c r="CG27" s="529">
        <f t="shared" si="161"/>
        <v>0.7847578069431147</v>
      </c>
      <c r="CH27" s="529">
        <f t="shared" si="161"/>
        <v>0.66881638086362705</v>
      </c>
      <c r="CI27" s="529">
        <f t="shared" si="161"/>
        <v>0.942393650451952</v>
      </c>
      <c r="CJ27" s="529">
        <f t="shared" si="161"/>
        <v>0.78375521111984969</v>
      </c>
      <c r="CK27" s="529">
        <f t="shared" si="161"/>
        <v>0.91317478522523732</v>
      </c>
      <c r="CL27" s="529">
        <f t="shared" si="161"/>
        <v>1.0454733631864856</v>
      </c>
      <c r="CM27" s="529">
        <f t="shared" si="161"/>
        <v>1.2554086872372059</v>
      </c>
      <c r="CN27" s="529">
        <f t="shared" si="161"/>
        <v>1.0324810680774406</v>
      </c>
      <c r="CO27" s="529">
        <f t="shared" si="161"/>
        <v>0</v>
      </c>
      <c r="CP27" s="529">
        <f t="shared" si="161"/>
        <v>0</v>
      </c>
      <c r="CQ27" s="529">
        <f t="shared" si="161"/>
        <v>0</v>
      </c>
      <c r="CR27" s="529">
        <f t="shared" si="161"/>
        <v>0</v>
      </c>
      <c r="CS27" s="531">
        <f t="shared" si="161"/>
        <v>0.57238634067335858</v>
      </c>
      <c r="CT27" s="436"/>
      <c r="CU27" s="529">
        <f t="shared" si="162"/>
        <v>0.80473337893134145</v>
      </c>
      <c r="CV27" s="529">
        <f t="shared" si="162"/>
        <v>0.91689145520728488</v>
      </c>
      <c r="CW27" s="529">
        <f t="shared" si="162"/>
        <v>0.75044422174326941</v>
      </c>
      <c r="CX27" s="529">
        <f t="shared" si="162"/>
        <v>0</v>
      </c>
      <c r="DA27" s="529">
        <f t="shared" si="163"/>
        <v>0.65689998605508182</v>
      </c>
      <c r="DB27" s="529">
        <f t="shared" si="164"/>
        <v>0.56371700740386299</v>
      </c>
      <c r="DC27" s="529">
        <f t="shared" si="165"/>
        <v>0.7844754366582537</v>
      </c>
      <c r="DD27" s="529">
        <f t="shared" si="166"/>
        <v>0.65564202057313781</v>
      </c>
      <c r="DE27" s="529">
        <f t="shared" si="167"/>
        <v>0.76141373043695082</v>
      </c>
      <c r="DF27" s="529">
        <f t="shared" si="168"/>
        <v>0.87496934007887239</v>
      </c>
      <c r="DG27" s="529">
        <f t="shared" si="169"/>
        <v>1.0481784122396793</v>
      </c>
      <c r="DH27" s="529">
        <f t="shared" si="170"/>
        <v>0.86444497683654886</v>
      </c>
      <c r="DI27" s="529">
        <f t="shared" si="171"/>
        <v>0</v>
      </c>
      <c r="DJ27" s="529">
        <f t="shared" si="172"/>
        <v>0</v>
      </c>
      <c r="DK27" s="529">
        <f t="shared" si="173"/>
        <v>0</v>
      </c>
      <c r="DL27" s="529">
        <f t="shared" si="174"/>
        <v>0</v>
      </c>
      <c r="DM27" s="531">
        <f t="shared" si="175"/>
        <v>0.48478590942819494</v>
      </c>
      <c r="DN27" s="436"/>
      <c r="DO27" s="529">
        <f t="shared" si="176"/>
        <v>-0.163477131223419</v>
      </c>
      <c r="DP27" s="529">
        <f t="shared" si="176"/>
        <v>-8.2408861766689281E-2</v>
      </c>
      <c r="DQ27" s="529">
        <f t="shared" si="176"/>
        <v>0</v>
      </c>
      <c r="DR27" s="529">
        <f t="shared" si="176"/>
        <v>0</v>
      </c>
    </row>
    <row r="28" spans="1:123" s="596" customFormat="1">
      <c r="C28" s="473" t="s">
        <v>147</v>
      </c>
      <c r="D28" s="506" t="s">
        <v>74</v>
      </c>
      <c r="E28" s="526">
        <f t="shared" si="177"/>
        <v>13623.456484334463</v>
      </c>
      <c r="F28" s="526">
        <f t="shared" si="177"/>
        <v>12159.051771492457</v>
      </c>
      <c r="G28" s="526">
        <f t="shared" si="177"/>
        <v>15006.774322507856</v>
      </c>
      <c r="H28" s="526">
        <f t="shared" si="177"/>
        <v>15757.131188428062</v>
      </c>
      <c r="I28" s="526">
        <f t="shared" si="177"/>
        <v>17070.851551959495</v>
      </c>
      <c r="J28" s="526">
        <f t="shared" si="177"/>
        <v>16753.20467643653</v>
      </c>
      <c r="K28" s="526">
        <f t="shared" si="177"/>
        <v>18088.013464420492</v>
      </c>
      <c r="L28" s="526">
        <f t="shared" si="177"/>
        <v>17919.165071293719</v>
      </c>
      <c r="M28" s="526">
        <f t="shared" si="177"/>
        <v>18905.732818043078</v>
      </c>
      <c r="N28" s="526">
        <f t="shared" si="177"/>
        <v>20285.620237721268</v>
      </c>
      <c r="O28" s="526">
        <f t="shared" si="177"/>
        <v>20702.836982423396</v>
      </c>
      <c r="P28" s="526">
        <f t="shared" si="177"/>
        <v>22979.575492953481</v>
      </c>
      <c r="Q28" s="527">
        <f t="shared" si="178"/>
        <v>209251.41406201432</v>
      </c>
      <c r="S28" s="526">
        <f t="shared" si="179"/>
        <v>40789.28257833478</v>
      </c>
      <c r="T28" s="526">
        <f t="shared" si="179"/>
        <v>49581.187416824083</v>
      </c>
      <c r="U28" s="526">
        <f t="shared" si="179"/>
        <v>54912.911353757285</v>
      </c>
      <c r="V28" s="526">
        <f t="shared" si="179"/>
        <v>63968.032713098146</v>
      </c>
      <c r="W28" s="468"/>
      <c r="X28" s="507" t="s">
        <v>74</v>
      </c>
      <c r="Y28" s="526">
        <f t="shared" si="180"/>
        <v>13882.504585231964</v>
      </c>
      <c r="Z28" s="526">
        <f t="shared" si="180"/>
        <v>12390.254423605116</v>
      </c>
      <c r="AA28" s="526">
        <f t="shared" si="180"/>
        <v>15292.126016720935</v>
      </c>
      <c r="AB28" s="526">
        <f t="shared" si="180"/>
        <v>16056.750812467582</v>
      </c>
      <c r="AC28" s="526">
        <f t="shared" si="180"/>
        <v>17395.451383164098</v>
      </c>
      <c r="AD28" s="526">
        <f t="shared" si="180"/>
        <v>17071.764497166932</v>
      </c>
      <c r="AE28" s="526">
        <f t="shared" si="180"/>
        <v>18431.954485728456</v>
      </c>
      <c r="AF28" s="526">
        <f t="shared" si="180"/>
        <v>18259.895464254208</v>
      </c>
      <c r="AG28" s="526">
        <f t="shared" si="180"/>
        <v>19265.222657366983</v>
      </c>
      <c r="AH28" s="526">
        <f t="shared" si="180"/>
        <v>20671.348441437578</v>
      </c>
      <c r="AI28" s="526">
        <f t="shared" si="180"/>
        <v>19729.663754779453</v>
      </c>
      <c r="AJ28" s="526">
        <f t="shared" si="180"/>
        <v>20804.477540091008</v>
      </c>
      <c r="AK28" s="527">
        <f t="shared" si="181"/>
        <v>209251.41406201434</v>
      </c>
      <c r="AM28" s="526">
        <f t="shared" si="182"/>
        <v>41564.885025558011</v>
      </c>
      <c r="AN28" s="526">
        <f t="shared" si="182"/>
        <v>50523.966692798611</v>
      </c>
      <c r="AO28" s="526">
        <f t="shared" si="182"/>
        <v>55957.072607349648</v>
      </c>
      <c r="AP28" s="526">
        <f t="shared" si="182"/>
        <v>61205.489736308038</v>
      </c>
      <c r="AQ28" s="468"/>
      <c r="AR28" s="507" t="s">
        <v>74</v>
      </c>
      <c r="AS28" s="526">
        <f t="shared" si="183"/>
        <v>15588.980986999999</v>
      </c>
      <c r="AT28" s="526">
        <f t="shared" si="183"/>
        <v>16095.788096999999</v>
      </c>
      <c r="AU28" s="526">
        <f t="shared" si="183"/>
        <v>36862.056037999988</v>
      </c>
      <c r="AV28" s="526">
        <f t="shared" si="183"/>
        <v>120675.02</v>
      </c>
      <c r="AW28" s="526">
        <f t="shared" si="183"/>
        <v>178209.89</v>
      </c>
      <c r="AX28" s="526">
        <f t="shared" si="183"/>
        <v>51287.92</v>
      </c>
      <c r="AY28" s="526">
        <f t="shared" si="183"/>
        <v>40316.65</v>
      </c>
      <c r="AZ28" s="526">
        <f t="shared" si="183"/>
        <v>42436.31</v>
      </c>
      <c r="BA28" s="526">
        <f t="shared" si="183"/>
        <v>0</v>
      </c>
      <c r="BB28" s="526">
        <f t="shared" si="183"/>
        <v>0</v>
      </c>
      <c r="BC28" s="526">
        <f t="shared" si="183"/>
        <v>0</v>
      </c>
      <c r="BD28" s="526">
        <f t="shared" si="183"/>
        <v>0</v>
      </c>
      <c r="BE28" s="527">
        <f t="shared" si="184"/>
        <v>501472.61512199999</v>
      </c>
      <c r="BG28" s="526">
        <f t="shared" si="185"/>
        <v>68546.82512199998</v>
      </c>
      <c r="BH28" s="526">
        <f t="shared" si="185"/>
        <v>350172.83</v>
      </c>
      <c r="BI28" s="526">
        <f t="shared" si="185"/>
        <v>82752.959999999992</v>
      </c>
      <c r="BJ28" s="526">
        <f t="shared" si="185"/>
        <v>0</v>
      </c>
      <c r="BK28" s="468"/>
      <c r="BL28" s="468"/>
      <c r="BM28" s="526">
        <f t="shared" si="186"/>
        <v>1965.5245026655357</v>
      </c>
      <c r="BN28" s="526">
        <f t="shared" si="186"/>
        <v>3936.7363255075416</v>
      </c>
      <c r="BO28" s="526">
        <f t="shared" si="186"/>
        <v>21855.281715492132</v>
      </c>
      <c r="BP28" s="526">
        <f t="shared" si="186"/>
        <v>104917.88881157195</v>
      </c>
      <c r="BQ28" s="526">
        <f t="shared" si="186"/>
        <v>161139.03844804052</v>
      </c>
      <c r="BR28" s="526">
        <f t="shared" si="186"/>
        <v>0</v>
      </c>
      <c r="BS28" s="526">
        <f t="shared" si="186"/>
        <v>0</v>
      </c>
      <c r="BT28" s="526">
        <f t="shared" si="186"/>
        <v>0</v>
      </c>
      <c r="BU28" s="526">
        <f t="shared" si="186"/>
        <v>0</v>
      </c>
      <c r="BV28" s="526">
        <f t="shared" si="186"/>
        <v>0</v>
      </c>
      <c r="BW28" s="526">
        <f t="shared" si="186"/>
        <v>0</v>
      </c>
      <c r="BX28" s="526">
        <f t="shared" si="186"/>
        <v>0</v>
      </c>
      <c r="BY28" s="527">
        <f t="shared" si="187"/>
        <v>293814.46980327764</v>
      </c>
      <c r="CA28" s="526">
        <f t="shared" si="188"/>
        <v>27757.542543665208</v>
      </c>
      <c r="CB28" s="526">
        <f t="shared" si="188"/>
        <v>266056.92725961248</v>
      </c>
      <c r="CC28" s="526">
        <f t="shared" si="188"/>
        <v>0</v>
      </c>
      <c r="CD28" s="526">
        <f t="shared" si="188"/>
        <v>0</v>
      </c>
      <c r="CE28" s="468"/>
      <c r="CF28" s="468"/>
      <c r="CG28" s="530">
        <f t="shared" si="161"/>
        <v>1.1442750233705874</v>
      </c>
      <c r="CH28" s="530">
        <f t="shared" si="161"/>
        <v>1.32377001097548</v>
      </c>
      <c r="CI28" s="530">
        <f t="shared" si="161"/>
        <v>2.4563610570669119</v>
      </c>
      <c r="CJ28" s="530">
        <f t="shared" si="161"/>
        <v>7.6584384909242225</v>
      </c>
      <c r="CK28" s="530">
        <f t="shared" si="161"/>
        <v>10.439425910158771</v>
      </c>
      <c r="CL28" s="530">
        <f t="shared" si="161"/>
        <v>3.0613796578356576</v>
      </c>
      <c r="CM28" s="530">
        <f t="shared" si="161"/>
        <v>2.2289153023522297</v>
      </c>
      <c r="CN28" s="530">
        <f t="shared" si="161"/>
        <v>2.3682079958056996</v>
      </c>
      <c r="CO28" s="530">
        <f t="shared" si="161"/>
        <v>0</v>
      </c>
      <c r="CP28" s="530">
        <f t="shared" si="161"/>
        <v>0</v>
      </c>
      <c r="CQ28" s="530">
        <f t="shared" si="161"/>
        <v>0</v>
      </c>
      <c r="CR28" s="530">
        <f t="shared" si="161"/>
        <v>0</v>
      </c>
      <c r="CS28" s="532">
        <f t="shared" si="161"/>
        <v>2.3965076526239493</v>
      </c>
      <c r="CT28" s="436"/>
      <c r="CU28" s="530">
        <f t="shared" si="162"/>
        <v>1.6805106829314183</v>
      </c>
      <c r="CV28" s="530">
        <f t="shared" si="162"/>
        <v>7.0626148392964465</v>
      </c>
      <c r="CW28" s="530">
        <f t="shared" si="162"/>
        <v>1.5069854786407682</v>
      </c>
      <c r="CX28" s="530">
        <f t="shared" si="162"/>
        <v>0</v>
      </c>
      <c r="CY28" s="468"/>
      <c r="DA28" s="530">
        <f t="shared" si="163"/>
        <v>1.1229228048361939</v>
      </c>
      <c r="DB28" s="530">
        <f t="shared" si="164"/>
        <v>1.2990684086628066</v>
      </c>
      <c r="DC28" s="530">
        <f t="shared" si="165"/>
        <v>2.4105252597116813</v>
      </c>
      <c r="DD28" s="530">
        <f t="shared" si="166"/>
        <v>7.5155317168090754</v>
      </c>
      <c r="DE28" s="530">
        <f t="shared" si="167"/>
        <v>10.24462579755059</v>
      </c>
      <c r="DF28" s="530">
        <f t="shared" si="168"/>
        <v>3.0042541887519159</v>
      </c>
      <c r="DG28" s="530">
        <f t="shared" si="169"/>
        <v>2.1873236520422448</v>
      </c>
      <c r="DH28" s="530">
        <f t="shared" si="170"/>
        <v>2.3240171381634593</v>
      </c>
      <c r="DI28" s="530">
        <f t="shared" si="171"/>
        <v>0</v>
      </c>
      <c r="DJ28" s="530">
        <f t="shared" si="172"/>
        <v>0</v>
      </c>
      <c r="DK28" s="530">
        <f t="shared" si="173"/>
        <v>0</v>
      </c>
      <c r="DL28" s="530">
        <f t="shared" si="174"/>
        <v>0</v>
      </c>
      <c r="DM28" s="532">
        <f t="shared" si="175"/>
        <v>2.3965076526239488</v>
      </c>
      <c r="DN28" s="436"/>
      <c r="DO28" s="530">
        <f t="shared" si="176"/>
        <v>0.66781232587548967</v>
      </c>
      <c r="DP28" s="530">
        <f t="shared" si="176"/>
        <v>5.2659548462875279</v>
      </c>
      <c r="DQ28" s="530">
        <f t="shared" si="176"/>
        <v>0</v>
      </c>
      <c r="DR28" s="530">
        <f t="shared" si="176"/>
        <v>0</v>
      </c>
      <c r="DS28" s="468"/>
    </row>
    <row r="29" spans="1:123" s="596" customFormat="1" hidden="1">
      <c r="C29" s="471"/>
      <c r="D29" s="505"/>
      <c r="E29" s="524"/>
      <c r="F29" s="524"/>
      <c r="G29" s="524"/>
      <c r="H29" s="524"/>
      <c r="I29" s="524"/>
      <c r="J29" s="524"/>
      <c r="K29" s="524"/>
      <c r="L29" s="524"/>
      <c r="M29" s="524"/>
      <c r="N29" s="524"/>
      <c r="O29" s="524"/>
      <c r="P29" s="524"/>
      <c r="Q29" s="525"/>
      <c r="S29" s="524"/>
      <c r="T29" s="524"/>
      <c r="U29" s="524"/>
      <c r="V29" s="524"/>
      <c r="W29" s="468"/>
      <c r="X29" s="507"/>
      <c r="Y29" s="524"/>
      <c r="Z29" s="524"/>
      <c r="AA29" s="524"/>
      <c r="AB29" s="524"/>
      <c r="AC29" s="524"/>
      <c r="AD29" s="524"/>
      <c r="AE29" s="524"/>
      <c r="AF29" s="524"/>
      <c r="AG29" s="524"/>
      <c r="AH29" s="524"/>
      <c r="AI29" s="524"/>
      <c r="AJ29" s="524"/>
      <c r="AK29" s="525"/>
      <c r="AM29" s="524"/>
      <c r="AN29" s="524"/>
      <c r="AO29" s="524"/>
      <c r="AP29" s="524"/>
      <c r="AQ29" s="468"/>
      <c r="AR29" s="507"/>
      <c r="AS29" s="524"/>
      <c r="AT29" s="524"/>
      <c r="AU29" s="524"/>
      <c r="AV29" s="524"/>
      <c r="AW29" s="524"/>
      <c r="AX29" s="524"/>
      <c r="AY29" s="524"/>
      <c r="AZ29" s="524"/>
      <c r="BA29" s="524"/>
      <c r="BB29" s="524"/>
      <c r="BC29" s="524"/>
      <c r="BD29" s="524"/>
      <c r="BE29" s="525"/>
      <c r="BG29" s="524"/>
      <c r="BH29" s="524"/>
      <c r="BI29" s="524"/>
      <c r="BJ29" s="524"/>
      <c r="BK29" s="468"/>
      <c r="BL29" s="468"/>
      <c r="BM29" s="524"/>
      <c r="BN29" s="524"/>
      <c r="BO29" s="524"/>
      <c r="BP29" s="524"/>
      <c r="BQ29" s="524"/>
      <c r="BR29" s="524"/>
      <c r="BS29" s="524"/>
      <c r="BT29" s="524"/>
      <c r="BU29" s="524"/>
      <c r="BV29" s="524"/>
      <c r="BW29" s="524"/>
      <c r="BX29" s="524"/>
      <c r="BY29" s="525"/>
      <c r="CA29" s="524"/>
      <c r="CB29" s="524"/>
      <c r="CC29" s="524"/>
      <c r="CD29" s="524"/>
      <c r="CE29" s="468"/>
      <c r="CF29" s="468"/>
      <c r="CG29" s="529"/>
      <c r="CH29" s="529"/>
      <c r="CI29" s="529"/>
      <c r="CJ29" s="529"/>
      <c r="CK29" s="529"/>
      <c r="CL29" s="529"/>
      <c r="CM29" s="529"/>
      <c r="CN29" s="529"/>
      <c r="CO29" s="529"/>
      <c r="CP29" s="529"/>
      <c r="CQ29" s="529"/>
      <c r="CR29" s="529"/>
      <c r="CS29" s="531"/>
      <c r="CT29" s="436"/>
      <c r="CU29" s="529"/>
      <c r="CV29" s="529"/>
      <c r="CW29" s="529"/>
      <c r="CX29" s="529"/>
      <c r="CY29" s="468"/>
      <c r="DA29" s="529"/>
      <c r="DB29" s="529"/>
      <c r="DC29" s="529"/>
      <c r="DD29" s="529"/>
      <c r="DE29" s="529"/>
      <c r="DF29" s="529"/>
      <c r="DG29" s="529"/>
      <c r="DH29" s="529"/>
      <c r="DI29" s="529"/>
      <c r="DJ29" s="529"/>
      <c r="DK29" s="529"/>
      <c r="DL29" s="529"/>
      <c r="DM29" s="531"/>
      <c r="DN29" s="436"/>
      <c r="DO29" s="529"/>
      <c r="DP29" s="529"/>
      <c r="DQ29" s="529"/>
      <c r="DR29" s="529"/>
      <c r="DS29" s="468"/>
    </row>
    <row r="30" spans="1:123" s="596" customFormat="1" hidden="1">
      <c r="C30" s="473"/>
      <c r="D30" s="506"/>
      <c r="E30" s="526"/>
      <c r="F30" s="526"/>
      <c r="G30" s="526"/>
      <c r="H30" s="526"/>
      <c r="I30" s="526"/>
      <c r="J30" s="526"/>
      <c r="K30" s="526"/>
      <c r="L30" s="526"/>
      <c r="M30" s="526"/>
      <c r="N30" s="526"/>
      <c r="O30" s="526"/>
      <c r="P30" s="526"/>
      <c r="Q30" s="527"/>
      <c r="S30" s="526"/>
      <c r="T30" s="526"/>
      <c r="U30" s="526"/>
      <c r="V30" s="526"/>
      <c r="W30" s="468"/>
      <c r="X30" s="507"/>
      <c r="Y30" s="526"/>
      <c r="Z30" s="526"/>
      <c r="AA30" s="526"/>
      <c r="AB30" s="526"/>
      <c r="AC30" s="526"/>
      <c r="AD30" s="526"/>
      <c r="AE30" s="526"/>
      <c r="AF30" s="526"/>
      <c r="AG30" s="526"/>
      <c r="AH30" s="526"/>
      <c r="AI30" s="526"/>
      <c r="AJ30" s="526"/>
      <c r="AK30" s="527"/>
      <c r="AM30" s="526"/>
      <c r="AN30" s="526"/>
      <c r="AO30" s="526"/>
      <c r="AP30" s="526"/>
      <c r="AQ30" s="468"/>
      <c r="AR30" s="507"/>
      <c r="AS30" s="526"/>
      <c r="AT30" s="526"/>
      <c r="AU30" s="526"/>
      <c r="AV30" s="526"/>
      <c r="AW30" s="526"/>
      <c r="AX30" s="526"/>
      <c r="AY30" s="526"/>
      <c r="AZ30" s="526"/>
      <c r="BA30" s="526"/>
      <c r="BB30" s="526"/>
      <c r="BC30" s="526"/>
      <c r="BD30" s="526"/>
      <c r="BE30" s="527"/>
      <c r="BG30" s="526"/>
      <c r="BH30" s="526"/>
      <c r="BI30" s="526"/>
      <c r="BJ30" s="526"/>
      <c r="BK30" s="468"/>
      <c r="BL30" s="468"/>
      <c r="BM30" s="526"/>
      <c r="BN30" s="526"/>
      <c r="BO30" s="526"/>
      <c r="BP30" s="526"/>
      <c r="BQ30" s="526"/>
      <c r="BR30" s="526"/>
      <c r="BS30" s="526"/>
      <c r="BT30" s="526"/>
      <c r="BU30" s="526"/>
      <c r="BV30" s="526"/>
      <c r="BW30" s="526"/>
      <c r="BX30" s="526"/>
      <c r="BY30" s="527"/>
      <c r="CA30" s="526"/>
      <c r="CB30" s="526"/>
      <c r="CC30" s="526"/>
      <c r="CD30" s="526"/>
      <c r="CE30" s="468"/>
      <c r="CF30" s="468"/>
      <c r="CG30" s="530"/>
      <c r="CH30" s="530"/>
      <c r="CI30" s="530"/>
      <c r="CJ30" s="530"/>
      <c r="CK30" s="530"/>
      <c r="CL30" s="530"/>
      <c r="CM30" s="530"/>
      <c r="CN30" s="530"/>
      <c r="CO30" s="530"/>
      <c r="CP30" s="530"/>
      <c r="CQ30" s="530"/>
      <c r="CR30" s="530"/>
      <c r="CS30" s="532"/>
      <c r="CT30" s="436"/>
      <c r="CU30" s="530"/>
      <c r="CV30" s="530"/>
      <c r="CW30" s="530"/>
      <c r="CX30" s="530"/>
      <c r="CY30" s="468"/>
      <c r="DA30" s="530"/>
      <c r="DB30" s="530"/>
      <c r="DC30" s="530"/>
      <c r="DD30" s="530"/>
      <c r="DE30" s="530"/>
      <c r="DF30" s="530"/>
      <c r="DG30" s="530"/>
      <c r="DH30" s="530"/>
      <c r="DI30" s="530"/>
      <c r="DJ30" s="530"/>
      <c r="DK30" s="530"/>
      <c r="DL30" s="530"/>
      <c r="DM30" s="532"/>
      <c r="DN30" s="436"/>
      <c r="DO30" s="530"/>
      <c r="DP30" s="530"/>
      <c r="DQ30" s="530"/>
      <c r="DR30" s="530"/>
      <c r="DS30" s="468"/>
    </row>
    <row r="31" spans="1:123">
      <c r="C31" s="493"/>
      <c r="D31" s="494"/>
      <c r="E31" s="368"/>
      <c r="F31" s="368"/>
      <c r="G31" s="368"/>
      <c r="H31" s="368"/>
      <c r="I31" s="368"/>
      <c r="J31" s="368"/>
      <c r="K31" s="368"/>
      <c r="L31" s="368"/>
      <c r="M31" s="368"/>
      <c r="N31" s="368"/>
      <c r="O31" s="368"/>
      <c r="P31" s="368"/>
      <c r="Q31" s="495"/>
      <c r="S31" s="368"/>
      <c r="T31" s="368"/>
      <c r="U31" s="368"/>
      <c r="V31" s="368"/>
      <c r="X31" s="507"/>
      <c r="Y31" s="368"/>
      <c r="Z31" s="368"/>
      <c r="AA31" s="368"/>
      <c r="AB31" s="368"/>
      <c r="AC31" s="368"/>
      <c r="AD31" s="368"/>
      <c r="AE31" s="368"/>
      <c r="AF31" s="368"/>
      <c r="AG31" s="368"/>
      <c r="AH31" s="368"/>
      <c r="AI31" s="368"/>
      <c r="AJ31" s="368"/>
      <c r="AK31" s="495"/>
      <c r="AM31" s="368"/>
      <c r="AN31" s="368"/>
      <c r="AO31" s="368"/>
      <c r="AP31" s="368"/>
      <c r="AR31" s="507"/>
      <c r="AS31" s="368"/>
      <c r="AT31" s="368"/>
      <c r="AU31" s="368"/>
      <c r="AV31" s="368"/>
      <c r="AW31" s="368"/>
      <c r="AX31" s="368"/>
      <c r="AY31" s="368"/>
      <c r="AZ31" s="368"/>
      <c r="BA31" s="368"/>
      <c r="BB31" s="368"/>
      <c r="BC31" s="368"/>
      <c r="BD31" s="368"/>
      <c r="BE31" s="495"/>
      <c r="BG31" s="368"/>
      <c r="BH31" s="368"/>
      <c r="BI31" s="368"/>
      <c r="BJ31" s="368"/>
      <c r="BM31" s="368"/>
      <c r="BN31" s="368"/>
      <c r="BO31" s="368"/>
      <c r="BP31" s="368"/>
      <c r="BQ31" s="368"/>
      <c r="BR31" s="368"/>
      <c r="BS31" s="368"/>
      <c r="BT31" s="368"/>
      <c r="BU31" s="368"/>
      <c r="BV31" s="368"/>
      <c r="BW31" s="368"/>
      <c r="BX31" s="368"/>
      <c r="BY31" s="495"/>
      <c r="CA31" s="368"/>
      <c r="CB31" s="368"/>
      <c r="CC31" s="368"/>
      <c r="CD31" s="368"/>
      <c r="CG31" s="555"/>
      <c r="CH31" s="555"/>
      <c r="CI31" s="555"/>
      <c r="CJ31" s="555"/>
      <c r="CK31" s="555"/>
      <c r="CL31" s="555"/>
      <c r="CM31" s="555"/>
      <c r="CN31" s="555"/>
      <c r="CO31" s="555"/>
      <c r="CP31" s="555"/>
      <c r="CQ31" s="555"/>
      <c r="CR31" s="555"/>
      <c r="CS31" s="577"/>
      <c r="CT31" s="436"/>
      <c r="CU31" s="555"/>
      <c r="CV31" s="555"/>
      <c r="CW31" s="555"/>
      <c r="CX31" s="555"/>
      <c r="DA31" s="555"/>
      <c r="DB31" s="555"/>
      <c r="DC31" s="555"/>
      <c r="DD31" s="555"/>
      <c r="DE31" s="555"/>
      <c r="DF31" s="555"/>
      <c r="DG31" s="555"/>
      <c r="DH31" s="555"/>
      <c r="DI31" s="555"/>
      <c r="DJ31" s="555"/>
      <c r="DK31" s="555"/>
      <c r="DL31" s="555"/>
      <c r="DM31" s="577"/>
      <c r="DN31" s="436"/>
      <c r="DO31" s="555"/>
      <c r="DP31" s="555"/>
      <c r="DQ31" s="555"/>
      <c r="DR31" s="555"/>
    </row>
    <row r="32" spans="1:123" ht="2.5499999999999998" customHeight="1">
      <c r="A32" s="496"/>
      <c r="B32" s="496"/>
      <c r="C32" s="497"/>
      <c r="D32" s="498"/>
      <c r="E32" s="499"/>
      <c r="F32" s="499"/>
      <c r="G32" s="499"/>
      <c r="H32" s="499"/>
      <c r="I32" s="499"/>
      <c r="J32" s="499"/>
      <c r="K32" s="499"/>
      <c r="L32" s="499"/>
      <c r="M32" s="499"/>
      <c r="N32" s="499"/>
      <c r="O32" s="499"/>
      <c r="P32" s="499"/>
      <c r="Q32" s="500"/>
      <c r="R32" s="496"/>
      <c r="S32" s="499"/>
      <c r="T32" s="499"/>
      <c r="U32" s="499"/>
      <c r="V32" s="499"/>
      <c r="W32" s="496"/>
      <c r="X32" s="508"/>
      <c r="Y32" s="499"/>
      <c r="Z32" s="499"/>
      <c r="AA32" s="499"/>
      <c r="AB32" s="499"/>
      <c r="AC32" s="499"/>
      <c r="AD32" s="499"/>
      <c r="AE32" s="499"/>
      <c r="AF32" s="499"/>
      <c r="AG32" s="499"/>
      <c r="AH32" s="499"/>
      <c r="AI32" s="499"/>
      <c r="AJ32" s="499"/>
      <c r="AK32" s="500"/>
      <c r="AL32" s="496"/>
      <c r="AM32" s="499"/>
      <c r="AN32" s="499"/>
      <c r="AO32" s="499"/>
      <c r="AP32" s="499"/>
      <c r="AQ32" s="496"/>
      <c r="AR32" s="508"/>
      <c r="AS32" s="499"/>
      <c r="AT32" s="499"/>
      <c r="AU32" s="499"/>
      <c r="AV32" s="499"/>
      <c r="AW32" s="499"/>
      <c r="AX32" s="499"/>
      <c r="AY32" s="499"/>
      <c r="AZ32" s="499"/>
      <c r="BA32" s="499"/>
      <c r="BB32" s="499"/>
      <c r="BC32" s="499"/>
      <c r="BD32" s="499"/>
      <c r="BE32" s="500"/>
      <c r="BF32" s="496"/>
      <c r="BG32" s="499"/>
      <c r="BH32" s="499"/>
      <c r="BI32" s="499"/>
      <c r="BJ32" s="499"/>
      <c r="BK32" s="496"/>
      <c r="BL32" s="496"/>
      <c r="BM32" s="499"/>
      <c r="BN32" s="499"/>
      <c r="BO32" s="499"/>
      <c r="BP32" s="499"/>
      <c r="BQ32" s="499"/>
      <c r="BR32" s="499"/>
      <c r="BS32" s="499"/>
      <c r="BT32" s="499"/>
      <c r="BU32" s="499"/>
      <c r="BV32" s="499"/>
      <c r="BW32" s="499"/>
      <c r="BX32" s="499"/>
      <c r="BY32" s="500"/>
      <c r="BZ32" s="496"/>
      <c r="CA32" s="499"/>
      <c r="CB32" s="499"/>
      <c r="CC32" s="499"/>
      <c r="CD32" s="499"/>
      <c r="CE32" s="496"/>
      <c r="CF32" s="496"/>
      <c r="CG32" s="578"/>
      <c r="CH32" s="578"/>
      <c r="CI32" s="578"/>
      <c r="CJ32" s="578"/>
      <c r="CK32" s="578"/>
      <c r="CL32" s="578"/>
      <c r="CM32" s="578"/>
      <c r="CN32" s="578"/>
      <c r="CO32" s="578"/>
      <c r="CP32" s="578"/>
      <c r="CQ32" s="578"/>
      <c r="CR32" s="578"/>
      <c r="CS32" s="579"/>
      <c r="CT32" s="580"/>
      <c r="CU32" s="578"/>
      <c r="CV32" s="578"/>
      <c r="CW32" s="578"/>
      <c r="CX32" s="578"/>
      <c r="CY32" s="496"/>
      <c r="CZ32" s="496"/>
      <c r="DA32" s="578"/>
      <c r="DB32" s="578"/>
      <c r="DC32" s="578"/>
      <c r="DD32" s="578"/>
      <c r="DE32" s="578"/>
      <c r="DF32" s="578"/>
      <c r="DG32" s="578"/>
      <c r="DH32" s="578"/>
      <c r="DI32" s="578"/>
      <c r="DJ32" s="578"/>
      <c r="DK32" s="578"/>
      <c r="DL32" s="578"/>
      <c r="DM32" s="579"/>
      <c r="DN32" s="580"/>
      <c r="DO32" s="578"/>
      <c r="DP32" s="578"/>
      <c r="DQ32" s="578"/>
      <c r="DR32" s="578"/>
      <c r="DS32" s="496"/>
    </row>
    <row r="33" spans="2:122" hidden="1">
      <c r="X33" s="507"/>
      <c r="AR33" s="507"/>
      <c r="CG33" s="436"/>
      <c r="CH33" s="436"/>
      <c r="CI33" s="436"/>
      <c r="CJ33" s="436"/>
      <c r="CK33" s="436"/>
      <c r="CL33" s="436"/>
      <c r="CM33" s="436"/>
      <c r="CN33" s="436"/>
      <c r="CO33" s="436"/>
      <c r="CP33" s="436"/>
      <c r="CQ33" s="436"/>
      <c r="CR33" s="436"/>
      <c r="CS33" s="436"/>
      <c r="CT33" s="436"/>
      <c r="CU33" s="436"/>
      <c r="CV33" s="436"/>
      <c r="CW33" s="436"/>
      <c r="CX33" s="436"/>
      <c r="DA33" s="436"/>
      <c r="DB33" s="436"/>
      <c r="DC33" s="436"/>
      <c r="DD33" s="436"/>
      <c r="DE33" s="436"/>
      <c r="DF33" s="436"/>
      <c r="DG33" s="436"/>
      <c r="DH33" s="436"/>
      <c r="DI33" s="436"/>
      <c r="DJ33" s="436"/>
      <c r="DK33" s="436"/>
      <c r="DL33" s="436"/>
      <c r="DM33" s="436"/>
      <c r="DN33" s="436"/>
      <c r="DO33" s="436"/>
      <c r="DP33" s="436"/>
      <c r="DQ33" s="436"/>
      <c r="DR33" s="436"/>
    </row>
    <row r="34" spans="2:122" hidden="1">
      <c r="B34" s="355"/>
      <c r="C34" s="536"/>
      <c r="D34" s="537"/>
      <c r="E34" s="553"/>
      <c r="F34" s="553"/>
      <c r="G34" s="553"/>
      <c r="H34" s="553"/>
      <c r="I34" s="553"/>
      <c r="J34" s="553"/>
      <c r="K34" s="553"/>
      <c r="L34" s="553"/>
      <c r="M34" s="553"/>
      <c r="N34" s="553"/>
      <c r="O34" s="553"/>
      <c r="P34" s="553"/>
      <c r="Q34" s="553"/>
      <c r="S34" s="545"/>
      <c r="T34" s="545"/>
      <c r="U34" s="545"/>
      <c r="V34" s="545"/>
      <c r="X34" s="507"/>
      <c r="Y34" s="553"/>
      <c r="Z34" s="553"/>
      <c r="AA34" s="553"/>
      <c r="AB34" s="553"/>
      <c r="AC34" s="553"/>
      <c r="AD34" s="553"/>
      <c r="AE34" s="553"/>
      <c r="AF34" s="553"/>
      <c r="AG34" s="553"/>
      <c r="AH34" s="553"/>
      <c r="AI34" s="553"/>
      <c r="AJ34" s="553"/>
      <c r="AK34" s="553"/>
      <c r="AM34" s="545"/>
      <c r="AN34" s="545"/>
      <c r="AO34" s="545"/>
      <c r="AP34" s="545"/>
      <c r="AR34" s="507"/>
      <c r="AS34" s="553"/>
      <c r="AT34" s="553"/>
      <c r="AU34" s="553"/>
      <c r="AV34" s="553"/>
      <c r="AW34" s="553"/>
      <c r="AX34" s="553"/>
      <c r="AY34" s="553"/>
      <c r="AZ34" s="553"/>
      <c r="BA34" s="553"/>
      <c r="BB34" s="553"/>
      <c r="BC34" s="553"/>
      <c r="BD34" s="553"/>
      <c r="BE34" s="553"/>
      <c r="BG34" s="545"/>
      <c r="BH34" s="545"/>
      <c r="BI34" s="545"/>
      <c r="BJ34" s="545"/>
      <c r="BM34" s="553"/>
      <c r="BN34" s="553"/>
      <c r="BO34" s="553"/>
      <c r="BP34" s="553"/>
      <c r="BQ34" s="553"/>
      <c r="BR34" s="553"/>
      <c r="BS34" s="553"/>
      <c r="BT34" s="553"/>
      <c r="BU34" s="553"/>
      <c r="BV34" s="553"/>
      <c r="BW34" s="553"/>
      <c r="BX34" s="553"/>
      <c r="BY34" s="553"/>
      <c r="CA34" s="545"/>
      <c r="CB34" s="545"/>
      <c r="CC34" s="545"/>
      <c r="CD34" s="545"/>
      <c r="CG34" s="569"/>
      <c r="CH34" s="569"/>
      <c r="CI34" s="569"/>
      <c r="CJ34" s="569"/>
      <c r="CK34" s="569"/>
      <c r="CL34" s="569"/>
      <c r="CM34" s="569"/>
      <c r="CN34" s="569"/>
      <c r="CO34" s="569"/>
      <c r="CP34" s="569"/>
      <c r="CQ34" s="569"/>
      <c r="CR34" s="569"/>
      <c r="CS34" s="569"/>
      <c r="CT34" s="436"/>
      <c r="CU34" s="566"/>
      <c r="CV34" s="566"/>
      <c r="CW34" s="566"/>
      <c r="CX34" s="566"/>
      <c r="DA34" s="569"/>
      <c r="DB34" s="569"/>
      <c r="DC34" s="569"/>
      <c r="DD34" s="569"/>
      <c r="DE34" s="569"/>
      <c r="DF34" s="569"/>
      <c r="DG34" s="569"/>
      <c r="DH34" s="569"/>
      <c r="DI34" s="569"/>
      <c r="DJ34" s="569"/>
      <c r="DK34" s="569"/>
      <c r="DL34" s="569"/>
      <c r="DM34" s="569"/>
      <c r="DN34" s="436"/>
      <c r="DO34" s="566"/>
      <c r="DP34" s="566"/>
      <c r="DQ34" s="566"/>
      <c r="DR34" s="566"/>
    </row>
    <row r="35" spans="2:122" hidden="1">
      <c r="C35" s="538"/>
      <c r="D35" s="539"/>
      <c r="E35" s="581"/>
      <c r="F35" s="581"/>
      <c r="G35" s="581"/>
      <c r="H35" s="547"/>
      <c r="I35" s="547"/>
      <c r="J35" s="547"/>
      <c r="K35" s="547"/>
      <c r="L35" s="547"/>
      <c r="M35" s="547"/>
      <c r="N35" s="547"/>
      <c r="O35" s="547"/>
      <c r="P35" s="547"/>
      <c r="Q35" s="548"/>
      <c r="R35" s="468"/>
      <c r="S35" s="547"/>
      <c r="T35" s="547"/>
      <c r="U35" s="547"/>
      <c r="V35" s="547"/>
      <c r="X35" s="507"/>
      <c r="Y35" s="581"/>
      <c r="Z35" s="581"/>
      <c r="AA35" s="581"/>
      <c r="AB35" s="547"/>
      <c r="AC35" s="547"/>
      <c r="AD35" s="547"/>
      <c r="AE35" s="547"/>
      <c r="AF35" s="547"/>
      <c r="AG35" s="547"/>
      <c r="AH35" s="547"/>
      <c r="AI35" s="547"/>
      <c r="AJ35" s="547"/>
      <c r="AK35" s="548"/>
      <c r="AL35" s="468"/>
      <c r="AM35" s="547"/>
      <c r="AN35" s="547"/>
      <c r="AO35" s="547"/>
      <c r="AP35" s="547"/>
      <c r="AR35" s="507"/>
      <c r="AS35" s="570"/>
      <c r="AT35" s="570"/>
      <c r="AU35" s="570"/>
      <c r="AV35" s="570"/>
      <c r="AW35" s="570"/>
      <c r="AX35" s="570"/>
      <c r="AY35" s="570"/>
      <c r="AZ35" s="570"/>
      <c r="BA35" s="547"/>
      <c r="BB35" s="547"/>
      <c r="BC35" s="547"/>
      <c r="BD35" s="547"/>
      <c r="BE35" s="548"/>
      <c r="BF35" s="468"/>
      <c r="BG35" s="547"/>
      <c r="BH35" s="547"/>
      <c r="BI35" s="547"/>
      <c r="BJ35" s="547"/>
      <c r="BM35" s="581"/>
      <c r="BN35" s="581"/>
      <c r="BO35" s="581"/>
      <c r="BP35" s="547"/>
      <c r="BQ35" s="547"/>
      <c r="BR35" s="547"/>
      <c r="BS35" s="547"/>
      <c r="BT35" s="547"/>
      <c r="BU35" s="547"/>
      <c r="BV35" s="547"/>
      <c r="BW35" s="547"/>
      <c r="BX35" s="547"/>
      <c r="BY35" s="548"/>
      <c r="BZ35" s="468"/>
      <c r="CA35" s="547"/>
      <c r="CB35" s="547"/>
      <c r="CC35" s="547"/>
      <c r="CD35" s="547"/>
      <c r="CG35" s="584"/>
      <c r="CH35" s="584"/>
      <c r="CI35" s="584"/>
      <c r="CJ35" s="571"/>
      <c r="CK35" s="571"/>
      <c r="CL35" s="571"/>
      <c r="CM35" s="571"/>
      <c r="CN35" s="571"/>
      <c r="CO35" s="571"/>
      <c r="CP35" s="571"/>
      <c r="CQ35" s="571"/>
      <c r="CR35" s="571"/>
      <c r="CS35" s="572"/>
      <c r="CT35" s="573"/>
      <c r="CU35" s="571"/>
      <c r="CV35" s="571"/>
      <c r="CW35" s="571"/>
      <c r="CX35" s="571"/>
      <c r="DA35" s="584"/>
      <c r="DB35" s="584"/>
      <c r="DC35" s="584"/>
      <c r="DD35" s="571"/>
      <c r="DE35" s="571"/>
      <c r="DF35" s="571"/>
      <c r="DG35" s="571"/>
      <c r="DH35" s="571"/>
      <c r="DI35" s="571"/>
      <c r="DJ35" s="571"/>
      <c r="DK35" s="571"/>
      <c r="DL35" s="571"/>
      <c r="DM35" s="572"/>
      <c r="DN35" s="573"/>
      <c r="DO35" s="571"/>
      <c r="DP35" s="571"/>
      <c r="DQ35" s="571"/>
      <c r="DR35" s="571"/>
    </row>
    <row r="36" spans="2:122" hidden="1">
      <c r="C36" s="538"/>
      <c r="D36" s="539"/>
      <c r="E36" s="581"/>
      <c r="F36" s="581"/>
      <c r="G36" s="581"/>
      <c r="H36" s="547"/>
      <c r="I36" s="547"/>
      <c r="J36" s="547"/>
      <c r="K36" s="547"/>
      <c r="L36" s="547"/>
      <c r="M36" s="547"/>
      <c r="N36" s="547"/>
      <c r="O36" s="547"/>
      <c r="P36" s="547"/>
      <c r="Q36" s="548"/>
      <c r="R36" s="468"/>
      <c r="S36" s="547"/>
      <c r="T36" s="547"/>
      <c r="U36" s="547"/>
      <c r="V36" s="547"/>
      <c r="X36" s="507"/>
      <c r="Y36" s="581"/>
      <c r="Z36" s="581"/>
      <c r="AA36" s="581"/>
      <c r="AB36" s="547"/>
      <c r="AC36" s="547"/>
      <c r="AD36" s="547"/>
      <c r="AE36" s="547"/>
      <c r="AF36" s="547"/>
      <c r="AG36" s="547"/>
      <c r="AH36" s="547"/>
      <c r="AI36" s="547"/>
      <c r="AJ36" s="547"/>
      <c r="AK36" s="548"/>
      <c r="AL36" s="468"/>
      <c r="AM36" s="547"/>
      <c r="AN36" s="547"/>
      <c r="AO36" s="547"/>
      <c r="AP36" s="547"/>
      <c r="AR36" s="507"/>
      <c r="AS36" s="570"/>
      <c r="AT36" s="570"/>
      <c r="AU36" s="570"/>
      <c r="AV36" s="570"/>
      <c r="AW36" s="570"/>
      <c r="AX36" s="570"/>
      <c r="AY36" s="570"/>
      <c r="AZ36" s="570"/>
      <c r="BA36" s="547"/>
      <c r="BB36" s="547"/>
      <c r="BC36" s="547"/>
      <c r="BD36" s="547"/>
      <c r="BE36" s="548"/>
      <c r="BF36" s="468"/>
      <c r="BG36" s="547"/>
      <c r="BH36" s="547"/>
      <c r="BI36" s="547"/>
      <c r="BJ36" s="547"/>
      <c r="BM36" s="581"/>
      <c r="BN36" s="581"/>
      <c r="BO36" s="581"/>
      <c r="BP36" s="547"/>
      <c r="BQ36" s="547"/>
      <c r="BR36" s="547"/>
      <c r="BS36" s="547"/>
      <c r="BT36" s="547"/>
      <c r="BU36" s="547"/>
      <c r="BV36" s="547"/>
      <c r="BW36" s="547"/>
      <c r="BX36" s="547"/>
      <c r="BY36" s="548"/>
      <c r="BZ36" s="468"/>
      <c r="CA36" s="547"/>
      <c r="CB36" s="547"/>
      <c r="CC36" s="547"/>
      <c r="CD36" s="547"/>
      <c r="CG36" s="584"/>
      <c r="CH36" s="584"/>
      <c r="CI36" s="584"/>
      <c r="CJ36" s="571"/>
      <c r="CK36" s="571"/>
      <c r="CL36" s="571"/>
      <c r="CM36" s="571"/>
      <c r="CN36" s="571"/>
      <c r="CO36" s="571"/>
      <c r="CP36" s="571"/>
      <c r="CQ36" s="571"/>
      <c r="CR36" s="571"/>
      <c r="CS36" s="572"/>
      <c r="CT36" s="573"/>
      <c r="CU36" s="571"/>
      <c r="CV36" s="571"/>
      <c r="CW36" s="571"/>
      <c r="CX36" s="571"/>
      <c r="DA36" s="584"/>
      <c r="DB36" s="584"/>
      <c r="DC36" s="584"/>
      <c r="DD36" s="571"/>
      <c r="DE36" s="571"/>
      <c r="DF36" s="571"/>
      <c r="DG36" s="571"/>
      <c r="DH36" s="571"/>
      <c r="DI36" s="571"/>
      <c r="DJ36" s="571"/>
      <c r="DK36" s="571"/>
      <c r="DL36" s="571"/>
      <c r="DM36" s="572"/>
      <c r="DN36" s="573"/>
      <c r="DO36" s="571"/>
      <c r="DP36" s="571"/>
      <c r="DQ36" s="571"/>
      <c r="DR36" s="571"/>
    </row>
    <row r="37" spans="2:122" hidden="1">
      <c r="C37" s="538"/>
      <c r="D37" s="539"/>
      <c r="E37" s="581"/>
      <c r="F37" s="581"/>
      <c r="G37" s="581"/>
      <c r="H37" s="547"/>
      <c r="I37" s="547"/>
      <c r="J37" s="547"/>
      <c r="K37" s="547"/>
      <c r="L37" s="547"/>
      <c r="M37" s="547"/>
      <c r="N37" s="547"/>
      <c r="O37" s="547"/>
      <c r="P37" s="547"/>
      <c r="Q37" s="548"/>
      <c r="R37" s="468"/>
      <c r="S37" s="547"/>
      <c r="T37" s="547"/>
      <c r="U37" s="547"/>
      <c r="V37" s="547"/>
      <c r="X37" s="507"/>
      <c r="Y37" s="581"/>
      <c r="Z37" s="581"/>
      <c r="AA37" s="581"/>
      <c r="AB37" s="547"/>
      <c r="AC37" s="547"/>
      <c r="AD37" s="547"/>
      <c r="AE37" s="547"/>
      <c r="AF37" s="547"/>
      <c r="AG37" s="547"/>
      <c r="AH37" s="547"/>
      <c r="AI37" s="547"/>
      <c r="AJ37" s="547"/>
      <c r="AK37" s="548"/>
      <c r="AL37" s="468"/>
      <c r="AM37" s="547"/>
      <c r="AN37" s="547"/>
      <c r="AO37" s="547"/>
      <c r="AP37" s="547"/>
      <c r="AR37" s="507"/>
      <c r="AS37" s="570"/>
      <c r="AT37" s="570"/>
      <c r="AU37" s="570"/>
      <c r="AV37" s="570"/>
      <c r="AW37" s="570"/>
      <c r="AX37" s="570"/>
      <c r="AY37" s="570"/>
      <c r="AZ37" s="570"/>
      <c r="BA37" s="570"/>
      <c r="BB37" s="570"/>
      <c r="BC37" s="570"/>
      <c r="BD37" s="570"/>
      <c r="BE37" s="548"/>
      <c r="BF37" s="468"/>
      <c r="BG37" s="547"/>
      <c r="BH37" s="547"/>
      <c r="BI37" s="547"/>
      <c r="BJ37" s="547"/>
      <c r="BM37" s="581"/>
      <c r="BN37" s="581"/>
      <c r="BO37" s="581"/>
      <c r="BP37" s="547"/>
      <c r="BQ37" s="547"/>
      <c r="BR37" s="547"/>
      <c r="BS37" s="547"/>
      <c r="BT37" s="547"/>
      <c r="BU37" s="547"/>
      <c r="BV37" s="547"/>
      <c r="BW37" s="547"/>
      <c r="BX37" s="547"/>
      <c r="BY37" s="548"/>
      <c r="BZ37" s="468"/>
      <c r="CA37" s="547"/>
      <c r="CB37" s="547"/>
      <c r="CC37" s="547"/>
      <c r="CD37" s="547"/>
      <c r="CG37" s="584"/>
      <c r="CH37" s="584"/>
      <c r="CI37" s="584"/>
      <c r="CJ37" s="571"/>
      <c r="CK37" s="571"/>
      <c r="CL37" s="571"/>
      <c r="CM37" s="571"/>
      <c r="CN37" s="571"/>
      <c r="CO37" s="571"/>
      <c r="CP37" s="571"/>
      <c r="CQ37" s="571"/>
      <c r="CR37" s="571"/>
      <c r="CS37" s="572"/>
      <c r="CT37" s="573"/>
      <c r="CU37" s="571"/>
      <c r="CV37" s="571"/>
      <c r="CW37" s="571"/>
      <c r="CX37" s="571"/>
      <c r="DA37" s="584"/>
      <c r="DB37" s="584"/>
      <c r="DC37" s="584"/>
      <c r="DD37" s="571"/>
      <c r="DE37" s="571"/>
      <c r="DF37" s="571"/>
      <c r="DG37" s="571"/>
      <c r="DH37" s="571"/>
      <c r="DI37" s="571"/>
      <c r="DJ37" s="571"/>
      <c r="DK37" s="571"/>
      <c r="DL37" s="571"/>
      <c r="DM37" s="572"/>
      <c r="DN37" s="573"/>
      <c r="DO37" s="571"/>
      <c r="DP37" s="571"/>
      <c r="DQ37" s="571"/>
      <c r="DR37" s="571"/>
    </row>
    <row r="38" spans="2:122" hidden="1">
      <c r="C38" s="540"/>
      <c r="D38" s="541"/>
      <c r="E38" s="550"/>
      <c r="F38" s="550"/>
      <c r="G38" s="550"/>
      <c r="H38" s="551"/>
      <c r="I38" s="551"/>
      <c r="J38" s="551"/>
      <c r="K38" s="551"/>
      <c r="L38" s="551"/>
      <c r="M38" s="551"/>
      <c r="N38" s="551"/>
      <c r="O38" s="551"/>
      <c r="P38" s="551"/>
      <c r="Q38" s="552"/>
      <c r="R38" s="468"/>
      <c r="S38" s="551"/>
      <c r="T38" s="551"/>
      <c r="U38" s="551"/>
      <c r="V38" s="551"/>
      <c r="X38" s="507"/>
      <c r="Y38" s="550"/>
      <c r="Z38" s="550"/>
      <c r="AA38" s="550"/>
      <c r="AB38" s="551"/>
      <c r="AC38" s="551"/>
      <c r="AD38" s="551"/>
      <c r="AE38" s="551"/>
      <c r="AF38" s="551"/>
      <c r="AG38" s="551"/>
      <c r="AH38" s="551"/>
      <c r="AI38" s="551"/>
      <c r="AJ38" s="551"/>
      <c r="AK38" s="552"/>
      <c r="AL38" s="468"/>
      <c r="AM38" s="551"/>
      <c r="AN38" s="551"/>
      <c r="AO38" s="551"/>
      <c r="AP38" s="551"/>
      <c r="AR38" s="507"/>
      <c r="AS38" s="554"/>
      <c r="AT38" s="554"/>
      <c r="AU38" s="554"/>
      <c r="AV38" s="554"/>
      <c r="AW38" s="554"/>
      <c r="AX38" s="554"/>
      <c r="AY38" s="554"/>
      <c r="AZ38" s="554"/>
      <c r="BA38" s="551"/>
      <c r="BB38" s="551"/>
      <c r="BC38" s="551"/>
      <c r="BD38" s="551"/>
      <c r="BE38" s="552"/>
      <c r="BF38" s="468"/>
      <c r="BG38" s="551"/>
      <c r="BH38" s="551"/>
      <c r="BI38" s="551"/>
      <c r="BJ38" s="551"/>
      <c r="BM38" s="550"/>
      <c r="BN38" s="550"/>
      <c r="BO38" s="550"/>
      <c r="BP38" s="551"/>
      <c r="BQ38" s="551"/>
      <c r="BR38" s="551"/>
      <c r="BS38" s="551"/>
      <c r="BT38" s="551"/>
      <c r="BU38" s="551"/>
      <c r="BV38" s="551"/>
      <c r="BW38" s="551"/>
      <c r="BX38" s="551"/>
      <c r="BY38" s="552"/>
      <c r="BZ38" s="468"/>
      <c r="CA38" s="551"/>
      <c r="CB38" s="551"/>
      <c r="CC38" s="551"/>
      <c r="CD38" s="551"/>
      <c r="CG38" s="585"/>
      <c r="CH38" s="585"/>
      <c r="CI38" s="585"/>
      <c r="CJ38" s="575"/>
      <c r="CK38" s="575"/>
      <c r="CL38" s="575"/>
      <c r="CM38" s="575"/>
      <c r="CN38" s="575"/>
      <c r="CO38" s="575"/>
      <c r="CP38" s="575"/>
      <c r="CQ38" s="575"/>
      <c r="CR38" s="575"/>
      <c r="CS38" s="576"/>
      <c r="CT38" s="573"/>
      <c r="CU38" s="575"/>
      <c r="CV38" s="575"/>
      <c r="CW38" s="575"/>
      <c r="CX38" s="575"/>
      <c r="DA38" s="585"/>
      <c r="DB38" s="585"/>
      <c r="DC38" s="585"/>
      <c r="DD38" s="575"/>
      <c r="DE38" s="575"/>
      <c r="DF38" s="575"/>
      <c r="DG38" s="575"/>
      <c r="DH38" s="575"/>
      <c r="DI38" s="575"/>
      <c r="DJ38" s="575"/>
      <c r="DK38" s="575"/>
      <c r="DL38" s="575"/>
      <c r="DM38" s="576"/>
      <c r="DN38" s="573"/>
      <c r="DO38" s="575"/>
      <c r="DP38" s="575"/>
      <c r="DQ38" s="575"/>
      <c r="DR38" s="575"/>
    </row>
    <row r="39" spans="2:122" hidden="1">
      <c r="X39" s="507"/>
      <c r="AR39" s="507"/>
      <c r="CG39" s="436"/>
      <c r="CH39" s="436"/>
      <c r="CI39" s="436"/>
      <c r="CJ39" s="436"/>
      <c r="CK39" s="436"/>
      <c r="CL39" s="436"/>
      <c r="CM39" s="436"/>
      <c r="CN39" s="436"/>
      <c r="CO39" s="436"/>
      <c r="CP39" s="436"/>
      <c r="CQ39" s="436"/>
      <c r="CR39" s="436"/>
      <c r="CS39" s="436"/>
      <c r="CT39" s="436"/>
      <c r="CU39" s="436"/>
      <c r="CV39" s="436"/>
      <c r="CW39" s="436"/>
      <c r="CX39" s="436"/>
      <c r="DA39" s="436"/>
      <c r="DB39" s="436"/>
      <c r="DC39" s="436"/>
      <c r="DD39" s="436"/>
      <c r="DE39" s="436"/>
      <c r="DF39" s="436"/>
      <c r="DG39" s="436"/>
      <c r="DH39" s="436"/>
      <c r="DI39" s="436"/>
      <c r="DJ39" s="436"/>
      <c r="DK39" s="436"/>
      <c r="DL39" s="436"/>
      <c r="DM39" s="436"/>
      <c r="DN39" s="436"/>
      <c r="DO39" s="436"/>
      <c r="DP39" s="436"/>
      <c r="DQ39" s="436"/>
      <c r="DR39" s="436"/>
    </row>
    <row r="40" spans="2:122" hidden="1">
      <c r="C40" s="536"/>
      <c r="D40" s="537"/>
      <c r="E40" s="553"/>
      <c r="F40" s="553"/>
      <c r="G40" s="553"/>
      <c r="H40" s="553"/>
      <c r="I40" s="553"/>
      <c r="J40" s="553"/>
      <c r="K40" s="553"/>
      <c r="L40" s="553"/>
      <c r="M40" s="553"/>
      <c r="N40" s="553"/>
      <c r="O40" s="553"/>
      <c r="P40" s="553"/>
      <c r="Q40" s="553"/>
      <c r="S40" s="545"/>
      <c r="T40" s="545"/>
      <c r="U40" s="545"/>
      <c r="V40" s="545"/>
      <c r="X40" s="507"/>
      <c r="Y40" s="553"/>
      <c r="Z40" s="553"/>
      <c r="AA40" s="553"/>
      <c r="AB40" s="553"/>
      <c r="AC40" s="553"/>
      <c r="AD40" s="553"/>
      <c r="AE40" s="553"/>
      <c r="AF40" s="553"/>
      <c r="AG40" s="553"/>
      <c r="AH40" s="553"/>
      <c r="AI40" s="553"/>
      <c r="AJ40" s="553"/>
      <c r="AK40" s="553"/>
      <c r="AM40" s="545"/>
      <c r="AN40" s="545"/>
      <c r="AO40" s="545"/>
      <c r="AP40" s="545"/>
      <c r="AR40" s="507"/>
      <c r="AS40" s="553"/>
      <c r="AT40" s="553"/>
      <c r="AU40" s="553"/>
      <c r="AV40" s="553"/>
      <c r="AW40" s="553"/>
      <c r="AX40" s="553"/>
      <c r="AY40" s="553"/>
      <c r="AZ40" s="553"/>
      <c r="BA40" s="553"/>
      <c r="BB40" s="553"/>
      <c r="BC40" s="553"/>
      <c r="BD40" s="553"/>
      <c r="BE40" s="553"/>
      <c r="BG40" s="545"/>
      <c r="BH40" s="545"/>
      <c r="BI40" s="545"/>
      <c r="BJ40" s="545"/>
      <c r="BM40" s="553"/>
      <c r="BN40" s="553"/>
      <c r="BO40" s="553"/>
      <c r="BP40" s="553"/>
      <c r="BQ40" s="553"/>
      <c r="BR40" s="553"/>
      <c r="BS40" s="553"/>
      <c r="BT40" s="553"/>
      <c r="BU40" s="553"/>
      <c r="BV40" s="553"/>
      <c r="BW40" s="553"/>
      <c r="BX40" s="553"/>
      <c r="BY40" s="553"/>
      <c r="CA40" s="545"/>
      <c r="CB40" s="545"/>
      <c r="CC40" s="545"/>
      <c r="CD40" s="545"/>
      <c r="CG40" s="569"/>
      <c r="CH40" s="569"/>
      <c r="CI40" s="569"/>
      <c r="CJ40" s="569"/>
      <c r="CK40" s="569"/>
      <c r="CL40" s="569"/>
      <c r="CM40" s="569"/>
      <c r="CN40" s="569"/>
      <c r="CO40" s="569"/>
      <c r="CP40" s="569"/>
      <c r="CQ40" s="569"/>
      <c r="CR40" s="569"/>
      <c r="CS40" s="569"/>
      <c r="CT40" s="436"/>
      <c r="CU40" s="566"/>
      <c r="CV40" s="566"/>
      <c r="CW40" s="566"/>
      <c r="CX40" s="566"/>
      <c r="DA40" s="569"/>
      <c r="DB40" s="569"/>
      <c r="DC40" s="569"/>
      <c r="DD40" s="569"/>
      <c r="DE40" s="569"/>
      <c r="DF40" s="569"/>
      <c r="DG40" s="569"/>
      <c r="DH40" s="569"/>
      <c r="DI40" s="569"/>
      <c r="DJ40" s="569"/>
      <c r="DK40" s="569"/>
      <c r="DL40" s="569"/>
      <c r="DM40" s="569"/>
      <c r="DN40" s="436"/>
      <c r="DO40" s="566"/>
      <c r="DP40" s="566"/>
      <c r="DQ40" s="566"/>
      <c r="DR40" s="566"/>
    </row>
    <row r="41" spans="2:122" s="468" customFormat="1" hidden="1">
      <c r="C41" s="540"/>
      <c r="D41" s="541"/>
      <c r="E41" s="554"/>
      <c r="F41" s="554"/>
      <c r="G41" s="554"/>
      <c r="H41" s="551"/>
      <c r="I41" s="551"/>
      <c r="J41" s="551"/>
      <c r="K41" s="551"/>
      <c r="L41" s="551"/>
      <c r="M41" s="551"/>
      <c r="N41" s="551"/>
      <c r="O41" s="551"/>
      <c r="P41" s="551"/>
      <c r="Q41" s="552"/>
      <c r="S41" s="551"/>
      <c r="T41" s="551"/>
      <c r="U41" s="551"/>
      <c r="V41" s="551"/>
      <c r="X41" s="507"/>
      <c r="Y41" s="554"/>
      <c r="Z41" s="554"/>
      <c r="AA41" s="554"/>
      <c r="AB41" s="551"/>
      <c r="AC41" s="551"/>
      <c r="AD41" s="551"/>
      <c r="AE41" s="551"/>
      <c r="AF41" s="551"/>
      <c r="AG41" s="551"/>
      <c r="AH41" s="551"/>
      <c r="AI41" s="551"/>
      <c r="AJ41" s="551"/>
      <c r="AK41" s="552"/>
      <c r="AM41" s="551"/>
      <c r="AN41" s="551"/>
      <c r="AO41" s="551"/>
      <c r="AP41" s="551"/>
      <c r="AR41" s="507"/>
      <c r="AS41" s="554"/>
      <c r="AT41" s="554"/>
      <c r="AU41" s="554"/>
      <c r="AV41" s="551"/>
      <c r="AW41" s="551"/>
      <c r="AX41" s="551"/>
      <c r="AY41" s="551"/>
      <c r="AZ41" s="551"/>
      <c r="BA41" s="551"/>
      <c r="BB41" s="551"/>
      <c r="BC41" s="551"/>
      <c r="BD41" s="551"/>
      <c r="BE41" s="552"/>
      <c r="BG41" s="551"/>
      <c r="BH41" s="551"/>
      <c r="BI41" s="551"/>
      <c r="BJ41" s="551"/>
      <c r="BM41" s="554"/>
      <c r="BN41" s="554"/>
      <c r="BO41" s="554"/>
      <c r="BP41" s="551"/>
      <c r="BQ41" s="551"/>
      <c r="BR41" s="551"/>
      <c r="BS41" s="551"/>
      <c r="BT41" s="551"/>
      <c r="BU41" s="551"/>
      <c r="BV41" s="551"/>
      <c r="BW41" s="551"/>
      <c r="BX41" s="551"/>
      <c r="BY41" s="552"/>
      <c r="CA41" s="551"/>
      <c r="CB41" s="551"/>
      <c r="CC41" s="551"/>
      <c r="CD41" s="551"/>
      <c r="CG41" s="574"/>
      <c r="CH41" s="574"/>
      <c r="CI41" s="574"/>
      <c r="CJ41" s="575"/>
      <c r="CK41" s="575"/>
      <c r="CL41" s="575"/>
      <c r="CM41" s="575"/>
      <c r="CN41" s="575"/>
      <c r="CO41" s="575"/>
      <c r="CP41" s="575"/>
      <c r="CQ41" s="575"/>
      <c r="CR41" s="575"/>
      <c r="CS41" s="576"/>
      <c r="CT41" s="573"/>
      <c r="CU41" s="575"/>
      <c r="CV41" s="575"/>
      <c r="CW41" s="575"/>
      <c r="CX41" s="575"/>
      <c r="DA41" s="574"/>
      <c r="DB41" s="574"/>
      <c r="DC41" s="574"/>
      <c r="DD41" s="575"/>
      <c r="DE41" s="575"/>
      <c r="DF41" s="575"/>
      <c r="DG41" s="575"/>
      <c r="DH41" s="575"/>
      <c r="DI41" s="575"/>
      <c r="DJ41" s="575"/>
      <c r="DK41" s="575"/>
      <c r="DL41" s="575"/>
      <c r="DM41" s="576"/>
      <c r="DN41" s="573"/>
      <c r="DO41" s="575"/>
      <c r="DP41" s="575"/>
      <c r="DQ41" s="575"/>
      <c r="DR41" s="575"/>
    </row>
    <row r="42" spans="2:122" hidden="1">
      <c r="X42" s="507"/>
      <c r="AR42" s="507"/>
      <c r="CG42" s="436"/>
      <c r="CH42" s="436"/>
      <c r="CI42" s="436"/>
      <c r="CJ42" s="436"/>
      <c r="CK42" s="436"/>
      <c r="CL42" s="436"/>
      <c r="CM42" s="436"/>
      <c r="CN42" s="436"/>
      <c r="CO42" s="436"/>
      <c r="CP42" s="436"/>
      <c r="CQ42" s="436"/>
      <c r="CR42" s="436"/>
      <c r="CS42" s="436"/>
      <c r="CT42" s="436"/>
      <c r="CU42" s="436"/>
      <c r="CV42" s="436"/>
      <c r="CW42" s="436"/>
      <c r="CX42" s="436"/>
      <c r="DA42" s="436"/>
      <c r="DB42" s="436"/>
      <c r="DC42" s="436"/>
      <c r="DD42" s="436"/>
      <c r="DE42" s="436"/>
      <c r="DF42" s="436"/>
      <c r="DG42" s="436"/>
      <c r="DH42" s="436"/>
      <c r="DI42" s="436"/>
      <c r="DJ42" s="436"/>
      <c r="DK42" s="436"/>
      <c r="DL42" s="436"/>
      <c r="DM42" s="436"/>
      <c r="DN42" s="436"/>
      <c r="DO42" s="436"/>
      <c r="DP42" s="436"/>
      <c r="DQ42" s="436"/>
      <c r="DR42" s="436"/>
    </row>
    <row r="43" spans="2:122" hidden="1">
      <c r="C43" s="536"/>
      <c r="D43" s="537"/>
      <c r="E43" s="553"/>
      <c r="F43" s="553"/>
      <c r="G43" s="553"/>
      <c r="H43" s="553"/>
      <c r="I43" s="553"/>
      <c r="J43" s="553"/>
      <c r="K43" s="553"/>
      <c r="L43" s="553"/>
      <c r="M43" s="553"/>
      <c r="N43" s="553"/>
      <c r="O43" s="553"/>
      <c r="P43" s="553"/>
      <c r="Q43" s="553"/>
      <c r="S43" s="545"/>
      <c r="T43" s="545"/>
      <c r="U43" s="545"/>
      <c r="V43" s="545"/>
      <c r="X43" s="507"/>
      <c r="Y43" s="553"/>
      <c r="Z43" s="553"/>
      <c r="AA43" s="553"/>
      <c r="AB43" s="553"/>
      <c r="AC43" s="553"/>
      <c r="AD43" s="553"/>
      <c r="AE43" s="553"/>
      <c r="AF43" s="553"/>
      <c r="AG43" s="553"/>
      <c r="AH43" s="553"/>
      <c r="AI43" s="553"/>
      <c r="AJ43" s="553"/>
      <c r="AK43" s="553"/>
      <c r="AM43" s="545"/>
      <c r="AN43" s="545"/>
      <c r="AO43" s="545"/>
      <c r="AP43" s="545"/>
      <c r="AR43" s="507"/>
      <c r="AS43" s="553"/>
      <c r="AT43" s="553"/>
      <c r="AU43" s="553"/>
      <c r="AV43" s="553"/>
      <c r="AW43" s="553"/>
      <c r="AX43" s="553"/>
      <c r="AY43" s="553"/>
      <c r="AZ43" s="553"/>
      <c r="BA43" s="553"/>
      <c r="BB43" s="553"/>
      <c r="BC43" s="553"/>
      <c r="BD43" s="553"/>
      <c r="BE43" s="553"/>
      <c r="BG43" s="545"/>
      <c r="BH43" s="545"/>
      <c r="BI43" s="545"/>
      <c r="BJ43" s="545"/>
      <c r="BM43" s="553"/>
      <c r="BN43" s="553"/>
      <c r="BO43" s="553"/>
      <c r="BP43" s="553"/>
      <c r="BQ43" s="553"/>
      <c r="BR43" s="553"/>
      <c r="BS43" s="553"/>
      <c r="BT43" s="553"/>
      <c r="BU43" s="553"/>
      <c r="BV43" s="553"/>
      <c r="BW43" s="553"/>
      <c r="BX43" s="553"/>
      <c r="BY43" s="553"/>
      <c r="CA43" s="545"/>
      <c r="CB43" s="545"/>
      <c r="CC43" s="545"/>
      <c r="CD43" s="545"/>
      <c r="CG43" s="569"/>
      <c r="CH43" s="569"/>
      <c r="CI43" s="569"/>
      <c r="CJ43" s="569"/>
      <c r="CK43" s="569"/>
      <c r="CL43" s="569"/>
      <c r="CM43" s="569"/>
      <c r="CN43" s="569"/>
      <c r="CO43" s="569"/>
      <c r="CP43" s="569"/>
      <c r="CQ43" s="569"/>
      <c r="CR43" s="569"/>
      <c r="CS43" s="569"/>
      <c r="CT43" s="436"/>
      <c r="CU43" s="566"/>
      <c r="CV43" s="566"/>
      <c r="CW43" s="566"/>
      <c r="CX43" s="566"/>
      <c r="DA43" s="569"/>
      <c r="DB43" s="569"/>
      <c r="DC43" s="569"/>
      <c r="DD43" s="569"/>
      <c r="DE43" s="569"/>
      <c r="DF43" s="569"/>
      <c r="DG43" s="569"/>
      <c r="DH43" s="569"/>
      <c r="DI43" s="569"/>
      <c r="DJ43" s="569"/>
      <c r="DK43" s="569"/>
      <c r="DL43" s="569"/>
      <c r="DM43" s="569"/>
      <c r="DN43" s="436"/>
      <c r="DO43" s="566"/>
      <c r="DP43" s="566"/>
      <c r="DQ43" s="566"/>
      <c r="DR43" s="566"/>
    </row>
    <row r="44" spans="2:122" s="468" customFormat="1" hidden="1">
      <c r="C44" s="538"/>
      <c r="D44" s="539"/>
      <c r="E44" s="581"/>
      <c r="F44" s="581"/>
      <c r="G44" s="581"/>
      <c r="H44" s="547"/>
      <c r="I44" s="547"/>
      <c r="J44" s="547"/>
      <c r="K44" s="547"/>
      <c r="L44" s="547"/>
      <c r="M44" s="547"/>
      <c r="N44" s="547"/>
      <c r="O44" s="547"/>
      <c r="P44" s="547"/>
      <c r="Q44" s="548"/>
      <c r="S44" s="547"/>
      <c r="T44" s="547"/>
      <c r="U44" s="547"/>
      <c r="V44" s="547"/>
      <c r="X44" s="507"/>
      <c r="Y44" s="581"/>
      <c r="Z44" s="581"/>
      <c r="AA44" s="581"/>
      <c r="AB44" s="547"/>
      <c r="AC44" s="547"/>
      <c r="AD44" s="547"/>
      <c r="AE44" s="547"/>
      <c r="AF44" s="547"/>
      <c r="AG44" s="547"/>
      <c r="AH44" s="547"/>
      <c r="AI44" s="547"/>
      <c r="AJ44" s="547"/>
      <c r="AK44" s="548"/>
      <c r="AM44" s="547"/>
      <c r="AN44" s="547"/>
      <c r="AO44" s="547"/>
      <c r="AP44" s="547"/>
      <c r="AR44" s="507"/>
      <c r="AS44" s="570"/>
      <c r="AT44" s="570"/>
      <c r="AU44" s="570"/>
      <c r="AV44" s="570"/>
      <c r="AW44" s="570"/>
      <c r="AX44" s="570"/>
      <c r="AY44" s="570"/>
      <c r="AZ44" s="581"/>
      <c r="BA44" s="570"/>
      <c r="BB44" s="570"/>
      <c r="BC44" s="570"/>
      <c r="BD44" s="570"/>
      <c r="BE44" s="548"/>
      <c r="BG44" s="547"/>
      <c r="BH44" s="547"/>
      <c r="BI44" s="547"/>
      <c r="BJ44" s="547"/>
      <c r="BM44" s="581"/>
      <c r="BN44" s="581"/>
      <c r="BO44" s="581"/>
      <c r="BP44" s="547"/>
      <c r="BQ44" s="547"/>
      <c r="BR44" s="547"/>
      <c r="BS44" s="547"/>
      <c r="BT44" s="547"/>
      <c r="BU44" s="547"/>
      <c r="BV44" s="547"/>
      <c r="BW44" s="547"/>
      <c r="BX44" s="547"/>
      <c r="BY44" s="548"/>
      <c r="CA44" s="547"/>
      <c r="CB44" s="547"/>
      <c r="CC44" s="547"/>
      <c r="CD44" s="547"/>
      <c r="CG44" s="584"/>
      <c r="CH44" s="584"/>
      <c r="CI44" s="584"/>
      <c r="CJ44" s="571"/>
      <c r="CK44" s="571"/>
      <c r="CL44" s="571"/>
      <c r="CM44" s="571"/>
      <c r="CN44" s="571"/>
      <c r="CO44" s="571"/>
      <c r="CP44" s="571"/>
      <c r="CQ44" s="571"/>
      <c r="CR44" s="571"/>
      <c r="CS44" s="572"/>
      <c r="CT44" s="573"/>
      <c r="CU44" s="571"/>
      <c r="CV44" s="571"/>
      <c r="CW44" s="571"/>
      <c r="CX44" s="571"/>
      <c r="DA44" s="584"/>
      <c r="DB44" s="584"/>
      <c r="DC44" s="584"/>
      <c r="DD44" s="571"/>
      <c r="DE44" s="571"/>
      <c r="DF44" s="571"/>
      <c r="DG44" s="571"/>
      <c r="DH44" s="571"/>
      <c r="DI44" s="571"/>
      <c r="DJ44" s="571"/>
      <c r="DK44" s="571"/>
      <c r="DL44" s="571"/>
      <c r="DM44" s="572"/>
      <c r="DN44" s="573"/>
      <c r="DO44" s="571"/>
      <c r="DP44" s="571"/>
      <c r="DQ44" s="571"/>
      <c r="DR44" s="571"/>
    </row>
    <row r="45" spans="2:122" s="468" customFormat="1" hidden="1">
      <c r="C45" s="538"/>
      <c r="D45" s="539"/>
      <c r="E45" s="581"/>
      <c r="F45" s="581"/>
      <c r="G45" s="581"/>
      <c r="H45" s="547"/>
      <c r="I45" s="547"/>
      <c r="J45" s="547"/>
      <c r="K45" s="547"/>
      <c r="L45" s="547"/>
      <c r="M45" s="547"/>
      <c r="N45" s="547"/>
      <c r="O45" s="547"/>
      <c r="P45" s="547"/>
      <c r="Q45" s="548"/>
      <c r="S45" s="547"/>
      <c r="T45" s="547"/>
      <c r="U45" s="547"/>
      <c r="V45" s="547"/>
      <c r="X45" s="507"/>
      <c r="Y45" s="581"/>
      <c r="Z45" s="581"/>
      <c r="AA45" s="581"/>
      <c r="AB45" s="547"/>
      <c r="AC45" s="547"/>
      <c r="AD45" s="547"/>
      <c r="AE45" s="547"/>
      <c r="AF45" s="547"/>
      <c r="AG45" s="547"/>
      <c r="AH45" s="547"/>
      <c r="AI45" s="547"/>
      <c r="AJ45" s="547"/>
      <c r="AK45" s="548"/>
      <c r="AM45" s="547"/>
      <c r="AN45" s="547"/>
      <c r="AO45" s="547"/>
      <c r="AP45" s="547"/>
      <c r="AR45" s="507"/>
      <c r="AS45" s="570"/>
      <c r="AT45" s="570"/>
      <c r="AU45" s="570"/>
      <c r="AV45" s="570"/>
      <c r="AW45" s="570"/>
      <c r="AX45" s="570"/>
      <c r="AY45" s="570"/>
      <c r="AZ45" s="581"/>
      <c r="BA45" s="570"/>
      <c r="BB45" s="570"/>
      <c r="BC45" s="570"/>
      <c r="BD45" s="570"/>
      <c r="BE45" s="548"/>
      <c r="BG45" s="547"/>
      <c r="BH45" s="547"/>
      <c r="BI45" s="547"/>
      <c r="BJ45" s="547"/>
      <c r="BM45" s="581"/>
      <c r="BN45" s="581"/>
      <c r="BO45" s="581"/>
      <c r="BP45" s="547"/>
      <c r="BQ45" s="547"/>
      <c r="BR45" s="547"/>
      <c r="BS45" s="547"/>
      <c r="BT45" s="547"/>
      <c r="BU45" s="547"/>
      <c r="BV45" s="547"/>
      <c r="BW45" s="547"/>
      <c r="BX45" s="547"/>
      <c r="BY45" s="548"/>
      <c r="CA45" s="547"/>
      <c r="CB45" s="547"/>
      <c r="CC45" s="547"/>
      <c r="CD45" s="547"/>
      <c r="CG45" s="584"/>
      <c r="CH45" s="584"/>
      <c r="CI45" s="584"/>
      <c r="CJ45" s="571"/>
      <c r="CK45" s="571"/>
      <c r="CL45" s="571"/>
      <c r="CM45" s="571"/>
      <c r="CN45" s="571"/>
      <c r="CO45" s="571"/>
      <c r="CP45" s="571"/>
      <c r="CQ45" s="571"/>
      <c r="CR45" s="571"/>
      <c r="CS45" s="572"/>
      <c r="CT45" s="573"/>
      <c r="CU45" s="571"/>
      <c r="CV45" s="571"/>
      <c r="CW45" s="571"/>
      <c r="CX45" s="571"/>
      <c r="DA45" s="584"/>
      <c r="DB45" s="584"/>
      <c r="DC45" s="584"/>
      <c r="DD45" s="571"/>
      <c r="DE45" s="571"/>
      <c r="DF45" s="571"/>
      <c r="DG45" s="571"/>
      <c r="DH45" s="571"/>
      <c r="DI45" s="571"/>
      <c r="DJ45" s="571"/>
      <c r="DK45" s="571"/>
      <c r="DL45" s="571"/>
      <c r="DM45" s="572"/>
      <c r="DN45" s="573"/>
      <c r="DO45" s="571"/>
      <c r="DP45" s="571"/>
      <c r="DQ45" s="571"/>
      <c r="DR45" s="571"/>
    </row>
    <row r="46" spans="2:122" s="468" customFormat="1" hidden="1">
      <c r="C46" s="538"/>
      <c r="D46" s="539"/>
      <c r="E46" s="581"/>
      <c r="F46" s="581"/>
      <c r="G46" s="581"/>
      <c r="H46" s="547"/>
      <c r="I46" s="547"/>
      <c r="J46" s="547"/>
      <c r="K46" s="547"/>
      <c r="L46" s="547"/>
      <c r="M46" s="547"/>
      <c r="N46" s="547"/>
      <c r="O46" s="547"/>
      <c r="P46" s="547"/>
      <c r="Q46" s="548"/>
      <c r="S46" s="547"/>
      <c r="T46" s="547"/>
      <c r="U46" s="547"/>
      <c r="V46" s="547"/>
      <c r="X46" s="507"/>
      <c r="Y46" s="581"/>
      <c r="Z46" s="581"/>
      <c r="AA46" s="581"/>
      <c r="AB46" s="547"/>
      <c r="AC46" s="547"/>
      <c r="AD46" s="547"/>
      <c r="AE46" s="547"/>
      <c r="AF46" s="547"/>
      <c r="AG46" s="547"/>
      <c r="AH46" s="547"/>
      <c r="AI46" s="547"/>
      <c r="AJ46" s="547"/>
      <c r="AK46" s="548"/>
      <c r="AM46" s="547"/>
      <c r="AN46" s="547"/>
      <c r="AO46" s="547"/>
      <c r="AP46" s="547"/>
      <c r="AR46" s="507"/>
      <c r="AS46" s="570"/>
      <c r="AT46" s="570"/>
      <c r="AU46" s="570"/>
      <c r="AV46" s="570"/>
      <c r="AW46" s="570"/>
      <c r="AX46" s="570"/>
      <c r="AY46" s="570"/>
      <c r="AZ46" s="581"/>
      <c r="BA46" s="570"/>
      <c r="BB46" s="570"/>
      <c r="BC46" s="570"/>
      <c r="BD46" s="570"/>
      <c r="BE46" s="548"/>
      <c r="BG46" s="547"/>
      <c r="BH46" s="547"/>
      <c r="BI46" s="547"/>
      <c r="BJ46" s="547"/>
      <c r="BM46" s="581"/>
      <c r="BN46" s="581"/>
      <c r="BO46" s="581"/>
      <c r="BP46" s="547"/>
      <c r="BQ46" s="547"/>
      <c r="BR46" s="547"/>
      <c r="BS46" s="547"/>
      <c r="BT46" s="547"/>
      <c r="BU46" s="547"/>
      <c r="BV46" s="547"/>
      <c r="BW46" s="547"/>
      <c r="BX46" s="547"/>
      <c r="BY46" s="548"/>
      <c r="CA46" s="547"/>
      <c r="CB46" s="547"/>
      <c r="CC46" s="547"/>
      <c r="CD46" s="547"/>
      <c r="CG46" s="584"/>
      <c r="CH46" s="584"/>
      <c r="CI46" s="584"/>
      <c r="CJ46" s="571"/>
      <c r="CK46" s="571"/>
      <c r="CL46" s="571"/>
      <c r="CM46" s="571"/>
      <c r="CN46" s="571"/>
      <c r="CO46" s="571"/>
      <c r="CP46" s="571"/>
      <c r="CQ46" s="571"/>
      <c r="CR46" s="571"/>
      <c r="CS46" s="572"/>
      <c r="CT46" s="573"/>
      <c r="CU46" s="571"/>
      <c r="CV46" s="571"/>
      <c r="CW46" s="571"/>
      <c r="CX46" s="571"/>
      <c r="DA46" s="584"/>
      <c r="DB46" s="584"/>
      <c r="DC46" s="584"/>
      <c r="DD46" s="571"/>
      <c r="DE46" s="571"/>
      <c r="DF46" s="571"/>
      <c r="DG46" s="571"/>
      <c r="DH46" s="571"/>
      <c r="DI46" s="571"/>
      <c r="DJ46" s="571"/>
      <c r="DK46" s="571"/>
      <c r="DL46" s="571"/>
      <c r="DM46" s="572"/>
      <c r="DN46" s="573"/>
      <c r="DO46" s="571"/>
      <c r="DP46" s="571"/>
      <c r="DQ46" s="571"/>
      <c r="DR46" s="571"/>
    </row>
    <row r="47" spans="2:122" s="468" customFormat="1" hidden="1">
      <c r="C47" s="540"/>
      <c r="D47" s="541"/>
      <c r="E47" s="550"/>
      <c r="F47" s="550"/>
      <c r="G47" s="550"/>
      <c r="H47" s="551"/>
      <c r="I47" s="551"/>
      <c r="J47" s="551"/>
      <c r="K47" s="551"/>
      <c r="L47" s="551"/>
      <c r="M47" s="551"/>
      <c r="N47" s="551"/>
      <c r="O47" s="551"/>
      <c r="P47" s="551"/>
      <c r="Q47" s="552"/>
      <c r="S47" s="551"/>
      <c r="T47" s="551"/>
      <c r="U47" s="551"/>
      <c r="V47" s="551"/>
      <c r="X47" s="507"/>
      <c r="Y47" s="550"/>
      <c r="Z47" s="550"/>
      <c r="AA47" s="550"/>
      <c r="AB47" s="551"/>
      <c r="AC47" s="551"/>
      <c r="AD47" s="551"/>
      <c r="AE47" s="551"/>
      <c r="AF47" s="551"/>
      <c r="AG47" s="551"/>
      <c r="AH47" s="551"/>
      <c r="AI47" s="551"/>
      <c r="AJ47" s="551"/>
      <c r="AK47" s="552"/>
      <c r="AM47" s="551"/>
      <c r="AN47" s="551"/>
      <c r="AO47" s="551"/>
      <c r="AP47" s="551"/>
      <c r="AR47" s="507"/>
      <c r="AS47" s="554"/>
      <c r="AT47" s="554"/>
      <c r="AU47" s="554"/>
      <c r="AV47" s="554"/>
      <c r="AW47" s="554"/>
      <c r="AX47" s="554"/>
      <c r="AY47" s="554"/>
      <c r="AZ47" s="550"/>
      <c r="BA47" s="554"/>
      <c r="BB47" s="554"/>
      <c r="BC47" s="554"/>
      <c r="BD47" s="554"/>
      <c r="BE47" s="552"/>
      <c r="BG47" s="551"/>
      <c r="BH47" s="551"/>
      <c r="BI47" s="551"/>
      <c r="BJ47" s="551"/>
      <c r="BM47" s="550"/>
      <c r="BN47" s="550"/>
      <c r="BO47" s="550"/>
      <c r="BP47" s="551"/>
      <c r="BQ47" s="551"/>
      <c r="BR47" s="551"/>
      <c r="BS47" s="551"/>
      <c r="BT47" s="551"/>
      <c r="BU47" s="551"/>
      <c r="BV47" s="551"/>
      <c r="BW47" s="551"/>
      <c r="BX47" s="551"/>
      <c r="BY47" s="552"/>
      <c r="CA47" s="551"/>
      <c r="CB47" s="551"/>
      <c r="CC47" s="551"/>
      <c r="CD47" s="551"/>
      <c r="CG47" s="585"/>
      <c r="CH47" s="585"/>
      <c r="CI47" s="585"/>
      <c r="CJ47" s="575"/>
      <c r="CK47" s="575"/>
      <c r="CL47" s="575"/>
      <c r="CM47" s="575"/>
      <c r="CN47" s="575"/>
      <c r="CO47" s="575"/>
      <c r="CP47" s="575"/>
      <c r="CQ47" s="575"/>
      <c r="CR47" s="575"/>
      <c r="CS47" s="576"/>
      <c r="CT47" s="573"/>
      <c r="CU47" s="575"/>
      <c r="CV47" s="575"/>
      <c r="CW47" s="575"/>
      <c r="CX47" s="575"/>
      <c r="DA47" s="585"/>
      <c r="DB47" s="585"/>
      <c r="DC47" s="585"/>
      <c r="DD47" s="575"/>
      <c r="DE47" s="575"/>
      <c r="DF47" s="575"/>
      <c r="DG47" s="575"/>
      <c r="DH47" s="575"/>
      <c r="DI47" s="575"/>
      <c r="DJ47" s="575"/>
      <c r="DK47" s="575"/>
      <c r="DL47" s="575"/>
      <c r="DM47" s="576"/>
      <c r="DN47" s="573"/>
      <c r="DO47" s="575"/>
      <c r="DP47" s="575"/>
      <c r="DQ47" s="575"/>
      <c r="DR47" s="575"/>
    </row>
    <row r="48" spans="2:122" hidden="1">
      <c r="X48" s="507"/>
      <c r="AR48" s="507"/>
      <c r="CG48" s="436"/>
      <c r="CH48" s="436"/>
      <c r="CI48" s="436"/>
      <c r="CJ48" s="436"/>
      <c r="CK48" s="436"/>
      <c r="CL48" s="436"/>
      <c r="CM48" s="436"/>
      <c r="CN48" s="436"/>
      <c r="CO48" s="436"/>
      <c r="CP48" s="436"/>
      <c r="CQ48" s="436"/>
      <c r="CR48" s="436"/>
      <c r="CS48" s="436"/>
      <c r="CT48" s="436"/>
      <c r="CU48" s="436"/>
      <c r="CV48" s="436"/>
      <c r="CW48" s="436"/>
      <c r="CX48" s="436"/>
      <c r="DA48" s="436"/>
      <c r="DB48" s="436"/>
      <c r="DC48" s="436"/>
      <c r="DD48" s="436"/>
      <c r="DE48" s="436"/>
      <c r="DF48" s="436"/>
      <c r="DG48" s="436"/>
      <c r="DH48" s="436"/>
      <c r="DI48" s="436"/>
      <c r="DJ48" s="436"/>
      <c r="DK48" s="436"/>
      <c r="DL48" s="436"/>
      <c r="DM48" s="436"/>
      <c r="DN48" s="436"/>
      <c r="DO48" s="436"/>
      <c r="DP48" s="436"/>
      <c r="DQ48" s="436"/>
      <c r="DR48" s="436"/>
    </row>
    <row r="49" spans="1:123" hidden="1">
      <c r="C49" s="536"/>
      <c r="D49" s="537"/>
      <c r="E49" s="553"/>
      <c r="F49" s="553"/>
      <c r="G49" s="553"/>
      <c r="H49" s="553"/>
      <c r="I49" s="553"/>
      <c r="J49" s="553"/>
      <c r="K49" s="553"/>
      <c r="L49" s="553"/>
      <c r="M49" s="553"/>
      <c r="N49" s="553"/>
      <c r="O49" s="553"/>
      <c r="P49" s="553"/>
      <c r="Q49" s="553"/>
      <c r="S49" s="545"/>
      <c r="T49" s="545"/>
      <c r="U49" s="545"/>
      <c r="V49" s="545"/>
      <c r="X49" s="507"/>
      <c r="Y49" s="553"/>
      <c r="Z49" s="553"/>
      <c r="AA49" s="553"/>
      <c r="AB49" s="553"/>
      <c r="AC49" s="553"/>
      <c r="AD49" s="553"/>
      <c r="AE49" s="553"/>
      <c r="AF49" s="553"/>
      <c r="AG49" s="553"/>
      <c r="AH49" s="553"/>
      <c r="AI49" s="553"/>
      <c r="AJ49" s="553"/>
      <c r="AK49" s="553"/>
      <c r="AM49" s="545"/>
      <c r="AN49" s="545"/>
      <c r="AO49" s="545"/>
      <c r="AP49" s="545"/>
      <c r="AR49" s="507"/>
      <c r="AS49" s="553"/>
      <c r="AT49" s="553"/>
      <c r="AU49" s="553"/>
      <c r="AV49" s="553"/>
      <c r="AW49" s="553"/>
      <c r="AX49" s="553"/>
      <c r="AY49" s="553"/>
      <c r="AZ49" s="553"/>
      <c r="BA49" s="553"/>
      <c r="BB49" s="553"/>
      <c r="BC49" s="553"/>
      <c r="BD49" s="553"/>
      <c r="BE49" s="553"/>
      <c r="BG49" s="545"/>
      <c r="BH49" s="545"/>
      <c r="BI49" s="545"/>
      <c r="BJ49" s="545"/>
      <c r="BM49" s="553"/>
      <c r="BN49" s="553"/>
      <c r="BO49" s="553"/>
      <c r="BP49" s="553"/>
      <c r="BQ49" s="553"/>
      <c r="BR49" s="553"/>
      <c r="BS49" s="553"/>
      <c r="BT49" s="553"/>
      <c r="BU49" s="553"/>
      <c r="BV49" s="553"/>
      <c r="BW49" s="553"/>
      <c r="BX49" s="553"/>
      <c r="BY49" s="553"/>
      <c r="CA49" s="545"/>
      <c r="CB49" s="545"/>
      <c r="CC49" s="545"/>
      <c r="CD49" s="545"/>
      <c r="CG49" s="569"/>
      <c r="CH49" s="569"/>
      <c r="CI49" s="569"/>
      <c r="CJ49" s="569"/>
      <c r="CK49" s="569"/>
      <c r="CL49" s="569"/>
      <c r="CM49" s="569"/>
      <c r="CN49" s="569"/>
      <c r="CO49" s="569"/>
      <c r="CP49" s="569"/>
      <c r="CQ49" s="569"/>
      <c r="CR49" s="569"/>
      <c r="CS49" s="569"/>
      <c r="CT49" s="436"/>
      <c r="CU49" s="566"/>
      <c r="CV49" s="566"/>
      <c r="CW49" s="566"/>
      <c r="CX49" s="566"/>
      <c r="DA49" s="569"/>
      <c r="DB49" s="569"/>
      <c r="DC49" s="569"/>
      <c r="DD49" s="569"/>
      <c r="DE49" s="569"/>
      <c r="DF49" s="569"/>
      <c r="DG49" s="569"/>
      <c r="DH49" s="569"/>
      <c r="DI49" s="569"/>
      <c r="DJ49" s="569"/>
      <c r="DK49" s="569"/>
      <c r="DL49" s="569"/>
      <c r="DM49" s="569"/>
      <c r="DN49" s="436"/>
      <c r="DO49" s="566"/>
      <c r="DP49" s="566"/>
      <c r="DQ49" s="566"/>
      <c r="DR49" s="566"/>
    </row>
    <row r="50" spans="1:123" s="468" customFormat="1" hidden="1">
      <c r="C50" s="540"/>
      <c r="D50" s="541"/>
      <c r="E50" s="554"/>
      <c r="F50" s="554"/>
      <c r="G50" s="554"/>
      <c r="H50" s="551"/>
      <c r="I50" s="551"/>
      <c r="J50" s="551"/>
      <c r="K50" s="551"/>
      <c r="L50" s="551"/>
      <c r="M50" s="551"/>
      <c r="N50" s="551"/>
      <c r="O50" s="551"/>
      <c r="P50" s="551"/>
      <c r="Q50" s="552"/>
      <c r="S50" s="551"/>
      <c r="T50" s="551"/>
      <c r="U50" s="551"/>
      <c r="V50" s="551"/>
      <c r="X50" s="507"/>
      <c r="Y50" s="554"/>
      <c r="Z50" s="554"/>
      <c r="AA50" s="554"/>
      <c r="AB50" s="551"/>
      <c r="AC50" s="551"/>
      <c r="AD50" s="551"/>
      <c r="AE50" s="551"/>
      <c r="AF50" s="551"/>
      <c r="AG50" s="551"/>
      <c r="AH50" s="551"/>
      <c r="AI50" s="551"/>
      <c r="AJ50" s="551"/>
      <c r="AK50" s="552"/>
      <c r="AM50" s="551"/>
      <c r="AN50" s="551"/>
      <c r="AO50" s="551"/>
      <c r="AP50" s="551"/>
      <c r="AR50" s="507"/>
      <c r="AS50" s="554"/>
      <c r="AT50" s="554"/>
      <c r="AU50" s="554"/>
      <c r="AV50" s="551"/>
      <c r="AW50" s="551"/>
      <c r="AX50" s="551"/>
      <c r="AY50" s="551"/>
      <c r="AZ50" s="551"/>
      <c r="BA50" s="551"/>
      <c r="BB50" s="551"/>
      <c r="BC50" s="551"/>
      <c r="BD50" s="551"/>
      <c r="BE50" s="552"/>
      <c r="BG50" s="551"/>
      <c r="BH50" s="551"/>
      <c r="BI50" s="551"/>
      <c r="BJ50" s="551"/>
      <c r="BM50" s="554"/>
      <c r="BN50" s="554"/>
      <c r="BO50" s="554"/>
      <c r="BP50" s="551"/>
      <c r="BQ50" s="551"/>
      <c r="BR50" s="551"/>
      <c r="BS50" s="551"/>
      <c r="BT50" s="551"/>
      <c r="BU50" s="551"/>
      <c r="BV50" s="551"/>
      <c r="BW50" s="551"/>
      <c r="BX50" s="551"/>
      <c r="BY50" s="552"/>
      <c r="CA50" s="551"/>
      <c r="CB50" s="551"/>
      <c r="CC50" s="551"/>
      <c r="CD50" s="551"/>
      <c r="CG50" s="574"/>
      <c r="CH50" s="574"/>
      <c r="CI50" s="574"/>
      <c r="CJ50" s="575"/>
      <c r="CK50" s="575"/>
      <c r="CL50" s="575"/>
      <c r="CM50" s="575"/>
      <c r="CN50" s="575"/>
      <c r="CO50" s="575"/>
      <c r="CP50" s="575"/>
      <c r="CQ50" s="575"/>
      <c r="CR50" s="575"/>
      <c r="CS50" s="576"/>
      <c r="CT50" s="573"/>
      <c r="CU50" s="575"/>
      <c r="CV50" s="575"/>
      <c r="CW50" s="575"/>
      <c r="CX50" s="575"/>
      <c r="DA50" s="574"/>
      <c r="DB50" s="574"/>
      <c r="DC50" s="574"/>
      <c r="DD50" s="575"/>
      <c r="DE50" s="575"/>
      <c r="DF50" s="575"/>
      <c r="DG50" s="575"/>
      <c r="DH50" s="575"/>
      <c r="DI50" s="575"/>
      <c r="DJ50" s="575"/>
      <c r="DK50" s="575"/>
      <c r="DL50" s="575"/>
      <c r="DM50" s="576"/>
      <c r="DN50" s="573"/>
      <c r="DO50" s="575"/>
      <c r="DP50" s="575"/>
      <c r="DQ50" s="575"/>
      <c r="DR50" s="575"/>
    </row>
    <row r="51" spans="1:123" hidden="1">
      <c r="X51" s="507"/>
      <c r="AR51" s="507"/>
      <c r="CG51" s="436"/>
      <c r="CH51" s="436"/>
      <c r="CI51" s="436"/>
      <c r="CJ51" s="436"/>
      <c r="CK51" s="436"/>
      <c r="CL51" s="436"/>
      <c r="CM51" s="436"/>
      <c r="CN51" s="436"/>
      <c r="CO51" s="436"/>
      <c r="CP51" s="436"/>
      <c r="CQ51" s="436"/>
      <c r="CR51" s="436"/>
      <c r="CS51" s="436"/>
      <c r="CT51" s="436"/>
      <c r="CU51" s="436"/>
      <c r="CV51" s="436"/>
      <c r="CW51" s="436"/>
      <c r="CX51" s="436"/>
      <c r="DA51" s="436"/>
      <c r="DB51" s="436"/>
      <c r="DC51" s="436"/>
      <c r="DD51" s="436"/>
      <c r="DE51" s="436"/>
      <c r="DF51" s="436"/>
      <c r="DG51" s="436"/>
      <c r="DH51" s="436"/>
      <c r="DI51" s="436"/>
      <c r="DJ51" s="436"/>
      <c r="DK51" s="436"/>
      <c r="DL51" s="436"/>
      <c r="DM51" s="436"/>
      <c r="DN51" s="436"/>
      <c r="DO51" s="436"/>
      <c r="DP51" s="436"/>
      <c r="DQ51" s="436"/>
      <c r="DR51" s="436"/>
    </row>
    <row r="52" spans="1:123" hidden="1">
      <c r="C52" s="469"/>
      <c r="D52" s="501"/>
      <c r="E52" s="475"/>
      <c r="F52" s="475"/>
      <c r="G52" s="475"/>
      <c r="H52" s="475"/>
      <c r="I52" s="475"/>
      <c r="J52" s="475"/>
      <c r="K52" s="475"/>
      <c r="L52" s="475"/>
      <c r="M52" s="475"/>
      <c r="N52" s="475"/>
      <c r="O52" s="475"/>
      <c r="P52" s="475"/>
      <c r="Q52" s="475"/>
      <c r="S52" s="475"/>
      <c r="T52" s="475"/>
      <c r="U52" s="475"/>
      <c r="V52" s="475"/>
      <c r="X52" s="507"/>
      <c r="Y52" s="475"/>
      <c r="Z52" s="475"/>
      <c r="AA52" s="475"/>
      <c r="AB52" s="475"/>
      <c r="AC52" s="475"/>
      <c r="AD52" s="475"/>
      <c r="AE52" s="475"/>
      <c r="AF52" s="475"/>
      <c r="AG52" s="475"/>
      <c r="AH52" s="475"/>
      <c r="AI52" s="475"/>
      <c r="AJ52" s="475"/>
      <c r="AK52" s="475"/>
      <c r="AM52" s="475"/>
      <c r="AN52" s="475"/>
      <c r="AO52" s="475"/>
      <c r="AP52" s="475"/>
      <c r="AR52" s="507"/>
      <c r="AS52" s="475"/>
      <c r="AT52" s="475"/>
      <c r="AU52" s="475"/>
      <c r="AV52" s="475"/>
      <c r="AW52" s="475"/>
      <c r="AX52" s="475"/>
      <c r="AY52" s="475"/>
      <c r="AZ52" s="475"/>
      <c r="BA52" s="475"/>
      <c r="BB52" s="475"/>
      <c r="BC52" s="475"/>
      <c r="BD52" s="475"/>
      <c r="BE52" s="475"/>
      <c r="BG52" s="475"/>
      <c r="BH52" s="475"/>
      <c r="BI52" s="475"/>
      <c r="BJ52" s="475"/>
      <c r="BM52" s="475"/>
      <c r="BN52" s="475"/>
      <c r="BO52" s="475"/>
      <c r="BP52" s="475"/>
      <c r="BQ52" s="475"/>
      <c r="BR52" s="475"/>
      <c r="BS52" s="475"/>
      <c r="BT52" s="475"/>
      <c r="BU52" s="475"/>
      <c r="BV52" s="475"/>
      <c r="BW52" s="475"/>
      <c r="BX52" s="475"/>
      <c r="BY52" s="475"/>
      <c r="CA52" s="475"/>
      <c r="CB52" s="475"/>
      <c r="CC52" s="475"/>
      <c r="CD52" s="475"/>
      <c r="CG52" s="476"/>
      <c r="CH52" s="476"/>
      <c r="CI52" s="476"/>
      <c r="CJ52" s="476"/>
      <c r="CK52" s="476"/>
      <c r="CL52" s="476"/>
      <c r="CM52" s="476"/>
      <c r="CN52" s="476"/>
      <c r="CO52" s="476"/>
      <c r="CP52" s="476"/>
      <c r="CQ52" s="476"/>
      <c r="CR52" s="476"/>
      <c r="CS52" s="476"/>
      <c r="CT52" s="436"/>
      <c r="CU52" s="476"/>
      <c r="CV52" s="476"/>
      <c r="CW52" s="476"/>
      <c r="CX52" s="476"/>
      <c r="DA52" s="476"/>
      <c r="DB52" s="476"/>
      <c r="DC52" s="476"/>
      <c r="DD52" s="476"/>
      <c r="DE52" s="476"/>
      <c r="DF52" s="476"/>
      <c r="DG52" s="476"/>
      <c r="DH52" s="476"/>
      <c r="DI52" s="476"/>
      <c r="DJ52" s="476"/>
      <c r="DK52" s="476"/>
      <c r="DL52" s="476"/>
      <c r="DM52" s="476"/>
      <c r="DN52" s="436"/>
      <c r="DO52" s="476"/>
      <c r="DP52" s="476"/>
      <c r="DQ52" s="476"/>
      <c r="DR52" s="476"/>
    </row>
    <row r="53" spans="1:123" hidden="1">
      <c r="C53" s="471"/>
      <c r="D53" s="505"/>
      <c r="E53" s="524"/>
      <c r="F53" s="524"/>
      <c r="G53" s="524"/>
      <c r="H53" s="524"/>
      <c r="I53" s="524"/>
      <c r="J53" s="524"/>
      <c r="K53" s="524"/>
      <c r="L53" s="524"/>
      <c r="M53" s="524"/>
      <c r="N53" s="524"/>
      <c r="O53" s="524"/>
      <c r="P53" s="524"/>
      <c r="Q53" s="525"/>
      <c r="S53" s="524"/>
      <c r="T53" s="524"/>
      <c r="U53" s="524"/>
      <c r="V53" s="524"/>
      <c r="X53" s="507"/>
      <c r="Y53" s="524"/>
      <c r="Z53" s="524"/>
      <c r="AA53" s="524"/>
      <c r="AB53" s="524"/>
      <c r="AC53" s="524"/>
      <c r="AD53" s="524"/>
      <c r="AE53" s="524"/>
      <c r="AF53" s="524"/>
      <c r="AG53" s="524"/>
      <c r="AH53" s="524"/>
      <c r="AI53" s="524"/>
      <c r="AJ53" s="524"/>
      <c r="AK53" s="525"/>
      <c r="AM53" s="524"/>
      <c r="AN53" s="524"/>
      <c r="AO53" s="524"/>
      <c r="AP53" s="524"/>
      <c r="AR53" s="507"/>
      <c r="AS53" s="524"/>
      <c r="AT53" s="524"/>
      <c r="AU53" s="524"/>
      <c r="AV53" s="524"/>
      <c r="AW53" s="524"/>
      <c r="AX53" s="524"/>
      <c r="AY53" s="524"/>
      <c r="AZ53" s="524"/>
      <c r="BA53" s="524"/>
      <c r="BB53" s="524"/>
      <c r="BC53" s="524"/>
      <c r="BD53" s="524"/>
      <c r="BE53" s="525"/>
      <c r="BG53" s="524"/>
      <c r="BH53" s="524"/>
      <c r="BI53" s="524"/>
      <c r="BJ53" s="524"/>
      <c r="BM53" s="524"/>
      <c r="BN53" s="524"/>
      <c r="BO53" s="524"/>
      <c r="BP53" s="524"/>
      <c r="BQ53" s="524"/>
      <c r="BR53" s="524"/>
      <c r="BS53" s="524"/>
      <c r="BT53" s="524"/>
      <c r="BU53" s="524"/>
      <c r="BV53" s="524"/>
      <c r="BW53" s="524"/>
      <c r="BX53" s="524"/>
      <c r="BY53" s="525"/>
      <c r="CA53" s="524"/>
      <c r="CB53" s="524"/>
      <c r="CC53" s="524"/>
      <c r="CD53" s="524"/>
      <c r="CG53" s="529"/>
      <c r="CH53" s="529"/>
      <c r="CI53" s="529"/>
      <c r="CJ53" s="529"/>
      <c r="CK53" s="529"/>
      <c r="CL53" s="529"/>
      <c r="CM53" s="529"/>
      <c r="CN53" s="529"/>
      <c r="CO53" s="529"/>
      <c r="CP53" s="529"/>
      <c r="CQ53" s="529"/>
      <c r="CR53" s="529"/>
      <c r="CS53" s="531"/>
      <c r="CT53" s="436"/>
      <c r="CU53" s="529"/>
      <c r="CV53" s="529"/>
      <c r="CW53" s="529"/>
      <c r="CX53" s="529"/>
      <c r="DA53" s="529"/>
      <c r="DB53" s="529"/>
      <c r="DC53" s="529"/>
      <c r="DD53" s="529"/>
      <c r="DE53" s="529"/>
      <c r="DF53" s="529"/>
      <c r="DG53" s="529"/>
      <c r="DH53" s="529"/>
      <c r="DI53" s="529"/>
      <c r="DJ53" s="529"/>
      <c r="DK53" s="529"/>
      <c r="DL53" s="529"/>
      <c r="DM53" s="531"/>
      <c r="DN53" s="436"/>
      <c r="DO53" s="529"/>
      <c r="DP53" s="529"/>
      <c r="DQ53" s="529"/>
      <c r="DR53" s="529"/>
    </row>
    <row r="54" spans="1:123" hidden="1">
      <c r="C54" s="471"/>
      <c r="D54" s="505"/>
      <c r="E54" s="524"/>
      <c r="F54" s="524"/>
      <c r="G54" s="524"/>
      <c r="H54" s="524"/>
      <c r="I54" s="524"/>
      <c r="J54" s="524"/>
      <c r="K54" s="524"/>
      <c r="L54" s="524"/>
      <c r="M54" s="524"/>
      <c r="N54" s="524"/>
      <c r="O54" s="524"/>
      <c r="P54" s="524"/>
      <c r="Q54" s="525"/>
      <c r="S54" s="524"/>
      <c r="T54" s="524"/>
      <c r="U54" s="524"/>
      <c r="V54" s="524"/>
      <c r="X54" s="507"/>
      <c r="Y54" s="524"/>
      <c r="Z54" s="524"/>
      <c r="AA54" s="524"/>
      <c r="AB54" s="524"/>
      <c r="AC54" s="524"/>
      <c r="AD54" s="524"/>
      <c r="AE54" s="524"/>
      <c r="AF54" s="524"/>
      <c r="AG54" s="524"/>
      <c r="AH54" s="524"/>
      <c r="AI54" s="524"/>
      <c r="AJ54" s="524"/>
      <c r="AK54" s="525"/>
      <c r="AM54" s="524"/>
      <c r="AN54" s="524"/>
      <c r="AO54" s="524"/>
      <c r="AP54" s="524"/>
      <c r="AR54" s="507"/>
      <c r="AS54" s="524"/>
      <c r="AT54" s="524"/>
      <c r="AU54" s="524"/>
      <c r="AV54" s="524"/>
      <c r="AW54" s="524"/>
      <c r="AX54" s="524"/>
      <c r="AY54" s="524"/>
      <c r="AZ54" s="524"/>
      <c r="BA54" s="524"/>
      <c r="BB54" s="524"/>
      <c r="BC54" s="524"/>
      <c r="BD54" s="524"/>
      <c r="BE54" s="525"/>
      <c r="BG54" s="524"/>
      <c r="BH54" s="524"/>
      <c r="BI54" s="524"/>
      <c r="BJ54" s="524"/>
      <c r="BM54" s="524"/>
      <c r="BN54" s="524"/>
      <c r="BO54" s="524"/>
      <c r="BP54" s="524"/>
      <c r="BQ54" s="524"/>
      <c r="BR54" s="524"/>
      <c r="BS54" s="524"/>
      <c r="BT54" s="524"/>
      <c r="BU54" s="524"/>
      <c r="BV54" s="524"/>
      <c r="BW54" s="524"/>
      <c r="BX54" s="524"/>
      <c r="BY54" s="525"/>
      <c r="CA54" s="524"/>
      <c r="CB54" s="524"/>
      <c r="CC54" s="524"/>
      <c r="CD54" s="524"/>
      <c r="CG54" s="529"/>
      <c r="CH54" s="529"/>
      <c r="CI54" s="529"/>
      <c r="CJ54" s="529"/>
      <c r="CK54" s="529"/>
      <c r="CL54" s="529"/>
      <c r="CM54" s="529"/>
      <c r="CN54" s="529"/>
      <c r="CO54" s="529"/>
      <c r="CP54" s="529"/>
      <c r="CQ54" s="529"/>
      <c r="CR54" s="529"/>
      <c r="CS54" s="531"/>
      <c r="CT54" s="436"/>
      <c r="CU54" s="529"/>
      <c r="CV54" s="529"/>
      <c r="CW54" s="529"/>
      <c r="CX54" s="529"/>
      <c r="DA54" s="529"/>
      <c r="DB54" s="529"/>
      <c r="DC54" s="529"/>
      <c r="DD54" s="529"/>
      <c r="DE54" s="529"/>
      <c r="DF54" s="529"/>
      <c r="DG54" s="529"/>
      <c r="DH54" s="529"/>
      <c r="DI54" s="529"/>
      <c r="DJ54" s="529"/>
      <c r="DK54" s="529"/>
      <c r="DL54" s="529"/>
      <c r="DM54" s="531"/>
      <c r="DN54" s="436"/>
      <c r="DO54" s="529"/>
      <c r="DP54" s="529"/>
      <c r="DQ54" s="529"/>
      <c r="DR54" s="529"/>
    </row>
    <row r="55" spans="1:123" hidden="1">
      <c r="C55" s="471"/>
      <c r="D55" s="505"/>
      <c r="E55" s="524"/>
      <c r="F55" s="524"/>
      <c r="G55" s="524"/>
      <c r="H55" s="524"/>
      <c r="I55" s="524"/>
      <c r="J55" s="524"/>
      <c r="K55" s="524"/>
      <c r="L55" s="524"/>
      <c r="M55" s="524"/>
      <c r="N55" s="524"/>
      <c r="O55" s="524"/>
      <c r="P55" s="524"/>
      <c r="Q55" s="525"/>
      <c r="S55" s="524"/>
      <c r="T55" s="524"/>
      <c r="U55" s="524"/>
      <c r="V55" s="524"/>
      <c r="X55" s="507"/>
      <c r="Y55" s="524"/>
      <c r="Z55" s="524"/>
      <c r="AA55" s="524"/>
      <c r="AB55" s="524"/>
      <c r="AC55" s="524"/>
      <c r="AD55" s="524"/>
      <c r="AE55" s="524"/>
      <c r="AF55" s="524"/>
      <c r="AG55" s="524"/>
      <c r="AH55" s="524"/>
      <c r="AI55" s="524"/>
      <c r="AJ55" s="524"/>
      <c r="AK55" s="525"/>
      <c r="AM55" s="524"/>
      <c r="AN55" s="524"/>
      <c r="AO55" s="524"/>
      <c r="AP55" s="524"/>
      <c r="AR55" s="507"/>
      <c r="AS55" s="524"/>
      <c r="AT55" s="524"/>
      <c r="AU55" s="524"/>
      <c r="AV55" s="524"/>
      <c r="AW55" s="524"/>
      <c r="AX55" s="524"/>
      <c r="AY55" s="524"/>
      <c r="AZ55" s="524"/>
      <c r="BA55" s="524"/>
      <c r="BB55" s="524"/>
      <c r="BC55" s="524"/>
      <c r="BD55" s="524"/>
      <c r="BE55" s="525"/>
      <c r="BG55" s="524"/>
      <c r="BH55" s="524"/>
      <c r="BI55" s="524"/>
      <c r="BJ55" s="524"/>
      <c r="BM55" s="524"/>
      <c r="BN55" s="524"/>
      <c r="BO55" s="524"/>
      <c r="BP55" s="524"/>
      <c r="BQ55" s="524"/>
      <c r="BR55" s="524"/>
      <c r="BS55" s="524"/>
      <c r="BT55" s="524"/>
      <c r="BU55" s="524"/>
      <c r="BV55" s="524"/>
      <c r="BW55" s="524"/>
      <c r="BX55" s="524"/>
      <c r="BY55" s="525"/>
      <c r="CA55" s="524"/>
      <c r="CB55" s="524"/>
      <c r="CC55" s="524"/>
      <c r="CD55" s="524"/>
      <c r="CG55" s="529"/>
      <c r="CH55" s="529"/>
      <c r="CI55" s="529"/>
      <c r="CJ55" s="529"/>
      <c r="CK55" s="529"/>
      <c r="CL55" s="529"/>
      <c r="CM55" s="529"/>
      <c r="CN55" s="529"/>
      <c r="CO55" s="529"/>
      <c r="CP55" s="529"/>
      <c r="CQ55" s="529"/>
      <c r="CR55" s="529"/>
      <c r="CS55" s="531"/>
      <c r="CT55" s="436"/>
      <c r="CU55" s="529"/>
      <c r="CV55" s="529"/>
      <c r="CW55" s="529"/>
      <c r="CX55" s="529"/>
      <c r="DA55" s="529"/>
      <c r="DB55" s="529"/>
      <c r="DC55" s="529"/>
      <c r="DD55" s="529"/>
      <c r="DE55" s="529"/>
      <c r="DF55" s="529"/>
      <c r="DG55" s="529"/>
      <c r="DH55" s="529"/>
      <c r="DI55" s="529"/>
      <c r="DJ55" s="529"/>
      <c r="DK55" s="529"/>
      <c r="DL55" s="529"/>
      <c r="DM55" s="531"/>
      <c r="DN55" s="436"/>
      <c r="DO55" s="529"/>
      <c r="DP55" s="529"/>
      <c r="DQ55" s="529"/>
      <c r="DR55" s="529"/>
    </row>
    <row r="56" spans="1:123" hidden="1">
      <c r="C56" s="471"/>
      <c r="D56" s="505"/>
      <c r="E56" s="524"/>
      <c r="F56" s="524"/>
      <c r="G56" s="524"/>
      <c r="H56" s="524"/>
      <c r="I56" s="524"/>
      <c r="J56" s="524"/>
      <c r="K56" s="524"/>
      <c r="L56" s="524"/>
      <c r="M56" s="524"/>
      <c r="N56" s="524"/>
      <c r="O56" s="524"/>
      <c r="P56" s="524"/>
      <c r="Q56" s="525"/>
      <c r="S56" s="524"/>
      <c r="T56" s="524"/>
      <c r="U56" s="524"/>
      <c r="V56" s="524"/>
      <c r="X56" s="507"/>
      <c r="Y56" s="524"/>
      <c r="Z56" s="524"/>
      <c r="AA56" s="524"/>
      <c r="AB56" s="524"/>
      <c r="AC56" s="524"/>
      <c r="AD56" s="524"/>
      <c r="AE56" s="524"/>
      <c r="AF56" s="524"/>
      <c r="AG56" s="524"/>
      <c r="AH56" s="524"/>
      <c r="AI56" s="524"/>
      <c r="AJ56" s="524"/>
      <c r="AK56" s="525"/>
      <c r="AM56" s="524"/>
      <c r="AN56" s="524"/>
      <c r="AO56" s="524"/>
      <c r="AP56" s="524"/>
      <c r="AR56" s="507"/>
      <c r="AS56" s="524"/>
      <c r="AT56" s="524"/>
      <c r="AU56" s="524"/>
      <c r="AV56" s="524"/>
      <c r="AW56" s="524"/>
      <c r="AX56" s="524"/>
      <c r="AY56" s="524"/>
      <c r="AZ56" s="524"/>
      <c r="BA56" s="524"/>
      <c r="BB56" s="524"/>
      <c r="BC56" s="524"/>
      <c r="BD56" s="524"/>
      <c r="BE56" s="525"/>
      <c r="BG56" s="524"/>
      <c r="BH56" s="524"/>
      <c r="BI56" s="524"/>
      <c r="BJ56" s="524"/>
      <c r="BM56" s="524"/>
      <c r="BN56" s="524"/>
      <c r="BO56" s="524"/>
      <c r="BP56" s="524"/>
      <c r="BQ56" s="524"/>
      <c r="BR56" s="524"/>
      <c r="BS56" s="524"/>
      <c r="BT56" s="524"/>
      <c r="BU56" s="524"/>
      <c r="BV56" s="524"/>
      <c r="BW56" s="524"/>
      <c r="BX56" s="524"/>
      <c r="BY56" s="525"/>
      <c r="CA56" s="524"/>
      <c r="CB56" s="524"/>
      <c r="CC56" s="524"/>
      <c r="CD56" s="524"/>
      <c r="CG56" s="529"/>
      <c r="CH56" s="529"/>
      <c r="CI56" s="529"/>
      <c r="CJ56" s="529"/>
      <c r="CK56" s="529"/>
      <c r="CL56" s="529"/>
      <c r="CM56" s="529"/>
      <c r="CN56" s="529"/>
      <c r="CO56" s="529"/>
      <c r="CP56" s="529"/>
      <c r="CQ56" s="529"/>
      <c r="CR56" s="529"/>
      <c r="CS56" s="531"/>
      <c r="CT56" s="436"/>
      <c r="CU56" s="529"/>
      <c r="CV56" s="529"/>
      <c r="CW56" s="529"/>
      <c r="CX56" s="529"/>
      <c r="DA56" s="529"/>
      <c r="DB56" s="529"/>
      <c r="DC56" s="529"/>
      <c r="DD56" s="529"/>
      <c r="DE56" s="529"/>
      <c r="DF56" s="529"/>
      <c r="DG56" s="529"/>
      <c r="DH56" s="529"/>
      <c r="DI56" s="529"/>
      <c r="DJ56" s="529"/>
      <c r="DK56" s="529"/>
      <c r="DL56" s="529"/>
      <c r="DM56" s="531"/>
      <c r="DN56" s="436"/>
      <c r="DO56" s="529"/>
      <c r="DP56" s="529"/>
      <c r="DQ56" s="529"/>
      <c r="DR56" s="529"/>
    </row>
    <row r="57" spans="1:123" hidden="1">
      <c r="C57" s="473"/>
      <c r="D57" s="506"/>
      <c r="E57" s="526"/>
      <c r="F57" s="526"/>
      <c r="G57" s="526"/>
      <c r="H57" s="526"/>
      <c r="I57" s="526"/>
      <c r="J57" s="526"/>
      <c r="K57" s="526"/>
      <c r="L57" s="526"/>
      <c r="M57" s="526"/>
      <c r="N57" s="526"/>
      <c r="O57" s="526"/>
      <c r="P57" s="526"/>
      <c r="Q57" s="527"/>
      <c r="S57" s="526"/>
      <c r="T57" s="526"/>
      <c r="U57" s="526"/>
      <c r="V57" s="526"/>
      <c r="X57" s="507"/>
      <c r="Y57" s="526"/>
      <c r="Z57" s="526"/>
      <c r="AA57" s="526"/>
      <c r="AB57" s="526"/>
      <c r="AC57" s="526"/>
      <c r="AD57" s="526"/>
      <c r="AE57" s="526"/>
      <c r="AF57" s="526"/>
      <c r="AG57" s="526"/>
      <c r="AH57" s="526"/>
      <c r="AI57" s="526"/>
      <c r="AJ57" s="526"/>
      <c r="AK57" s="527"/>
      <c r="AM57" s="526"/>
      <c r="AN57" s="526"/>
      <c r="AO57" s="526"/>
      <c r="AP57" s="526"/>
      <c r="AR57" s="507"/>
      <c r="AS57" s="526"/>
      <c r="AT57" s="526"/>
      <c r="AU57" s="526"/>
      <c r="AV57" s="526"/>
      <c r="AW57" s="526"/>
      <c r="AX57" s="526"/>
      <c r="AY57" s="526"/>
      <c r="AZ57" s="526"/>
      <c r="BA57" s="526"/>
      <c r="BB57" s="526"/>
      <c r="BC57" s="526"/>
      <c r="BD57" s="526"/>
      <c r="BE57" s="527"/>
      <c r="BG57" s="526"/>
      <c r="BH57" s="526"/>
      <c r="BI57" s="526"/>
      <c r="BJ57" s="526"/>
      <c r="BM57" s="526"/>
      <c r="BN57" s="526"/>
      <c r="BO57" s="526"/>
      <c r="BP57" s="526"/>
      <c r="BQ57" s="526"/>
      <c r="BR57" s="526"/>
      <c r="BS57" s="526"/>
      <c r="BT57" s="526"/>
      <c r="BU57" s="526"/>
      <c r="BV57" s="526"/>
      <c r="BW57" s="526"/>
      <c r="BX57" s="526"/>
      <c r="BY57" s="527"/>
      <c r="CA57" s="526"/>
      <c r="CB57" s="526"/>
      <c r="CC57" s="526"/>
      <c r="CD57" s="526"/>
      <c r="CG57" s="530"/>
      <c r="CH57" s="530"/>
      <c r="CI57" s="530"/>
      <c r="CJ57" s="530"/>
      <c r="CK57" s="530"/>
      <c r="CL57" s="530"/>
      <c r="CM57" s="530"/>
      <c r="CN57" s="530"/>
      <c r="CO57" s="530"/>
      <c r="CP57" s="530"/>
      <c r="CQ57" s="530"/>
      <c r="CR57" s="530"/>
      <c r="CS57" s="532"/>
      <c r="CT57" s="436"/>
      <c r="CU57" s="530"/>
      <c r="CV57" s="530"/>
      <c r="CW57" s="530"/>
      <c r="CX57" s="530"/>
      <c r="DA57" s="530"/>
      <c r="DB57" s="530"/>
      <c r="DC57" s="530"/>
      <c r="DD57" s="530"/>
      <c r="DE57" s="530"/>
      <c r="DF57" s="530"/>
      <c r="DG57" s="530"/>
      <c r="DH57" s="530"/>
      <c r="DI57" s="530"/>
      <c r="DJ57" s="530"/>
      <c r="DK57" s="530"/>
      <c r="DL57" s="530"/>
      <c r="DM57" s="532"/>
      <c r="DN57" s="436"/>
      <c r="DO57" s="530"/>
      <c r="DP57" s="530"/>
      <c r="DQ57" s="530"/>
      <c r="DR57" s="530"/>
    </row>
    <row r="58" spans="1:123" hidden="1">
      <c r="X58" s="507"/>
      <c r="AR58" s="507"/>
      <c r="CG58" s="436"/>
      <c r="CH58" s="436"/>
      <c r="CI58" s="436"/>
      <c r="CJ58" s="436"/>
      <c r="CK58" s="436"/>
      <c r="CL58" s="436"/>
      <c r="CM58" s="436"/>
      <c r="CN58" s="436"/>
      <c r="CO58" s="436"/>
      <c r="CP58" s="436"/>
      <c r="CQ58" s="436"/>
      <c r="CR58" s="436"/>
      <c r="CS58" s="436"/>
      <c r="CT58" s="436"/>
      <c r="CU58" s="436"/>
      <c r="CV58" s="436"/>
      <c r="CW58" s="436"/>
      <c r="CX58" s="436"/>
      <c r="DA58" s="436"/>
      <c r="DB58" s="436"/>
      <c r="DC58" s="436"/>
      <c r="DD58" s="436"/>
      <c r="DE58" s="436"/>
      <c r="DF58" s="436"/>
      <c r="DG58" s="436"/>
      <c r="DH58" s="436"/>
      <c r="DI58" s="436"/>
      <c r="DJ58" s="436"/>
      <c r="DK58" s="436"/>
      <c r="DL58" s="436"/>
      <c r="DM58" s="436"/>
      <c r="DN58" s="436"/>
      <c r="DO58" s="436"/>
      <c r="DP58" s="436"/>
      <c r="DQ58" s="436"/>
      <c r="DR58" s="436"/>
    </row>
    <row r="59" spans="1:123" ht="2.5499999999999998" hidden="1" customHeight="1">
      <c r="A59" s="496"/>
      <c r="B59" s="496"/>
      <c r="C59" s="497"/>
      <c r="D59" s="498"/>
      <c r="E59" s="499"/>
      <c r="F59" s="499"/>
      <c r="G59" s="499"/>
      <c r="H59" s="499"/>
      <c r="I59" s="499"/>
      <c r="J59" s="499"/>
      <c r="K59" s="499"/>
      <c r="L59" s="499"/>
      <c r="M59" s="499"/>
      <c r="N59" s="499"/>
      <c r="O59" s="499"/>
      <c r="P59" s="499"/>
      <c r="Q59" s="500"/>
      <c r="R59" s="496"/>
      <c r="S59" s="499"/>
      <c r="T59" s="499"/>
      <c r="U59" s="499"/>
      <c r="V59" s="499"/>
      <c r="W59" s="496"/>
      <c r="X59" s="508"/>
      <c r="Y59" s="499"/>
      <c r="Z59" s="499"/>
      <c r="AA59" s="499"/>
      <c r="AB59" s="499"/>
      <c r="AC59" s="499"/>
      <c r="AD59" s="499"/>
      <c r="AE59" s="499"/>
      <c r="AF59" s="499"/>
      <c r="AG59" s="499"/>
      <c r="AH59" s="499"/>
      <c r="AI59" s="499"/>
      <c r="AJ59" s="499"/>
      <c r="AK59" s="500"/>
      <c r="AL59" s="496"/>
      <c r="AM59" s="499"/>
      <c r="AN59" s="499"/>
      <c r="AO59" s="499"/>
      <c r="AP59" s="499"/>
      <c r="AQ59" s="496"/>
      <c r="AR59" s="508"/>
      <c r="AS59" s="499"/>
      <c r="AT59" s="499"/>
      <c r="AU59" s="499"/>
      <c r="AV59" s="499"/>
      <c r="AW59" s="499"/>
      <c r="AX59" s="499"/>
      <c r="AY59" s="499"/>
      <c r="AZ59" s="499"/>
      <c r="BA59" s="499"/>
      <c r="BB59" s="499"/>
      <c r="BC59" s="499"/>
      <c r="BD59" s="499"/>
      <c r="BE59" s="500"/>
      <c r="BF59" s="496"/>
      <c r="BG59" s="499"/>
      <c r="BH59" s="499"/>
      <c r="BI59" s="499"/>
      <c r="BJ59" s="499"/>
      <c r="BK59" s="496"/>
      <c r="BL59" s="496"/>
      <c r="BM59" s="499"/>
      <c r="BN59" s="499"/>
      <c r="BO59" s="499"/>
      <c r="BP59" s="499"/>
      <c r="BQ59" s="499"/>
      <c r="BR59" s="499"/>
      <c r="BS59" s="499"/>
      <c r="BT59" s="499"/>
      <c r="BU59" s="499"/>
      <c r="BV59" s="499"/>
      <c r="BW59" s="499"/>
      <c r="BX59" s="499"/>
      <c r="BY59" s="500"/>
      <c r="BZ59" s="496"/>
      <c r="CA59" s="499"/>
      <c r="CB59" s="499"/>
      <c r="CC59" s="499"/>
      <c r="CD59" s="499"/>
      <c r="CE59" s="496"/>
      <c r="CF59" s="496"/>
      <c r="CG59" s="578"/>
      <c r="CH59" s="578"/>
      <c r="CI59" s="578"/>
      <c r="CJ59" s="578"/>
      <c r="CK59" s="578"/>
      <c r="CL59" s="578"/>
      <c r="CM59" s="578"/>
      <c r="CN59" s="578"/>
      <c r="CO59" s="578"/>
      <c r="CP59" s="578"/>
      <c r="CQ59" s="578"/>
      <c r="CR59" s="578"/>
      <c r="CS59" s="579"/>
      <c r="CT59" s="580"/>
      <c r="CU59" s="578"/>
      <c r="CV59" s="578"/>
      <c r="CW59" s="578"/>
      <c r="CX59" s="578"/>
      <c r="CY59" s="496"/>
      <c r="CZ59" s="496"/>
      <c r="DA59" s="578"/>
      <c r="DB59" s="578"/>
      <c r="DC59" s="578"/>
      <c r="DD59" s="578"/>
      <c r="DE59" s="578"/>
      <c r="DF59" s="578"/>
      <c r="DG59" s="578"/>
      <c r="DH59" s="578"/>
      <c r="DI59" s="578"/>
      <c r="DJ59" s="578"/>
      <c r="DK59" s="578"/>
      <c r="DL59" s="578"/>
      <c r="DM59" s="579"/>
      <c r="DN59" s="580"/>
      <c r="DO59" s="578"/>
      <c r="DP59" s="578"/>
      <c r="DQ59" s="578"/>
      <c r="DR59" s="578"/>
      <c r="DS59" s="496"/>
    </row>
    <row r="60" spans="1:123" hidden="1">
      <c r="B60" s="355"/>
      <c r="X60" s="507"/>
      <c r="AR60" s="507"/>
      <c r="CG60" s="436"/>
      <c r="CH60" s="436"/>
      <c r="CI60" s="436"/>
      <c r="CJ60" s="436"/>
      <c r="CK60" s="436"/>
      <c r="CL60" s="436"/>
      <c r="CM60" s="436"/>
      <c r="CN60" s="436"/>
      <c r="CO60" s="436"/>
      <c r="CP60" s="436"/>
      <c r="CQ60" s="436"/>
      <c r="CR60" s="436"/>
      <c r="CS60" s="436"/>
      <c r="CT60" s="436"/>
      <c r="CU60" s="436"/>
      <c r="CV60" s="436"/>
      <c r="CW60" s="436"/>
      <c r="CX60" s="436"/>
      <c r="DA60" s="436"/>
      <c r="DB60" s="436"/>
      <c r="DC60" s="436"/>
      <c r="DD60" s="436"/>
      <c r="DE60" s="436"/>
      <c r="DF60" s="436"/>
      <c r="DG60" s="436"/>
      <c r="DH60" s="436"/>
      <c r="DI60" s="436"/>
      <c r="DJ60" s="436"/>
      <c r="DK60" s="436"/>
      <c r="DL60" s="436"/>
      <c r="DM60" s="436"/>
      <c r="DN60" s="436"/>
      <c r="DO60" s="436"/>
      <c r="DP60" s="436"/>
      <c r="DQ60" s="436"/>
      <c r="DR60" s="436"/>
    </row>
    <row r="61" spans="1:123" hidden="1">
      <c r="B61" s="100"/>
      <c r="C61" s="477"/>
      <c r="D61" s="478"/>
      <c r="E61" s="479"/>
      <c r="F61" s="479"/>
      <c r="G61" s="479"/>
      <c r="H61" s="479"/>
      <c r="I61" s="479"/>
      <c r="J61" s="479"/>
      <c r="K61" s="479"/>
      <c r="L61" s="479"/>
      <c r="M61" s="479"/>
      <c r="N61" s="479"/>
      <c r="O61" s="479"/>
      <c r="P61" s="479"/>
      <c r="Q61" s="479"/>
      <c r="S61" s="479"/>
      <c r="T61" s="479"/>
      <c r="U61" s="479"/>
      <c r="V61" s="479"/>
      <c r="X61" s="507"/>
      <c r="Y61" s="479"/>
      <c r="Z61" s="479"/>
      <c r="AA61" s="479"/>
      <c r="AB61" s="479"/>
      <c r="AC61" s="479"/>
      <c r="AD61" s="479"/>
      <c r="AE61" s="479"/>
      <c r="AF61" s="479"/>
      <c r="AG61" s="479"/>
      <c r="AH61" s="479"/>
      <c r="AI61" s="479"/>
      <c r="AJ61" s="479"/>
      <c r="AK61" s="479"/>
      <c r="AM61" s="479"/>
      <c r="AN61" s="479"/>
      <c r="AO61" s="479"/>
      <c r="AP61" s="479"/>
      <c r="AR61" s="507"/>
      <c r="AS61" s="479"/>
      <c r="AT61" s="479"/>
      <c r="AU61" s="479"/>
      <c r="AV61" s="479"/>
      <c r="AW61" s="479"/>
      <c r="AX61" s="479"/>
      <c r="AY61" s="479"/>
      <c r="AZ61" s="479"/>
      <c r="BA61" s="479"/>
      <c r="BB61" s="479"/>
      <c r="BC61" s="479"/>
      <c r="BD61" s="479"/>
      <c r="BE61" s="479"/>
      <c r="BG61" s="479"/>
      <c r="BH61" s="479"/>
      <c r="BI61" s="479"/>
      <c r="BJ61" s="479"/>
      <c r="BM61" s="479"/>
      <c r="BN61" s="479"/>
      <c r="BO61" s="479"/>
      <c r="BP61" s="479"/>
      <c r="BQ61" s="479"/>
      <c r="BR61" s="479"/>
      <c r="BS61" s="479"/>
      <c r="BT61" s="479"/>
      <c r="BU61" s="479"/>
      <c r="BV61" s="479"/>
      <c r="BW61" s="479"/>
      <c r="BX61" s="479"/>
      <c r="BY61" s="479"/>
      <c r="CA61" s="479"/>
      <c r="CB61" s="479"/>
      <c r="CC61" s="479"/>
      <c r="CD61" s="479"/>
      <c r="CG61" s="480"/>
      <c r="CH61" s="480"/>
      <c r="CI61" s="480"/>
      <c r="CJ61" s="480"/>
      <c r="CK61" s="480"/>
      <c r="CL61" s="480"/>
      <c r="CM61" s="480"/>
      <c r="CN61" s="480"/>
      <c r="CO61" s="480"/>
      <c r="CP61" s="480"/>
      <c r="CQ61" s="480"/>
      <c r="CR61" s="480"/>
      <c r="CS61" s="480"/>
      <c r="CT61" s="436"/>
      <c r="CU61" s="480"/>
      <c r="CV61" s="480"/>
      <c r="CW61" s="480"/>
      <c r="CX61" s="480"/>
      <c r="DA61" s="480"/>
      <c r="DB61" s="480"/>
      <c r="DC61" s="480"/>
      <c r="DD61" s="480"/>
      <c r="DE61" s="480"/>
      <c r="DF61" s="480"/>
      <c r="DG61" s="480"/>
      <c r="DH61" s="480"/>
      <c r="DI61" s="480"/>
      <c r="DJ61" s="480"/>
      <c r="DK61" s="480"/>
      <c r="DL61" s="480"/>
      <c r="DM61" s="480"/>
      <c r="DN61" s="436"/>
      <c r="DO61" s="480"/>
      <c r="DP61" s="480"/>
      <c r="DQ61" s="480"/>
      <c r="DR61" s="480"/>
    </row>
    <row r="62" spans="1:123" hidden="1">
      <c r="C62" s="481"/>
      <c r="D62" s="482"/>
      <c r="E62" s="483"/>
      <c r="F62" s="483"/>
      <c r="G62" s="483"/>
      <c r="H62" s="483"/>
      <c r="I62" s="483"/>
      <c r="J62" s="483"/>
      <c r="K62" s="483"/>
      <c r="L62" s="483"/>
      <c r="M62" s="483"/>
      <c r="N62" s="483"/>
      <c r="O62" s="483"/>
      <c r="P62" s="483"/>
      <c r="Q62" s="489"/>
      <c r="S62" s="483"/>
      <c r="T62" s="483"/>
      <c r="U62" s="483"/>
      <c r="V62" s="483"/>
      <c r="X62" s="507"/>
      <c r="Y62" s="483"/>
      <c r="Z62" s="483"/>
      <c r="AA62" s="483"/>
      <c r="AB62" s="483"/>
      <c r="AC62" s="483"/>
      <c r="AD62" s="483"/>
      <c r="AE62" s="483"/>
      <c r="AF62" s="483"/>
      <c r="AG62" s="483"/>
      <c r="AH62" s="483"/>
      <c r="AI62" s="483"/>
      <c r="AJ62" s="483"/>
      <c r="AK62" s="489"/>
      <c r="AM62" s="483"/>
      <c r="AN62" s="483"/>
      <c r="AO62" s="483"/>
      <c r="AP62" s="483"/>
      <c r="AR62" s="507"/>
      <c r="AS62" s="483"/>
      <c r="AT62" s="483"/>
      <c r="AU62" s="483"/>
      <c r="AV62" s="483"/>
      <c r="AW62" s="483"/>
      <c r="AX62" s="483"/>
      <c r="AY62" s="483"/>
      <c r="AZ62" s="483"/>
      <c r="BA62" s="483"/>
      <c r="BB62" s="483"/>
      <c r="BC62" s="483"/>
      <c r="BD62" s="483"/>
      <c r="BE62" s="489"/>
      <c r="BG62" s="483"/>
      <c r="BH62" s="483"/>
      <c r="BI62" s="483"/>
      <c r="BJ62" s="483"/>
      <c r="BM62" s="483"/>
      <c r="BN62" s="483"/>
      <c r="BO62" s="483"/>
      <c r="BP62" s="483"/>
      <c r="BQ62" s="483"/>
      <c r="BR62" s="483"/>
      <c r="BS62" s="483"/>
      <c r="BT62" s="483"/>
      <c r="BU62" s="483"/>
      <c r="BV62" s="483"/>
      <c r="BW62" s="483"/>
      <c r="BX62" s="483"/>
      <c r="BY62" s="489"/>
      <c r="CA62" s="483"/>
      <c r="CB62" s="483"/>
      <c r="CC62" s="483"/>
      <c r="CD62" s="483"/>
      <c r="CG62" s="484"/>
      <c r="CH62" s="484"/>
      <c r="CI62" s="484"/>
      <c r="CJ62" s="484"/>
      <c r="CK62" s="484"/>
      <c r="CL62" s="484"/>
      <c r="CM62" s="484"/>
      <c r="CN62" s="484"/>
      <c r="CO62" s="484"/>
      <c r="CP62" s="484"/>
      <c r="CQ62" s="484"/>
      <c r="CR62" s="484"/>
      <c r="CS62" s="491"/>
      <c r="CT62" s="436"/>
      <c r="CU62" s="484"/>
      <c r="CV62" s="484"/>
      <c r="CW62" s="484"/>
      <c r="CX62" s="484"/>
      <c r="DA62" s="484"/>
      <c r="DB62" s="484"/>
      <c r="DC62" s="484"/>
      <c r="DD62" s="484"/>
      <c r="DE62" s="484"/>
      <c r="DF62" s="484"/>
      <c r="DG62" s="484"/>
      <c r="DH62" s="484"/>
      <c r="DI62" s="484"/>
      <c r="DJ62" s="484"/>
      <c r="DK62" s="484"/>
      <c r="DL62" s="484"/>
      <c r="DM62" s="491"/>
      <c r="DN62" s="436"/>
      <c r="DO62" s="484"/>
      <c r="DP62" s="484"/>
      <c r="DQ62" s="484"/>
      <c r="DR62" s="484"/>
    </row>
    <row r="63" spans="1:123" hidden="1">
      <c r="C63" s="481"/>
      <c r="D63" s="482"/>
      <c r="E63" s="483"/>
      <c r="F63" s="483"/>
      <c r="G63" s="483"/>
      <c r="H63" s="483"/>
      <c r="I63" s="483"/>
      <c r="J63" s="483"/>
      <c r="K63" s="483"/>
      <c r="L63" s="483"/>
      <c r="M63" s="483"/>
      <c r="N63" s="483"/>
      <c r="O63" s="483"/>
      <c r="P63" s="483"/>
      <c r="Q63" s="489"/>
      <c r="S63" s="483"/>
      <c r="T63" s="483"/>
      <c r="U63" s="483"/>
      <c r="V63" s="483"/>
      <c r="X63" s="507"/>
      <c r="Y63" s="483"/>
      <c r="Z63" s="483"/>
      <c r="AA63" s="483"/>
      <c r="AB63" s="483"/>
      <c r="AC63" s="483"/>
      <c r="AD63" s="483"/>
      <c r="AE63" s="483"/>
      <c r="AF63" s="483"/>
      <c r="AG63" s="483"/>
      <c r="AH63" s="483"/>
      <c r="AI63" s="483"/>
      <c r="AJ63" s="483"/>
      <c r="AK63" s="489"/>
      <c r="AM63" s="483"/>
      <c r="AN63" s="483"/>
      <c r="AO63" s="483"/>
      <c r="AP63" s="483"/>
      <c r="AR63" s="507"/>
      <c r="AS63" s="483"/>
      <c r="AT63" s="483"/>
      <c r="AU63" s="483"/>
      <c r="AV63" s="483"/>
      <c r="AW63" s="483"/>
      <c r="AX63" s="483"/>
      <c r="AY63" s="483"/>
      <c r="AZ63" s="483"/>
      <c r="BA63" s="483"/>
      <c r="BB63" s="483"/>
      <c r="BC63" s="483"/>
      <c r="BD63" s="483"/>
      <c r="BE63" s="489"/>
      <c r="BG63" s="483"/>
      <c r="BH63" s="483"/>
      <c r="BI63" s="483"/>
      <c r="BJ63" s="483"/>
      <c r="BM63" s="483"/>
      <c r="BN63" s="483"/>
      <c r="BO63" s="483"/>
      <c r="BP63" s="483"/>
      <c r="BQ63" s="483"/>
      <c r="BR63" s="483"/>
      <c r="BS63" s="483"/>
      <c r="BT63" s="483"/>
      <c r="BU63" s="483"/>
      <c r="BV63" s="483"/>
      <c r="BW63" s="483"/>
      <c r="BX63" s="483"/>
      <c r="BY63" s="489"/>
      <c r="CA63" s="483"/>
      <c r="CB63" s="483"/>
      <c r="CC63" s="483"/>
      <c r="CD63" s="483"/>
      <c r="CG63" s="484"/>
      <c r="CH63" s="484"/>
      <c r="CI63" s="484"/>
      <c r="CJ63" s="484"/>
      <c r="CK63" s="484"/>
      <c r="CL63" s="484"/>
      <c r="CM63" s="484"/>
      <c r="CN63" s="484"/>
      <c r="CO63" s="484"/>
      <c r="CP63" s="484"/>
      <c r="CQ63" s="484"/>
      <c r="CR63" s="484"/>
      <c r="CS63" s="491"/>
      <c r="CT63" s="436"/>
      <c r="CU63" s="484"/>
      <c r="CV63" s="484"/>
      <c r="CW63" s="484"/>
      <c r="CX63" s="484"/>
      <c r="DA63" s="484"/>
      <c r="DB63" s="484"/>
      <c r="DC63" s="484"/>
      <c r="DD63" s="484"/>
      <c r="DE63" s="484"/>
      <c r="DF63" s="484"/>
      <c r="DG63" s="484"/>
      <c r="DH63" s="484"/>
      <c r="DI63" s="484"/>
      <c r="DJ63" s="484"/>
      <c r="DK63" s="484"/>
      <c r="DL63" s="484"/>
      <c r="DM63" s="491"/>
      <c r="DN63" s="436"/>
      <c r="DO63" s="484"/>
      <c r="DP63" s="484"/>
      <c r="DQ63" s="484"/>
      <c r="DR63" s="484"/>
    </row>
    <row r="64" spans="1:123" hidden="1">
      <c r="C64" s="481"/>
      <c r="D64" s="482"/>
      <c r="E64" s="483"/>
      <c r="F64" s="483"/>
      <c r="G64" s="483"/>
      <c r="H64" s="483"/>
      <c r="I64" s="483"/>
      <c r="J64" s="483"/>
      <c r="K64" s="483"/>
      <c r="L64" s="483"/>
      <c r="M64" s="483"/>
      <c r="N64" s="483"/>
      <c r="O64" s="483"/>
      <c r="P64" s="483"/>
      <c r="Q64" s="489"/>
      <c r="S64" s="483"/>
      <c r="T64" s="483"/>
      <c r="U64" s="483"/>
      <c r="V64" s="483"/>
      <c r="X64" s="507"/>
      <c r="Y64" s="483"/>
      <c r="Z64" s="483"/>
      <c r="AA64" s="483"/>
      <c r="AB64" s="483"/>
      <c r="AC64" s="483"/>
      <c r="AD64" s="483"/>
      <c r="AE64" s="483"/>
      <c r="AF64" s="483"/>
      <c r="AG64" s="483"/>
      <c r="AH64" s="483"/>
      <c r="AI64" s="483"/>
      <c r="AJ64" s="483"/>
      <c r="AK64" s="489"/>
      <c r="AM64" s="483"/>
      <c r="AN64" s="483"/>
      <c r="AO64" s="483"/>
      <c r="AP64" s="483"/>
      <c r="AR64" s="507"/>
      <c r="AS64" s="483"/>
      <c r="AT64" s="483"/>
      <c r="AU64" s="483"/>
      <c r="AV64" s="483"/>
      <c r="AW64" s="483"/>
      <c r="AX64" s="483"/>
      <c r="AY64" s="483"/>
      <c r="AZ64" s="483"/>
      <c r="BA64" s="483"/>
      <c r="BB64" s="483"/>
      <c r="BC64" s="483"/>
      <c r="BD64" s="483"/>
      <c r="BE64" s="489"/>
      <c r="BG64" s="483"/>
      <c r="BH64" s="483"/>
      <c r="BI64" s="483"/>
      <c r="BJ64" s="483"/>
      <c r="BM64" s="483"/>
      <c r="BN64" s="483"/>
      <c r="BO64" s="483"/>
      <c r="BP64" s="483"/>
      <c r="BQ64" s="483"/>
      <c r="BR64" s="483"/>
      <c r="BS64" s="483"/>
      <c r="BT64" s="483"/>
      <c r="BU64" s="483"/>
      <c r="BV64" s="483"/>
      <c r="BW64" s="483"/>
      <c r="BX64" s="483"/>
      <c r="BY64" s="489"/>
      <c r="CA64" s="483"/>
      <c r="CB64" s="483"/>
      <c r="CC64" s="483"/>
      <c r="CD64" s="483"/>
      <c r="CG64" s="484"/>
      <c r="CH64" s="484"/>
      <c r="CI64" s="484"/>
      <c r="CJ64" s="484"/>
      <c r="CK64" s="484"/>
      <c r="CL64" s="484"/>
      <c r="CM64" s="484"/>
      <c r="CN64" s="484"/>
      <c r="CO64" s="484"/>
      <c r="CP64" s="484"/>
      <c r="CQ64" s="484"/>
      <c r="CR64" s="484"/>
      <c r="CS64" s="491"/>
      <c r="CT64" s="436"/>
      <c r="CU64" s="484"/>
      <c r="CV64" s="484"/>
      <c r="CW64" s="484"/>
      <c r="CX64" s="484"/>
      <c r="DA64" s="484"/>
      <c r="DB64" s="484"/>
      <c r="DC64" s="484"/>
      <c r="DD64" s="484"/>
      <c r="DE64" s="484"/>
      <c r="DF64" s="484"/>
      <c r="DG64" s="484"/>
      <c r="DH64" s="484"/>
      <c r="DI64" s="484"/>
      <c r="DJ64" s="484"/>
      <c r="DK64" s="484"/>
      <c r="DL64" s="484"/>
      <c r="DM64" s="491"/>
      <c r="DN64" s="436"/>
      <c r="DO64" s="484"/>
      <c r="DP64" s="484"/>
      <c r="DQ64" s="484"/>
      <c r="DR64" s="484"/>
    </row>
    <row r="65" spans="3:123" hidden="1">
      <c r="C65" s="481"/>
      <c r="D65" s="482"/>
      <c r="E65" s="483"/>
      <c r="F65" s="483"/>
      <c r="G65" s="483"/>
      <c r="H65" s="483"/>
      <c r="I65" s="483"/>
      <c r="J65" s="483"/>
      <c r="K65" s="483"/>
      <c r="L65" s="483"/>
      <c r="M65" s="483"/>
      <c r="N65" s="483"/>
      <c r="O65" s="483"/>
      <c r="P65" s="483"/>
      <c r="Q65" s="489"/>
      <c r="S65" s="483"/>
      <c r="T65" s="483"/>
      <c r="U65" s="483"/>
      <c r="V65" s="483"/>
      <c r="X65" s="507"/>
      <c r="Y65" s="483"/>
      <c r="Z65" s="483"/>
      <c r="AA65" s="483"/>
      <c r="AB65" s="483"/>
      <c r="AC65" s="483"/>
      <c r="AD65" s="483"/>
      <c r="AE65" s="483"/>
      <c r="AF65" s="483"/>
      <c r="AG65" s="483"/>
      <c r="AH65" s="483"/>
      <c r="AI65" s="483"/>
      <c r="AJ65" s="483"/>
      <c r="AK65" s="489"/>
      <c r="AM65" s="483"/>
      <c r="AN65" s="483"/>
      <c r="AO65" s="483"/>
      <c r="AP65" s="483"/>
      <c r="AR65" s="507"/>
      <c r="AS65" s="483"/>
      <c r="AT65" s="483"/>
      <c r="AU65" s="483"/>
      <c r="AV65" s="483"/>
      <c r="AW65" s="483"/>
      <c r="AX65" s="483"/>
      <c r="AY65" s="483"/>
      <c r="AZ65" s="483"/>
      <c r="BA65" s="483"/>
      <c r="BB65" s="483"/>
      <c r="BC65" s="483"/>
      <c r="BD65" s="483"/>
      <c r="BE65" s="489"/>
      <c r="BG65" s="483"/>
      <c r="BH65" s="483"/>
      <c r="BI65" s="483"/>
      <c r="BJ65" s="483"/>
      <c r="BM65" s="483"/>
      <c r="BN65" s="483"/>
      <c r="BO65" s="483"/>
      <c r="BP65" s="483"/>
      <c r="BQ65" s="483"/>
      <c r="BR65" s="483"/>
      <c r="BS65" s="483"/>
      <c r="BT65" s="483"/>
      <c r="BU65" s="483"/>
      <c r="BV65" s="483"/>
      <c r="BW65" s="483"/>
      <c r="BX65" s="483"/>
      <c r="BY65" s="489"/>
      <c r="CA65" s="483"/>
      <c r="CB65" s="483"/>
      <c r="CC65" s="483"/>
      <c r="CD65" s="483"/>
      <c r="CG65" s="484"/>
      <c r="CH65" s="484"/>
      <c r="CI65" s="484"/>
      <c r="CJ65" s="484"/>
      <c r="CK65" s="484"/>
      <c r="CL65" s="484"/>
      <c r="CM65" s="484"/>
      <c r="CN65" s="484"/>
      <c r="CO65" s="484"/>
      <c r="CP65" s="484"/>
      <c r="CQ65" s="484"/>
      <c r="CR65" s="484"/>
      <c r="CS65" s="491"/>
      <c r="CT65" s="436"/>
      <c r="CU65" s="484"/>
      <c r="CV65" s="484"/>
      <c r="CW65" s="484"/>
      <c r="CX65" s="484"/>
      <c r="DA65" s="484"/>
      <c r="DB65" s="484"/>
      <c r="DC65" s="484"/>
      <c r="DD65" s="484"/>
      <c r="DE65" s="484"/>
      <c r="DF65" s="484"/>
      <c r="DG65" s="484"/>
      <c r="DH65" s="484"/>
      <c r="DI65" s="484"/>
      <c r="DJ65" s="484"/>
      <c r="DK65" s="484"/>
      <c r="DL65" s="484"/>
      <c r="DM65" s="491"/>
      <c r="DN65" s="436"/>
      <c r="DO65" s="484"/>
      <c r="DP65" s="484"/>
      <c r="DQ65" s="484"/>
      <c r="DR65" s="484"/>
    </row>
    <row r="66" spans="3:123" s="596" customFormat="1" hidden="1">
      <c r="C66" s="481"/>
      <c r="D66" s="482"/>
      <c r="E66" s="483"/>
      <c r="F66" s="483"/>
      <c r="G66" s="483"/>
      <c r="H66" s="483"/>
      <c r="I66" s="483"/>
      <c r="J66" s="483"/>
      <c r="K66" s="483"/>
      <c r="L66" s="483"/>
      <c r="M66" s="483"/>
      <c r="N66" s="483"/>
      <c r="O66" s="483"/>
      <c r="P66" s="483"/>
      <c r="Q66" s="489"/>
      <c r="S66" s="483"/>
      <c r="T66" s="483"/>
      <c r="U66" s="483"/>
      <c r="V66" s="483"/>
      <c r="W66" s="468"/>
      <c r="X66" s="507"/>
      <c r="Y66" s="483"/>
      <c r="Z66" s="483"/>
      <c r="AA66" s="483"/>
      <c r="AB66" s="483"/>
      <c r="AC66" s="483"/>
      <c r="AD66" s="483"/>
      <c r="AE66" s="483"/>
      <c r="AF66" s="483"/>
      <c r="AG66" s="483"/>
      <c r="AH66" s="483"/>
      <c r="AI66" s="483"/>
      <c r="AJ66" s="483"/>
      <c r="AK66" s="489"/>
      <c r="AM66" s="483"/>
      <c r="AN66" s="483"/>
      <c r="AO66" s="483"/>
      <c r="AP66" s="483"/>
      <c r="AQ66" s="468"/>
      <c r="AR66" s="507"/>
      <c r="AS66" s="483"/>
      <c r="AT66" s="483"/>
      <c r="AU66" s="483"/>
      <c r="AV66" s="483"/>
      <c r="AW66" s="483"/>
      <c r="AX66" s="483"/>
      <c r="AY66" s="483"/>
      <c r="AZ66" s="483"/>
      <c r="BA66" s="483"/>
      <c r="BB66" s="483"/>
      <c r="BC66" s="483"/>
      <c r="BD66" s="483"/>
      <c r="BE66" s="489"/>
      <c r="BG66" s="483"/>
      <c r="BH66" s="483"/>
      <c r="BI66" s="483"/>
      <c r="BJ66" s="483"/>
      <c r="BK66" s="468"/>
      <c r="BL66" s="468"/>
      <c r="BM66" s="483"/>
      <c r="BN66" s="483"/>
      <c r="BO66" s="483"/>
      <c r="BP66" s="483"/>
      <c r="BQ66" s="483"/>
      <c r="BR66" s="483"/>
      <c r="BS66" s="483"/>
      <c r="BT66" s="483"/>
      <c r="BU66" s="483"/>
      <c r="BV66" s="483"/>
      <c r="BW66" s="483"/>
      <c r="BX66" s="483"/>
      <c r="BY66" s="489"/>
      <c r="CA66" s="483"/>
      <c r="CB66" s="483"/>
      <c r="CC66" s="483"/>
      <c r="CD66" s="483"/>
      <c r="CE66" s="468"/>
      <c r="CF66" s="468"/>
      <c r="CG66" s="484"/>
      <c r="CH66" s="484"/>
      <c r="CI66" s="484"/>
      <c r="CJ66" s="484"/>
      <c r="CK66" s="484"/>
      <c r="CL66" s="484"/>
      <c r="CM66" s="484"/>
      <c r="CN66" s="484"/>
      <c r="CO66" s="484"/>
      <c r="CP66" s="484"/>
      <c r="CQ66" s="484"/>
      <c r="CR66" s="484"/>
      <c r="CS66" s="491"/>
      <c r="CT66" s="436"/>
      <c r="CU66" s="484"/>
      <c r="CV66" s="484"/>
      <c r="CW66" s="484"/>
      <c r="CX66" s="484"/>
      <c r="CY66" s="468"/>
      <c r="DA66" s="484"/>
      <c r="DB66" s="484"/>
      <c r="DC66" s="484"/>
      <c r="DD66" s="484"/>
      <c r="DE66" s="484"/>
      <c r="DF66" s="484"/>
      <c r="DG66" s="484"/>
      <c r="DH66" s="484"/>
      <c r="DI66" s="484"/>
      <c r="DJ66" s="484"/>
      <c r="DK66" s="484"/>
      <c r="DL66" s="484"/>
      <c r="DM66" s="491"/>
      <c r="DN66" s="436"/>
      <c r="DO66" s="484"/>
      <c r="DP66" s="484"/>
      <c r="DQ66" s="484"/>
      <c r="DR66" s="484"/>
      <c r="DS66" s="468"/>
    </row>
    <row r="67" spans="3:123" s="596" customFormat="1" hidden="1">
      <c r="C67" s="485"/>
      <c r="D67" s="486"/>
      <c r="E67" s="487"/>
      <c r="F67" s="487"/>
      <c r="G67" s="487"/>
      <c r="H67" s="487"/>
      <c r="I67" s="487"/>
      <c r="J67" s="487"/>
      <c r="K67" s="487"/>
      <c r="L67" s="487"/>
      <c r="M67" s="487"/>
      <c r="N67" s="487"/>
      <c r="O67" s="487"/>
      <c r="P67" s="487"/>
      <c r="Q67" s="490"/>
      <c r="S67" s="487"/>
      <c r="T67" s="487"/>
      <c r="U67" s="487"/>
      <c r="V67" s="487"/>
      <c r="W67" s="468"/>
      <c r="X67" s="507"/>
      <c r="Y67" s="487"/>
      <c r="Z67" s="487"/>
      <c r="AA67" s="487"/>
      <c r="AB67" s="487"/>
      <c r="AC67" s="487"/>
      <c r="AD67" s="487"/>
      <c r="AE67" s="487"/>
      <c r="AF67" s="487"/>
      <c r="AG67" s="487"/>
      <c r="AH67" s="487"/>
      <c r="AI67" s="487"/>
      <c r="AJ67" s="487"/>
      <c r="AK67" s="490"/>
      <c r="AM67" s="487"/>
      <c r="AN67" s="487"/>
      <c r="AO67" s="487"/>
      <c r="AP67" s="487"/>
      <c r="AQ67" s="468"/>
      <c r="AR67" s="507"/>
      <c r="AS67" s="487"/>
      <c r="AT67" s="487"/>
      <c r="AU67" s="487"/>
      <c r="AV67" s="487"/>
      <c r="AW67" s="487"/>
      <c r="AX67" s="487"/>
      <c r="AY67" s="487"/>
      <c r="AZ67" s="487"/>
      <c r="BA67" s="487"/>
      <c r="BB67" s="487"/>
      <c r="BC67" s="487"/>
      <c r="BD67" s="487"/>
      <c r="BE67" s="490"/>
      <c r="BG67" s="487"/>
      <c r="BH67" s="487"/>
      <c r="BI67" s="487"/>
      <c r="BJ67" s="487"/>
      <c r="BK67" s="468"/>
      <c r="BL67" s="468"/>
      <c r="BM67" s="487"/>
      <c r="BN67" s="487"/>
      <c r="BO67" s="487"/>
      <c r="BP67" s="487"/>
      <c r="BQ67" s="487"/>
      <c r="BR67" s="487"/>
      <c r="BS67" s="487"/>
      <c r="BT67" s="487"/>
      <c r="BU67" s="487"/>
      <c r="BV67" s="487"/>
      <c r="BW67" s="487"/>
      <c r="BX67" s="487"/>
      <c r="BY67" s="490"/>
      <c r="CA67" s="487"/>
      <c r="CB67" s="487"/>
      <c r="CC67" s="487"/>
      <c r="CD67" s="487"/>
      <c r="CE67" s="468"/>
      <c r="CF67" s="468"/>
      <c r="CG67" s="488"/>
      <c r="CH67" s="488"/>
      <c r="CI67" s="488"/>
      <c r="CJ67" s="488"/>
      <c r="CK67" s="488"/>
      <c r="CL67" s="488"/>
      <c r="CM67" s="488"/>
      <c r="CN67" s="488"/>
      <c r="CO67" s="488"/>
      <c r="CP67" s="488"/>
      <c r="CQ67" s="488"/>
      <c r="CR67" s="488"/>
      <c r="CS67" s="492"/>
      <c r="CT67" s="436"/>
      <c r="CU67" s="488"/>
      <c r="CV67" s="488"/>
      <c r="CW67" s="488"/>
      <c r="CX67" s="488"/>
      <c r="CY67" s="468"/>
      <c r="DA67" s="488"/>
      <c r="DB67" s="488"/>
      <c r="DC67" s="488"/>
      <c r="DD67" s="488"/>
      <c r="DE67" s="488"/>
      <c r="DF67" s="488"/>
      <c r="DG67" s="488"/>
      <c r="DH67" s="488"/>
      <c r="DI67" s="488"/>
      <c r="DJ67" s="488"/>
      <c r="DK67" s="488"/>
      <c r="DL67" s="488"/>
      <c r="DM67" s="492"/>
      <c r="DN67" s="436"/>
      <c r="DO67" s="488"/>
      <c r="DP67" s="488"/>
      <c r="DQ67" s="488"/>
      <c r="DR67" s="488"/>
      <c r="DS67" s="468"/>
    </row>
    <row r="68" spans="3:123" hidden="1"/>
    <row r="69" spans="3:123">
      <c r="AS69" s="599"/>
      <c r="AT69" s="599"/>
      <c r="AU69" s="599"/>
      <c r="AV69" s="599"/>
      <c r="AW69" s="611"/>
      <c r="AX69" s="599"/>
      <c r="AY69" s="436"/>
      <c r="AZ69" s="587"/>
      <c r="BA69" s="599"/>
    </row>
    <row r="70" spans="3:123">
      <c r="AS70" s="599"/>
      <c r="AT70" s="599"/>
      <c r="AU70" s="599"/>
      <c r="AV70" s="599"/>
      <c r="AW70" s="599"/>
      <c r="AX70" s="599"/>
      <c r="AY70" s="436"/>
      <c r="BA70" s="599"/>
    </row>
    <row r="71" spans="3:123">
      <c r="AZ71" s="587"/>
      <c r="BA71" s="599"/>
    </row>
    <row r="72" spans="3:123">
      <c r="AW72" s="599"/>
      <c r="BA72" s="601"/>
    </row>
    <row r="73" spans="3:123">
      <c r="AW73" s="599"/>
      <c r="BA73" s="599"/>
    </row>
    <row r="74" spans="3:123" s="596" customFormat="1">
      <c r="W74" s="468"/>
      <c r="X74" s="468"/>
      <c r="AQ74" s="468"/>
      <c r="AR74" s="468"/>
      <c r="AW74" s="599"/>
      <c r="BK74" s="468"/>
      <c r="BL74" s="468"/>
      <c r="CE74" s="468"/>
      <c r="CF74" s="468"/>
      <c r="CY74" s="468"/>
      <c r="DS74" s="468"/>
    </row>
    <row r="75" spans="3:123" s="596" customFormat="1">
      <c r="W75" s="468"/>
      <c r="X75" s="468"/>
      <c r="AQ75" s="468"/>
      <c r="AR75" s="468"/>
      <c r="AW75" s="599"/>
      <c r="BK75" s="468"/>
      <c r="BL75" s="468"/>
      <c r="CE75" s="468"/>
      <c r="CF75" s="468"/>
      <c r="CY75" s="468"/>
      <c r="DS75" s="468"/>
    </row>
    <row r="76" spans="3:123" s="596" customFormat="1">
      <c r="W76" s="468"/>
      <c r="X76" s="468"/>
      <c r="AQ76" s="468"/>
      <c r="AR76" s="468"/>
      <c r="AW76" s="599"/>
      <c r="BK76" s="468"/>
      <c r="BL76" s="468"/>
      <c r="CE76" s="468"/>
      <c r="CF76" s="468"/>
      <c r="CY76" s="468"/>
      <c r="DS76" s="468"/>
    </row>
    <row r="78" spans="3:123">
      <c r="AV78" s="587"/>
      <c r="AW78" s="591"/>
      <c r="AX78" s="587"/>
    </row>
    <row r="80" spans="3:123">
      <c r="AW80" s="599"/>
    </row>
  </sheetData>
  <pageMargins left="0.7" right="0.7" top="0.75" bottom="0.75" header="0.3" footer="0.3"/>
  <pageSetup orientation="portrait" r:id="rId1"/>
  <ignoredErrors>
    <ignoredError sqref="S6:V8 BG24:BJ24 AM12:AP12 AM6:AP7 BG6:BJ8 S12:V12 BG12:BJ12 AM15:AP15 S15:V15 BG15:BJ15 AM17:AP19 S17:V19 BG17:BJ20 BG27:BJ28" formulaRange="1"/>
  </ignoredErrors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tabColor rgb="FF00B050"/>
  </sheetPr>
  <dimension ref="A1:DA77"/>
  <sheetViews>
    <sheetView showGridLines="0" workbookViewId="0">
      <pane xSplit="1" ySplit="5" topLeftCell="B6" activePane="bottomRight" state="frozen"/>
      <selection activeCell="C39" sqref="C39"/>
      <selection pane="topRight" activeCell="C39" sqref="C39"/>
      <selection pane="bottomLeft" activeCell="C39" sqref="C39"/>
      <selection pane="bottomRight" activeCell="B6" sqref="B6"/>
    </sheetView>
  </sheetViews>
  <sheetFormatPr defaultColWidth="8.77734375" defaultRowHeight="14.4"/>
  <cols>
    <col min="1" max="1" width="15.77734375" bestFit="1" customWidth="1"/>
    <col min="2" max="2" width="9.109375" bestFit="1" customWidth="1"/>
    <col min="8" max="8" width="8.77734375" customWidth="1"/>
    <col min="9" max="9" width="2.109375" customWidth="1"/>
    <col min="17" max="17" width="2.109375" customWidth="1"/>
    <col min="18" max="19" width="9.44140625" customWidth="1"/>
    <col min="20" max="20" width="9.44140625" hidden="1" customWidth="1"/>
    <col min="21" max="21" width="9.44140625" customWidth="1"/>
    <col min="22" max="22" width="9.44140625" hidden="1" customWidth="1"/>
    <col min="23" max="23" width="9.44140625" customWidth="1"/>
    <col min="24" max="24" width="2.109375" customWidth="1"/>
    <col min="25" max="25" width="1" customWidth="1"/>
    <col min="26" max="26" width="2.109375" hidden="1" customWidth="1"/>
    <col min="27" max="28" width="0" hidden="1" customWidth="1"/>
    <col min="29" max="30" width="13.77734375" hidden="1" customWidth="1"/>
    <col min="31" max="31" width="0" hidden="1" customWidth="1"/>
    <col min="32" max="32" width="13.44140625" hidden="1" customWidth="1"/>
    <col min="33" max="33" width="14.44140625" hidden="1" customWidth="1"/>
    <col min="34" max="34" width="13.44140625" hidden="1" customWidth="1"/>
    <col min="35" max="35" width="2.109375" hidden="1" customWidth="1"/>
    <col min="36" max="37" width="0" hidden="1" customWidth="1"/>
    <col min="38" max="39" width="13.77734375" hidden="1" customWidth="1"/>
    <col min="40" max="40" width="0" hidden="1" customWidth="1"/>
    <col min="41" max="41" width="13.44140625" hidden="1" customWidth="1"/>
    <col min="42" max="42" width="14.44140625" hidden="1" customWidth="1"/>
    <col min="43" max="43" width="13.44140625" hidden="1" customWidth="1"/>
    <col min="44" max="44" width="2.109375" hidden="1" customWidth="1"/>
    <col min="45" max="45" width="1" hidden="1" customWidth="1"/>
    <col min="46" max="46" width="2.109375" customWidth="1"/>
    <col min="49" max="50" width="13.77734375" customWidth="1"/>
    <col min="52" max="52" width="13.44140625" bestFit="1" customWidth="1"/>
    <col min="53" max="53" width="14.44140625" customWidth="1"/>
    <col min="54" max="54" width="13.44140625" customWidth="1"/>
    <col min="55" max="55" width="2.109375" customWidth="1"/>
    <col min="58" max="59" width="13.77734375" customWidth="1"/>
    <col min="61" max="61" width="13.44140625" bestFit="1" customWidth="1"/>
    <col min="62" max="62" width="14.44140625" customWidth="1"/>
    <col min="63" max="63" width="13.44140625" customWidth="1"/>
    <col min="64" max="64" width="2.109375" customWidth="1"/>
    <col min="65" max="65" width="1" customWidth="1"/>
    <col min="66" max="66" width="2.109375" hidden="1" customWidth="1"/>
    <col min="67" max="68" width="0" hidden="1" customWidth="1"/>
    <col min="69" max="70" width="13.77734375" hidden="1" customWidth="1"/>
    <col min="71" max="71" width="0" hidden="1" customWidth="1"/>
    <col min="72" max="72" width="13.44140625" hidden="1" customWidth="1"/>
    <col min="73" max="73" width="14.44140625" hidden="1" customWidth="1"/>
    <col min="74" max="74" width="13.44140625" hidden="1" customWidth="1"/>
    <col min="75" max="75" width="2.109375" hidden="1" customWidth="1"/>
    <col min="76" max="77" width="0" hidden="1" customWidth="1"/>
    <col min="78" max="79" width="13.77734375" hidden="1" customWidth="1"/>
    <col min="80" max="80" width="0" hidden="1" customWidth="1"/>
    <col min="81" max="81" width="13.44140625" hidden="1" customWidth="1"/>
    <col min="82" max="82" width="14.44140625" hidden="1" customWidth="1"/>
    <col min="83" max="83" width="13.44140625" hidden="1" customWidth="1"/>
    <col min="84" max="84" width="2.109375" hidden="1" customWidth="1"/>
    <col min="85" max="85" width="1" hidden="1" customWidth="1"/>
    <col min="86" max="86" width="2.109375" customWidth="1"/>
    <col min="89" max="90" width="13.77734375" customWidth="1"/>
    <col min="92" max="92" width="13.44140625" bestFit="1" customWidth="1"/>
    <col min="93" max="93" width="14.44140625" customWidth="1"/>
    <col min="94" max="94" width="13.44140625" customWidth="1"/>
    <col min="95" max="95" width="2.109375" customWidth="1"/>
    <col min="98" max="99" width="13.77734375" customWidth="1"/>
    <col min="101" max="101" width="13.44140625" bestFit="1" customWidth="1"/>
    <col min="102" max="102" width="14.44140625" customWidth="1"/>
    <col min="103" max="103" width="13.44140625" customWidth="1"/>
    <col min="104" max="104" width="2.109375" customWidth="1"/>
    <col min="105" max="105" width="1" customWidth="1"/>
  </cols>
  <sheetData>
    <row r="1" spans="1:105" ht="14.55" customHeight="1">
      <c r="A1" s="467" t="s">
        <v>128</v>
      </c>
      <c r="Y1" s="101"/>
      <c r="AS1" s="101"/>
      <c r="BM1" s="101"/>
      <c r="CG1" s="101"/>
      <c r="DA1" s="101"/>
    </row>
    <row r="2" spans="1:105" ht="14.55" customHeight="1">
      <c r="A2" s="619">
        <f ca="1">TODAY()-3</f>
        <v>43357</v>
      </c>
      <c r="B2" s="100" t="s">
        <v>0</v>
      </c>
      <c r="Y2" s="101"/>
      <c r="AA2" s="357" t="s">
        <v>1</v>
      </c>
      <c r="AC2" s="364" t="s">
        <v>89</v>
      </c>
      <c r="AD2" s="359">
        <f ca="1">VLOOKUP(MONTH($A$2),'VN_YouTube Performance'!$A$6:$L$17,5,0)</f>
        <v>0</v>
      </c>
      <c r="AF2" s="100" t="s">
        <v>89</v>
      </c>
      <c r="AG2" s="116" t="s">
        <v>91</v>
      </c>
      <c r="AH2" s="362">
        <f ca="1">VLOOKUP(MONTH($A$2),'VN_YouTube Performance'!$A$26:$L$37,5,0)</f>
        <v>0</v>
      </c>
      <c r="AJ2" s="357"/>
      <c r="AL2" s="364" t="s">
        <v>89</v>
      </c>
      <c r="AM2" s="365">
        <f ca="1">VLOOKUP(MONTH($A$2),'VN_YouTube Performance'!$A$6:$L$17,6,0)</f>
        <v>0</v>
      </c>
      <c r="AO2" s="100" t="s">
        <v>89</v>
      </c>
      <c r="AP2" s="116" t="s">
        <v>91</v>
      </c>
      <c r="AQ2" s="362">
        <f ca="1">VLOOKUP(MONTH($A$2),'VN_YouTube Performance'!$A$26:$L$37,6,0)</f>
        <v>0</v>
      </c>
      <c r="AS2" s="101"/>
      <c r="AU2" s="357" t="s">
        <v>2</v>
      </c>
      <c r="AW2" s="364" t="s">
        <v>89</v>
      </c>
      <c r="AX2" s="359">
        <f ca="1">VLOOKUP(MONTH($A$2),'VN_YouTube Performance'!$A$6:$L$17,7,0)</f>
        <v>0</v>
      </c>
      <c r="AZ2" s="100" t="s">
        <v>89</v>
      </c>
      <c r="BA2" s="116" t="s">
        <v>91</v>
      </c>
      <c r="BB2" s="362">
        <f ca="1">VLOOKUP(MONTH($A$2),'VN_YouTube Performance'!$A$26:$L$37,7,0)</f>
        <v>0</v>
      </c>
      <c r="BD2" s="357"/>
      <c r="BF2" s="364" t="s">
        <v>89</v>
      </c>
      <c r="BG2" s="365">
        <f ca="1">VLOOKUP(MONTH($A$2),'VN_YouTube Performance'!$A$6:$L$17,8,0)</f>
        <v>0</v>
      </c>
      <c r="BI2" s="100" t="s">
        <v>89</v>
      </c>
      <c r="BJ2" s="116" t="s">
        <v>91</v>
      </c>
      <c r="BK2" s="362">
        <f ca="1">VLOOKUP(MONTH($A$2),'VN_YouTube Performance'!$A$26:$L$37,8,0)</f>
        <v>0</v>
      </c>
      <c r="BM2" s="101"/>
      <c r="BO2" s="357" t="s">
        <v>3</v>
      </c>
      <c r="BQ2" s="364" t="s">
        <v>89</v>
      </c>
      <c r="BR2" s="359">
        <f ca="1">VLOOKUP(MONTH($A$2),'VN_YouTube Performance'!$A$6:$L$17,9,0)</f>
        <v>0</v>
      </c>
      <c r="BT2" s="100" t="s">
        <v>89</v>
      </c>
      <c r="BU2" s="116" t="s">
        <v>91</v>
      </c>
      <c r="BV2" s="362">
        <f ca="1">VLOOKUP(MONTH($A$2),'VN_YouTube Performance'!$A$26:$L$37,9,0)</f>
        <v>0</v>
      </c>
      <c r="BX2" s="357"/>
      <c r="BZ2" s="364" t="s">
        <v>89</v>
      </c>
      <c r="CA2" s="365">
        <f ca="1">VLOOKUP(MONTH($A$2),'VN_YouTube Performance'!$A$6:$L$17,10,0)</f>
        <v>0</v>
      </c>
      <c r="CC2" s="100" t="s">
        <v>89</v>
      </c>
      <c r="CD2" s="116" t="s">
        <v>91</v>
      </c>
      <c r="CE2" s="362">
        <f ca="1">VLOOKUP(MONTH($A$2),'VN_YouTube Performance'!$A$26:$L$37,10,0)</f>
        <v>0</v>
      </c>
      <c r="CG2" s="101"/>
      <c r="CI2" s="357" t="s">
        <v>4</v>
      </c>
      <c r="CK2" s="364" t="s">
        <v>89</v>
      </c>
      <c r="CL2" s="359">
        <f ca="1">VLOOKUP(MONTH($A$2),'VN_YouTube Performance'!$A$6:$L$17,11,0)</f>
        <v>0</v>
      </c>
      <c r="CN2" s="100" t="s">
        <v>89</v>
      </c>
      <c r="CO2" s="116" t="s">
        <v>91</v>
      </c>
      <c r="CP2" s="362">
        <f ca="1">VLOOKUP(MONTH($A$2),'VN_YouTube Performance'!$A$26:$L$37,11,0)</f>
        <v>0</v>
      </c>
      <c r="CR2" s="357"/>
      <c r="CT2" s="364" t="s">
        <v>89</v>
      </c>
      <c r="CU2" s="365">
        <f ca="1">VLOOKUP(MONTH($A$2),'VN_YouTube Performance'!$A$6:$L$17,12,0)</f>
        <v>0</v>
      </c>
      <c r="CW2" s="100" t="s">
        <v>89</v>
      </c>
      <c r="CX2" s="116" t="s">
        <v>91</v>
      </c>
      <c r="CY2" s="362">
        <f ca="1">VLOOKUP(MONTH($A$2),'VN_YouTube Performance'!$A$26:$L$37,12,0)</f>
        <v>0</v>
      </c>
      <c r="DA2" s="101"/>
    </row>
    <row r="3" spans="1:105" ht="14.55" customHeight="1">
      <c r="A3" s="619"/>
      <c r="B3" s="100"/>
      <c r="Y3" s="101"/>
      <c r="AA3" s="357"/>
      <c r="AC3" s="364" t="s">
        <v>88</v>
      </c>
      <c r="AD3" s="359">
        <f>'VN_YouTube Performance'!E5</f>
        <v>0</v>
      </c>
      <c r="AG3" s="116" t="s">
        <v>90</v>
      </c>
      <c r="AH3" s="359">
        <f ca="1">IF(AH6&gt;0,AH6,0)</f>
        <v>0</v>
      </c>
      <c r="AJ3" s="357"/>
      <c r="AL3" s="364" t="s">
        <v>88</v>
      </c>
      <c r="AM3" s="365">
        <f>'VN_YouTube Performance'!F5</f>
        <v>0</v>
      </c>
      <c r="AP3" s="116" t="s">
        <v>90</v>
      </c>
      <c r="AQ3" s="365">
        <f ca="1">IF(AQ6&gt;0,AQ6,0)</f>
        <v>0</v>
      </c>
      <c r="AS3" s="101"/>
      <c r="AU3" s="357"/>
      <c r="AW3" s="364" t="s">
        <v>88</v>
      </c>
      <c r="AX3" s="359">
        <f>'VN_YouTube Performance'!G5</f>
        <v>6137674044</v>
      </c>
      <c r="BA3" s="116" t="s">
        <v>90</v>
      </c>
      <c r="BB3" s="359">
        <f ca="1">IF(BB6&gt;0,BB6,0)</f>
        <v>790556961.82225585</v>
      </c>
      <c r="BD3" s="357"/>
      <c r="BF3" s="364" t="s">
        <v>88</v>
      </c>
      <c r="BG3" s="365">
        <f>'VN_YouTube Performance'!H5</f>
        <v>1482104.3110000179</v>
      </c>
      <c r="BJ3" s="116" t="s">
        <v>90</v>
      </c>
      <c r="BK3" s="365">
        <f ca="1">IF(BK6&gt;0,BK6,0)</f>
        <v>164397.07953697184</v>
      </c>
      <c r="BM3" s="101"/>
      <c r="BO3" s="357"/>
      <c r="BQ3" s="364" t="s">
        <v>88</v>
      </c>
      <c r="BR3" s="359">
        <f>'VN_YouTube Performance'!I5</f>
        <v>0</v>
      </c>
      <c r="BU3" s="116" t="s">
        <v>90</v>
      </c>
      <c r="BV3" s="359">
        <f ca="1">IF(BV6&gt;0,BV6,0)</f>
        <v>1795693670.4248385</v>
      </c>
      <c r="BX3" s="357"/>
      <c r="BZ3" s="364" t="s">
        <v>88</v>
      </c>
      <c r="CA3" s="365">
        <f>'VN_YouTube Performance'!J5</f>
        <v>0</v>
      </c>
      <c r="CD3" s="116" t="s">
        <v>90</v>
      </c>
      <c r="CE3" s="365">
        <f ca="1">IF(CE6&gt;0,CE6,0)</f>
        <v>482386.23308945977</v>
      </c>
      <c r="CG3" s="101"/>
      <c r="CI3" s="357"/>
      <c r="CK3" s="364" t="s">
        <v>88</v>
      </c>
      <c r="CL3" s="359">
        <f>'VN_YouTube Performance'!K5</f>
        <v>1727674863</v>
      </c>
      <c r="CO3" s="116" t="s">
        <v>90</v>
      </c>
      <c r="CP3" s="359">
        <f ca="1">IF(CP6&gt;0,CP6,0)</f>
        <v>112936708.83175085</v>
      </c>
      <c r="CR3" s="357"/>
      <c r="CT3" s="364" t="s">
        <v>88</v>
      </c>
      <c r="CU3" s="365">
        <f>'VN_YouTube Performance'!L5</f>
        <v>503485.20699999726</v>
      </c>
      <c r="CX3" s="116" t="s">
        <v>90</v>
      </c>
      <c r="CY3" s="365">
        <f ca="1">IF(CY6&gt;0,CY6,0)</f>
        <v>18905.732818043078</v>
      </c>
      <c r="DA3" s="101"/>
    </row>
    <row r="4" spans="1:105" ht="14.55" customHeight="1">
      <c r="A4" s="619"/>
      <c r="B4" s="100"/>
      <c r="Y4" s="101"/>
      <c r="AA4" s="357"/>
      <c r="AC4" s="366"/>
      <c r="AD4" s="367"/>
      <c r="AG4" s="116" t="s">
        <v>94</v>
      </c>
      <c r="AH4" s="359">
        <f ca="1">VLOOKUP(MONTH($A$2),VN_Data!$AG$6:$AH$17,2,0)-DAY($A$2)</f>
        <v>16</v>
      </c>
      <c r="AJ4" s="357"/>
      <c r="AL4" s="366"/>
      <c r="AM4" s="368"/>
      <c r="AP4" s="116" t="s">
        <v>94</v>
      </c>
      <c r="AQ4" s="359">
        <f ca="1">VLOOKUP(MONTH($A$2),VN_Data!$AG$6:$AH$17,2,0)-DAY($A$2)</f>
        <v>16</v>
      </c>
      <c r="AS4" s="101"/>
      <c r="AU4" s="357"/>
      <c r="AW4" s="366"/>
      <c r="AX4" s="367"/>
      <c r="BA4" s="116" t="s">
        <v>94</v>
      </c>
      <c r="BB4" s="359">
        <f ca="1">VLOOKUP(MONTH($A$2),VN_Data!$AG$6:$AH$17,2,0)-DAY($A$2)</f>
        <v>16</v>
      </c>
      <c r="BD4" s="357"/>
      <c r="BF4" s="366"/>
      <c r="BG4" s="368"/>
      <c r="BJ4" s="116" t="s">
        <v>94</v>
      </c>
      <c r="BK4" s="359">
        <f ca="1">VLOOKUP(MONTH($A$2),VN_Data!$AG$6:$AH$17,2,0)-DAY($A$2)</f>
        <v>16</v>
      </c>
      <c r="BM4" s="101"/>
      <c r="BO4" s="357"/>
      <c r="BQ4" s="366"/>
      <c r="BR4" s="367"/>
      <c r="BU4" s="116" t="s">
        <v>94</v>
      </c>
      <c r="BV4" s="359">
        <f ca="1">VLOOKUP(MONTH($A$2),VN_Data!$AG$6:$AH$17,2,0)-DAY($A$2)</f>
        <v>16</v>
      </c>
      <c r="BX4" s="357"/>
      <c r="BZ4" s="366"/>
      <c r="CA4" s="368"/>
      <c r="CD4" s="116" t="s">
        <v>94</v>
      </c>
      <c r="CE4" s="359">
        <f ca="1">VLOOKUP(MONTH($A$2),VN_Data!$AG$6:$AH$17,2,0)-DAY($A$2)</f>
        <v>16</v>
      </c>
      <c r="CG4" s="101"/>
      <c r="CI4" s="357"/>
      <c r="CK4" s="366"/>
      <c r="CL4" s="367"/>
      <c r="CO4" s="116" t="s">
        <v>94</v>
      </c>
      <c r="CP4" s="359">
        <f ca="1">VLOOKUP(MONTH($A$2),VN_Data!$AG$6:$AH$17,2,0)-DAY($A$2)</f>
        <v>16</v>
      </c>
      <c r="CR4" s="357"/>
      <c r="CT4" s="366"/>
      <c r="CU4" s="368"/>
      <c r="CX4" s="116" t="s">
        <v>94</v>
      </c>
      <c r="CY4" s="359">
        <f ca="1">VLOOKUP(MONTH($A$2),VN_Data!$AG$6:$AH$17,2,0)-DAY($A$2)</f>
        <v>16</v>
      </c>
      <c r="DA4" s="101"/>
    </row>
    <row r="5" spans="1:105" ht="14.55" customHeight="1">
      <c r="A5" s="619"/>
      <c r="Y5" s="101"/>
      <c r="AG5" s="116" t="s">
        <v>92</v>
      </c>
      <c r="AH5" s="359">
        <f ca="1">IFERROR(AH3/AH4,0)</f>
        <v>0</v>
      </c>
      <c r="AP5" s="116" t="s">
        <v>92</v>
      </c>
      <c r="AQ5" s="369">
        <f ca="1">IFERROR(AQ3/AQ4,0)</f>
        <v>0</v>
      </c>
      <c r="AS5" s="101"/>
      <c r="BA5" s="116" t="s">
        <v>92</v>
      </c>
      <c r="BB5" s="359">
        <f ca="1">IFERROR(BB3/BB4,0)</f>
        <v>49409810.113890991</v>
      </c>
      <c r="BJ5" s="116" t="s">
        <v>92</v>
      </c>
      <c r="BK5" s="369">
        <f ca="1">IFERROR(BK3/BK4,0)</f>
        <v>10274.81747106074</v>
      </c>
      <c r="BM5" s="101"/>
      <c r="BU5" s="116" t="s">
        <v>92</v>
      </c>
      <c r="BV5" s="359">
        <f ca="1">IFERROR(BV3/BV4,0)</f>
        <v>112230854.40155241</v>
      </c>
      <c r="CD5" s="116" t="s">
        <v>92</v>
      </c>
      <c r="CE5" s="369">
        <f ca="1">IFERROR(CE3/CE4,0)</f>
        <v>30149.139568091236</v>
      </c>
      <c r="CG5" s="101"/>
      <c r="CO5" s="116" t="s">
        <v>92</v>
      </c>
      <c r="CP5" s="359">
        <f ca="1">IFERROR(CP3/CP4,0)</f>
        <v>7058544.3019844284</v>
      </c>
      <c r="CX5" s="116" t="s">
        <v>92</v>
      </c>
      <c r="CY5" s="369">
        <f ca="1">IFERROR(CY3/CY4,0)</f>
        <v>1181.6083011276924</v>
      </c>
      <c r="DA5" s="101"/>
    </row>
    <row r="6" spans="1:105">
      <c r="A6" s="355" t="s">
        <v>87</v>
      </c>
      <c r="R6" s="116"/>
      <c r="S6" s="128" t="s">
        <v>0</v>
      </c>
      <c r="T6" s="1" t="s">
        <v>1</v>
      </c>
      <c r="U6" s="2" t="s">
        <v>2</v>
      </c>
      <c r="V6" s="3" t="s">
        <v>26</v>
      </c>
      <c r="W6" s="4" t="s">
        <v>27</v>
      </c>
      <c r="Y6" s="101"/>
      <c r="AH6" s="359">
        <f ca="1">VLOOKUP(MONTH($A$2),'VN_YouTube Performance'!$A$46:$L$57,5,0)*-1</f>
        <v>0</v>
      </c>
      <c r="AQ6" s="365">
        <f ca="1">VLOOKUP(MONTH($A$2),'VN_YouTube Performance'!$A$46:$L$57,6,0)*-1</f>
        <v>0</v>
      </c>
      <c r="AS6" s="101"/>
      <c r="BB6" s="359">
        <f ca="1">VLOOKUP(MONTH($A$2),'VN_YouTube Performance'!$A$46:$L$57,7,0)*-1</f>
        <v>790556961.82225585</v>
      </c>
      <c r="BK6" s="365">
        <f ca="1">VLOOKUP(MONTH($A$2),'VN_YouTube Performance'!$A$46:$L$57,8,0)*-1</f>
        <v>164397.07953697184</v>
      </c>
      <c r="BM6" s="101"/>
      <c r="BV6" s="359">
        <f ca="1">VLOOKUP(MONTH($A$2),'VN_YouTube Performance'!$A$46:$L$57,9,0)*-1</f>
        <v>1795693670.4248385</v>
      </c>
      <c r="CE6" s="365">
        <f ca="1">VLOOKUP(MONTH($A$2),'VN_YouTube Performance'!$A$46:$L$57,10,0)*-1</f>
        <v>482386.23308945977</v>
      </c>
      <c r="CG6" s="101"/>
      <c r="CP6" s="359">
        <f ca="1">VLOOKUP(MONTH($A$2),'VN_YouTube Performance'!$A$46:$L$57,11,0)*-1</f>
        <v>112936708.83175085</v>
      </c>
      <c r="CY6" s="365">
        <f ca="1">VLOOKUP(MONTH($A$2),'VN_YouTube Performance'!$A$46:$L$57,12,0)*-1</f>
        <v>18905.732818043078</v>
      </c>
      <c r="DA6" s="101"/>
    </row>
    <row r="7" spans="1:105">
      <c r="R7" s="127" t="s">
        <v>8</v>
      </c>
      <c r="S7" s="464">
        <f>'VN_YouTube Performance'!C25</f>
        <v>0.26327527722175731</v>
      </c>
      <c r="T7" s="464">
        <f>'VN_YouTube Performance'!E25</f>
        <v>0</v>
      </c>
      <c r="U7" s="464">
        <f>'VN_YouTube Performance'!G25</f>
        <v>0.70144846217142853</v>
      </c>
      <c r="V7" s="464">
        <f>'VN_YouTube Performance'!I25</f>
        <v>0</v>
      </c>
      <c r="W7" s="464">
        <f>'VN_YouTube Performance'!K25</f>
        <v>1.3821398903999997</v>
      </c>
      <c r="Y7" s="101"/>
      <c r="AS7" s="101"/>
      <c r="BM7" s="101"/>
      <c r="CG7" s="101"/>
      <c r="DA7" s="101"/>
    </row>
    <row r="8" spans="1:105">
      <c r="R8" s="127" t="s">
        <v>9</v>
      </c>
      <c r="S8" s="464">
        <f>'VN_YouTube Performance'!D25</f>
        <v>0.26949032349362723</v>
      </c>
      <c r="T8" s="464">
        <f>'VN_YouTube Performance'!F25</f>
        <v>0</v>
      </c>
      <c r="U8" s="464">
        <f>'VN_YouTube Performance'!H25</f>
        <v>0.81453506838993794</v>
      </c>
      <c r="V8" s="464">
        <f>'VN_YouTube Performance'!J25</f>
        <v>0</v>
      </c>
      <c r="W8" s="464">
        <f>'VN_YouTube Performance'!L25</f>
        <v>2.4061257089081511</v>
      </c>
      <c r="Y8" s="101"/>
      <c r="AS8" s="101"/>
      <c r="BM8" s="101"/>
      <c r="CG8" s="101"/>
      <c r="DA8" s="101"/>
    </row>
    <row r="9" spans="1:105">
      <c r="Y9" s="101"/>
      <c r="AS9" s="101"/>
      <c r="BM9" s="101"/>
      <c r="CG9" s="101"/>
      <c r="DA9" s="101"/>
    </row>
    <row r="10" spans="1:105">
      <c r="Y10" s="101"/>
      <c r="AS10" s="101"/>
      <c r="BM10" s="101"/>
      <c r="CG10" s="101"/>
      <c r="DA10" s="101"/>
    </row>
    <row r="11" spans="1:105">
      <c r="Y11" s="101"/>
      <c r="AS11" s="101"/>
      <c r="BM11" s="101"/>
      <c r="CG11" s="101"/>
      <c r="DA11" s="101"/>
    </row>
    <row r="12" spans="1:105">
      <c r="Y12" s="101"/>
      <c r="AS12" s="101"/>
      <c r="BM12" s="101"/>
      <c r="CG12" s="101"/>
      <c r="DA12" s="101"/>
    </row>
    <row r="13" spans="1:105">
      <c r="Y13" s="101"/>
      <c r="AS13" s="101"/>
      <c r="BM13" s="101"/>
      <c r="CG13" s="101"/>
      <c r="DA13" s="101"/>
    </row>
    <row r="14" spans="1:105">
      <c r="Y14" s="101"/>
      <c r="AS14" s="101"/>
      <c r="BM14" s="101"/>
      <c r="CG14" s="101"/>
      <c r="DA14" s="101"/>
    </row>
    <row r="15" spans="1:105">
      <c r="Y15" s="101"/>
      <c r="AS15" s="101"/>
      <c r="BM15" s="101"/>
      <c r="CG15" s="101"/>
      <c r="DA15" s="101"/>
    </row>
    <row r="16" spans="1:105">
      <c r="Y16" s="101"/>
      <c r="AS16" s="101"/>
      <c r="BM16" s="101"/>
      <c r="CG16" s="101"/>
      <c r="DA16" s="101"/>
    </row>
    <row r="17" spans="1:105">
      <c r="Y17" s="101"/>
      <c r="AS17" s="101"/>
      <c r="BM17" s="101"/>
      <c r="CG17" s="101"/>
      <c r="DA17" s="101"/>
    </row>
    <row r="18" spans="1:105">
      <c r="Y18" s="101"/>
      <c r="AS18" s="101"/>
      <c r="BM18" s="101"/>
      <c r="CG18" s="101"/>
      <c r="DA18" s="101"/>
    </row>
    <row r="19" spans="1:105">
      <c r="Y19" s="101"/>
      <c r="AS19" s="101"/>
      <c r="BM19" s="101"/>
      <c r="CG19" s="101"/>
      <c r="DA19" s="101"/>
    </row>
    <row r="20" spans="1:105">
      <c r="Y20" s="101"/>
      <c r="AS20" s="101"/>
      <c r="BM20" s="101"/>
      <c r="CG20" s="101"/>
      <c r="DA20" s="101"/>
    </row>
    <row r="21" spans="1:105">
      <c r="Y21" s="101"/>
      <c r="AS21" s="101"/>
      <c r="BM21" s="101"/>
      <c r="CG21" s="101"/>
      <c r="DA21" s="101"/>
    </row>
    <row r="22" spans="1:105">
      <c r="Y22" s="101"/>
      <c r="AS22" s="101"/>
      <c r="BM22" s="101"/>
      <c r="CG22" s="101"/>
      <c r="DA22" s="101"/>
    </row>
    <row r="23" spans="1:105">
      <c r="Y23" s="101"/>
      <c r="AS23" s="101"/>
      <c r="BM23" s="101"/>
      <c r="CG23" s="101"/>
      <c r="DA23" s="101"/>
    </row>
    <row r="24" spans="1:105">
      <c r="Y24" s="101"/>
      <c r="AS24" s="101"/>
      <c r="BM24" s="101"/>
      <c r="CG24" s="101"/>
      <c r="DA24" s="101"/>
    </row>
    <row r="25" spans="1:105">
      <c r="Y25" s="101"/>
      <c r="AS25" s="101"/>
      <c r="BM25" s="101"/>
      <c r="CG25" s="101"/>
      <c r="DA25" s="101"/>
    </row>
    <row r="26" spans="1:105">
      <c r="Y26" s="101"/>
      <c r="AS26" s="101"/>
      <c r="BM26" s="101"/>
      <c r="CG26" s="101"/>
      <c r="DA26" s="101"/>
    </row>
    <row r="27" spans="1:105" ht="4.8" customHeight="1">
      <c r="A27" s="101"/>
      <c r="B27" s="101"/>
      <c r="C27" s="101"/>
      <c r="D27" s="101"/>
      <c r="E27" s="101"/>
      <c r="F27" s="101"/>
      <c r="G27" s="101"/>
      <c r="H27" s="101"/>
      <c r="I27" s="101"/>
      <c r="J27" s="101"/>
      <c r="K27" s="101"/>
      <c r="L27" s="101"/>
      <c r="M27" s="101"/>
      <c r="N27" s="101"/>
      <c r="O27" s="101"/>
      <c r="P27" s="101"/>
      <c r="Q27" s="101"/>
      <c r="R27" s="101"/>
      <c r="S27" s="101"/>
      <c r="T27" s="101"/>
      <c r="U27" s="101"/>
      <c r="V27" s="101"/>
      <c r="W27" s="101"/>
      <c r="X27" s="101"/>
      <c r="Y27" s="101"/>
      <c r="Z27" s="101"/>
      <c r="AA27" s="101"/>
      <c r="AB27" s="101"/>
      <c r="AC27" s="101"/>
      <c r="AD27" s="101"/>
      <c r="AE27" s="101"/>
      <c r="AF27" s="101"/>
      <c r="AG27" s="101"/>
      <c r="AH27" s="101"/>
      <c r="AI27" s="101"/>
      <c r="AJ27" s="101"/>
      <c r="AK27" s="101"/>
      <c r="AL27" s="101"/>
      <c r="AM27" s="101"/>
      <c r="AN27" s="101"/>
      <c r="AO27" s="101"/>
      <c r="AP27" s="101"/>
      <c r="AQ27" s="101"/>
      <c r="AR27" s="101"/>
      <c r="AS27" s="101"/>
      <c r="AT27" s="101"/>
      <c r="AU27" s="101"/>
      <c r="AV27" s="101"/>
      <c r="AW27" s="101"/>
      <c r="AX27" s="101"/>
      <c r="AY27" s="101"/>
      <c r="AZ27" s="101"/>
      <c r="BA27" s="101"/>
      <c r="BB27" s="101"/>
      <c r="BC27" s="101"/>
      <c r="BD27" s="101"/>
      <c r="BE27" s="101"/>
      <c r="BF27" s="101"/>
      <c r="BG27" s="101"/>
      <c r="BH27" s="101"/>
      <c r="BI27" s="101"/>
      <c r="BJ27" s="101"/>
      <c r="BK27" s="101"/>
      <c r="BL27" s="101"/>
      <c r="BM27" s="101"/>
      <c r="BN27" s="101"/>
      <c r="BO27" s="101"/>
      <c r="BP27" s="101"/>
      <c r="BQ27" s="101"/>
      <c r="BR27" s="101"/>
      <c r="BS27" s="101"/>
      <c r="BT27" s="101"/>
      <c r="BU27" s="101"/>
      <c r="BV27" s="101"/>
      <c r="BW27" s="101"/>
      <c r="BX27" s="101"/>
      <c r="BY27" s="101"/>
      <c r="BZ27" s="101"/>
      <c r="CA27" s="101"/>
      <c r="CB27" s="101"/>
      <c r="CC27" s="101"/>
      <c r="CD27" s="101"/>
      <c r="CE27" s="101"/>
      <c r="CF27" s="101"/>
      <c r="CG27" s="101"/>
      <c r="CH27" s="101"/>
      <c r="CI27" s="101"/>
      <c r="CJ27" s="101"/>
      <c r="CK27" s="101"/>
      <c r="CL27" s="101"/>
      <c r="CM27" s="101"/>
      <c r="CN27" s="101"/>
      <c r="CO27" s="101"/>
      <c r="CP27" s="101"/>
      <c r="CQ27" s="101"/>
      <c r="CR27" s="101"/>
      <c r="CS27" s="101"/>
      <c r="CT27" s="101"/>
      <c r="CU27" s="101"/>
      <c r="CV27" s="101"/>
      <c r="CW27" s="101"/>
      <c r="CX27" s="101"/>
      <c r="CY27" s="101"/>
      <c r="CZ27" s="101"/>
      <c r="DA27" s="101"/>
    </row>
    <row r="28" spans="1:105">
      <c r="Y28" s="101"/>
      <c r="AS28" s="101"/>
      <c r="BM28" s="101"/>
      <c r="CG28" s="101"/>
      <c r="DA28" s="101"/>
    </row>
    <row r="29" spans="1:105">
      <c r="Y29" s="101"/>
      <c r="AC29" s="364" t="s">
        <v>89</v>
      </c>
      <c r="AD29" s="359">
        <f ca="1">VLOOKUP(MONTH($A$2),'VN_YouTube Performance'!$M$6:$W$17,4,0)</f>
        <v>0</v>
      </c>
      <c r="AL29" s="364" t="s">
        <v>89</v>
      </c>
      <c r="AM29" s="365">
        <f ca="1">VLOOKUP(MONTH($A$2),'VN_YouTube Performance'!$M$6:$W$17,5,0)</f>
        <v>0</v>
      </c>
      <c r="AS29" s="101"/>
      <c r="AW29" s="364" t="s">
        <v>89</v>
      </c>
      <c r="AX29" s="359">
        <f ca="1">VLOOKUP(MONTH($A$2),'VN_YouTube Performance'!$M$6:$W$17,6,0)</f>
        <v>0</v>
      </c>
      <c r="BF29" s="364" t="s">
        <v>89</v>
      </c>
      <c r="BG29" s="365">
        <f ca="1">VLOOKUP(MONTH($A$2),'VN_YouTube Performance'!$M$6:$W$17,7,0)</f>
        <v>0</v>
      </c>
      <c r="BM29" s="101"/>
      <c r="BQ29" s="364" t="s">
        <v>89</v>
      </c>
      <c r="BR29" s="359">
        <f ca="1">VLOOKUP(MONTH($A$2),'VN_YouTube Performance'!$M$6:$W$17,8,0)</f>
        <v>0</v>
      </c>
      <c r="BZ29" s="364" t="s">
        <v>89</v>
      </c>
      <c r="CA29" s="365">
        <f ca="1">VLOOKUP(MONTH($A$2),'VN_YouTube Performance'!$M$6:$W$17,9,0)</f>
        <v>0</v>
      </c>
      <c r="CG29" s="101"/>
      <c r="CK29" s="364" t="s">
        <v>89</v>
      </c>
      <c r="CL29" s="359">
        <f ca="1">VLOOKUP(MONTH($A$2),'VN_YouTube Performance'!$M$6:$W$17,10,0)</f>
        <v>0</v>
      </c>
      <c r="CT29" s="364" t="s">
        <v>89</v>
      </c>
      <c r="CU29" s="365">
        <f ca="1">VLOOKUP(MONTH($A$2),'VN_YouTube Performance'!$M$6:$W$17,11,0)</f>
        <v>0</v>
      </c>
      <c r="DA29" s="101"/>
    </row>
    <row r="30" spans="1:105">
      <c r="Y30" s="101"/>
      <c r="AC30" s="364" t="s">
        <v>88</v>
      </c>
      <c r="AD30" s="359">
        <f>'VN_YouTube Performance'!P5</f>
        <v>0</v>
      </c>
      <c r="AL30" s="364" t="s">
        <v>88</v>
      </c>
      <c r="AM30" s="365">
        <f>'VN_YouTube Performance'!Q5</f>
        <v>0</v>
      </c>
      <c r="AS30" s="101"/>
      <c r="AW30" s="364" t="s">
        <v>88</v>
      </c>
      <c r="AX30" s="359">
        <f>'VN_YouTube Performance'!R5</f>
        <v>4823416169</v>
      </c>
      <c r="BF30" s="364" t="s">
        <v>88</v>
      </c>
      <c r="BG30" s="365">
        <f>'VN_YouTube Performance'!S5</f>
        <v>971326.03300000727</v>
      </c>
      <c r="BM30" s="101"/>
      <c r="BQ30" s="364" t="s">
        <v>88</v>
      </c>
      <c r="BR30" s="359">
        <f>'VN_YouTube Performance'!T5</f>
        <v>0</v>
      </c>
      <c r="BZ30" s="364" t="s">
        <v>88</v>
      </c>
      <c r="CA30" s="365">
        <f>'VN_YouTube Performance'!U5</f>
        <v>0</v>
      </c>
      <c r="CG30" s="101"/>
      <c r="CK30" s="364" t="s">
        <v>88</v>
      </c>
      <c r="CL30" s="359">
        <f>'VN_YouTube Performance'!V5</f>
        <v>1085863627</v>
      </c>
      <c r="CT30" s="364" t="s">
        <v>88</v>
      </c>
      <c r="CU30" s="365">
        <f>'VN_YouTube Performance'!W5</f>
        <v>124660.9179999996</v>
      </c>
      <c r="DA30" s="101"/>
    </row>
    <row r="31" spans="1:105">
      <c r="A31" s="355" t="s">
        <v>5</v>
      </c>
      <c r="R31" s="116"/>
      <c r="S31" s="128" t="s">
        <v>0</v>
      </c>
      <c r="T31" s="1" t="s">
        <v>1</v>
      </c>
      <c r="U31" s="2" t="s">
        <v>2</v>
      </c>
      <c r="V31" s="3" t="s">
        <v>26</v>
      </c>
      <c r="W31" s="4" t="s">
        <v>27</v>
      </c>
      <c r="Y31" s="101"/>
      <c r="AS31" s="101"/>
      <c r="BM31" s="101"/>
      <c r="CG31" s="101"/>
      <c r="DA31" s="101"/>
    </row>
    <row r="32" spans="1:105">
      <c r="R32" s="127" t="s">
        <v>8</v>
      </c>
      <c r="S32" s="464">
        <f>'VN_YouTube Performance'!N25</f>
        <v>0.6315019819396207</v>
      </c>
      <c r="T32" s="464">
        <f>'VN_YouTube Performance'!P25</f>
        <v>0</v>
      </c>
      <c r="U32" s="464">
        <f>'VN_YouTube Performance'!R25</f>
        <v>0.58456793443417676</v>
      </c>
      <c r="V32" s="464">
        <f>'VN_YouTube Performance'!T25</f>
        <v>0</v>
      </c>
      <c r="W32" s="464">
        <f>'VN_YouTube Performance'!V25</f>
        <v>0.98157164022598875</v>
      </c>
      <c r="Y32" s="101"/>
      <c r="AS32" s="101"/>
      <c r="BM32" s="101"/>
      <c r="CG32" s="101"/>
      <c r="DA32" s="101"/>
    </row>
    <row r="33" spans="18:105">
      <c r="R33" s="127" t="s">
        <v>9</v>
      </c>
      <c r="S33" s="464">
        <f>'VN_YouTube Performance'!O25</f>
        <v>0.66109469476485572</v>
      </c>
      <c r="T33" s="464">
        <f>'VN_YouTube Performance'!Q25</f>
        <v>0</v>
      </c>
      <c r="U33" s="464">
        <f>'VN_YouTube Performance'!S25</f>
        <v>0.61849219401618227</v>
      </c>
      <c r="V33" s="464">
        <f>'VN_YouTube Performance'!U25</f>
        <v>0</v>
      </c>
      <c r="W33" s="464">
        <f>'VN_YouTube Performance'!W25</f>
        <v>1.4269408974792994</v>
      </c>
      <c r="Y33" s="101"/>
      <c r="AS33" s="101"/>
      <c r="BM33" s="101"/>
      <c r="CG33" s="101"/>
      <c r="DA33" s="101"/>
    </row>
    <row r="34" spans="18:105">
      <c r="Y34" s="101"/>
      <c r="AS34" s="101"/>
      <c r="BM34" s="101"/>
      <c r="CG34" s="101"/>
      <c r="DA34" s="101"/>
    </row>
    <row r="35" spans="18:105">
      <c r="Y35" s="101"/>
      <c r="AS35" s="101"/>
      <c r="BM35" s="101"/>
      <c r="CG35" s="101"/>
      <c r="DA35" s="101"/>
    </row>
    <row r="36" spans="18:105">
      <c r="Y36" s="101"/>
      <c r="AS36" s="101"/>
      <c r="BM36" s="101"/>
      <c r="CG36" s="101"/>
      <c r="DA36" s="101"/>
    </row>
    <row r="37" spans="18:105">
      <c r="Y37" s="101"/>
      <c r="AS37" s="101"/>
      <c r="BM37" s="101"/>
      <c r="CG37" s="101"/>
      <c r="DA37" s="101"/>
    </row>
    <row r="38" spans="18:105">
      <c r="Y38" s="101"/>
      <c r="AS38" s="101"/>
      <c r="BM38" s="101"/>
      <c r="CG38" s="101"/>
      <c r="DA38" s="101"/>
    </row>
    <row r="39" spans="18:105">
      <c r="Y39" s="101"/>
      <c r="AS39" s="101"/>
      <c r="BM39" s="101"/>
      <c r="CG39" s="101"/>
      <c r="DA39" s="101"/>
    </row>
    <row r="40" spans="18:105">
      <c r="Y40" s="101"/>
      <c r="AS40" s="101"/>
      <c r="BM40" s="101"/>
      <c r="CG40" s="101"/>
      <c r="DA40" s="101"/>
    </row>
    <row r="41" spans="18:105">
      <c r="Y41" s="101"/>
      <c r="AS41" s="101"/>
      <c r="BM41" s="101"/>
      <c r="CG41" s="101"/>
      <c r="DA41" s="101"/>
    </row>
    <row r="42" spans="18:105">
      <c r="Y42" s="101"/>
      <c r="AS42" s="101"/>
      <c r="BM42" s="101"/>
      <c r="CG42" s="101"/>
      <c r="DA42" s="101"/>
    </row>
    <row r="43" spans="18:105">
      <c r="Y43" s="101"/>
      <c r="AS43" s="101"/>
      <c r="BM43" s="101"/>
      <c r="CG43" s="101"/>
      <c r="DA43" s="101"/>
    </row>
    <row r="44" spans="18:105">
      <c r="Y44" s="101"/>
      <c r="AS44" s="101"/>
      <c r="BM44" s="101"/>
      <c r="CG44" s="101"/>
      <c r="DA44" s="101"/>
    </row>
    <row r="45" spans="18:105">
      <c r="Y45" s="101"/>
      <c r="AS45" s="101"/>
      <c r="BM45" s="101"/>
      <c r="CG45" s="101"/>
      <c r="DA45" s="101"/>
    </row>
    <row r="46" spans="18:105">
      <c r="Y46" s="101"/>
      <c r="AS46" s="101"/>
      <c r="BM46" s="101"/>
      <c r="CG46" s="101"/>
      <c r="DA46" s="101"/>
    </row>
    <row r="47" spans="18:105">
      <c r="Y47" s="101"/>
      <c r="AS47" s="101"/>
      <c r="BM47" s="101"/>
      <c r="CG47" s="101"/>
      <c r="DA47" s="101"/>
    </row>
    <row r="48" spans="18:105">
      <c r="Y48" s="101"/>
      <c r="AS48" s="101"/>
      <c r="BM48" s="101"/>
      <c r="CG48" s="101"/>
      <c r="DA48" s="101"/>
    </row>
    <row r="49" spans="1:105">
      <c r="Y49" s="101"/>
      <c r="AS49" s="101"/>
      <c r="BM49" s="101"/>
      <c r="CG49" s="101"/>
      <c r="DA49" s="101"/>
    </row>
    <row r="50" spans="1:105">
      <c r="Y50" s="101"/>
      <c r="AS50" s="101"/>
      <c r="BM50" s="101"/>
      <c r="CG50" s="101"/>
      <c r="DA50" s="101"/>
    </row>
    <row r="51" spans="1:105">
      <c r="Y51" s="101"/>
      <c r="AS51" s="101"/>
      <c r="BM51" s="101"/>
      <c r="CG51" s="101"/>
      <c r="DA51" s="101"/>
    </row>
    <row r="52" spans="1:105" ht="4.8" customHeight="1">
      <c r="A52" s="101"/>
      <c r="B52" s="101"/>
      <c r="C52" s="101"/>
      <c r="D52" s="101"/>
      <c r="E52" s="101"/>
      <c r="F52" s="101"/>
      <c r="G52" s="101"/>
      <c r="H52" s="101"/>
      <c r="I52" s="101"/>
      <c r="J52" s="101"/>
      <c r="K52" s="101"/>
      <c r="L52" s="101"/>
      <c r="M52" s="101"/>
      <c r="N52" s="101"/>
      <c r="O52" s="101"/>
      <c r="P52" s="101"/>
      <c r="Q52" s="101"/>
      <c r="R52" s="101"/>
      <c r="S52" s="101"/>
      <c r="T52" s="101"/>
      <c r="U52" s="101"/>
      <c r="V52" s="101"/>
      <c r="W52" s="101"/>
      <c r="X52" s="101"/>
      <c r="Y52" s="101"/>
      <c r="Z52" s="101"/>
      <c r="AA52" s="101"/>
      <c r="AB52" s="101"/>
      <c r="AC52" s="101"/>
      <c r="AD52" s="101"/>
      <c r="AE52" s="101"/>
      <c r="AF52" s="101"/>
      <c r="AG52" s="101"/>
      <c r="AH52" s="101"/>
      <c r="AI52" s="101"/>
      <c r="AJ52" s="101"/>
      <c r="AK52" s="101"/>
      <c r="AL52" s="101"/>
      <c r="AM52" s="101"/>
      <c r="AN52" s="101"/>
      <c r="AO52" s="101"/>
      <c r="AP52" s="101"/>
      <c r="AQ52" s="101"/>
      <c r="AR52" s="101"/>
      <c r="AS52" s="101"/>
      <c r="AT52" s="101"/>
      <c r="AU52" s="101"/>
      <c r="AV52" s="101"/>
      <c r="AW52" s="101"/>
      <c r="AX52" s="101"/>
      <c r="AY52" s="101"/>
      <c r="AZ52" s="101"/>
      <c r="BA52" s="101"/>
      <c r="BB52" s="101"/>
      <c r="BC52" s="101"/>
      <c r="BD52" s="101"/>
      <c r="BE52" s="101"/>
      <c r="BF52" s="101"/>
      <c r="BG52" s="101"/>
      <c r="BH52" s="101"/>
      <c r="BI52" s="101"/>
      <c r="BJ52" s="101"/>
      <c r="BK52" s="101"/>
      <c r="BL52" s="101"/>
      <c r="BM52" s="101"/>
      <c r="BN52" s="101"/>
      <c r="BO52" s="101"/>
      <c r="BP52" s="101"/>
      <c r="BQ52" s="101"/>
      <c r="BR52" s="101"/>
      <c r="BS52" s="101"/>
      <c r="BT52" s="101"/>
      <c r="BU52" s="101"/>
      <c r="BV52" s="101"/>
      <c r="BW52" s="101"/>
      <c r="BX52" s="101"/>
      <c r="BY52" s="101"/>
      <c r="BZ52" s="101"/>
      <c r="CA52" s="101"/>
      <c r="CB52" s="101"/>
      <c r="CC52" s="101"/>
      <c r="CD52" s="101"/>
      <c r="CE52" s="101"/>
      <c r="CF52" s="101"/>
      <c r="CG52" s="101"/>
      <c r="CH52" s="101"/>
      <c r="CI52" s="101"/>
      <c r="CJ52" s="101"/>
      <c r="CK52" s="101"/>
      <c r="CL52" s="101"/>
      <c r="CM52" s="101"/>
      <c r="CN52" s="101"/>
      <c r="CO52" s="101"/>
      <c r="CP52" s="101"/>
      <c r="CQ52" s="101"/>
      <c r="CR52" s="101"/>
      <c r="CS52" s="101"/>
      <c r="CT52" s="101"/>
      <c r="CU52" s="101"/>
      <c r="CV52" s="101"/>
      <c r="CW52" s="101"/>
      <c r="CX52" s="101"/>
      <c r="CY52" s="101"/>
      <c r="CZ52" s="101"/>
      <c r="DA52" s="101"/>
    </row>
    <row r="53" spans="1:105">
      <c r="Y53" s="101"/>
      <c r="AS53" s="101"/>
      <c r="BM53" s="101"/>
      <c r="CG53" s="101"/>
      <c r="DA53" s="101"/>
    </row>
    <row r="54" spans="1:105">
      <c r="Y54" s="101"/>
      <c r="AC54" s="364" t="s">
        <v>89</v>
      </c>
      <c r="AD54" s="359">
        <f ca="1">VLOOKUP(MONTH($A$2),'VN_YouTube Performance'!$X$6:$AH$17,4,0)</f>
        <v>0</v>
      </c>
      <c r="AL54" s="364" t="s">
        <v>89</v>
      </c>
      <c r="AM54" s="365">
        <f ca="1">VLOOKUP(MONTH($A$2),'VN_YouTube Performance'!$X$6:$AH$17,5,0)</f>
        <v>0</v>
      </c>
      <c r="AS54" s="101"/>
      <c r="AW54" s="364" t="s">
        <v>89</v>
      </c>
      <c r="AX54" s="359">
        <f ca="1">VLOOKUP(MONTH($A$2),'VN_YouTube Performance'!$X$6:$AH$17,6,0)</f>
        <v>0</v>
      </c>
      <c r="BF54" s="364" t="s">
        <v>89</v>
      </c>
      <c r="BG54" s="365">
        <f ca="1">VLOOKUP(MONTH($A$2),'VN_YouTube Performance'!$X$6:$AH$17,7,0)</f>
        <v>0</v>
      </c>
      <c r="BM54" s="101"/>
      <c r="BQ54" s="364" t="s">
        <v>89</v>
      </c>
      <c r="BR54" s="359">
        <f ca="1">VLOOKUP(MONTH($A$2),'VN_YouTube Performance'!$X$6:$AH$17,8,0)</f>
        <v>0</v>
      </c>
      <c r="BZ54" s="364" t="s">
        <v>89</v>
      </c>
      <c r="CA54" s="365">
        <f ca="1">VLOOKUP(MONTH($A$2),'VN_YouTube Performance'!$X$6:$AH$17,9,0)</f>
        <v>0</v>
      </c>
      <c r="CG54" s="101"/>
      <c r="CK54" s="364" t="s">
        <v>89</v>
      </c>
      <c r="CL54" s="359">
        <f ca="1">VLOOKUP(MONTH($A$2),'VN_YouTube Performance'!$X$6:$AH$17,10,0)</f>
        <v>0</v>
      </c>
      <c r="CT54" s="364" t="s">
        <v>89</v>
      </c>
      <c r="CU54" s="365">
        <f ca="1">VLOOKUP(MONTH($A$2),'VN_YouTube Performance'!$X$6:$AH$17,11,0)</f>
        <v>0</v>
      </c>
      <c r="DA54" s="101"/>
    </row>
    <row r="55" spans="1:105">
      <c r="Y55" s="101"/>
      <c r="AC55" s="364" t="s">
        <v>88</v>
      </c>
      <c r="AD55" s="359">
        <f>'VN_YouTube Performance'!AA5</f>
        <v>0</v>
      </c>
      <c r="AL55" s="364" t="s">
        <v>88</v>
      </c>
      <c r="AM55" s="365">
        <f>'VN_YouTube Performance'!AB5</f>
        <v>0</v>
      </c>
      <c r="AS55" s="101"/>
      <c r="AW55" s="364" t="s">
        <v>88</v>
      </c>
      <c r="AX55" s="359">
        <f>'VN_YouTube Performance'!AC5</f>
        <v>1314257875</v>
      </c>
      <c r="BF55" s="364" t="s">
        <v>88</v>
      </c>
      <c r="BG55" s="365">
        <f>'VN_YouTube Performance'!AD5</f>
        <v>510778.27800001058</v>
      </c>
      <c r="BM55" s="101"/>
      <c r="BQ55" s="364" t="s">
        <v>88</v>
      </c>
      <c r="BR55" s="359">
        <f>'VN_YouTube Performance'!AE5</f>
        <v>0</v>
      </c>
      <c r="BZ55" s="364" t="s">
        <v>88</v>
      </c>
      <c r="CA55" s="365">
        <f>'VN_YouTube Performance'!AF5</f>
        <v>0</v>
      </c>
      <c r="CG55" s="101"/>
      <c r="CK55" s="364" t="s">
        <v>88</v>
      </c>
      <c r="CL55" s="359">
        <f>'VN_YouTube Performance'!AG5</f>
        <v>641811236</v>
      </c>
      <c r="CT55" s="364" t="s">
        <v>88</v>
      </c>
      <c r="CU55" s="365">
        <f>'VN_YouTube Performance'!AH5</f>
        <v>378824.28899999755</v>
      </c>
      <c r="DA55" s="101"/>
    </row>
    <row r="56" spans="1:105">
      <c r="A56" s="355" t="s">
        <v>6</v>
      </c>
      <c r="R56" s="116"/>
      <c r="S56" s="128" t="s">
        <v>0</v>
      </c>
      <c r="T56" s="1" t="s">
        <v>1</v>
      </c>
      <c r="U56" s="2" t="s">
        <v>2</v>
      </c>
      <c r="V56" s="3" t="s">
        <v>26</v>
      </c>
      <c r="W56" s="4" t="s">
        <v>27</v>
      </c>
      <c r="Y56" s="101"/>
      <c r="AS56" s="101"/>
      <c r="BM56" s="101"/>
      <c r="CG56" s="101"/>
      <c r="DA56" s="101"/>
    </row>
    <row r="57" spans="1:105">
      <c r="R57" s="127" t="s">
        <v>8</v>
      </c>
      <c r="S57" s="464">
        <f>'VN_YouTube Performance'!Y25</f>
        <v>3.0444655424124503</v>
      </c>
      <c r="T57" s="464">
        <f>'VN_YouTube Performance'!AA25</f>
        <v>0</v>
      </c>
      <c r="U57" s="464">
        <f>'VN_YouTube Performance'!AC25</f>
        <v>2.6351035087719281</v>
      </c>
      <c r="V57" s="464">
        <f>'VN_YouTube Performance'!AE25</f>
        <v>0</v>
      </c>
      <c r="W57" s="464">
        <f>'VN_YouTube Performance'!AG25</f>
        <v>4.4647738156521752</v>
      </c>
      <c r="Y57" s="101"/>
      <c r="AS57" s="101"/>
      <c r="BM57" s="101"/>
      <c r="CG57" s="101"/>
      <c r="DA57" s="101"/>
    </row>
    <row r="58" spans="1:105">
      <c r="R58" s="127" t="s">
        <v>9</v>
      </c>
      <c r="S58" s="464">
        <f>'VN_YouTube Performance'!Z25</f>
        <v>2.397942599690448</v>
      </c>
      <c r="T58" s="464">
        <f>'VN_YouTube Performance'!AB25</f>
        <v>0</v>
      </c>
      <c r="U58" s="464">
        <f>'VN_YouTube Performance'!AD25</f>
        <v>2.0505220146084255</v>
      </c>
      <c r="V58" s="464">
        <f>'VN_YouTube Performance'!AF25</f>
        <v>0</v>
      </c>
      <c r="W58" s="464">
        <f>'VN_YouTube Performance'!AH25</f>
        <v>3.1079433506960989</v>
      </c>
      <c r="Y58" s="101"/>
      <c r="AS58" s="101"/>
      <c r="BM58" s="101"/>
      <c r="CG58" s="101"/>
      <c r="DA58" s="101"/>
    </row>
    <row r="59" spans="1:105">
      <c r="Y59" s="101"/>
      <c r="AS59" s="101"/>
      <c r="BM59" s="101"/>
      <c r="CG59" s="101"/>
      <c r="DA59" s="101"/>
    </row>
    <row r="60" spans="1:105">
      <c r="Y60" s="101"/>
      <c r="AS60" s="101"/>
      <c r="BM60" s="101"/>
      <c r="CG60" s="101"/>
      <c r="DA60" s="101"/>
    </row>
    <row r="61" spans="1:105">
      <c r="Y61" s="101"/>
      <c r="AS61" s="101"/>
      <c r="BM61" s="101"/>
      <c r="CG61" s="101"/>
      <c r="DA61" s="101"/>
    </row>
    <row r="62" spans="1:105">
      <c r="Y62" s="101"/>
      <c r="AS62" s="101"/>
      <c r="BM62" s="101"/>
      <c r="CG62" s="101"/>
      <c r="DA62" s="101"/>
    </row>
    <row r="63" spans="1:105">
      <c r="Y63" s="101"/>
      <c r="AS63" s="101"/>
      <c r="BM63" s="101"/>
      <c r="CG63" s="101"/>
      <c r="DA63" s="101"/>
    </row>
    <row r="64" spans="1:105">
      <c r="Y64" s="101"/>
      <c r="AS64" s="101"/>
      <c r="BM64" s="101"/>
      <c r="CG64" s="101"/>
      <c r="DA64" s="101"/>
    </row>
    <row r="65" spans="1:105">
      <c r="Y65" s="101"/>
      <c r="AS65" s="101"/>
      <c r="BM65" s="101"/>
      <c r="CG65" s="101"/>
      <c r="DA65" s="101"/>
    </row>
    <row r="66" spans="1:105">
      <c r="Y66" s="101"/>
      <c r="AS66" s="101"/>
      <c r="BM66" s="101"/>
      <c r="CG66" s="101"/>
      <c r="DA66" s="101"/>
    </row>
    <row r="67" spans="1:105">
      <c r="Y67" s="101"/>
      <c r="AS67" s="101"/>
      <c r="BM67" s="101"/>
      <c r="CG67" s="101"/>
      <c r="DA67" s="101"/>
    </row>
    <row r="68" spans="1:105">
      <c r="Y68" s="101"/>
      <c r="AS68" s="101"/>
      <c r="BM68" s="101"/>
      <c r="CG68" s="101"/>
      <c r="DA68" s="101"/>
    </row>
    <row r="69" spans="1:105">
      <c r="Y69" s="101"/>
      <c r="AS69" s="101"/>
      <c r="BM69" s="101"/>
      <c r="CG69" s="101"/>
      <c r="DA69" s="101"/>
    </row>
    <row r="70" spans="1:105">
      <c r="Y70" s="101"/>
      <c r="AS70" s="101"/>
      <c r="BM70" s="101"/>
      <c r="CG70" s="101"/>
      <c r="DA70" s="101"/>
    </row>
    <row r="71" spans="1:105">
      <c r="Y71" s="101"/>
      <c r="AS71" s="101"/>
      <c r="BM71" s="101"/>
      <c r="CG71" s="101"/>
      <c r="DA71" s="101"/>
    </row>
    <row r="72" spans="1:105">
      <c r="Y72" s="101"/>
      <c r="AS72" s="101"/>
      <c r="BM72" s="101"/>
      <c r="CG72" s="101"/>
      <c r="DA72" s="101"/>
    </row>
    <row r="73" spans="1:105">
      <c r="Y73" s="101"/>
      <c r="AS73" s="101"/>
      <c r="BM73" s="101"/>
      <c r="CG73" s="101"/>
      <c r="DA73" s="101"/>
    </row>
    <row r="74" spans="1:105">
      <c r="Y74" s="101"/>
      <c r="AS74" s="101"/>
      <c r="BM74" s="101"/>
      <c r="CG74" s="101"/>
      <c r="DA74" s="101"/>
    </row>
    <row r="75" spans="1:105">
      <c r="Y75" s="101"/>
      <c r="AS75" s="101"/>
      <c r="BM75" s="101"/>
      <c r="CG75" s="101"/>
      <c r="DA75" s="101"/>
    </row>
    <row r="76" spans="1:105">
      <c r="Y76" s="101"/>
      <c r="AS76" s="101"/>
      <c r="BM76" s="101"/>
      <c r="CG76" s="101"/>
      <c r="DA76" s="101"/>
    </row>
    <row r="77" spans="1:105" ht="4.8" customHeight="1">
      <c r="A77" s="101"/>
      <c r="B77" s="101"/>
      <c r="C77" s="101"/>
      <c r="D77" s="101"/>
      <c r="E77" s="101"/>
      <c r="F77" s="101"/>
      <c r="G77" s="101"/>
      <c r="H77" s="101"/>
      <c r="I77" s="101"/>
      <c r="J77" s="101"/>
      <c r="K77" s="101"/>
      <c r="L77" s="101"/>
      <c r="M77" s="101"/>
      <c r="N77" s="101"/>
      <c r="O77" s="101"/>
      <c r="P77" s="101"/>
      <c r="Q77" s="101"/>
      <c r="R77" s="101"/>
      <c r="S77" s="101"/>
      <c r="T77" s="101"/>
      <c r="U77" s="101"/>
      <c r="V77" s="101"/>
      <c r="W77" s="101"/>
      <c r="X77" s="101"/>
      <c r="Y77" s="101"/>
      <c r="Z77" s="101"/>
      <c r="AA77" s="101"/>
      <c r="AB77" s="101"/>
      <c r="AC77" s="101"/>
      <c r="AD77" s="101"/>
      <c r="AE77" s="101"/>
      <c r="AF77" s="101"/>
      <c r="AG77" s="101"/>
      <c r="AH77" s="101"/>
      <c r="AI77" s="101"/>
      <c r="AJ77" s="101"/>
      <c r="AK77" s="101"/>
      <c r="AL77" s="101"/>
      <c r="AM77" s="101"/>
      <c r="AN77" s="101"/>
      <c r="AO77" s="101"/>
      <c r="AP77" s="101"/>
      <c r="AQ77" s="101"/>
      <c r="AR77" s="101"/>
      <c r="AS77" s="101"/>
      <c r="AT77" s="101"/>
      <c r="AU77" s="101"/>
      <c r="AV77" s="101"/>
      <c r="AW77" s="101"/>
      <c r="AX77" s="101"/>
      <c r="AY77" s="101"/>
      <c r="AZ77" s="101"/>
      <c r="BA77" s="101"/>
      <c r="BB77" s="101"/>
      <c r="BC77" s="101"/>
      <c r="BD77" s="101"/>
      <c r="BE77" s="101"/>
      <c r="BF77" s="101"/>
      <c r="BG77" s="101"/>
      <c r="BH77" s="101"/>
      <c r="BI77" s="101"/>
      <c r="BJ77" s="101"/>
      <c r="BK77" s="101"/>
      <c r="BL77" s="101"/>
      <c r="BM77" s="101"/>
      <c r="BN77" s="101"/>
      <c r="BO77" s="101"/>
      <c r="BP77" s="101"/>
      <c r="BQ77" s="101"/>
      <c r="BR77" s="101"/>
      <c r="BS77" s="101"/>
      <c r="BT77" s="101"/>
      <c r="BU77" s="101"/>
      <c r="BV77" s="101"/>
      <c r="BW77" s="101"/>
      <c r="BX77" s="101"/>
      <c r="BY77" s="101"/>
      <c r="BZ77" s="101"/>
      <c r="CA77" s="101"/>
      <c r="CB77" s="101"/>
      <c r="CC77" s="101"/>
      <c r="CD77" s="101"/>
      <c r="CE77" s="101"/>
      <c r="CF77" s="101"/>
      <c r="CG77" s="101"/>
      <c r="CH77" s="101"/>
      <c r="CI77" s="101"/>
      <c r="CJ77" s="101"/>
      <c r="CK77" s="101"/>
      <c r="CL77" s="101"/>
      <c r="CM77" s="101"/>
      <c r="CN77" s="101"/>
      <c r="CO77" s="101"/>
      <c r="CP77" s="101"/>
      <c r="CQ77" s="101"/>
      <c r="CR77" s="101"/>
      <c r="CS77" s="101"/>
      <c r="CT77" s="101"/>
      <c r="CU77" s="101"/>
      <c r="CV77" s="101"/>
      <c r="CW77" s="101"/>
      <c r="CX77" s="101"/>
      <c r="CY77" s="101"/>
      <c r="CZ77" s="101"/>
      <c r="DA77" s="101"/>
    </row>
  </sheetData>
  <mergeCells count="1">
    <mergeCell ref="A2:A5"/>
  </mergeCells>
  <pageMargins left="0.7" right="0.7" top="0.75" bottom="0.75" header="0.3" footer="0.3"/>
  <pageSetup paperSize="9" orientation="portrait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>
    <tabColor rgb="FFFF5050"/>
  </sheetPr>
  <dimension ref="A1:AI90"/>
  <sheetViews>
    <sheetView showGridLines="0" workbookViewId="0">
      <pane xSplit="2" ySplit="3" topLeftCell="C4" activePane="bottomRight" state="frozen"/>
      <selection activeCell="U3" sqref="U3:Y3"/>
      <selection pane="topRight" activeCell="U3" sqref="U3:Y3"/>
      <selection pane="bottomLeft" activeCell="U3" sqref="U3:Y3"/>
      <selection pane="bottomRight" activeCell="C4" sqref="C4"/>
    </sheetView>
  </sheetViews>
  <sheetFormatPr defaultColWidth="8.77734375" defaultRowHeight="14.4"/>
  <cols>
    <col min="1" max="1" width="3" bestFit="1" customWidth="1"/>
    <col min="2" max="2" width="14.109375" bestFit="1" customWidth="1"/>
    <col min="3" max="4" width="14.44140625" customWidth="1"/>
    <col min="5" max="6" width="14.44140625" hidden="1" customWidth="1"/>
    <col min="7" max="8" width="14.44140625" customWidth="1"/>
    <col min="9" max="10" width="14.44140625" hidden="1" customWidth="1"/>
    <col min="11" max="12" width="14.44140625" customWidth="1"/>
    <col min="13" max="13" width="0.77734375" customWidth="1"/>
    <col min="14" max="15" width="14.44140625" customWidth="1"/>
    <col min="16" max="17" width="14.44140625" hidden="1" customWidth="1"/>
    <col min="18" max="19" width="14.44140625" customWidth="1"/>
    <col min="20" max="21" width="14.44140625" hidden="1" customWidth="1"/>
    <col min="22" max="23" width="14.44140625" customWidth="1"/>
    <col min="24" max="24" width="0.77734375" customWidth="1"/>
    <col min="25" max="26" width="14.44140625" customWidth="1"/>
    <col min="27" max="28" width="14.44140625" hidden="1" customWidth="1"/>
    <col min="29" max="30" width="14.44140625" customWidth="1"/>
    <col min="31" max="32" width="14.44140625" hidden="1" customWidth="1"/>
    <col min="33" max="34" width="14.44140625" customWidth="1"/>
    <col min="35" max="35" width="0.77734375" customWidth="1"/>
  </cols>
  <sheetData>
    <row r="1" spans="1:35" ht="15" thickBot="1">
      <c r="B1" s="467" t="s">
        <v>128</v>
      </c>
      <c r="C1" s="100" t="s">
        <v>13</v>
      </c>
      <c r="M1" s="101"/>
      <c r="N1" s="100" t="s">
        <v>5</v>
      </c>
      <c r="X1" s="101"/>
      <c r="Y1" s="100" t="s">
        <v>6</v>
      </c>
      <c r="AI1" s="101"/>
    </row>
    <row r="2" spans="1:35">
      <c r="B2" s="126">
        <f ca="1">VN_Graphs!A2</f>
        <v>43357</v>
      </c>
      <c r="C2" s="624" t="s">
        <v>0</v>
      </c>
      <c r="D2" s="625"/>
      <c r="E2" s="626"/>
      <c r="F2" s="627"/>
      <c r="G2" s="628" t="s">
        <v>2</v>
      </c>
      <c r="H2" s="629"/>
      <c r="I2" s="620" t="s">
        <v>3</v>
      </c>
      <c r="J2" s="621"/>
      <c r="K2" s="622" t="s">
        <v>4</v>
      </c>
      <c r="L2" s="623"/>
      <c r="M2" s="101"/>
      <c r="N2" s="624" t="s">
        <v>0</v>
      </c>
      <c r="O2" s="625"/>
      <c r="P2" s="626"/>
      <c r="Q2" s="627"/>
      <c r="R2" s="628" t="s">
        <v>2</v>
      </c>
      <c r="S2" s="629"/>
      <c r="T2" s="620"/>
      <c r="U2" s="621"/>
      <c r="V2" s="622" t="s">
        <v>4</v>
      </c>
      <c r="W2" s="623"/>
      <c r="X2" s="101"/>
      <c r="Y2" s="624" t="s">
        <v>0</v>
      </c>
      <c r="Z2" s="625"/>
      <c r="AA2" s="626"/>
      <c r="AB2" s="627"/>
      <c r="AC2" s="628" t="s">
        <v>2</v>
      </c>
      <c r="AD2" s="629"/>
      <c r="AE2" s="620"/>
      <c r="AF2" s="621"/>
      <c r="AG2" s="622" t="s">
        <v>4</v>
      </c>
      <c r="AH2" s="623"/>
      <c r="AI2" s="101"/>
    </row>
    <row r="3" spans="1:35" ht="15" thickBot="1">
      <c r="C3" s="112" t="s">
        <v>8</v>
      </c>
      <c r="D3" s="112" t="s">
        <v>9</v>
      </c>
      <c r="E3" s="5"/>
      <c r="F3" s="5"/>
      <c r="G3" s="6" t="s">
        <v>8</v>
      </c>
      <c r="H3" s="6" t="s">
        <v>9</v>
      </c>
      <c r="I3" s="7" t="s">
        <v>8</v>
      </c>
      <c r="J3" s="7" t="s">
        <v>9</v>
      </c>
      <c r="K3" s="8" t="s">
        <v>8</v>
      </c>
      <c r="L3" s="9" t="s">
        <v>9</v>
      </c>
      <c r="M3" s="101"/>
      <c r="N3" s="112" t="s">
        <v>8</v>
      </c>
      <c r="O3" s="112" t="s">
        <v>9</v>
      </c>
      <c r="P3" s="5"/>
      <c r="Q3" s="5"/>
      <c r="R3" s="6" t="s">
        <v>8</v>
      </c>
      <c r="S3" s="6" t="s">
        <v>9</v>
      </c>
      <c r="T3" s="7"/>
      <c r="U3" s="7"/>
      <c r="V3" s="8" t="s">
        <v>8</v>
      </c>
      <c r="W3" s="9" t="s">
        <v>9</v>
      </c>
      <c r="X3" s="101"/>
      <c r="Y3" s="112" t="s">
        <v>8</v>
      </c>
      <c r="Z3" s="112" t="s">
        <v>9</v>
      </c>
      <c r="AA3" s="5"/>
      <c r="AB3" s="5"/>
      <c r="AC3" s="6" t="s">
        <v>8</v>
      </c>
      <c r="AD3" s="6" t="s">
        <v>9</v>
      </c>
      <c r="AE3" s="7"/>
      <c r="AF3" s="7"/>
      <c r="AG3" s="8" t="s">
        <v>8</v>
      </c>
      <c r="AH3" s="9" t="s">
        <v>9</v>
      </c>
      <c r="AI3" s="101"/>
    </row>
    <row r="4" spans="1:35" ht="15" thickBot="1">
      <c r="B4" s="20" t="s">
        <v>11</v>
      </c>
      <c r="M4" s="101"/>
      <c r="X4" s="101"/>
      <c r="AI4" s="101"/>
    </row>
    <row r="5" spans="1:35" ht="15" thickBot="1">
      <c r="B5" s="21" t="s">
        <v>7</v>
      </c>
      <c r="C5" s="25">
        <f t="shared" ref="C5" si="0">SUM(C6:C17)</f>
        <v>7865348907</v>
      </c>
      <c r="D5" s="26">
        <f t="shared" ref="D5" si="1">SUM(D6:D17)</f>
        <v>1985589.5180000153</v>
      </c>
      <c r="E5" s="33"/>
      <c r="F5" s="34"/>
      <c r="G5" s="41">
        <f t="shared" ref="G5" si="2">SUM(G6:G17)</f>
        <v>6137674044</v>
      </c>
      <c r="H5" s="42">
        <f t="shared" ref="H5" si="3">SUM(H6:H17)</f>
        <v>1482104.3110000179</v>
      </c>
      <c r="I5" s="49">
        <f t="shared" ref="I5" si="4">SUM(I6:I17)</f>
        <v>0</v>
      </c>
      <c r="J5" s="50">
        <f t="shared" ref="J5" si="5">SUM(J6:J17)</f>
        <v>0</v>
      </c>
      <c r="K5" s="57">
        <f t="shared" ref="K5" si="6">SUM(K6:K17)</f>
        <v>1727674863</v>
      </c>
      <c r="L5" s="18">
        <f t="shared" ref="L5" si="7">SUM(L6:L17)</f>
        <v>503485.20699999726</v>
      </c>
      <c r="M5" s="101"/>
      <c r="N5" s="25">
        <f t="shared" ref="N5" si="8">SUM(N6:N17)</f>
        <v>5909279796</v>
      </c>
      <c r="O5" s="26">
        <f t="shared" ref="O5" si="9">SUM(O6:O17)</f>
        <v>1095986.9510000069</v>
      </c>
      <c r="P5" s="33"/>
      <c r="Q5" s="34"/>
      <c r="R5" s="41">
        <f t="shared" ref="R5" si="10">SUM(R6:R17)</f>
        <v>4823416169</v>
      </c>
      <c r="S5" s="42">
        <f t="shared" ref="S5" si="11">SUM(S6:S17)</f>
        <v>971326.03300000727</v>
      </c>
      <c r="T5" s="49"/>
      <c r="U5" s="50"/>
      <c r="V5" s="57">
        <f t="shared" ref="V5" si="12">SUM(V6:V17)</f>
        <v>1085863627</v>
      </c>
      <c r="W5" s="18">
        <f t="shared" ref="W5" si="13">SUM(W6:W17)</f>
        <v>124660.9179999996</v>
      </c>
      <c r="X5" s="101"/>
      <c r="Y5" s="25">
        <f t="shared" ref="Y5" si="14">SUM(Y6:Y17)</f>
        <v>1956069111</v>
      </c>
      <c r="Z5" s="26">
        <f t="shared" ref="Z5" si="15">SUM(Z6:Z17)</f>
        <v>889602.56700000819</v>
      </c>
      <c r="AA5" s="33"/>
      <c r="AB5" s="34"/>
      <c r="AC5" s="41">
        <f t="shared" ref="AC5" si="16">SUM(AC6:AC17)</f>
        <v>1314257875</v>
      </c>
      <c r="AD5" s="42">
        <f t="shared" ref="AD5" si="17">SUM(AD6:AD17)</f>
        <v>510778.27800001058</v>
      </c>
      <c r="AE5" s="49"/>
      <c r="AF5" s="50"/>
      <c r="AG5" s="57">
        <f t="shared" ref="AG5" si="18">SUM(AG6:AG17)</f>
        <v>641811236</v>
      </c>
      <c r="AH5" s="18">
        <f t="shared" ref="AH5" si="19">SUM(AH6:AH17)</f>
        <v>378824.28899999755</v>
      </c>
      <c r="AI5" s="101"/>
    </row>
    <row r="6" spans="1:35">
      <c r="A6" s="361">
        <v>1</v>
      </c>
      <c r="B6" s="22">
        <v>43101</v>
      </c>
      <c r="C6" s="27">
        <f>SUM(E6,G6,I6,K6)</f>
        <v>838232595</v>
      </c>
      <c r="D6" s="28">
        <f>SUM(F6,H6,J6,L6)</f>
        <v>165609.076</v>
      </c>
      <c r="E6" s="35"/>
      <c r="F6" s="36"/>
      <c r="G6" s="43">
        <f>SUMIF(VN_Data!$B$6:$B$381,MONTH($B6),VN_Data!E$6:E$381)</f>
        <v>712243496</v>
      </c>
      <c r="H6" s="44">
        <f>SUMIF(VN_Data!$B$6:$B$381,MONTH($B6),VN_Data!F$6:F$381)</f>
        <v>148369.26999999999</v>
      </c>
      <c r="I6" s="51">
        <f>SUMIF(VN_Data!$B$6:$B$381,MONTH($B6),VN_Data!G$6:G$381)</f>
        <v>0</v>
      </c>
      <c r="J6" s="52">
        <f>SUMIF(VN_Data!$B$6:$B$381,MONTH($B6),VN_Data!H$6:H$381)</f>
        <v>0</v>
      </c>
      <c r="K6" s="58">
        <f>SUMIF(VN_Data!$B$6:$B$381,MONTH($B6),VN_Data!I$6:I$381)</f>
        <v>125989099</v>
      </c>
      <c r="L6" s="17">
        <f>SUMIF(VN_Data!$B$6:$B$381,MONTH($B6),VN_Data!J$6:J$381)</f>
        <v>17239.806</v>
      </c>
      <c r="M6" s="101">
        <v>1</v>
      </c>
      <c r="N6" s="27">
        <f>SUM(P6,R6,T6,V6)</f>
        <v>700822519</v>
      </c>
      <c r="O6" s="28">
        <f>SUM(Q6,S6,U6,W6)</f>
        <v>124507.92399999998</v>
      </c>
      <c r="P6" s="35"/>
      <c r="Q6" s="36"/>
      <c r="R6" s="43">
        <f>SUMIF(VN_Data!$B$6:$B$381,MONTH($B6),VN_Data!N$6:N$381)</f>
        <v>600131253</v>
      </c>
      <c r="S6" s="44">
        <f>SUMIF(VN_Data!$B$6:$B$381,MONTH($B6),VN_Data!O$6:O$381)</f>
        <v>115656.79299999999</v>
      </c>
      <c r="T6" s="51"/>
      <c r="U6" s="52"/>
      <c r="V6" s="58">
        <f>SUMIF(VN_Data!$B$6:$B$381,MONTH($B6),VN_Data!R$6:R$381)</f>
        <v>100691266</v>
      </c>
      <c r="W6" s="17">
        <f>SUMIF(VN_Data!$B$6:$B$381,MONTH($B6),VN_Data!S$6:S$381)</f>
        <v>8851.1309999999994</v>
      </c>
      <c r="X6" s="101">
        <v>1</v>
      </c>
      <c r="Y6" s="27">
        <f>SUM(AA6,AC6,AE6,AG6)</f>
        <v>137410076</v>
      </c>
      <c r="Z6" s="28">
        <f>SUM(AB6,AD6,AF6,AH6)</f>
        <v>41101.152000000002</v>
      </c>
      <c r="AA6" s="35"/>
      <c r="AB6" s="36"/>
      <c r="AC6" s="43">
        <f>SUMIF(VN_Data!$B$6:$B$381,MONTH($B6),VN_Data!W$6:W$381)</f>
        <v>112112243</v>
      </c>
      <c r="AD6" s="44">
        <f>SUMIF(VN_Data!$B$6:$B$381,MONTH($B6),VN_Data!X$6:X$381)</f>
        <v>32712.477000000003</v>
      </c>
      <c r="AE6" s="51"/>
      <c r="AF6" s="52"/>
      <c r="AG6" s="58">
        <f>SUMIF(VN_Data!$B$6:$B$381,MONTH($B6),VN_Data!AA$6:AA$381)</f>
        <v>25297833</v>
      </c>
      <c r="AH6" s="17">
        <f>SUMIF(VN_Data!$B$6:$B$381,MONTH($B6),VN_Data!AB$6:AB$381)</f>
        <v>8388.6749999999993</v>
      </c>
      <c r="AI6" s="101"/>
    </row>
    <row r="7" spans="1:35">
      <c r="A7" s="361">
        <v>2</v>
      </c>
      <c r="B7" s="23">
        <v>43132</v>
      </c>
      <c r="C7" s="29">
        <f t="shared" ref="C7:C17" si="20">SUM(E7,G7,I7,K7)</f>
        <v>741057301</v>
      </c>
      <c r="D7" s="30">
        <f t="shared" ref="D7:D17" si="21">SUM(F7,H7,J7,L7)</f>
        <v>134437.31</v>
      </c>
      <c r="E7" s="35"/>
      <c r="F7" s="38"/>
      <c r="G7" s="45">
        <f>SUMIF(VN_Data!$B$6:$B$381,MONTH($B7),VN_Data!E$6:E$381)</f>
        <v>640353919</v>
      </c>
      <c r="H7" s="46">
        <f>SUMIF(VN_Data!$B$6:$B$381,MONTH($B7),VN_Data!F$6:F$381)</f>
        <v>118213.66</v>
      </c>
      <c r="I7" s="53">
        <f>SUMIF(VN_Data!$B$6:$B$381,MONTH($B7),VN_Data!G$6:G$381)</f>
        <v>0</v>
      </c>
      <c r="J7" s="54">
        <f>SUMIF(VN_Data!$B$6:$B$381,MONTH($B7),VN_Data!H$6:H$381)</f>
        <v>0</v>
      </c>
      <c r="K7" s="59">
        <f>SUMIF(VN_Data!$B$6:$B$381,MONTH($B7),VN_Data!I$6:I$381)</f>
        <v>100703382</v>
      </c>
      <c r="L7" s="15">
        <f>SUMIF(VN_Data!$B$6:$B$381,MONTH($B7),VN_Data!J$6:J$381)</f>
        <v>16223.649999999996</v>
      </c>
      <c r="M7" s="101">
        <v>2</v>
      </c>
      <c r="N7" s="29">
        <f t="shared" ref="N7:N17" si="22">SUM(P7,R7,T7,V7)</f>
        <v>647560137</v>
      </c>
      <c r="O7" s="30">
        <f t="shared" ref="O7:O17" si="23">SUM(Q7,S7,U7,W7)</f>
        <v>102336.12</v>
      </c>
      <c r="P7" s="35"/>
      <c r="Q7" s="38"/>
      <c r="R7" s="45">
        <f>SUMIF(VN_Data!$B$6:$B$381,MONTH($B7),VN_Data!N$6:N$381)</f>
        <v>559835027</v>
      </c>
      <c r="S7" s="46">
        <f>SUMIF(VN_Data!$B$6:$B$381,MONTH($B7),VN_Data!O$6:O$381)</f>
        <v>94450.7</v>
      </c>
      <c r="T7" s="53"/>
      <c r="U7" s="54"/>
      <c r="V7" s="59">
        <f>SUMIF(VN_Data!$B$6:$B$381,MONTH($B7),VN_Data!R$6:R$381)</f>
        <v>87725110</v>
      </c>
      <c r="W7" s="15">
        <f>SUMIF(VN_Data!$B$6:$B$381,MONTH($B7),VN_Data!S$6:S$381)</f>
        <v>7885.42</v>
      </c>
      <c r="X7" s="101">
        <v>2</v>
      </c>
      <c r="Y7" s="29">
        <f t="shared" ref="Y7:Y17" si="24">SUM(AA7,AC7,AE7,AG7)</f>
        <v>93497164</v>
      </c>
      <c r="Z7" s="30">
        <f t="shared" ref="Z7:Z17" si="25">SUM(AB7,AD7,AF7,AH7)</f>
        <v>32101.190000000002</v>
      </c>
      <c r="AA7" s="35"/>
      <c r="AB7" s="38"/>
      <c r="AC7" s="45">
        <f>SUMIF(VN_Data!$B$6:$B$381,MONTH($B7),VN_Data!W$6:W$381)</f>
        <v>80518892</v>
      </c>
      <c r="AD7" s="46">
        <f>SUMIF(VN_Data!$B$6:$B$381,MONTH($B7),VN_Data!X$6:X$381)</f>
        <v>23762.960000000003</v>
      </c>
      <c r="AE7" s="53"/>
      <c r="AF7" s="54"/>
      <c r="AG7" s="59">
        <f>SUMIF(VN_Data!$B$6:$B$381,MONTH($B7),VN_Data!AA$6:AA$381)</f>
        <v>12978272</v>
      </c>
      <c r="AH7" s="15">
        <f>SUMIF(VN_Data!$B$6:$B$381,MONTH($B7),VN_Data!AB$6:AB$381)</f>
        <v>8338.2300000000014</v>
      </c>
      <c r="AI7" s="101"/>
    </row>
    <row r="8" spans="1:35">
      <c r="A8" s="361">
        <v>3</v>
      </c>
      <c r="B8" s="23">
        <v>43160</v>
      </c>
      <c r="C8" s="29">
        <f t="shared" si="20"/>
        <v>833208895</v>
      </c>
      <c r="D8" s="30">
        <f t="shared" si="21"/>
        <v>206346.56</v>
      </c>
      <c r="E8" s="37"/>
      <c r="F8" s="38"/>
      <c r="G8" s="45">
        <f>SUMIF(VN_Data!$B$6:$B$381,MONTH($B8),VN_Data!E$6:E$381)</f>
        <v>663392460</v>
      </c>
      <c r="H8" s="46">
        <f>SUMIF(VN_Data!$B$6:$B$381,MONTH($B8),VN_Data!F$6:F$381)</f>
        <v>168146.83</v>
      </c>
      <c r="I8" s="53">
        <f>SUMIF(VN_Data!$B$6:$B$381,MONTH($B8),VN_Data!G$6:G$381)</f>
        <v>0</v>
      </c>
      <c r="J8" s="54">
        <f>SUMIF(VN_Data!$B$6:$B$381,MONTH($B8),VN_Data!H$6:H$381)</f>
        <v>0</v>
      </c>
      <c r="K8" s="59">
        <f>SUMIF(VN_Data!$B$6:$B$381,MONTH($B8),VN_Data!I$6:I$381)</f>
        <v>169816435</v>
      </c>
      <c r="L8" s="15">
        <f>SUMIF(VN_Data!$B$6:$B$381,MONTH($B8),VN_Data!J$6:J$381)</f>
        <v>38199.730000000003</v>
      </c>
      <c r="M8" s="101">
        <v>3</v>
      </c>
      <c r="N8" s="29">
        <f t="shared" si="22"/>
        <v>705489551</v>
      </c>
      <c r="O8" s="30">
        <f t="shared" si="23"/>
        <v>143473.08999999997</v>
      </c>
      <c r="P8" s="37"/>
      <c r="Q8" s="38"/>
      <c r="R8" s="45">
        <f>SUMIF(VN_Data!$B$6:$B$381,MONTH($B8),VN_Data!N$6:N$381)</f>
        <v>551862891</v>
      </c>
      <c r="S8" s="46">
        <f>SUMIF(VN_Data!$B$6:$B$381,MONTH($B8),VN_Data!O$6:O$381)</f>
        <v>125455.74999999999</v>
      </c>
      <c r="T8" s="53"/>
      <c r="U8" s="54"/>
      <c r="V8" s="59">
        <f>SUMIF(VN_Data!$B$6:$B$381,MONTH($B8),VN_Data!R$6:R$381)</f>
        <v>153626660</v>
      </c>
      <c r="W8" s="15">
        <f>SUMIF(VN_Data!$B$6:$B$381,MONTH($B8),VN_Data!S$6:S$381)</f>
        <v>18017.339999999997</v>
      </c>
      <c r="X8" s="101">
        <v>3</v>
      </c>
      <c r="Y8" s="29">
        <f t="shared" si="24"/>
        <v>127719344</v>
      </c>
      <c r="Z8" s="30">
        <f t="shared" si="25"/>
        <v>62873.470000000016</v>
      </c>
      <c r="AA8" s="37"/>
      <c r="AB8" s="38"/>
      <c r="AC8" s="45">
        <f>SUMIF(VN_Data!$B$6:$B$381,MONTH($B8),VN_Data!W$6:W$381)</f>
        <v>111529569</v>
      </c>
      <c r="AD8" s="46">
        <f>SUMIF(VN_Data!$B$6:$B$381,MONTH($B8),VN_Data!X$6:X$381)</f>
        <v>42691.080000000009</v>
      </c>
      <c r="AE8" s="53"/>
      <c r="AF8" s="54"/>
      <c r="AG8" s="59">
        <f>SUMIF(VN_Data!$B$6:$B$381,MONTH($B8),VN_Data!AA$6:AA$381)</f>
        <v>16189775</v>
      </c>
      <c r="AH8" s="15">
        <f>SUMIF(VN_Data!$B$6:$B$381,MONTH($B8),VN_Data!AB$6:AB$381)</f>
        <v>20182.390000000003</v>
      </c>
      <c r="AI8" s="101"/>
    </row>
    <row r="9" spans="1:35">
      <c r="A9" s="361">
        <v>4</v>
      </c>
      <c r="B9" s="23">
        <v>43191</v>
      </c>
      <c r="C9" s="29">
        <f t="shared" si="20"/>
        <v>1052535055</v>
      </c>
      <c r="D9" s="30">
        <f t="shared" si="21"/>
        <v>291906.32</v>
      </c>
      <c r="E9" s="37"/>
      <c r="F9" s="38"/>
      <c r="G9" s="45">
        <f>SUMIF(VN_Data!$B$6:$B$381,MONTH($B9),VN_Data!E$6:E$381)</f>
        <v>693831478</v>
      </c>
      <c r="H9" s="46">
        <f>SUMIF(VN_Data!$B$6:$B$381,MONTH($B9),VN_Data!F$6:F$381)</f>
        <v>170290.55</v>
      </c>
      <c r="I9" s="53">
        <f>SUMIF(VN_Data!$B$6:$B$381,MONTH($B9),VN_Data!G$6:G$381)</f>
        <v>0</v>
      </c>
      <c r="J9" s="54">
        <f>SUMIF(VN_Data!$B$6:$B$381,MONTH($B9),VN_Data!H$6:H$381)</f>
        <v>0</v>
      </c>
      <c r="K9" s="59">
        <f>SUMIF(VN_Data!$B$6:$B$381,MONTH($B9),VN_Data!I$6:I$381)</f>
        <v>358703577</v>
      </c>
      <c r="L9" s="15">
        <f>SUMIF(VN_Data!$B$6:$B$381,MONTH($B9),VN_Data!J$6:J$381)</f>
        <v>121615.77</v>
      </c>
      <c r="M9" s="101">
        <v>4</v>
      </c>
      <c r="N9" s="29">
        <f t="shared" si="22"/>
        <v>732677421</v>
      </c>
      <c r="O9" s="30">
        <f t="shared" si="23"/>
        <v>140414.13</v>
      </c>
      <c r="P9" s="37"/>
      <c r="Q9" s="38"/>
      <c r="R9" s="45">
        <f>SUMIF(VN_Data!$B$6:$B$381,MONTH($B9),VN_Data!N$6:N$381)</f>
        <v>547962867</v>
      </c>
      <c r="S9" s="46">
        <f>SUMIF(VN_Data!$B$6:$B$381,MONTH($B9),VN_Data!O$6:O$381)</f>
        <v>116613.42000000001</v>
      </c>
      <c r="T9" s="53"/>
      <c r="U9" s="54"/>
      <c r="V9" s="59">
        <f>SUMIF(VN_Data!$B$6:$B$381,MONTH($B9),VN_Data!R$6:R$381)</f>
        <v>184714554</v>
      </c>
      <c r="W9" s="15">
        <f>SUMIF(VN_Data!$B$6:$B$381,MONTH($B9),VN_Data!S$6:S$381)</f>
        <v>23800.710000000006</v>
      </c>
      <c r="X9" s="101">
        <v>4</v>
      </c>
      <c r="Y9" s="29">
        <f t="shared" si="24"/>
        <v>319857634</v>
      </c>
      <c r="Z9" s="30">
        <f t="shared" si="25"/>
        <v>151492.19</v>
      </c>
      <c r="AA9" s="37"/>
      <c r="AB9" s="38"/>
      <c r="AC9" s="45">
        <f>SUMIF(VN_Data!$B$6:$B$381,MONTH($B9),VN_Data!W$6:W$381)</f>
        <v>145868611</v>
      </c>
      <c r="AD9" s="46">
        <f>SUMIF(VN_Data!$B$6:$B$381,MONTH($B9),VN_Data!X$6:X$381)</f>
        <v>53677.130000000005</v>
      </c>
      <c r="AE9" s="53"/>
      <c r="AF9" s="54"/>
      <c r="AG9" s="59">
        <f>SUMIF(VN_Data!$B$6:$B$381,MONTH($B9),VN_Data!AA$6:AA$381)</f>
        <v>173989023</v>
      </c>
      <c r="AH9" s="15">
        <f>SUMIF(VN_Data!$B$6:$B$381,MONTH($B9),VN_Data!AB$6:AB$381)</f>
        <v>97815.059999999983</v>
      </c>
      <c r="AI9" s="101"/>
    </row>
    <row r="10" spans="1:35">
      <c r="A10" s="361">
        <v>5</v>
      </c>
      <c r="B10" s="23">
        <v>43221</v>
      </c>
      <c r="C10" s="29">
        <f t="shared" si="20"/>
        <v>1197595391</v>
      </c>
      <c r="D10" s="30">
        <f t="shared" si="21"/>
        <v>382814.50000000012</v>
      </c>
      <c r="E10" s="37"/>
      <c r="F10" s="38"/>
      <c r="G10" s="45">
        <f>SUMIF(VN_Data!$B$6:$B$381,MONTH($B10),VN_Data!E$6:E$381)</f>
        <v>796396532</v>
      </c>
      <c r="H10" s="46">
        <f>SUMIF(VN_Data!$B$6:$B$381,MONTH($B10),VN_Data!F$6:F$381)</f>
        <v>206786.54000000004</v>
      </c>
      <c r="I10" s="53">
        <f>SUMIF(VN_Data!$B$6:$B$381,MONTH($B10),VN_Data!G$6:G$381)</f>
        <v>0</v>
      </c>
      <c r="J10" s="54">
        <f>SUMIF(VN_Data!$B$6:$B$381,MONTH($B10),VN_Data!H$6:H$381)</f>
        <v>0</v>
      </c>
      <c r="K10" s="59">
        <f>SUMIF(VN_Data!$B$6:$B$381,MONTH($B10),VN_Data!I$6:I$381)</f>
        <v>401198859</v>
      </c>
      <c r="L10" s="15">
        <f>SUMIF(VN_Data!$B$6:$B$381,MONTH($B10),VN_Data!J$6:J$381)</f>
        <v>176027.96000000005</v>
      </c>
      <c r="M10" s="101">
        <v>5</v>
      </c>
      <c r="N10" s="29">
        <f t="shared" si="22"/>
        <v>736676880</v>
      </c>
      <c r="O10" s="30">
        <f t="shared" si="23"/>
        <v>145043.59</v>
      </c>
      <c r="P10" s="37"/>
      <c r="Q10" s="38"/>
      <c r="R10" s="45">
        <f>SUMIF(VN_Data!$B$6:$B$381,MONTH($B10),VN_Data!N$6:N$381)</f>
        <v>579917316</v>
      </c>
      <c r="S10" s="46">
        <f>SUMIF(VN_Data!$B$6:$B$381,MONTH($B10),VN_Data!O$6:O$381)</f>
        <v>122478.54000000001</v>
      </c>
      <c r="T10" s="53"/>
      <c r="U10" s="54"/>
      <c r="V10" s="59">
        <f>SUMIF(VN_Data!$B$6:$B$381,MONTH($B10),VN_Data!R$6:R$381)</f>
        <v>156759564</v>
      </c>
      <c r="W10" s="15">
        <f>SUMIF(VN_Data!$B$6:$B$381,MONTH($B10),VN_Data!S$6:S$381)</f>
        <v>22565.05</v>
      </c>
      <c r="X10" s="101">
        <v>5</v>
      </c>
      <c r="Y10" s="29">
        <f t="shared" si="24"/>
        <v>460918511</v>
      </c>
      <c r="Z10" s="30">
        <f t="shared" si="25"/>
        <v>237770.91000000003</v>
      </c>
      <c r="AA10" s="37"/>
      <c r="AB10" s="38"/>
      <c r="AC10" s="45">
        <f>SUMIF(VN_Data!$B$6:$B$381,MONTH($B10),VN_Data!W$6:W$381)</f>
        <v>216479216</v>
      </c>
      <c r="AD10" s="46">
        <f>SUMIF(VN_Data!$B$6:$B$381,MONTH($B10),VN_Data!X$6:X$381)</f>
        <v>84308.000000000015</v>
      </c>
      <c r="AE10" s="53"/>
      <c r="AF10" s="54"/>
      <c r="AG10" s="59">
        <f>SUMIF(VN_Data!$B$6:$B$381,MONTH($B10),VN_Data!AA$6:AA$381)</f>
        <v>244439295</v>
      </c>
      <c r="AH10" s="15">
        <f>SUMIF(VN_Data!$B$6:$B$381,MONTH($B10),VN_Data!AB$6:AB$381)</f>
        <v>153462.91000000003</v>
      </c>
      <c r="AI10" s="101"/>
    </row>
    <row r="11" spans="1:35">
      <c r="A11" s="361">
        <v>6</v>
      </c>
      <c r="B11" s="23">
        <v>43252</v>
      </c>
      <c r="C11" s="29">
        <f t="shared" si="20"/>
        <v>1077536934</v>
      </c>
      <c r="D11" s="30">
        <f t="shared" si="21"/>
        <v>283799.20999999996</v>
      </c>
      <c r="E11" s="37"/>
      <c r="F11" s="38"/>
      <c r="G11" s="45">
        <f>SUMIF(VN_Data!$B$6:$B$381,MONTH($B11),VN_Data!E$6:E$381)</f>
        <v>913021074</v>
      </c>
      <c r="H11" s="46">
        <f>SUMIF(VN_Data!$B$6:$B$381,MONTH($B11),VN_Data!F$6:F$381)</f>
        <v>232102.97999999998</v>
      </c>
      <c r="I11" s="53">
        <f>SUMIF(VN_Data!$B$6:$B$381,MONTH($B11),VN_Data!G$6:G$381)</f>
        <v>0</v>
      </c>
      <c r="J11" s="54">
        <f>SUMIF(VN_Data!$B$6:$B$381,MONTH($B11),VN_Data!H$6:H$381)</f>
        <v>0</v>
      </c>
      <c r="K11" s="59">
        <f>SUMIF(VN_Data!$B$6:$B$381,MONTH($B11),VN_Data!I$6:I$381)</f>
        <v>164515860</v>
      </c>
      <c r="L11" s="15">
        <f>SUMIF(VN_Data!$B$6:$B$381,MONTH($B11),VN_Data!J$6:J$381)</f>
        <v>51696.229999999996</v>
      </c>
      <c r="M11" s="101">
        <v>6</v>
      </c>
      <c r="N11" s="29">
        <f t="shared" si="22"/>
        <v>807434888</v>
      </c>
      <c r="O11" s="30">
        <f t="shared" si="23"/>
        <v>138614.30000000005</v>
      </c>
      <c r="P11" s="37"/>
      <c r="Q11" s="38"/>
      <c r="R11" s="45">
        <f>SUMIF(VN_Data!$B$6:$B$381,MONTH($B11),VN_Data!N$6:N$381)</f>
        <v>684471205</v>
      </c>
      <c r="S11" s="46">
        <f>SUMIF(VN_Data!$B$6:$B$381,MONTH($B11),VN_Data!O$6:O$381)</f>
        <v>123175.16000000003</v>
      </c>
      <c r="T11" s="53"/>
      <c r="U11" s="54"/>
      <c r="V11" s="59">
        <f>SUMIF(VN_Data!$B$6:$B$381,MONTH($B11),VN_Data!R$6:R$381)</f>
        <v>122963683</v>
      </c>
      <c r="W11" s="15">
        <f>SUMIF(VN_Data!$B$6:$B$381,MONTH($B11),VN_Data!S$6:S$381)</f>
        <v>15439.14</v>
      </c>
      <c r="X11" s="101">
        <v>6</v>
      </c>
      <c r="Y11" s="29">
        <f t="shared" si="24"/>
        <v>270102046</v>
      </c>
      <c r="Z11" s="30">
        <f t="shared" si="25"/>
        <v>145184.91</v>
      </c>
      <c r="AA11" s="37"/>
      <c r="AB11" s="38"/>
      <c r="AC11" s="45">
        <f>SUMIF(VN_Data!$B$6:$B$381,MONTH($B11),VN_Data!W$6:W$381)</f>
        <v>228549869</v>
      </c>
      <c r="AD11" s="46">
        <f>SUMIF(VN_Data!$B$6:$B$381,MONTH($B11),VN_Data!X$6:X$381)</f>
        <v>108927.82</v>
      </c>
      <c r="AE11" s="53"/>
      <c r="AF11" s="54"/>
      <c r="AG11" s="59">
        <f>SUMIF(VN_Data!$B$6:$B$381,MONTH($B11),VN_Data!AA$6:AA$381)</f>
        <v>41552177</v>
      </c>
      <c r="AH11" s="15">
        <f>SUMIF(VN_Data!$B$6:$B$381,MONTH($B11),VN_Data!AB$6:AB$381)</f>
        <v>36257.089999999997</v>
      </c>
      <c r="AI11" s="101"/>
    </row>
    <row r="12" spans="1:35">
      <c r="A12" s="361">
        <v>7</v>
      </c>
      <c r="B12" s="23">
        <v>43282</v>
      </c>
      <c r="C12" s="29">
        <f t="shared" si="20"/>
        <v>1122340920</v>
      </c>
      <c r="D12" s="30">
        <f t="shared" si="21"/>
        <v>245091.68000000002</v>
      </c>
      <c r="E12" s="37"/>
      <c r="F12" s="38"/>
      <c r="G12" s="45">
        <f>SUMIF(VN_Data!$B$6:$B$381,MONTH($B12),VN_Data!E$6:E$381)</f>
        <v>907602165</v>
      </c>
      <c r="H12" s="46">
        <f>SUMIF(VN_Data!$B$6:$B$381,MONTH($B12),VN_Data!F$6:F$381)</f>
        <v>204887.84000000003</v>
      </c>
      <c r="I12" s="53">
        <f>SUMIF(VN_Data!$B$6:$B$381,MONTH($B12),VN_Data!G$6:G$381)</f>
        <v>0</v>
      </c>
      <c r="J12" s="54">
        <f>SUMIF(VN_Data!$B$6:$B$381,MONTH($B12),VN_Data!H$6:H$381)</f>
        <v>0</v>
      </c>
      <c r="K12" s="59">
        <f>SUMIF(VN_Data!$B$6:$B$381,MONTH($B12),VN_Data!I$6:I$381)</f>
        <v>214738755</v>
      </c>
      <c r="L12" s="15">
        <f>SUMIF(VN_Data!$B$6:$B$381,MONTH($B12),VN_Data!J$6:J$381)</f>
        <v>40203.839999999997</v>
      </c>
      <c r="M12" s="101">
        <v>7</v>
      </c>
      <c r="N12" s="29">
        <f t="shared" si="22"/>
        <v>833850086</v>
      </c>
      <c r="O12" s="30">
        <f t="shared" si="23"/>
        <v>135998.71</v>
      </c>
      <c r="P12" s="37"/>
      <c r="Q12" s="38"/>
      <c r="R12" s="45">
        <f>SUMIF(VN_Data!$B$6:$B$381,MONTH($B12),VN_Data!N$6:N$381)</f>
        <v>680408129</v>
      </c>
      <c r="S12" s="46">
        <f>SUMIF(VN_Data!$B$6:$B$381,MONTH($B12),VN_Data!O$6:O$381)</f>
        <v>121549.84</v>
      </c>
      <c r="T12" s="53"/>
      <c r="U12" s="54"/>
      <c r="V12" s="59">
        <f>SUMIF(VN_Data!$B$6:$B$381,MONTH($B12),VN_Data!R$6:R$381)</f>
        <v>153441957</v>
      </c>
      <c r="W12" s="15">
        <f>SUMIF(VN_Data!$B$6:$B$381,MONTH($B12),VN_Data!S$6:S$381)</f>
        <v>14448.869999999999</v>
      </c>
      <c r="X12" s="101">
        <v>7</v>
      </c>
      <c r="Y12" s="29">
        <f t="shared" si="24"/>
        <v>288490834</v>
      </c>
      <c r="Z12" s="30">
        <f t="shared" si="25"/>
        <v>109092.97</v>
      </c>
      <c r="AA12" s="37"/>
      <c r="AB12" s="38"/>
      <c r="AC12" s="45">
        <f>SUMIF(VN_Data!$B$6:$B$381,MONTH($B12),VN_Data!W$6:W$381)</f>
        <v>227194036</v>
      </c>
      <c r="AD12" s="46">
        <f>SUMIF(VN_Data!$B$6:$B$381,MONTH($B12),VN_Data!X$6:X$381)</f>
        <v>83338</v>
      </c>
      <c r="AE12" s="53"/>
      <c r="AF12" s="54"/>
      <c r="AG12" s="59">
        <f>SUMIF(VN_Data!$B$6:$B$381,MONTH($B12),VN_Data!AA$6:AA$381)</f>
        <v>61296798</v>
      </c>
      <c r="AH12" s="15">
        <f>SUMIF(VN_Data!$B$6:$B$381,MONTH($B12),VN_Data!AB$6:AB$381)</f>
        <v>25754.969999999994</v>
      </c>
      <c r="AI12" s="101"/>
    </row>
    <row r="13" spans="1:35">
      <c r="A13" s="361">
        <v>8</v>
      </c>
      <c r="B13" s="23">
        <v>43313</v>
      </c>
      <c r="C13" s="29">
        <f t="shared" si="20"/>
        <v>1002841816</v>
      </c>
      <c r="D13" s="30">
        <f t="shared" si="21"/>
        <v>275584.86200001504</v>
      </c>
      <c r="E13" s="37"/>
      <c r="F13" s="38"/>
      <c r="G13" s="45">
        <f>SUMIF(VN_Data!$B$6:$B$381,MONTH($B13),VN_Data!E$6:E$381)</f>
        <v>810832920</v>
      </c>
      <c r="H13" s="46">
        <f>SUMIF(VN_Data!$B$6:$B$381,MONTH($B13),VN_Data!F$6:F$381)</f>
        <v>233306.64100001781</v>
      </c>
      <c r="I13" s="53">
        <f>SUMIF(VN_Data!$B$6:$B$381,MONTH($B13),VN_Data!G$6:G$381)</f>
        <v>0</v>
      </c>
      <c r="J13" s="54">
        <f>SUMIF(VN_Data!$B$6:$B$381,MONTH($B13),VN_Data!H$6:H$381)</f>
        <v>0</v>
      </c>
      <c r="K13" s="59">
        <f>SUMIF(VN_Data!$B$6:$B$381,MONTH($B13),VN_Data!I$6:I$381)</f>
        <v>192008896</v>
      </c>
      <c r="L13" s="15">
        <f>SUMIF(VN_Data!$B$6:$B$381,MONTH($B13),VN_Data!J$6:J$381)</f>
        <v>42278.220999997204</v>
      </c>
      <c r="M13" s="101">
        <v>8</v>
      </c>
      <c r="N13" s="29">
        <f t="shared" si="22"/>
        <v>744768314</v>
      </c>
      <c r="O13" s="30">
        <f t="shared" si="23"/>
        <v>165599.0870000069</v>
      </c>
      <c r="P13" s="37"/>
      <c r="Q13" s="38"/>
      <c r="R13" s="45">
        <f>SUMIF(VN_Data!$B$6:$B$381,MONTH($B13),VN_Data!N$6:N$381)</f>
        <v>618827481</v>
      </c>
      <c r="S13" s="46">
        <f>SUMIF(VN_Data!$B$6:$B$381,MONTH($B13),VN_Data!O$6:O$381)</f>
        <v>151945.83000000729</v>
      </c>
      <c r="T13" s="53"/>
      <c r="U13" s="54"/>
      <c r="V13" s="59">
        <f>SUMIF(VN_Data!$B$6:$B$381,MONTH($B13),VN_Data!R$6:R$381)</f>
        <v>125940833</v>
      </c>
      <c r="W13" s="15">
        <f>SUMIF(VN_Data!$B$6:$B$381,MONTH($B13),VN_Data!S$6:S$381)</f>
        <v>13653.256999999603</v>
      </c>
      <c r="X13" s="101">
        <v>8</v>
      </c>
      <c r="Y13" s="29">
        <f t="shared" si="24"/>
        <v>258073502</v>
      </c>
      <c r="Z13" s="30">
        <f t="shared" si="25"/>
        <v>109985.77500000811</v>
      </c>
      <c r="AA13" s="37"/>
      <c r="AB13" s="38"/>
      <c r="AC13" s="45">
        <f>SUMIF(VN_Data!$B$6:$B$381,MONTH($B13),VN_Data!W$6:W$381)</f>
        <v>192005439</v>
      </c>
      <c r="AD13" s="46">
        <f>SUMIF(VN_Data!$B$6:$B$381,MONTH($B13),VN_Data!X$6:X$381)</f>
        <v>81360.811000010523</v>
      </c>
      <c r="AE13" s="53"/>
      <c r="AF13" s="54"/>
      <c r="AG13" s="59">
        <f>SUMIF(VN_Data!$B$6:$B$381,MONTH($B13),VN_Data!AA$6:AA$381)</f>
        <v>66068063</v>
      </c>
      <c r="AH13" s="15">
        <f>SUMIF(VN_Data!$B$6:$B$381,MONTH($B13),VN_Data!AB$6:AB$381)</f>
        <v>28624.963999997599</v>
      </c>
      <c r="AI13" s="101"/>
    </row>
    <row r="14" spans="1:35">
      <c r="A14" s="361">
        <v>9</v>
      </c>
      <c r="B14" s="23">
        <v>43344</v>
      </c>
      <c r="C14" s="29">
        <f t="shared" si="20"/>
        <v>0</v>
      </c>
      <c r="D14" s="30">
        <f t="shared" si="21"/>
        <v>0</v>
      </c>
      <c r="E14" s="37"/>
      <c r="F14" s="38"/>
      <c r="G14" s="45">
        <f>SUMIF(VN_Data!$B$6:$B$381,MONTH($B14),VN_Data!E$6:E$381)</f>
        <v>0</v>
      </c>
      <c r="H14" s="46">
        <f>SUMIF(VN_Data!$B$6:$B$381,MONTH($B14),VN_Data!F$6:F$381)</f>
        <v>0</v>
      </c>
      <c r="I14" s="53">
        <f>SUMIF(VN_Data!$B$6:$B$381,MONTH($B14),VN_Data!G$6:G$381)</f>
        <v>0</v>
      </c>
      <c r="J14" s="54">
        <f>SUMIF(VN_Data!$B$6:$B$381,MONTH($B14),VN_Data!H$6:H$381)</f>
        <v>0</v>
      </c>
      <c r="K14" s="59">
        <f>SUMIF(VN_Data!$B$6:$B$381,MONTH($B14),VN_Data!I$6:I$381)</f>
        <v>0</v>
      </c>
      <c r="L14" s="15">
        <f>SUMIF(VN_Data!$B$6:$B$381,MONTH($B14),VN_Data!J$6:J$381)</f>
        <v>0</v>
      </c>
      <c r="M14" s="101">
        <v>9</v>
      </c>
      <c r="N14" s="29">
        <f t="shared" si="22"/>
        <v>0</v>
      </c>
      <c r="O14" s="30">
        <f t="shared" si="23"/>
        <v>0</v>
      </c>
      <c r="P14" s="37"/>
      <c r="Q14" s="38"/>
      <c r="R14" s="45">
        <f>SUMIF(VN_Data!$B$6:$B$381,MONTH($B14),VN_Data!N$6:N$381)</f>
        <v>0</v>
      </c>
      <c r="S14" s="46">
        <f>SUMIF(VN_Data!$B$6:$B$381,MONTH($B14),VN_Data!O$6:O$381)</f>
        <v>0</v>
      </c>
      <c r="T14" s="53"/>
      <c r="U14" s="54"/>
      <c r="V14" s="59">
        <f>SUMIF(VN_Data!$B$6:$B$381,MONTH($B14),VN_Data!R$6:R$381)</f>
        <v>0</v>
      </c>
      <c r="W14" s="15">
        <f>SUMIF(VN_Data!$B$6:$B$381,MONTH($B14),VN_Data!S$6:S$381)</f>
        <v>0</v>
      </c>
      <c r="X14" s="101">
        <v>9</v>
      </c>
      <c r="Y14" s="29">
        <f t="shared" si="24"/>
        <v>0</v>
      </c>
      <c r="Z14" s="30">
        <f t="shared" si="25"/>
        <v>0</v>
      </c>
      <c r="AA14" s="37"/>
      <c r="AB14" s="38"/>
      <c r="AC14" s="45">
        <f>SUMIF(VN_Data!$B$6:$B$381,MONTH($B14),VN_Data!W$6:W$381)</f>
        <v>0</v>
      </c>
      <c r="AD14" s="46">
        <f>SUMIF(VN_Data!$B$6:$B$381,MONTH($B14),VN_Data!X$6:X$381)</f>
        <v>0</v>
      </c>
      <c r="AE14" s="53"/>
      <c r="AF14" s="54"/>
      <c r="AG14" s="59">
        <f>SUMIF(VN_Data!$B$6:$B$381,MONTH($B14),VN_Data!AA$6:AA$381)</f>
        <v>0</v>
      </c>
      <c r="AH14" s="15">
        <f>SUMIF(VN_Data!$B$6:$B$381,MONTH($B14),VN_Data!AB$6:AB$381)</f>
        <v>0</v>
      </c>
      <c r="AI14" s="101"/>
    </row>
    <row r="15" spans="1:35">
      <c r="A15" s="361">
        <v>10</v>
      </c>
      <c r="B15" s="23">
        <v>43374</v>
      </c>
      <c r="C15" s="29">
        <f t="shared" si="20"/>
        <v>0</v>
      </c>
      <c r="D15" s="30">
        <f t="shared" si="21"/>
        <v>0</v>
      </c>
      <c r="E15" s="37"/>
      <c r="F15" s="38"/>
      <c r="G15" s="45">
        <f>SUMIF(VN_Data!$B$6:$B$381,MONTH($B15),VN_Data!E$6:E$381)</f>
        <v>0</v>
      </c>
      <c r="H15" s="46">
        <f>SUMIF(VN_Data!$B$6:$B$381,MONTH($B15),VN_Data!F$6:F$381)</f>
        <v>0</v>
      </c>
      <c r="I15" s="53">
        <f>SUMIF(VN_Data!$B$6:$B$381,MONTH($B15),VN_Data!G$6:G$381)</f>
        <v>0</v>
      </c>
      <c r="J15" s="54">
        <f>SUMIF(VN_Data!$B$6:$B$381,MONTH($B15),VN_Data!H$6:H$381)</f>
        <v>0</v>
      </c>
      <c r="K15" s="59">
        <f>SUMIF(VN_Data!$B$6:$B$381,MONTH($B15),VN_Data!I$6:I$381)</f>
        <v>0</v>
      </c>
      <c r="L15" s="15">
        <f>SUMIF(VN_Data!$B$6:$B$381,MONTH($B15),VN_Data!J$6:J$381)</f>
        <v>0</v>
      </c>
      <c r="M15" s="101">
        <v>10</v>
      </c>
      <c r="N15" s="29">
        <f t="shared" si="22"/>
        <v>0</v>
      </c>
      <c r="O15" s="30">
        <f t="shared" si="23"/>
        <v>0</v>
      </c>
      <c r="P15" s="37"/>
      <c r="Q15" s="38"/>
      <c r="R15" s="45">
        <f>SUMIF(VN_Data!$B$6:$B$381,MONTH($B15),VN_Data!N$6:N$381)</f>
        <v>0</v>
      </c>
      <c r="S15" s="46">
        <f>SUMIF(VN_Data!$B$6:$B$381,MONTH($B15),VN_Data!O$6:O$381)</f>
        <v>0</v>
      </c>
      <c r="T15" s="53"/>
      <c r="U15" s="54"/>
      <c r="V15" s="59">
        <f>SUMIF(VN_Data!$B$6:$B$381,MONTH($B15),VN_Data!R$6:R$381)</f>
        <v>0</v>
      </c>
      <c r="W15" s="15">
        <f>SUMIF(VN_Data!$B$6:$B$381,MONTH($B15),VN_Data!S$6:S$381)</f>
        <v>0</v>
      </c>
      <c r="X15" s="101">
        <v>10</v>
      </c>
      <c r="Y15" s="29">
        <f t="shared" si="24"/>
        <v>0</v>
      </c>
      <c r="Z15" s="30">
        <f t="shared" si="25"/>
        <v>0</v>
      </c>
      <c r="AA15" s="37"/>
      <c r="AB15" s="38"/>
      <c r="AC15" s="45">
        <f>SUMIF(VN_Data!$B$6:$B$381,MONTH($B15),VN_Data!W$6:W$381)</f>
        <v>0</v>
      </c>
      <c r="AD15" s="46">
        <f>SUMIF(VN_Data!$B$6:$B$381,MONTH($B15),VN_Data!X$6:X$381)</f>
        <v>0</v>
      </c>
      <c r="AE15" s="53"/>
      <c r="AF15" s="54"/>
      <c r="AG15" s="59">
        <f>SUMIF(VN_Data!$B$6:$B$381,MONTH($B15),VN_Data!AA$6:AA$381)</f>
        <v>0</v>
      </c>
      <c r="AH15" s="15">
        <f>SUMIF(VN_Data!$B$6:$B$381,MONTH($B15),VN_Data!AB$6:AB$381)</f>
        <v>0</v>
      </c>
      <c r="AI15" s="101"/>
    </row>
    <row r="16" spans="1:35">
      <c r="A16" s="361">
        <v>11</v>
      </c>
      <c r="B16" s="23">
        <v>43405</v>
      </c>
      <c r="C16" s="29">
        <f t="shared" si="20"/>
        <v>0</v>
      </c>
      <c r="D16" s="30">
        <f t="shared" si="21"/>
        <v>0</v>
      </c>
      <c r="E16" s="37"/>
      <c r="F16" s="38"/>
      <c r="G16" s="45">
        <f>SUMIF(VN_Data!$B$6:$B$381,MONTH($B16),VN_Data!E$6:E$381)</f>
        <v>0</v>
      </c>
      <c r="H16" s="46">
        <f>SUMIF(VN_Data!$B$6:$B$381,MONTH($B16),VN_Data!F$6:F$381)</f>
        <v>0</v>
      </c>
      <c r="I16" s="53">
        <f>SUMIF(VN_Data!$B$6:$B$381,MONTH($B16),VN_Data!G$6:G$381)</f>
        <v>0</v>
      </c>
      <c r="J16" s="54">
        <f>SUMIF(VN_Data!$B$6:$B$381,MONTH($B16),VN_Data!H$6:H$381)</f>
        <v>0</v>
      </c>
      <c r="K16" s="59">
        <f>SUMIF(VN_Data!$B$6:$B$381,MONTH($B16),VN_Data!I$6:I$381)</f>
        <v>0</v>
      </c>
      <c r="L16" s="15">
        <f>SUMIF(VN_Data!$B$6:$B$381,MONTH($B16),VN_Data!J$6:J$381)</f>
        <v>0</v>
      </c>
      <c r="M16" s="101">
        <v>11</v>
      </c>
      <c r="N16" s="29">
        <f t="shared" si="22"/>
        <v>0</v>
      </c>
      <c r="O16" s="30">
        <f t="shared" si="23"/>
        <v>0</v>
      </c>
      <c r="P16" s="37"/>
      <c r="Q16" s="38"/>
      <c r="R16" s="45">
        <f>SUMIF(VN_Data!$B$6:$B$381,MONTH($B16),VN_Data!N$6:N$381)</f>
        <v>0</v>
      </c>
      <c r="S16" s="46">
        <f>SUMIF(VN_Data!$B$6:$B$381,MONTH($B16),VN_Data!O$6:O$381)</f>
        <v>0</v>
      </c>
      <c r="T16" s="53"/>
      <c r="U16" s="54"/>
      <c r="V16" s="59">
        <f>SUMIF(VN_Data!$B$6:$B$381,MONTH($B16),VN_Data!R$6:R$381)</f>
        <v>0</v>
      </c>
      <c r="W16" s="15">
        <f>SUMIF(VN_Data!$B$6:$B$381,MONTH($B16),VN_Data!S$6:S$381)</f>
        <v>0</v>
      </c>
      <c r="X16" s="101">
        <v>11</v>
      </c>
      <c r="Y16" s="29">
        <f t="shared" si="24"/>
        <v>0</v>
      </c>
      <c r="Z16" s="30">
        <f t="shared" si="25"/>
        <v>0</v>
      </c>
      <c r="AA16" s="37"/>
      <c r="AB16" s="38"/>
      <c r="AC16" s="45">
        <f>SUMIF(VN_Data!$B$6:$B$381,MONTH($B16),VN_Data!W$6:W$381)</f>
        <v>0</v>
      </c>
      <c r="AD16" s="46">
        <f>SUMIF(VN_Data!$B$6:$B$381,MONTH($B16),VN_Data!X$6:X$381)</f>
        <v>0</v>
      </c>
      <c r="AE16" s="53"/>
      <c r="AF16" s="54"/>
      <c r="AG16" s="59">
        <f>SUMIF(VN_Data!$B$6:$B$381,MONTH($B16),VN_Data!AA$6:AA$381)</f>
        <v>0</v>
      </c>
      <c r="AH16" s="15">
        <f>SUMIF(VN_Data!$B$6:$B$381,MONTH($B16),VN_Data!AB$6:AB$381)</f>
        <v>0</v>
      </c>
      <c r="AI16" s="101"/>
    </row>
    <row r="17" spans="1:35" ht="15" thickBot="1">
      <c r="A17" s="361">
        <v>12</v>
      </c>
      <c r="B17" s="24">
        <v>43435</v>
      </c>
      <c r="C17" s="31">
        <f t="shared" si="20"/>
        <v>0</v>
      </c>
      <c r="D17" s="32">
        <f t="shared" si="21"/>
        <v>0</v>
      </c>
      <c r="E17" s="39"/>
      <c r="F17" s="40"/>
      <c r="G17" s="47">
        <f>SUMIF(VN_Data!$B$6:$B$381,MONTH($B17),VN_Data!E$6:E$381)</f>
        <v>0</v>
      </c>
      <c r="H17" s="48">
        <f>SUMIF(VN_Data!$B$6:$B$381,MONTH($B17),VN_Data!F$6:F$381)</f>
        <v>0</v>
      </c>
      <c r="I17" s="55">
        <f>SUMIF(VN_Data!$B$6:$B$381,MONTH($B17),VN_Data!G$6:G$381)</f>
        <v>0</v>
      </c>
      <c r="J17" s="56">
        <f>SUMIF(VN_Data!$B$6:$B$381,MONTH($B17),VN_Data!H$6:H$381)</f>
        <v>0</v>
      </c>
      <c r="K17" s="60">
        <f>SUMIF(VN_Data!$B$6:$B$381,MONTH($B17),VN_Data!I$6:I$381)</f>
        <v>0</v>
      </c>
      <c r="L17" s="16">
        <f>SUMIF(VN_Data!$B$6:$B$381,MONTH($B17),VN_Data!J$6:J$381)</f>
        <v>0</v>
      </c>
      <c r="M17" s="101">
        <v>12</v>
      </c>
      <c r="N17" s="31">
        <f t="shared" si="22"/>
        <v>0</v>
      </c>
      <c r="O17" s="32">
        <f t="shared" si="23"/>
        <v>0</v>
      </c>
      <c r="P17" s="39"/>
      <c r="Q17" s="40"/>
      <c r="R17" s="47">
        <f>SUMIF(VN_Data!$B$6:$B$381,MONTH($B17),VN_Data!N$6:N$381)</f>
        <v>0</v>
      </c>
      <c r="S17" s="48">
        <f>SUMIF(VN_Data!$B$6:$B$381,MONTH($B17),VN_Data!O$6:O$381)</f>
        <v>0</v>
      </c>
      <c r="T17" s="55"/>
      <c r="U17" s="56"/>
      <c r="V17" s="60">
        <f>SUMIF(VN_Data!$B$6:$B$381,MONTH($B17),VN_Data!R$6:R$381)</f>
        <v>0</v>
      </c>
      <c r="W17" s="16">
        <f>SUMIF(VN_Data!$B$6:$B$381,MONTH($B17),VN_Data!S$6:S$381)</f>
        <v>0</v>
      </c>
      <c r="X17" s="101">
        <v>12</v>
      </c>
      <c r="Y17" s="31">
        <f t="shared" si="24"/>
        <v>0</v>
      </c>
      <c r="Z17" s="32">
        <f t="shared" si="25"/>
        <v>0</v>
      </c>
      <c r="AA17" s="39"/>
      <c r="AB17" s="40"/>
      <c r="AC17" s="47">
        <f>SUMIF(VN_Data!$B$6:$B$381,MONTH($B17),VN_Data!W$6:W$381)</f>
        <v>0</v>
      </c>
      <c r="AD17" s="48">
        <f>SUMIF(VN_Data!$B$6:$B$381,MONTH($B17),VN_Data!X$6:X$381)</f>
        <v>0</v>
      </c>
      <c r="AE17" s="55"/>
      <c r="AF17" s="56"/>
      <c r="AG17" s="60">
        <f>SUMIF(VN_Data!$B$6:$B$381,MONTH($B17),VN_Data!AA$6:AA$381)</f>
        <v>0</v>
      </c>
      <c r="AH17" s="16">
        <f>SUMIF(VN_Data!$B$6:$B$381,MONTH($B17),VN_Data!AB$6:AB$381)</f>
        <v>0</v>
      </c>
      <c r="AI17" s="101"/>
    </row>
    <row r="18" spans="1:35" ht="15" thickBot="1">
      <c r="M18" s="101"/>
      <c r="X18" s="101"/>
      <c r="AI18" s="101"/>
    </row>
    <row r="19" spans="1:35">
      <c r="A19" s="361"/>
      <c r="B19" s="438" t="s">
        <v>126</v>
      </c>
      <c r="C19" s="454">
        <f t="shared" ref="C19:L19" si="26">SUM(C6:C8)</f>
        <v>2412498791</v>
      </c>
      <c r="D19" s="455">
        <f t="shared" si="26"/>
        <v>506392.946</v>
      </c>
      <c r="E19" s="456"/>
      <c r="F19" s="457"/>
      <c r="G19" s="458">
        <f t="shared" si="26"/>
        <v>2015989875</v>
      </c>
      <c r="H19" s="459">
        <f t="shared" si="26"/>
        <v>434729.76</v>
      </c>
      <c r="I19" s="460">
        <f t="shared" si="26"/>
        <v>0</v>
      </c>
      <c r="J19" s="461">
        <f t="shared" si="26"/>
        <v>0</v>
      </c>
      <c r="K19" s="462">
        <f t="shared" si="26"/>
        <v>396508916</v>
      </c>
      <c r="L19" s="463">
        <f t="shared" si="26"/>
        <v>71663.186000000002</v>
      </c>
      <c r="M19" s="449"/>
      <c r="N19" s="454">
        <f t="shared" ref="N19:W19" si="27">SUM(N6:N8)</f>
        <v>2053872207</v>
      </c>
      <c r="O19" s="455">
        <f t="shared" si="27"/>
        <v>370317.13399999996</v>
      </c>
      <c r="P19" s="456"/>
      <c r="Q19" s="457"/>
      <c r="R19" s="458">
        <f t="shared" si="27"/>
        <v>1711829171</v>
      </c>
      <c r="S19" s="459">
        <f t="shared" si="27"/>
        <v>335563.24299999996</v>
      </c>
      <c r="T19" s="460"/>
      <c r="U19" s="461"/>
      <c r="V19" s="462">
        <f t="shared" si="27"/>
        <v>342043036</v>
      </c>
      <c r="W19" s="463">
        <f t="shared" si="27"/>
        <v>34753.890999999996</v>
      </c>
      <c r="X19" s="449"/>
      <c r="Y19" s="454">
        <f t="shared" ref="Y19:AH19" si="28">SUM(Y6:Y8)</f>
        <v>358626584</v>
      </c>
      <c r="Z19" s="455">
        <f t="shared" si="28"/>
        <v>136075.81200000003</v>
      </c>
      <c r="AA19" s="456"/>
      <c r="AB19" s="457"/>
      <c r="AC19" s="458">
        <f t="shared" si="28"/>
        <v>304160704</v>
      </c>
      <c r="AD19" s="459">
        <f t="shared" si="28"/>
        <v>99166.517000000022</v>
      </c>
      <c r="AE19" s="460"/>
      <c r="AF19" s="461"/>
      <c r="AG19" s="462">
        <f t="shared" si="28"/>
        <v>54465880</v>
      </c>
      <c r="AH19" s="463">
        <f t="shared" si="28"/>
        <v>36909.294999999998</v>
      </c>
      <c r="AI19" s="101"/>
    </row>
    <row r="20" spans="1:35">
      <c r="A20" s="361"/>
      <c r="B20" s="450" t="s">
        <v>127</v>
      </c>
      <c r="C20" s="29">
        <f t="shared" ref="C20:L20" si="29">SUM(C9:C11)</f>
        <v>3327667380</v>
      </c>
      <c r="D20" s="30">
        <f t="shared" si="29"/>
        <v>958520.03</v>
      </c>
      <c r="E20" s="37"/>
      <c r="F20" s="38"/>
      <c r="G20" s="45">
        <f t="shared" si="29"/>
        <v>2403249084</v>
      </c>
      <c r="H20" s="46">
        <f t="shared" si="29"/>
        <v>609180.07000000007</v>
      </c>
      <c r="I20" s="53">
        <f t="shared" si="29"/>
        <v>0</v>
      </c>
      <c r="J20" s="54">
        <f t="shared" si="29"/>
        <v>0</v>
      </c>
      <c r="K20" s="59">
        <f t="shared" si="29"/>
        <v>924418296</v>
      </c>
      <c r="L20" s="15">
        <f t="shared" si="29"/>
        <v>349339.96</v>
      </c>
      <c r="M20" s="451"/>
      <c r="N20" s="29">
        <f t="shared" ref="N20:W20" si="30">SUM(N9:N11)</f>
        <v>2276789189</v>
      </c>
      <c r="O20" s="30">
        <f t="shared" si="30"/>
        <v>424072.02</v>
      </c>
      <c r="P20" s="37"/>
      <c r="Q20" s="38"/>
      <c r="R20" s="45">
        <f t="shared" si="30"/>
        <v>1812351388</v>
      </c>
      <c r="S20" s="46">
        <f t="shared" si="30"/>
        <v>362267.12000000005</v>
      </c>
      <c r="T20" s="53"/>
      <c r="U20" s="54"/>
      <c r="V20" s="59">
        <f t="shared" si="30"/>
        <v>464437801</v>
      </c>
      <c r="W20" s="15">
        <f t="shared" si="30"/>
        <v>61804.900000000009</v>
      </c>
      <c r="X20" s="451"/>
      <c r="Y20" s="29">
        <f t="shared" ref="Y20:AH20" si="31">SUM(Y9:Y11)</f>
        <v>1050878191</v>
      </c>
      <c r="Z20" s="30">
        <f t="shared" si="31"/>
        <v>534448.01</v>
      </c>
      <c r="AA20" s="37"/>
      <c r="AB20" s="38"/>
      <c r="AC20" s="45">
        <f t="shared" si="31"/>
        <v>590897696</v>
      </c>
      <c r="AD20" s="46">
        <f t="shared" si="31"/>
        <v>246912.95</v>
      </c>
      <c r="AE20" s="53"/>
      <c r="AF20" s="54"/>
      <c r="AG20" s="59">
        <f t="shared" si="31"/>
        <v>459980495</v>
      </c>
      <c r="AH20" s="15">
        <f t="shared" si="31"/>
        <v>287535.06000000006</v>
      </c>
      <c r="AI20" s="101"/>
    </row>
    <row r="21" spans="1:35">
      <c r="A21" s="361"/>
      <c r="B21" s="450" t="s">
        <v>161</v>
      </c>
      <c r="C21" s="29">
        <f t="shared" ref="C21:L21" si="32">SUM(C12:C14)</f>
        <v>2125182736</v>
      </c>
      <c r="D21" s="30">
        <f t="shared" si="32"/>
        <v>520676.54200001503</v>
      </c>
      <c r="E21" s="37"/>
      <c r="F21" s="38"/>
      <c r="G21" s="45">
        <f t="shared" si="32"/>
        <v>1718435085</v>
      </c>
      <c r="H21" s="46">
        <f t="shared" si="32"/>
        <v>438194.48100001784</v>
      </c>
      <c r="I21" s="53">
        <f t="shared" si="32"/>
        <v>0</v>
      </c>
      <c r="J21" s="54">
        <f t="shared" si="32"/>
        <v>0</v>
      </c>
      <c r="K21" s="59">
        <f t="shared" si="32"/>
        <v>406747651</v>
      </c>
      <c r="L21" s="15">
        <f t="shared" si="32"/>
        <v>82482.060999997193</v>
      </c>
      <c r="M21" s="451"/>
      <c r="N21" s="29">
        <f t="shared" ref="N21:W21" si="33">SUM(N12:N14)</f>
        <v>1578618400</v>
      </c>
      <c r="O21" s="30">
        <f t="shared" si="33"/>
        <v>301597.79700000689</v>
      </c>
      <c r="P21" s="37"/>
      <c r="Q21" s="38"/>
      <c r="R21" s="45">
        <f t="shared" si="33"/>
        <v>1299235610</v>
      </c>
      <c r="S21" s="46">
        <f t="shared" si="33"/>
        <v>273495.67000000726</v>
      </c>
      <c r="T21" s="53"/>
      <c r="U21" s="54"/>
      <c r="V21" s="59">
        <f t="shared" si="33"/>
        <v>279382790</v>
      </c>
      <c r="W21" s="15">
        <f t="shared" si="33"/>
        <v>28102.1269999996</v>
      </c>
      <c r="X21" s="451"/>
      <c r="Y21" s="29">
        <f t="shared" ref="Y21:AH21" si="34">SUM(Y12:Y14)</f>
        <v>546564336</v>
      </c>
      <c r="Z21" s="30">
        <f t="shared" si="34"/>
        <v>219078.74500000812</v>
      </c>
      <c r="AA21" s="37"/>
      <c r="AB21" s="38"/>
      <c r="AC21" s="45">
        <f t="shared" si="34"/>
        <v>419199475</v>
      </c>
      <c r="AD21" s="46">
        <f t="shared" si="34"/>
        <v>164698.81100001052</v>
      </c>
      <c r="AE21" s="53"/>
      <c r="AF21" s="54"/>
      <c r="AG21" s="59">
        <f t="shared" si="34"/>
        <v>127364861</v>
      </c>
      <c r="AH21" s="15">
        <f t="shared" si="34"/>
        <v>54379.933999997593</v>
      </c>
      <c r="AI21" s="101"/>
    </row>
    <row r="22" spans="1:35" ht="15" thickBot="1">
      <c r="A22" s="361"/>
      <c r="B22" s="452" t="s">
        <v>162</v>
      </c>
      <c r="C22" s="31">
        <f t="shared" ref="C22:L22" si="35">SUM(C15:C17)</f>
        <v>0</v>
      </c>
      <c r="D22" s="32">
        <f t="shared" si="35"/>
        <v>0</v>
      </c>
      <c r="E22" s="39"/>
      <c r="F22" s="40"/>
      <c r="G22" s="47">
        <f t="shared" si="35"/>
        <v>0</v>
      </c>
      <c r="H22" s="48">
        <f t="shared" si="35"/>
        <v>0</v>
      </c>
      <c r="I22" s="55">
        <f t="shared" si="35"/>
        <v>0</v>
      </c>
      <c r="J22" s="56">
        <f t="shared" si="35"/>
        <v>0</v>
      </c>
      <c r="K22" s="60">
        <f t="shared" si="35"/>
        <v>0</v>
      </c>
      <c r="L22" s="16">
        <f t="shared" si="35"/>
        <v>0</v>
      </c>
      <c r="M22" s="453"/>
      <c r="N22" s="31">
        <f t="shared" ref="N22:W22" si="36">SUM(N15:N17)</f>
        <v>0</v>
      </c>
      <c r="O22" s="32">
        <f t="shared" si="36"/>
        <v>0</v>
      </c>
      <c r="P22" s="39"/>
      <c r="Q22" s="40"/>
      <c r="R22" s="47">
        <f t="shared" si="36"/>
        <v>0</v>
      </c>
      <c r="S22" s="48">
        <f t="shared" si="36"/>
        <v>0</v>
      </c>
      <c r="T22" s="55"/>
      <c r="U22" s="56"/>
      <c r="V22" s="60">
        <f t="shared" si="36"/>
        <v>0</v>
      </c>
      <c r="W22" s="16">
        <f t="shared" si="36"/>
        <v>0</v>
      </c>
      <c r="X22" s="453"/>
      <c r="Y22" s="31">
        <f t="shared" ref="Y22:AH22" si="37">SUM(Y15:Y17)</f>
        <v>0</v>
      </c>
      <c r="Z22" s="32">
        <f t="shared" si="37"/>
        <v>0</v>
      </c>
      <c r="AA22" s="39"/>
      <c r="AB22" s="40"/>
      <c r="AC22" s="47">
        <f t="shared" si="37"/>
        <v>0</v>
      </c>
      <c r="AD22" s="48">
        <f t="shared" si="37"/>
        <v>0</v>
      </c>
      <c r="AE22" s="55"/>
      <c r="AF22" s="56"/>
      <c r="AG22" s="60">
        <f t="shared" si="37"/>
        <v>0</v>
      </c>
      <c r="AH22" s="16">
        <f t="shared" si="37"/>
        <v>0</v>
      </c>
      <c r="AI22" s="101"/>
    </row>
    <row r="23" spans="1:35" ht="15" thickBot="1">
      <c r="M23" s="101"/>
      <c r="X23" s="101"/>
      <c r="AI23" s="101"/>
    </row>
    <row r="24" spans="1:35" ht="15" thickBot="1">
      <c r="B24" s="19" t="s">
        <v>10</v>
      </c>
      <c r="C24" s="113">
        <v>1</v>
      </c>
      <c r="D24" s="113">
        <v>1</v>
      </c>
      <c r="E24" s="113"/>
      <c r="F24" s="113"/>
      <c r="G24" s="113">
        <v>1</v>
      </c>
      <c r="H24" s="113">
        <v>1</v>
      </c>
      <c r="I24" s="113">
        <v>1</v>
      </c>
      <c r="J24" s="113">
        <v>1</v>
      </c>
      <c r="K24" s="113">
        <v>1</v>
      </c>
      <c r="L24" s="113">
        <v>1</v>
      </c>
      <c r="M24" s="103"/>
      <c r="N24" s="113">
        <v>1</v>
      </c>
      <c r="O24" s="113">
        <v>1</v>
      </c>
      <c r="P24" s="113"/>
      <c r="Q24" s="113"/>
      <c r="R24" s="113">
        <v>1</v>
      </c>
      <c r="S24" s="113">
        <v>1</v>
      </c>
      <c r="T24" s="113"/>
      <c r="U24" s="113"/>
      <c r="V24" s="113">
        <v>1</v>
      </c>
      <c r="W24" s="113">
        <v>1</v>
      </c>
      <c r="X24" s="103"/>
      <c r="Y24" s="113">
        <v>1</v>
      </c>
      <c r="Z24" s="113">
        <v>1</v>
      </c>
      <c r="AA24" s="113"/>
      <c r="AB24" s="113"/>
      <c r="AC24" s="113">
        <v>1</v>
      </c>
      <c r="AD24" s="113">
        <v>1</v>
      </c>
      <c r="AE24" s="113"/>
      <c r="AF24" s="113"/>
      <c r="AG24" s="113">
        <v>1</v>
      </c>
      <c r="AH24" s="113">
        <v>1</v>
      </c>
      <c r="AI24" s="103"/>
    </row>
    <row r="25" spans="1:35" ht="15" thickBot="1">
      <c r="B25" s="21" t="s">
        <v>7</v>
      </c>
      <c r="C25" s="61">
        <f t="shared" ref="C25:L25" si="38">C5/C65</f>
        <v>0.26327527722175731</v>
      </c>
      <c r="D25" s="62">
        <f t="shared" si="38"/>
        <v>0.26949032349362723</v>
      </c>
      <c r="E25" s="69"/>
      <c r="F25" s="70"/>
      <c r="G25" s="77">
        <f t="shared" si="38"/>
        <v>0.70144846217142853</v>
      </c>
      <c r="H25" s="78">
        <f t="shared" si="38"/>
        <v>0.81453506838993794</v>
      </c>
      <c r="I25" s="85">
        <f t="shared" si="38"/>
        <v>0</v>
      </c>
      <c r="J25" s="86">
        <f t="shared" si="38"/>
        <v>0</v>
      </c>
      <c r="K25" s="93">
        <f t="shared" si="38"/>
        <v>1.3821398903999997</v>
      </c>
      <c r="L25" s="13">
        <f t="shared" si="38"/>
        <v>2.4061257089081511</v>
      </c>
      <c r="M25" s="103"/>
      <c r="N25" s="61">
        <f t="shared" ref="N25:W25" si="39">N5/N65</f>
        <v>0.6315019819396207</v>
      </c>
      <c r="O25" s="62">
        <f t="shared" si="39"/>
        <v>0.66109469476485572</v>
      </c>
      <c r="P25" s="69"/>
      <c r="Q25" s="70"/>
      <c r="R25" s="77">
        <f t="shared" si="39"/>
        <v>0.58456793443417676</v>
      </c>
      <c r="S25" s="78">
        <f t="shared" si="39"/>
        <v>0.61849219401618227</v>
      </c>
      <c r="T25" s="85"/>
      <c r="U25" s="86"/>
      <c r="V25" s="93">
        <f t="shared" si="39"/>
        <v>0.98157164022598875</v>
      </c>
      <c r="W25" s="13">
        <f t="shared" si="39"/>
        <v>1.4269408974792994</v>
      </c>
      <c r="X25" s="103"/>
      <c r="Y25" s="61">
        <f t="shared" ref="Y25:AH25" si="40">Y5/Y65</f>
        <v>3.0444655424124503</v>
      </c>
      <c r="Z25" s="62">
        <f t="shared" si="40"/>
        <v>2.397942599690448</v>
      </c>
      <c r="AA25" s="69"/>
      <c r="AB25" s="70"/>
      <c r="AC25" s="77">
        <f t="shared" si="40"/>
        <v>2.6351035087719281</v>
      </c>
      <c r="AD25" s="78">
        <f t="shared" si="40"/>
        <v>2.0505220146084255</v>
      </c>
      <c r="AE25" s="85"/>
      <c r="AF25" s="86"/>
      <c r="AG25" s="93">
        <f t="shared" si="40"/>
        <v>4.4647738156521752</v>
      </c>
      <c r="AH25" s="13">
        <f t="shared" si="40"/>
        <v>3.1079433506960989</v>
      </c>
      <c r="AI25" s="103"/>
    </row>
    <row r="26" spans="1:35">
      <c r="A26" s="361">
        <v>1</v>
      </c>
      <c r="B26" s="22">
        <v>43101</v>
      </c>
      <c r="C26" s="63">
        <f t="shared" ref="C26:L26" si="41">C6/C66</f>
        <v>0.4309607548456853</v>
      </c>
      <c r="D26" s="64">
        <f t="shared" si="41"/>
        <v>0.34523826940795999</v>
      </c>
      <c r="E26" s="71"/>
      <c r="F26" s="72"/>
      <c r="G26" s="79">
        <f t="shared" si="41"/>
        <v>1.2502634397275489</v>
      </c>
      <c r="H26" s="80">
        <f t="shared" si="41"/>
        <v>1.2524375180292056</v>
      </c>
      <c r="I26" s="87">
        <f t="shared" si="41"/>
        <v>0</v>
      </c>
      <c r="J26" s="88">
        <f t="shared" si="41"/>
        <v>0</v>
      </c>
      <c r="K26" s="94">
        <f t="shared" si="41"/>
        <v>1.5481179627190345</v>
      </c>
      <c r="L26" s="12">
        <f t="shared" si="41"/>
        <v>1.2654502196137931</v>
      </c>
      <c r="M26" s="101"/>
      <c r="N26" s="63">
        <f t="shared" ref="N26:W26" si="42">N6/N66</f>
        <v>1.1503481677681864</v>
      </c>
      <c r="O26" s="64">
        <f t="shared" si="42"/>
        <v>1.1535498662085708</v>
      </c>
      <c r="P26" s="71"/>
      <c r="Q26" s="72"/>
      <c r="R26" s="79">
        <f t="shared" si="42"/>
        <v>1.1171399708064291</v>
      </c>
      <c r="S26" s="80">
        <f t="shared" si="42"/>
        <v>1.1311532106458324</v>
      </c>
      <c r="T26" s="87"/>
      <c r="U26" s="88"/>
      <c r="V26" s="94">
        <f t="shared" si="42"/>
        <v>1.3980400413778582</v>
      </c>
      <c r="W26" s="12">
        <f t="shared" si="42"/>
        <v>1.5561645793075574</v>
      </c>
      <c r="X26" s="101"/>
      <c r="Y26" s="63">
        <f t="shared" ref="Y26:AH26" si="43">Y6/Y66</f>
        <v>3.2849331846288581</v>
      </c>
      <c r="Z26" s="64">
        <f t="shared" si="43"/>
        <v>1.7016797974695819</v>
      </c>
      <c r="AA26" s="71"/>
      <c r="AB26" s="72"/>
      <c r="AC26" s="79">
        <f t="shared" si="43"/>
        <v>3.4526394255629138</v>
      </c>
      <c r="AD26" s="80">
        <f t="shared" si="43"/>
        <v>2.0170958673105193</v>
      </c>
      <c r="AE26" s="87"/>
      <c r="AF26" s="88"/>
      <c r="AG26" s="94">
        <f t="shared" si="43"/>
        <v>2.7030654443446105</v>
      </c>
      <c r="AH26" s="12">
        <f t="shared" si="43"/>
        <v>1.0570845832468976</v>
      </c>
      <c r="AI26" s="101"/>
    </row>
    <row r="27" spans="1:35">
      <c r="A27" s="361">
        <v>2</v>
      </c>
      <c r="B27" s="23">
        <v>43132</v>
      </c>
      <c r="C27" s="65">
        <f t="shared" ref="C27:L27" si="44">C7/C67</f>
        <v>0.42688664699299106</v>
      </c>
      <c r="D27" s="66">
        <f t="shared" si="44"/>
        <v>0.31400908403405597</v>
      </c>
      <c r="E27" s="73"/>
      <c r="F27" s="74"/>
      <c r="G27" s="81">
        <f t="shared" si="44"/>
        <v>1.2594493674962468</v>
      </c>
      <c r="H27" s="82">
        <f t="shared" si="44"/>
        <v>1.11806582743657</v>
      </c>
      <c r="I27" s="89">
        <f t="shared" si="44"/>
        <v>0</v>
      </c>
      <c r="J27" s="90">
        <f t="shared" si="44"/>
        <v>0</v>
      </c>
      <c r="K27" s="95">
        <f t="shared" si="44"/>
        <v>1.3864452906587592</v>
      </c>
      <c r="L27" s="10">
        <f t="shared" si="44"/>
        <v>1.3342857901170555</v>
      </c>
      <c r="M27" s="101"/>
      <c r="N27" s="65">
        <f t="shared" ref="N27:W27" si="45">N7/N67</f>
        <v>1.1909374833303321</v>
      </c>
      <c r="O27" s="66">
        <f t="shared" si="45"/>
        <v>1.062321398119517</v>
      </c>
      <c r="P27" s="73"/>
      <c r="Q27" s="74"/>
      <c r="R27" s="81">
        <f t="shared" si="45"/>
        <v>1.1676401376577707</v>
      </c>
      <c r="S27" s="82">
        <f t="shared" si="45"/>
        <v>1.035006480289193</v>
      </c>
      <c r="T27" s="89"/>
      <c r="U27" s="90"/>
      <c r="V27" s="95">
        <f t="shared" si="45"/>
        <v>1.364706724894827</v>
      </c>
      <c r="W27" s="10">
        <f t="shared" si="45"/>
        <v>1.5533495239382138</v>
      </c>
      <c r="X27" s="101"/>
      <c r="Y27" s="65">
        <f t="shared" ref="Y27:AH27" si="46">Y7/Y67</f>
        <v>2.504344091287201</v>
      </c>
      <c r="Z27" s="66">
        <f t="shared" si="46"/>
        <v>1.4891298923950467</v>
      </c>
      <c r="AA27" s="73"/>
      <c r="AB27" s="74"/>
      <c r="AC27" s="81">
        <f t="shared" si="46"/>
        <v>2.7783283804380554</v>
      </c>
      <c r="AD27" s="82">
        <f t="shared" si="46"/>
        <v>1.6417281597887585</v>
      </c>
      <c r="AE27" s="89"/>
      <c r="AF27" s="90"/>
      <c r="AG27" s="95">
        <f t="shared" si="46"/>
        <v>1.5537377315377146</v>
      </c>
      <c r="AH27" s="10">
        <f t="shared" si="46"/>
        <v>1.1772747833314396</v>
      </c>
      <c r="AI27" s="101"/>
    </row>
    <row r="28" spans="1:35">
      <c r="A28" s="361">
        <v>3</v>
      </c>
      <c r="B28" s="23">
        <v>43160</v>
      </c>
      <c r="C28" s="65">
        <f t="shared" ref="C28:L28" si="47">C8/C68</f>
        <v>0.38889023098674086</v>
      </c>
      <c r="D28" s="66">
        <f t="shared" si="47"/>
        <v>0.39050984517795495</v>
      </c>
      <c r="E28" s="73"/>
      <c r="F28" s="74"/>
      <c r="G28" s="81">
        <f t="shared" si="47"/>
        <v>1.0571668299343671</v>
      </c>
      <c r="H28" s="82">
        <f t="shared" si="47"/>
        <v>1.2885484429934844</v>
      </c>
      <c r="I28" s="89">
        <f t="shared" si="47"/>
        <v>0</v>
      </c>
      <c r="J28" s="90">
        <f t="shared" si="47"/>
        <v>0</v>
      </c>
      <c r="K28" s="95">
        <f t="shared" si="47"/>
        <v>1.8943087110425376</v>
      </c>
      <c r="L28" s="10">
        <f t="shared" si="47"/>
        <v>2.5454990645595488</v>
      </c>
      <c r="M28" s="101"/>
      <c r="N28" s="65">
        <f t="shared" ref="N28:W28" si="48">N8/N68</f>
        <v>1.0512640182860953</v>
      </c>
      <c r="O28" s="66">
        <f t="shared" si="48"/>
        <v>1.2067291130652522</v>
      </c>
      <c r="P28" s="73"/>
      <c r="Q28" s="74"/>
      <c r="R28" s="81">
        <f t="shared" si="48"/>
        <v>0.93259374005300555</v>
      </c>
      <c r="S28" s="82">
        <f t="shared" si="48"/>
        <v>1.1138861788278553</v>
      </c>
      <c r="T28" s="89"/>
      <c r="U28" s="90"/>
      <c r="V28" s="95">
        <f t="shared" si="48"/>
        <v>1.9363967941240912</v>
      </c>
      <c r="W28" s="10">
        <f t="shared" si="48"/>
        <v>2.8757252373547781</v>
      </c>
      <c r="X28" s="101"/>
      <c r="Y28" s="65">
        <f t="shared" ref="Y28:AH28" si="49">Y8/Y68</f>
        <v>2.7718172756680888</v>
      </c>
      <c r="Z28" s="66">
        <f t="shared" si="49"/>
        <v>2.3631497076402397</v>
      </c>
      <c r="AA28" s="73"/>
      <c r="AB28" s="74"/>
      <c r="AC28" s="81">
        <f t="shared" si="49"/>
        <v>3.1180865449891746</v>
      </c>
      <c r="AD28" s="82">
        <f t="shared" si="49"/>
        <v>2.3897375537698728</v>
      </c>
      <c r="AE28" s="89"/>
      <c r="AF28" s="90"/>
      <c r="AG28" s="95">
        <f t="shared" si="49"/>
        <v>1.5704134629801481</v>
      </c>
      <c r="AH28" s="10">
        <f t="shared" si="49"/>
        <v>2.3088138636222308</v>
      </c>
      <c r="AI28" s="101"/>
    </row>
    <row r="29" spans="1:35">
      <c r="A29" s="361">
        <v>4</v>
      </c>
      <c r="B29" s="23">
        <v>43191</v>
      </c>
      <c r="C29" s="65">
        <f t="shared" ref="C29:L29" si="50">C9/C69</f>
        <v>0.4678642976596919</v>
      </c>
      <c r="D29" s="66">
        <f t="shared" si="50"/>
        <v>0.52612441131886156</v>
      </c>
      <c r="E29" s="73"/>
      <c r="F29" s="74"/>
      <c r="G29" s="81">
        <f t="shared" si="50"/>
        <v>1.0530213991444657</v>
      </c>
      <c r="H29" s="82">
        <f t="shared" si="50"/>
        <v>1.2428331114911475</v>
      </c>
      <c r="I29" s="89">
        <f t="shared" si="50"/>
        <v>0</v>
      </c>
      <c r="J29" s="90">
        <f t="shared" si="50"/>
        <v>0</v>
      </c>
      <c r="K29" s="95">
        <f t="shared" si="50"/>
        <v>3.8108069200553794</v>
      </c>
      <c r="L29" s="10">
        <f t="shared" si="50"/>
        <v>7.7181416176387403</v>
      </c>
      <c r="M29" s="101"/>
      <c r="N29" s="65">
        <f t="shared" ref="N29:W29" si="51">N9/N69</f>
        <v>1.0397866160165166</v>
      </c>
      <c r="O29" s="66">
        <f t="shared" si="51"/>
        <v>1.1247612681452972</v>
      </c>
      <c r="P29" s="73"/>
      <c r="Q29" s="74"/>
      <c r="R29" s="81">
        <f t="shared" si="51"/>
        <v>0.88190668414789974</v>
      </c>
      <c r="S29" s="82">
        <f t="shared" si="51"/>
        <v>0.98607279524243752</v>
      </c>
      <c r="T29" s="89"/>
      <c r="U29" s="90"/>
      <c r="V29" s="95">
        <f t="shared" si="51"/>
        <v>2.2173746728128312</v>
      </c>
      <c r="W29" s="10">
        <f t="shared" si="51"/>
        <v>3.6179022449981137</v>
      </c>
      <c r="X29" s="101"/>
      <c r="Y29" s="65">
        <f t="shared" ref="Y29:AH29" si="52">Y9/Y69</f>
        <v>6.6111169388462949</v>
      </c>
      <c r="Z29" s="66">
        <f t="shared" si="52"/>
        <v>5.4228082762886833</v>
      </c>
      <c r="AA29" s="73"/>
      <c r="AB29" s="74"/>
      <c r="AC29" s="81">
        <f t="shared" si="52"/>
        <v>3.8839192279472989</v>
      </c>
      <c r="AD29" s="82">
        <f t="shared" si="52"/>
        <v>2.8616239000066459</v>
      </c>
      <c r="AE29" s="89"/>
      <c r="AF29" s="90"/>
      <c r="AG29" s="95">
        <f t="shared" si="52"/>
        <v>16.073307257530644</v>
      </c>
      <c r="AH29" s="10">
        <f t="shared" si="52"/>
        <v>10.656933451096247</v>
      </c>
      <c r="AI29" s="101"/>
    </row>
    <row r="30" spans="1:35">
      <c r="A30" s="361">
        <v>5</v>
      </c>
      <c r="B30" s="23">
        <v>43221</v>
      </c>
      <c r="C30" s="65">
        <f t="shared" ref="C30:L30" si="53">C10/C70</f>
        <v>0.49137767124106613</v>
      </c>
      <c r="D30" s="66">
        <f t="shared" si="53"/>
        <v>0.63687661015838348</v>
      </c>
      <c r="E30" s="73"/>
      <c r="F30" s="74"/>
      <c r="G30" s="81">
        <f t="shared" si="53"/>
        <v>1.1156668343971425</v>
      </c>
      <c r="H30" s="82">
        <f t="shared" si="53"/>
        <v>1.3930493394348409</v>
      </c>
      <c r="I30" s="89">
        <f t="shared" si="53"/>
        <v>0</v>
      </c>
      <c r="J30" s="90">
        <f t="shared" si="53"/>
        <v>0</v>
      </c>
      <c r="K30" s="95">
        <f t="shared" si="53"/>
        <v>3.9342585018814829</v>
      </c>
      <c r="L30" s="10">
        <f t="shared" si="53"/>
        <v>10.31160979077195</v>
      </c>
      <c r="M30" s="101"/>
      <c r="N30" s="65">
        <f t="shared" ref="N30:W30" si="54">N10/N70</f>
        <v>0.96500690318540738</v>
      </c>
      <c r="O30" s="66">
        <f t="shared" si="54"/>
        <v>1.0724326929038019</v>
      </c>
      <c r="P30" s="73"/>
      <c r="Q30" s="74"/>
      <c r="R30" s="81">
        <f t="shared" si="54"/>
        <v>0.86150846034834572</v>
      </c>
      <c r="S30" s="82">
        <f t="shared" si="54"/>
        <v>0.95596592134077607</v>
      </c>
      <c r="T30" s="89"/>
      <c r="U30" s="90"/>
      <c r="V30" s="95">
        <f t="shared" si="54"/>
        <v>1.7369766446175472</v>
      </c>
      <c r="W30" s="10">
        <f t="shared" si="54"/>
        <v>3.166104030888143</v>
      </c>
      <c r="X30" s="101"/>
      <c r="Y30" s="65">
        <f t="shared" ref="Y30:AH30" si="55">Y10/Y70</f>
        <v>8.7935499327150222</v>
      </c>
      <c r="Z30" s="66">
        <f t="shared" si="55"/>
        <v>7.8562390791494092</v>
      </c>
      <c r="AA30" s="73"/>
      <c r="AB30" s="74"/>
      <c r="AC30" s="81">
        <f t="shared" si="55"/>
        <v>5.3204273033096943</v>
      </c>
      <c r="AD30" s="82">
        <f t="shared" si="55"/>
        <v>4.1487189902627266</v>
      </c>
      <c r="AE30" s="89"/>
      <c r="AF30" s="90"/>
      <c r="AG30" s="95">
        <f t="shared" si="55"/>
        <v>20.843775403434368</v>
      </c>
      <c r="AH30" s="10">
        <f t="shared" si="55"/>
        <v>15.433055653954881</v>
      </c>
      <c r="AI30" s="101"/>
    </row>
    <row r="31" spans="1:35">
      <c r="A31" s="361">
        <v>6</v>
      </c>
      <c r="B31" s="23">
        <v>43252</v>
      </c>
      <c r="C31" s="65">
        <f t="shared" ref="C31:L31" si="56">C11/C71</f>
        <v>0.45049996159825351</v>
      </c>
      <c r="D31" s="66">
        <f t="shared" si="56"/>
        <v>0.48110004061062767</v>
      </c>
      <c r="E31" s="73"/>
      <c r="F31" s="74"/>
      <c r="G31" s="81">
        <f t="shared" si="56"/>
        <v>1.3032965811124271</v>
      </c>
      <c r="H31" s="82">
        <f t="shared" si="56"/>
        <v>1.5932438102825739</v>
      </c>
      <c r="I31" s="89">
        <f t="shared" si="56"/>
        <v>0</v>
      </c>
      <c r="J31" s="90">
        <f t="shared" si="56"/>
        <v>0</v>
      </c>
      <c r="K31" s="95">
        <f t="shared" si="56"/>
        <v>1.6438730144112697</v>
      </c>
      <c r="L31" s="10">
        <f t="shared" si="56"/>
        <v>3.0857517112956314</v>
      </c>
      <c r="M31" s="101"/>
      <c r="N31" s="65">
        <f t="shared" ref="N31:W31" si="57">N11/N71</f>
        <v>1.0777503734827021</v>
      </c>
      <c r="O31" s="66">
        <f t="shared" si="57"/>
        <v>1.0443277826720587</v>
      </c>
      <c r="P31" s="73"/>
      <c r="Q31" s="74"/>
      <c r="R31" s="81">
        <f t="shared" si="57"/>
        <v>1.0361101875403105</v>
      </c>
      <c r="S31" s="82">
        <f t="shared" si="57"/>
        <v>0.97963171421912532</v>
      </c>
      <c r="T31" s="89"/>
      <c r="U31" s="90"/>
      <c r="V31" s="95">
        <f t="shared" si="57"/>
        <v>1.3883344044496246</v>
      </c>
      <c r="W31" s="10">
        <f t="shared" si="57"/>
        <v>2.2073402228930821</v>
      </c>
      <c r="X31" s="101"/>
      <c r="Y31" s="65">
        <f t="shared" ref="Y31:AH31" si="58">Y11/Y71</f>
        <v>5.2507972496240285</v>
      </c>
      <c r="Z31" s="66">
        <f t="shared" si="58"/>
        <v>4.8880399018406555</v>
      </c>
      <c r="AA31" s="73"/>
      <c r="AB31" s="74"/>
      <c r="AC31" s="81">
        <f t="shared" si="58"/>
        <v>5.7235907765248077</v>
      </c>
      <c r="AD31" s="82">
        <f t="shared" si="58"/>
        <v>5.4618697075455804</v>
      </c>
      <c r="AE31" s="89"/>
      <c r="AF31" s="90"/>
      <c r="AG31" s="95">
        <f t="shared" si="58"/>
        <v>3.6104092736813214</v>
      </c>
      <c r="AH31" s="10">
        <f t="shared" si="58"/>
        <v>3.7153414190960707</v>
      </c>
      <c r="AI31" s="101"/>
    </row>
    <row r="32" spans="1:35">
      <c r="A32" s="361">
        <v>7</v>
      </c>
      <c r="B32" s="23">
        <v>43282</v>
      </c>
      <c r="C32" s="65">
        <f t="shared" ref="C32:L32" si="59">C12/C72</f>
        <v>0.43460469365040894</v>
      </c>
      <c r="D32" s="66">
        <f t="shared" si="59"/>
        <v>0.38482191977949926</v>
      </c>
      <c r="E32" s="73"/>
      <c r="F32" s="74"/>
      <c r="G32" s="81">
        <f t="shared" si="59"/>
        <v>1.1999551087437244</v>
      </c>
      <c r="H32" s="82">
        <f t="shared" si="59"/>
        <v>1.3026409578518581</v>
      </c>
      <c r="I32" s="89">
        <f t="shared" si="59"/>
        <v>0</v>
      </c>
      <c r="J32" s="90">
        <f t="shared" si="59"/>
        <v>0</v>
      </c>
      <c r="K32" s="95">
        <f t="shared" si="59"/>
        <v>1.9873664170387018</v>
      </c>
      <c r="L32" s="10">
        <f t="shared" si="59"/>
        <v>2.2226785754600309</v>
      </c>
      <c r="M32" s="101"/>
      <c r="N32" s="65">
        <f t="shared" ref="N32:W32" si="60">N12/N72</f>
        <v>1.0308742010767116</v>
      </c>
      <c r="O32" s="66">
        <f t="shared" si="60"/>
        <v>0.94900960162210479</v>
      </c>
      <c r="P32" s="73"/>
      <c r="Q32" s="74"/>
      <c r="R32" s="81">
        <f t="shared" si="60"/>
        <v>0.95395365591619508</v>
      </c>
      <c r="S32" s="82">
        <f t="shared" si="60"/>
        <v>0.8953670633379226</v>
      </c>
      <c r="T32" s="89"/>
      <c r="U32" s="90"/>
      <c r="V32" s="95">
        <f t="shared" si="60"/>
        <v>1.6046058605169031</v>
      </c>
      <c r="W32" s="10">
        <f t="shared" si="60"/>
        <v>1.9133176475572844</v>
      </c>
      <c r="X32" s="101"/>
      <c r="Y32" s="65">
        <f t="shared" ref="Y32:AH32" si="61">Y12/Y72</f>
        <v>5.1944122742889229</v>
      </c>
      <c r="Z32" s="66">
        <f t="shared" si="61"/>
        <v>3.4018648029886052</v>
      </c>
      <c r="AA32" s="73"/>
      <c r="AB32" s="74"/>
      <c r="AC32" s="81">
        <f t="shared" si="61"/>
        <v>5.269768617802665</v>
      </c>
      <c r="AD32" s="82">
        <f t="shared" si="61"/>
        <v>3.8703711993248819</v>
      </c>
      <c r="AE32" s="89"/>
      <c r="AF32" s="90"/>
      <c r="AG32" s="95">
        <f t="shared" si="61"/>
        <v>4.9329585259238513</v>
      </c>
      <c r="AH32" s="10">
        <f t="shared" si="61"/>
        <v>2.4444088906649992</v>
      </c>
      <c r="AI32" s="101"/>
    </row>
    <row r="33" spans="1:35">
      <c r="A33" s="361">
        <v>8</v>
      </c>
      <c r="B33" s="23">
        <v>43313</v>
      </c>
      <c r="C33" s="65">
        <f t="shared" ref="C33:L33" si="62">C13/C73</f>
        <v>0.3919901480926043</v>
      </c>
      <c r="D33" s="66">
        <f t="shared" si="62"/>
        <v>0.4367769320194963</v>
      </c>
      <c r="E33" s="73"/>
      <c r="F33" s="74"/>
      <c r="G33" s="81">
        <f t="shared" si="62"/>
        <v>1.082116330455521</v>
      </c>
      <c r="H33" s="82">
        <f t="shared" si="62"/>
        <v>1.4972997382507514</v>
      </c>
      <c r="I33" s="89">
        <f t="shared" si="62"/>
        <v>0</v>
      </c>
      <c r="J33" s="90">
        <f t="shared" si="62"/>
        <v>0</v>
      </c>
      <c r="K33" s="95">
        <f t="shared" si="62"/>
        <v>1.7937502262245963</v>
      </c>
      <c r="L33" s="10">
        <f t="shared" si="62"/>
        <v>2.3593856539513882</v>
      </c>
      <c r="M33" s="101"/>
      <c r="N33" s="65">
        <f t="shared" ref="N33:W33" si="63">N13/N73</f>
        <v>0.92941994262729088</v>
      </c>
      <c r="O33" s="66">
        <f t="shared" si="63"/>
        <v>1.1664519620391229</v>
      </c>
      <c r="P33" s="73"/>
      <c r="Q33" s="74"/>
      <c r="R33" s="81">
        <f t="shared" si="63"/>
        <v>0.8757909986841721</v>
      </c>
      <c r="S33" s="82">
        <f t="shared" si="63"/>
        <v>1.1298183166457509</v>
      </c>
      <c r="T33" s="89"/>
      <c r="U33" s="90"/>
      <c r="V33" s="95">
        <f t="shared" si="63"/>
        <v>1.3294252069985075</v>
      </c>
      <c r="W33" s="10">
        <f t="shared" si="63"/>
        <v>1.8249987074898624</v>
      </c>
      <c r="X33" s="101"/>
      <c r="Y33" s="65">
        <f t="shared" ref="Y33:AH33" si="64">Y13/Y73</f>
        <v>4.6905191612944401</v>
      </c>
      <c r="Z33" s="66">
        <f t="shared" si="64"/>
        <v>3.4620226611634326</v>
      </c>
      <c r="AA33" s="73"/>
      <c r="AB33" s="74"/>
      <c r="AC33" s="81">
        <f t="shared" si="64"/>
        <v>4.4955336613394108</v>
      </c>
      <c r="AD33" s="82">
        <f t="shared" si="64"/>
        <v>3.814151302137013</v>
      </c>
      <c r="AE33" s="89"/>
      <c r="AF33" s="90"/>
      <c r="AG33" s="95">
        <f t="shared" si="64"/>
        <v>5.3670340698340642</v>
      </c>
      <c r="AH33" s="10">
        <f t="shared" si="64"/>
        <v>2.7424003639330707</v>
      </c>
      <c r="AI33" s="101"/>
    </row>
    <row r="34" spans="1:35">
      <c r="A34" s="361">
        <v>9</v>
      </c>
      <c r="B34" s="23">
        <v>43344</v>
      </c>
      <c r="C34" s="65">
        <f t="shared" ref="C34:L34" si="65">C14/C74</f>
        <v>0</v>
      </c>
      <c r="D34" s="66">
        <f t="shared" si="65"/>
        <v>0</v>
      </c>
      <c r="E34" s="73"/>
      <c r="F34" s="74"/>
      <c r="G34" s="81">
        <f t="shared" si="65"/>
        <v>0</v>
      </c>
      <c r="H34" s="82">
        <f t="shared" si="65"/>
        <v>0</v>
      </c>
      <c r="I34" s="89">
        <f t="shared" si="65"/>
        <v>0</v>
      </c>
      <c r="J34" s="90">
        <f t="shared" si="65"/>
        <v>0</v>
      </c>
      <c r="K34" s="95">
        <f t="shared" si="65"/>
        <v>0</v>
      </c>
      <c r="L34" s="10">
        <f t="shared" si="65"/>
        <v>0</v>
      </c>
      <c r="M34" s="101"/>
      <c r="N34" s="65">
        <f t="shared" ref="N34:W34" si="66">N14/N74</f>
        <v>0</v>
      </c>
      <c r="O34" s="66">
        <f t="shared" si="66"/>
        <v>0</v>
      </c>
      <c r="P34" s="73"/>
      <c r="Q34" s="74"/>
      <c r="R34" s="81">
        <f t="shared" si="66"/>
        <v>0</v>
      </c>
      <c r="S34" s="82">
        <f t="shared" si="66"/>
        <v>0</v>
      </c>
      <c r="T34" s="89"/>
      <c r="U34" s="90"/>
      <c r="V34" s="95">
        <f t="shared" si="66"/>
        <v>0</v>
      </c>
      <c r="W34" s="10">
        <f t="shared" si="66"/>
        <v>0</v>
      </c>
      <c r="X34" s="101"/>
      <c r="Y34" s="65">
        <f t="shared" ref="Y34:AH34" si="67">Y14/Y74</f>
        <v>0</v>
      </c>
      <c r="Z34" s="66">
        <f t="shared" si="67"/>
        <v>0</v>
      </c>
      <c r="AA34" s="73"/>
      <c r="AB34" s="74"/>
      <c r="AC34" s="81">
        <f t="shared" si="67"/>
        <v>0</v>
      </c>
      <c r="AD34" s="82">
        <f t="shared" si="67"/>
        <v>0</v>
      </c>
      <c r="AE34" s="89"/>
      <c r="AF34" s="90"/>
      <c r="AG34" s="95">
        <f t="shared" si="67"/>
        <v>0</v>
      </c>
      <c r="AH34" s="10">
        <f t="shared" si="67"/>
        <v>0</v>
      </c>
      <c r="AI34" s="101"/>
    </row>
    <row r="35" spans="1:35">
      <c r="A35" s="361">
        <v>10</v>
      </c>
      <c r="B35" s="23">
        <v>43374</v>
      </c>
      <c r="C35" s="65">
        <f t="shared" ref="C35:L35" si="68">C15/C75</f>
        <v>0</v>
      </c>
      <c r="D35" s="66">
        <f t="shared" si="68"/>
        <v>0</v>
      </c>
      <c r="E35" s="73"/>
      <c r="F35" s="74"/>
      <c r="G35" s="81">
        <f t="shared" si="68"/>
        <v>0</v>
      </c>
      <c r="H35" s="82">
        <f t="shared" si="68"/>
        <v>0</v>
      </c>
      <c r="I35" s="89">
        <f t="shared" si="68"/>
        <v>0</v>
      </c>
      <c r="J35" s="90">
        <f t="shared" si="68"/>
        <v>0</v>
      </c>
      <c r="K35" s="95">
        <f t="shared" si="68"/>
        <v>0</v>
      </c>
      <c r="L35" s="10">
        <f t="shared" si="68"/>
        <v>0</v>
      </c>
      <c r="M35" s="101"/>
      <c r="N35" s="65">
        <f t="shared" ref="N35:W35" si="69">N15/N75</f>
        <v>0</v>
      </c>
      <c r="O35" s="66">
        <f t="shared" si="69"/>
        <v>0</v>
      </c>
      <c r="P35" s="73"/>
      <c r="Q35" s="74"/>
      <c r="R35" s="81">
        <f t="shared" si="69"/>
        <v>0</v>
      </c>
      <c r="S35" s="82">
        <f t="shared" si="69"/>
        <v>0</v>
      </c>
      <c r="T35" s="89"/>
      <c r="U35" s="90"/>
      <c r="V35" s="95">
        <f t="shared" si="69"/>
        <v>0</v>
      </c>
      <c r="W35" s="10">
        <f t="shared" si="69"/>
        <v>0</v>
      </c>
      <c r="X35" s="101"/>
      <c r="Y35" s="65">
        <f t="shared" ref="Y35:AH35" si="70">Y15/Y75</f>
        <v>0</v>
      </c>
      <c r="Z35" s="66">
        <f t="shared" si="70"/>
        <v>0</v>
      </c>
      <c r="AA35" s="73"/>
      <c r="AB35" s="74"/>
      <c r="AC35" s="81">
        <f t="shared" si="70"/>
        <v>0</v>
      </c>
      <c r="AD35" s="82">
        <f t="shared" si="70"/>
        <v>0</v>
      </c>
      <c r="AE35" s="89"/>
      <c r="AF35" s="90"/>
      <c r="AG35" s="95">
        <f t="shared" si="70"/>
        <v>0</v>
      </c>
      <c r="AH35" s="10">
        <f t="shared" si="70"/>
        <v>0</v>
      </c>
      <c r="AI35" s="101"/>
    </row>
    <row r="36" spans="1:35">
      <c r="A36" s="361">
        <v>11</v>
      </c>
      <c r="B36" s="23">
        <v>43405</v>
      </c>
      <c r="C36" s="65">
        <f t="shared" ref="C36:L36" si="71">C16/C76</f>
        <v>0</v>
      </c>
      <c r="D36" s="66">
        <f t="shared" si="71"/>
        <v>0</v>
      </c>
      <c r="E36" s="73"/>
      <c r="F36" s="74"/>
      <c r="G36" s="81">
        <f t="shared" si="71"/>
        <v>0</v>
      </c>
      <c r="H36" s="82">
        <f t="shared" si="71"/>
        <v>0</v>
      </c>
      <c r="I36" s="89">
        <f t="shared" si="71"/>
        <v>0</v>
      </c>
      <c r="J36" s="90">
        <f t="shared" si="71"/>
        <v>0</v>
      </c>
      <c r="K36" s="95">
        <f t="shared" si="71"/>
        <v>0</v>
      </c>
      <c r="L36" s="10">
        <f t="shared" si="71"/>
        <v>0</v>
      </c>
      <c r="M36" s="101"/>
      <c r="N36" s="65">
        <f t="shared" ref="N36:W36" si="72">N16/N76</f>
        <v>0</v>
      </c>
      <c r="O36" s="66">
        <f t="shared" si="72"/>
        <v>0</v>
      </c>
      <c r="P36" s="73"/>
      <c r="Q36" s="74"/>
      <c r="R36" s="81">
        <f t="shared" si="72"/>
        <v>0</v>
      </c>
      <c r="S36" s="82">
        <f t="shared" si="72"/>
        <v>0</v>
      </c>
      <c r="T36" s="89"/>
      <c r="U36" s="90"/>
      <c r="V36" s="95">
        <f t="shared" si="72"/>
        <v>0</v>
      </c>
      <c r="W36" s="10">
        <f t="shared" si="72"/>
        <v>0</v>
      </c>
      <c r="X36" s="101"/>
      <c r="Y36" s="65">
        <f t="shared" ref="Y36:AH36" si="73">Y16/Y76</f>
        <v>0</v>
      </c>
      <c r="Z36" s="66">
        <f t="shared" si="73"/>
        <v>0</v>
      </c>
      <c r="AA36" s="73"/>
      <c r="AB36" s="74"/>
      <c r="AC36" s="81">
        <f t="shared" si="73"/>
        <v>0</v>
      </c>
      <c r="AD36" s="82">
        <f t="shared" si="73"/>
        <v>0</v>
      </c>
      <c r="AE36" s="89"/>
      <c r="AF36" s="90"/>
      <c r="AG36" s="95">
        <f t="shared" si="73"/>
        <v>0</v>
      </c>
      <c r="AH36" s="10">
        <f t="shared" si="73"/>
        <v>0</v>
      </c>
      <c r="AI36" s="101"/>
    </row>
    <row r="37" spans="1:35" ht="15" thickBot="1">
      <c r="A37" s="361">
        <v>12</v>
      </c>
      <c r="B37" s="24">
        <v>43435</v>
      </c>
      <c r="C37" s="67">
        <f t="shared" ref="C37:L37" si="74">C17/C77</f>
        <v>0</v>
      </c>
      <c r="D37" s="68">
        <f t="shared" si="74"/>
        <v>0</v>
      </c>
      <c r="E37" s="75"/>
      <c r="F37" s="76"/>
      <c r="G37" s="83">
        <f t="shared" si="74"/>
        <v>0</v>
      </c>
      <c r="H37" s="84">
        <f t="shared" si="74"/>
        <v>0</v>
      </c>
      <c r="I37" s="91">
        <f t="shared" si="74"/>
        <v>0</v>
      </c>
      <c r="J37" s="92">
        <f t="shared" si="74"/>
        <v>0</v>
      </c>
      <c r="K37" s="96">
        <f t="shared" si="74"/>
        <v>0</v>
      </c>
      <c r="L37" s="11">
        <f t="shared" si="74"/>
        <v>0</v>
      </c>
      <c r="M37" s="101"/>
      <c r="N37" s="67">
        <f t="shared" ref="N37:W37" si="75">N17/N77</f>
        <v>0</v>
      </c>
      <c r="O37" s="68">
        <f t="shared" si="75"/>
        <v>0</v>
      </c>
      <c r="P37" s="75"/>
      <c r="Q37" s="76"/>
      <c r="R37" s="83">
        <f t="shared" si="75"/>
        <v>0</v>
      </c>
      <c r="S37" s="84">
        <f t="shared" si="75"/>
        <v>0</v>
      </c>
      <c r="T37" s="91"/>
      <c r="U37" s="92"/>
      <c r="V37" s="96">
        <f t="shared" si="75"/>
        <v>0</v>
      </c>
      <c r="W37" s="11">
        <f t="shared" si="75"/>
        <v>0</v>
      </c>
      <c r="X37" s="101"/>
      <c r="Y37" s="67">
        <f t="shared" ref="Y37:AH37" si="76">Y17/Y77</f>
        <v>0</v>
      </c>
      <c r="Z37" s="68">
        <f t="shared" si="76"/>
        <v>0</v>
      </c>
      <c r="AA37" s="75"/>
      <c r="AB37" s="76"/>
      <c r="AC37" s="83">
        <f t="shared" si="76"/>
        <v>0</v>
      </c>
      <c r="AD37" s="84">
        <f t="shared" si="76"/>
        <v>0</v>
      </c>
      <c r="AE37" s="91"/>
      <c r="AF37" s="92"/>
      <c r="AG37" s="96">
        <f t="shared" si="76"/>
        <v>0</v>
      </c>
      <c r="AH37" s="11">
        <f t="shared" si="76"/>
        <v>0</v>
      </c>
      <c r="AI37" s="101"/>
    </row>
    <row r="38" spans="1:35" ht="15" thickBot="1">
      <c r="M38" s="101"/>
      <c r="X38" s="101"/>
      <c r="AI38" s="101"/>
    </row>
    <row r="39" spans="1:35">
      <c r="A39" s="361"/>
      <c r="B39" s="438" t="s">
        <v>126</v>
      </c>
      <c r="C39" s="439">
        <f t="shared" ref="C39:L39" si="77">C19/C79</f>
        <v>0.41426813113560157</v>
      </c>
      <c r="D39" s="440">
        <f t="shared" si="77"/>
        <v>0.35258488155997081</v>
      </c>
      <c r="E39" s="441"/>
      <c r="F39" s="442"/>
      <c r="G39" s="443">
        <f t="shared" si="77"/>
        <v>1.1819595888581866</v>
      </c>
      <c r="H39" s="444">
        <f t="shared" si="77"/>
        <v>1.2256676468277237</v>
      </c>
      <c r="I39" s="445">
        <f t="shared" si="77"/>
        <v>0</v>
      </c>
      <c r="J39" s="446">
        <f t="shared" si="77"/>
        <v>0</v>
      </c>
      <c r="K39" s="447">
        <f t="shared" si="77"/>
        <v>1.6272912121335712</v>
      </c>
      <c r="L39" s="448">
        <f t="shared" si="77"/>
        <v>1.7569121462818738</v>
      </c>
      <c r="M39" s="449"/>
      <c r="N39" s="439">
        <f t="shared" ref="N39:W39" si="78">N19/N79</f>
        <v>1.1259935869045001</v>
      </c>
      <c r="O39" s="440">
        <f t="shared" si="78"/>
        <v>1.1459203446617787</v>
      </c>
      <c r="P39" s="441"/>
      <c r="Q39" s="442"/>
      <c r="R39" s="443">
        <f t="shared" si="78"/>
        <v>1.064297425963131</v>
      </c>
      <c r="S39" s="444">
        <f t="shared" si="78"/>
        <v>1.0961397112287914</v>
      </c>
      <c r="T39" s="445"/>
      <c r="U39" s="446"/>
      <c r="V39" s="447">
        <f t="shared" si="78"/>
        <v>1.5861702630332899</v>
      </c>
      <c r="W39" s="448">
        <f t="shared" si="78"/>
        <v>2.0408046451933686</v>
      </c>
      <c r="X39" s="449"/>
      <c r="Y39" s="439">
        <f t="shared" ref="Y39:AH39" si="79">Y19/Y79</f>
        <v>2.8634637015054274</v>
      </c>
      <c r="Z39" s="440">
        <f t="shared" si="79"/>
        <v>1.8816811090673813</v>
      </c>
      <c r="AA39" s="441"/>
      <c r="AB39" s="442"/>
      <c r="AC39" s="443">
        <f t="shared" si="79"/>
        <v>3.1285458978062155</v>
      </c>
      <c r="AD39" s="444">
        <f t="shared" si="79"/>
        <v>2.0422994070093705</v>
      </c>
      <c r="AE39" s="445"/>
      <c r="AF39" s="446"/>
      <c r="AG39" s="447">
        <f t="shared" si="79"/>
        <v>1.943743733470519</v>
      </c>
      <c r="AH39" s="448">
        <f t="shared" si="79"/>
        <v>1.5534359875610133</v>
      </c>
      <c r="AI39" s="101"/>
    </row>
    <row r="40" spans="1:35">
      <c r="A40" s="361"/>
      <c r="B40" s="450" t="s">
        <v>127</v>
      </c>
      <c r="C40" s="65">
        <f t="shared" ref="C40:L40" si="80">C20/C80</f>
        <v>0.4700926636900748</v>
      </c>
      <c r="D40" s="66">
        <f t="shared" si="80"/>
        <v>0.5490430203063138</v>
      </c>
      <c r="E40" s="73"/>
      <c r="F40" s="74"/>
      <c r="G40" s="81">
        <f t="shared" si="80"/>
        <v>1.1591568619825816</v>
      </c>
      <c r="H40" s="82">
        <f t="shared" si="80"/>
        <v>1.4129545128742431</v>
      </c>
      <c r="I40" s="89">
        <f t="shared" si="80"/>
        <v>0</v>
      </c>
      <c r="J40" s="90">
        <f t="shared" si="80"/>
        <v>0</v>
      </c>
      <c r="K40" s="95">
        <f t="shared" si="80"/>
        <v>3.1211166283147183</v>
      </c>
      <c r="L40" s="10">
        <f t="shared" si="80"/>
        <v>7.0458167341401872</v>
      </c>
      <c r="M40" s="451"/>
      <c r="N40" s="65">
        <f t="shared" ref="N40:W40" si="81">N20/N80</f>
        <v>1.0268676277652777</v>
      </c>
      <c r="O40" s="66">
        <f t="shared" si="81"/>
        <v>1.0795664654067669</v>
      </c>
      <c r="P40" s="73"/>
      <c r="Q40" s="74"/>
      <c r="R40" s="81">
        <f t="shared" si="81"/>
        <v>0.92698805311471766</v>
      </c>
      <c r="S40" s="82">
        <f t="shared" si="81"/>
        <v>0.97353056388032877</v>
      </c>
      <c r="T40" s="89"/>
      <c r="U40" s="90"/>
      <c r="V40" s="95">
        <f t="shared" si="81"/>
        <v>1.7718451105543689</v>
      </c>
      <c r="W40" s="10">
        <f t="shared" si="81"/>
        <v>2.9857266932885609</v>
      </c>
      <c r="X40" s="451"/>
      <c r="Y40" s="65">
        <f t="shared" ref="Y40:AH40" si="82">Y20/Y80</f>
        <v>6.9028863827663818</v>
      </c>
      <c r="Z40" s="66">
        <f t="shared" si="82"/>
        <v>6.0799456637432696</v>
      </c>
      <c r="AA40" s="73"/>
      <c r="AB40" s="74"/>
      <c r="AC40" s="81">
        <f t="shared" si="82"/>
        <v>5.0001250507965374</v>
      </c>
      <c r="AD40" s="82">
        <f t="shared" si="82"/>
        <v>4.1833804543792397</v>
      </c>
      <c r="AE40" s="89"/>
      <c r="AF40" s="90"/>
      <c r="AG40" s="95">
        <f t="shared" si="82"/>
        <v>13.504640917166107</v>
      </c>
      <c r="AH40" s="10">
        <f t="shared" si="82"/>
        <v>9.9558320700186549</v>
      </c>
      <c r="AI40" s="101"/>
    </row>
    <row r="41" spans="1:35">
      <c r="A41" s="361"/>
      <c r="B41" s="450" t="s">
        <v>161</v>
      </c>
      <c r="C41" s="65">
        <f t="shared" ref="C41:L41" si="83">C21/C81</f>
        <v>0.27107052519120711</v>
      </c>
      <c r="D41" s="66">
        <f t="shared" si="83"/>
        <v>0.26928716117970908</v>
      </c>
      <c r="E41" s="73"/>
      <c r="F41" s="74"/>
      <c r="G41" s="81">
        <f t="shared" si="83"/>
        <v>0.74837454985201568</v>
      </c>
      <c r="H41" s="82">
        <f t="shared" si="83"/>
        <v>0.91768123586115624</v>
      </c>
      <c r="I41" s="89">
        <f t="shared" si="83"/>
        <v>0</v>
      </c>
      <c r="J41" s="90">
        <f t="shared" si="83"/>
        <v>0</v>
      </c>
      <c r="K41" s="95">
        <f t="shared" si="83"/>
        <v>1.2399637031057404</v>
      </c>
      <c r="L41" s="10">
        <f t="shared" si="83"/>
        <v>1.5020522308248287</v>
      </c>
      <c r="M41" s="451"/>
      <c r="N41" s="65">
        <f t="shared" ref="N41:W41" si="84">N21/N81</f>
        <v>0.64285238082308771</v>
      </c>
      <c r="O41" s="66">
        <f t="shared" si="84"/>
        <v>0.69323484712514261</v>
      </c>
      <c r="P41" s="73"/>
      <c r="Q41" s="74"/>
      <c r="R41" s="81">
        <f t="shared" si="84"/>
        <v>0.60001499162483807</v>
      </c>
      <c r="S41" s="82">
        <f t="shared" si="84"/>
        <v>0.66361100723733535</v>
      </c>
      <c r="T41" s="89"/>
      <c r="U41" s="90"/>
      <c r="V41" s="95">
        <f t="shared" si="84"/>
        <v>0.96236606002946823</v>
      </c>
      <c r="W41" s="10">
        <f t="shared" si="84"/>
        <v>1.2257694375647497</v>
      </c>
      <c r="X41" s="451"/>
      <c r="Y41" s="65">
        <f t="shared" ref="Y41:AH41" si="85">Y21/Y81</f>
        <v>3.241619901222204</v>
      </c>
      <c r="Z41" s="66">
        <f t="shared" si="85"/>
        <v>2.250281925693022</v>
      </c>
      <c r="AA41" s="73"/>
      <c r="AB41" s="74"/>
      <c r="AC41" s="81">
        <f t="shared" si="85"/>
        <v>3.2028142587683006</v>
      </c>
      <c r="AD41" s="82">
        <f t="shared" si="85"/>
        <v>2.5195118915528099</v>
      </c>
      <c r="AE41" s="89"/>
      <c r="AF41" s="90"/>
      <c r="AG41" s="95">
        <f t="shared" si="85"/>
        <v>3.3762586085187931</v>
      </c>
      <c r="AH41" s="10">
        <f t="shared" si="85"/>
        <v>1.7000742346071702</v>
      </c>
      <c r="AI41" s="101"/>
    </row>
    <row r="42" spans="1:35" ht="15" thickBot="1">
      <c r="A42" s="361"/>
      <c r="B42" s="452" t="s">
        <v>162</v>
      </c>
      <c r="C42" s="67">
        <f t="shared" ref="C42:L42" si="86">C22/C82</f>
        <v>0</v>
      </c>
      <c r="D42" s="68">
        <f t="shared" si="86"/>
        <v>0</v>
      </c>
      <c r="E42" s="75"/>
      <c r="F42" s="76"/>
      <c r="G42" s="83">
        <f t="shared" si="86"/>
        <v>0</v>
      </c>
      <c r="H42" s="84">
        <f t="shared" si="86"/>
        <v>0</v>
      </c>
      <c r="I42" s="91">
        <f t="shared" si="86"/>
        <v>0</v>
      </c>
      <c r="J42" s="92">
        <f t="shared" si="86"/>
        <v>0</v>
      </c>
      <c r="K42" s="96">
        <f t="shared" si="86"/>
        <v>0</v>
      </c>
      <c r="L42" s="11">
        <f t="shared" si="86"/>
        <v>0</v>
      </c>
      <c r="M42" s="453"/>
      <c r="N42" s="67">
        <f t="shared" ref="N42:W42" si="87">N22/N82</f>
        <v>0</v>
      </c>
      <c r="O42" s="68">
        <f t="shared" si="87"/>
        <v>0</v>
      </c>
      <c r="P42" s="75"/>
      <c r="Q42" s="76"/>
      <c r="R42" s="83">
        <f t="shared" si="87"/>
        <v>0</v>
      </c>
      <c r="S42" s="84">
        <f t="shared" si="87"/>
        <v>0</v>
      </c>
      <c r="T42" s="91"/>
      <c r="U42" s="92"/>
      <c r="V42" s="96">
        <f t="shared" si="87"/>
        <v>0</v>
      </c>
      <c r="W42" s="11">
        <f t="shared" si="87"/>
        <v>0</v>
      </c>
      <c r="X42" s="453"/>
      <c r="Y42" s="67">
        <f t="shared" ref="Y42:AH42" si="88">Y22/Y82</f>
        <v>0</v>
      </c>
      <c r="Z42" s="68">
        <f t="shared" si="88"/>
        <v>0</v>
      </c>
      <c r="AA42" s="75"/>
      <c r="AB42" s="76"/>
      <c r="AC42" s="83">
        <f t="shared" si="88"/>
        <v>0</v>
      </c>
      <c r="AD42" s="84">
        <f t="shared" si="88"/>
        <v>0</v>
      </c>
      <c r="AE42" s="91"/>
      <c r="AF42" s="92"/>
      <c r="AG42" s="96">
        <f t="shared" si="88"/>
        <v>0</v>
      </c>
      <c r="AH42" s="11">
        <f t="shared" si="88"/>
        <v>0</v>
      </c>
      <c r="AI42" s="101"/>
    </row>
    <row r="43" spans="1:35" ht="15" thickBot="1">
      <c r="M43" s="101"/>
      <c r="X43" s="101"/>
      <c r="AI43" s="101"/>
    </row>
    <row r="44" spans="1:35" ht="15" thickBot="1">
      <c r="B44" s="20" t="s">
        <v>93</v>
      </c>
      <c r="M44" s="101"/>
      <c r="R44">
        <f>R47/2</f>
        <v>40188247.202679217</v>
      </c>
      <c r="X44" s="101"/>
      <c r="AI44" s="101"/>
    </row>
    <row r="45" spans="1:35" ht="15" thickBot="1">
      <c r="B45" s="21" t="s">
        <v>7</v>
      </c>
      <c r="C45" s="25">
        <f t="shared" ref="C45:D45" si="89">SUM(C46:C57)</f>
        <v>-22009651093</v>
      </c>
      <c r="D45" s="26">
        <f t="shared" si="89"/>
        <v>-5382354.1330341538</v>
      </c>
      <c r="E45" s="33"/>
      <c r="F45" s="34"/>
      <c r="G45" s="41">
        <f t="shared" ref="F45:L45" si="90">SUM(G46:G57)</f>
        <v>-2612325955.999999</v>
      </c>
      <c r="H45" s="42">
        <f t="shared" si="90"/>
        <v>-337466.59333150508</v>
      </c>
      <c r="I45" s="49">
        <f t="shared" si="90"/>
        <v>-19875000000</v>
      </c>
      <c r="J45" s="50">
        <f t="shared" si="90"/>
        <v>-5339121.332640633</v>
      </c>
      <c r="K45" s="57">
        <f t="shared" si="90"/>
        <v>477674862.99999982</v>
      </c>
      <c r="L45" s="18">
        <f t="shared" si="90"/>
        <v>294233.79293798306</v>
      </c>
      <c r="M45" s="101"/>
      <c r="N45" s="25">
        <f t="shared" ref="N45:O45" si="91">SUM(N46:N57)</f>
        <v>-3448220203.999999</v>
      </c>
      <c r="O45" s="26">
        <f t="shared" si="91"/>
        <v>-561849.60354962188</v>
      </c>
      <c r="P45" s="33"/>
      <c r="Q45" s="34"/>
      <c r="R45" s="41">
        <f t="shared" ref="Q45:W45" si="92">SUM(R46:R57)</f>
        <v>-3427833830.9999986</v>
      </c>
      <c r="S45" s="42">
        <f t="shared" si="92"/>
        <v>-599148.1660237452</v>
      </c>
      <c r="T45" s="49"/>
      <c r="U45" s="50"/>
      <c r="V45" s="57">
        <f t="shared" si="92"/>
        <v>-20386373.000000015</v>
      </c>
      <c r="W45" s="18">
        <f t="shared" si="92"/>
        <v>37298.56247412329</v>
      </c>
      <c r="X45" s="101"/>
      <c r="Y45" s="25">
        <f t="shared" ref="Y45:Z45" si="93">SUM(Y46:Y57)</f>
        <v>1313569110.9999995</v>
      </c>
      <c r="Z45" s="26">
        <f t="shared" si="93"/>
        <v>518616.80315609975</v>
      </c>
      <c r="AA45" s="33"/>
      <c r="AB45" s="34"/>
      <c r="AC45" s="41">
        <f t="shared" ref="AB45:AH45" si="94">SUM(AC46:AC57)</f>
        <v>815507874.99999976</v>
      </c>
      <c r="AD45" s="42">
        <f t="shared" si="94"/>
        <v>261681.57269224021</v>
      </c>
      <c r="AE45" s="49"/>
      <c r="AF45" s="50"/>
      <c r="AG45" s="57">
        <f t="shared" si="94"/>
        <v>498061236</v>
      </c>
      <c r="AH45" s="18">
        <f t="shared" si="94"/>
        <v>256935.23046385968</v>
      </c>
      <c r="AI45" s="101"/>
    </row>
    <row r="46" spans="1:35">
      <c r="A46" s="361">
        <v>1</v>
      </c>
      <c r="B46" s="22">
        <v>43101</v>
      </c>
      <c r="C46" s="27">
        <f t="shared" ref="C46:C57" si="95">SUM(E46,G46,I46,K46)</f>
        <v>-1106799720.7619007</v>
      </c>
      <c r="D46" s="28">
        <f t="shared" ref="D46:D57" si="96">SUM(F46,H46,J46,L46)</f>
        <v>-314085.93661838275</v>
      </c>
      <c r="E46" s="35"/>
      <c r="F46" s="36"/>
      <c r="G46" s="43">
        <f t="shared" ref="E46:L57" si="97">G6-G66</f>
        <v>142568759.16597044</v>
      </c>
      <c r="H46" s="44">
        <f t="shared" si="97"/>
        <v>29904.861305609404</v>
      </c>
      <c r="I46" s="51">
        <f t="shared" si="97"/>
        <v>-1293975473.6658671</v>
      </c>
      <c r="J46" s="52">
        <f t="shared" si="97"/>
        <v>-347607.14743965771</v>
      </c>
      <c r="K46" s="58">
        <f t="shared" si="97"/>
        <v>44606993.737995774</v>
      </c>
      <c r="L46" s="17">
        <f t="shared" si="97"/>
        <v>3616.3495156655372</v>
      </c>
      <c r="M46" s="101"/>
      <c r="N46" s="27">
        <f t="shared" ref="N46:N57" si="98">SUM(P46,R46,T46,V46)</f>
        <v>91596079.00863643</v>
      </c>
      <c r="O46" s="28">
        <f t="shared" ref="O46:O57" si="99">SUM(Q46,S46,U46,W46)</f>
        <v>16573.340808354944</v>
      </c>
      <c r="P46" s="35"/>
      <c r="Q46" s="36"/>
      <c r="R46" s="43">
        <f t="shared" ref="P46:W57" si="100">R6-R66</f>
        <v>62927976.165510178</v>
      </c>
      <c r="S46" s="44">
        <f t="shared" si="100"/>
        <v>13409.99573902975</v>
      </c>
      <c r="T46" s="51"/>
      <c r="U46" s="52"/>
      <c r="V46" s="58">
        <f t="shared" si="100"/>
        <v>28668102.843126252</v>
      </c>
      <c r="W46" s="17">
        <f t="shared" si="100"/>
        <v>3163.3450693251962</v>
      </c>
      <c r="X46" s="101"/>
      <c r="Y46" s="27">
        <f t="shared" ref="Y46:Y57" si="101">SUM(AA46,AC46,AE46,AG46)</f>
        <v>95579673.895329788</v>
      </c>
      <c r="Z46" s="28">
        <f t="shared" ref="Z46:Z57" si="102">SUM(AB46,AD46,AF46,AH46)</f>
        <v>16947.870012919997</v>
      </c>
      <c r="AA46" s="35"/>
      <c r="AB46" s="36"/>
      <c r="AC46" s="43">
        <f t="shared" ref="AA46:AH57" si="103">AC6-AC66</f>
        <v>79640783.000460267</v>
      </c>
      <c r="AD46" s="44">
        <f t="shared" si="103"/>
        <v>16494.865566579658</v>
      </c>
      <c r="AE46" s="51"/>
      <c r="AF46" s="52"/>
      <c r="AG46" s="58">
        <f t="shared" si="103"/>
        <v>15938890.894869521</v>
      </c>
      <c r="AH46" s="17">
        <f t="shared" si="103"/>
        <v>453.0044463403392</v>
      </c>
      <c r="AI46" s="101"/>
    </row>
    <row r="47" spans="1:35">
      <c r="A47" s="361">
        <v>2</v>
      </c>
      <c r="B47" s="23">
        <v>43132</v>
      </c>
      <c r="C47" s="29">
        <f t="shared" si="95"/>
        <v>-994900724.90697384</v>
      </c>
      <c r="D47" s="30">
        <f t="shared" si="96"/>
        <v>-293694.60348763503</v>
      </c>
      <c r="E47" s="35"/>
      <c r="F47" s="38"/>
      <c r="G47" s="45">
        <f t="shared" si="97"/>
        <v>131914329.82222527</v>
      </c>
      <c r="H47" s="46">
        <f t="shared" si="97"/>
        <v>12483.159076782686</v>
      </c>
      <c r="I47" s="53">
        <f t="shared" si="97"/>
        <v>-1154884209.7038028</v>
      </c>
      <c r="J47" s="54">
        <f t="shared" si="97"/>
        <v>-310242.36079292529</v>
      </c>
      <c r="K47" s="59">
        <f t="shared" si="97"/>
        <v>28069154.974603608</v>
      </c>
      <c r="L47" s="15">
        <f t="shared" si="97"/>
        <v>4064.5982285075388</v>
      </c>
      <c r="M47" s="103"/>
      <c r="N47" s="29">
        <f t="shared" si="98"/>
        <v>103820313.48788263</v>
      </c>
      <c r="O47" s="30">
        <f t="shared" si="99"/>
        <v>6003.5786606730317</v>
      </c>
      <c r="P47" s="35"/>
      <c r="Q47" s="38"/>
      <c r="R47" s="45">
        <f t="shared" si="100"/>
        <v>80376494.405358434</v>
      </c>
      <c r="S47" s="46">
        <f t="shared" si="100"/>
        <v>3194.5563924649468</v>
      </c>
      <c r="T47" s="53"/>
      <c r="U47" s="54"/>
      <c r="V47" s="59">
        <f t="shared" si="100"/>
        <v>23443819.082524195</v>
      </c>
      <c r="W47" s="15">
        <f t="shared" si="100"/>
        <v>2809.0222682080848</v>
      </c>
      <c r="X47" s="103"/>
      <c r="Y47" s="29">
        <f t="shared" si="101"/>
        <v>56163171.308946252</v>
      </c>
      <c r="Z47" s="30">
        <f t="shared" si="102"/>
        <v>10544.178644617194</v>
      </c>
      <c r="AA47" s="35"/>
      <c r="AB47" s="38"/>
      <c r="AC47" s="45">
        <f t="shared" si="103"/>
        <v>51537835.416866839</v>
      </c>
      <c r="AD47" s="46">
        <f t="shared" si="103"/>
        <v>9288.6026843177351</v>
      </c>
      <c r="AE47" s="53"/>
      <c r="AF47" s="54"/>
      <c r="AG47" s="59">
        <f t="shared" si="103"/>
        <v>4625335.8920794129</v>
      </c>
      <c r="AH47" s="15">
        <f t="shared" si="103"/>
        <v>1255.5759602994594</v>
      </c>
      <c r="AI47" s="103"/>
    </row>
    <row r="48" spans="1:35">
      <c r="A48" s="361">
        <v>3</v>
      </c>
      <c r="B48" s="23">
        <v>43160</v>
      </c>
      <c r="C48" s="29">
        <f t="shared" si="95"/>
        <v>-1309320869.4681852</v>
      </c>
      <c r="D48" s="30">
        <f t="shared" si="96"/>
        <v>-322056.40486243024</v>
      </c>
      <c r="E48" s="35"/>
      <c r="F48" s="38"/>
      <c r="G48" s="45">
        <f t="shared" si="97"/>
        <v>35873282.122288942</v>
      </c>
      <c r="H48" s="46">
        <f t="shared" si="97"/>
        <v>37653.614231277636</v>
      </c>
      <c r="I48" s="53">
        <f t="shared" si="97"/>
        <v>-1425364989.7508011</v>
      </c>
      <c r="J48" s="54">
        <f t="shared" si="97"/>
        <v>-382902.97477119998</v>
      </c>
      <c r="K48" s="59">
        <f t="shared" si="97"/>
        <v>80170838.160326973</v>
      </c>
      <c r="L48" s="15">
        <f t="shared" si="97"/>
        <v>23192.955677492148</v>
      </c>
      <c r="M48" s="101"/>
      <c r="N48" s="29">
        <f t="shared" si="98"/>
        <v>34402613.05820781</v>
      </c>
      <c r="O48" s="30">
        <f t="shared" si="99"/>
        <v>24578.892083817078</v>
      </c>
      <c r="P48" s="35"/>
      <c r="Q48" s="38"/>
      <c r="R48" s="45">
        <f t="shared" si="100"/>
        <v>-39887693.738681555</v>
      </c>
      <c r="S48" s="46">
        <f t="shared" si="100"/>
        <v>12826.872485766595</v>
      </c>
      <c r="T48" s="53"/>
      <c r="U48" s="54"/>
      <c r="V48" s="59">
        <f t="shared" si="100"/>
        <v>74290306.796889365</v>
      </c>
      <c r="W48" s="15">
        <f t="shared" si="100"/>
        <v>11752.019598050483</v>
      </c>
      <c r="X48" s="101"/>
      <c r="Y48" s="29">
        <f t="shared" si="101"/>
        <v>81641507.224408105</v>
      </c>
      <c r="Z48" s="30">
        <f t="shared" si="102"/>
        <v>36267.677824952712</v>
      </c>
      <c r="AA48" s="35"/>
      <c r="AB48" s="38"/>
      <c r="AC48" s="45">
        <f t="shared" si="103"/>
        <v>75760975.860970497</v>
      </c>
      <c r="AD48" s="46">
        <f t="shared" si="103"/>
        <v>24826.741745511048</v>
      </c>
      <c r="AE48" s="53"/>
      <c r="AF48" s="54"/>
      <c r="AG48" s="59">
        <f t="shared" si="103"/>
        <v>5880531.3634376079</v>
      </c>
      <c r="AH48" s="15">
        <f t="shared" si="103"/>
        <v>11440.936079441661</v>
      </c>
      <c r="AI48" s="101"/>
    </row>
    <row r="49" spans="1:35">
      <c r="A49" s="361">
        <v>4</v>
      </c>
      <c r="B49" s="23">
        <v>43191</v>
      </c>
      <c r="C49" s="29">
        <f t="shared" si="95"/>
        <v>-1197123788.9530323</v>
      </c>
      <c r="D49" s="30">
        <f t="shared" si="96"/>
        <v>-262917.43217729259</v>
      </c>
      <c r="E49" s="35"/>
      <c r="F49" s="38"/>
      <c r="G49" s="45">
        <f t="shared" si="97"/>
        <v>34935582.281538725</v>
      </c>
      <c r="H49" s="46">
        <f t="shared" si="97"/>
        <v>33272.515619112033</v>
      </c>
      <c r="I49" s="53">
        <f t="shared" si="97"/>
        <v>-1496634963.1319337</v>
      </c>
      <c r="J49" s="54">
        <f t="shared" si="97"/>
        <v>-402048.58660797658</v>
      </c>
      <c r="K49" s="59">
        <f t="shared" si="97"/>
        <v>264575591.89736265</v>
      </c>
      <c r="L49" s="15">
        <f t="shared" si="97"/>
        <v>105858.63881157195</v>
      </c>
      <c r="M49" s="101"/>
      <c r="N49" s="29">
        <f t="shared" si="98"/>
        <v>28035324.52165699</v>
      </c>
      <c r="O49" s="30">
        <f t="shared" si="99"/>
        <v>15575.078392595959</v>
      </c>
      <c r="P49" s="35"/>
      <c r="Q49" s="38"/>
      <c r="R49" s="45">
        <f t="shared" si="100"/>
        <v>-73375962.662508965</v>
      </c>
      <c r="S49" s="46">
        <f t="shared" si="100"/>
        <v>-1647.0376078272529</v>
      </c>
      <c r="T49" s="53"/>
      <c r="U49" s="54"/>
      <c r="V49" s="59">
        <f t="shared" si="100"/>
        <v>101411287.18416595</v>
      </c>
      <c r="W49" s="15">
        <f t="shared" si="100"/>
        <v>17222.116000423212</v>
      </c>
      <c r="X49" s="101"/>
      <c r="Y49" s="29">
        <f t="shared" si="101"/>
        <v>271475849.65724438</v>
      </c>
      <c r="Z49" s="30">
        <f t="shared" si="102"/>
        <v>123556.07603808804</v>
      </c>
      <c r="AA49" s="35"/>
      <c r="AB49" s="38"/>
      <c r="AC49" s="45">
        <f t="shared" si="103"/>
        <v>108311544.94404769</v>
      </c>
      <c r="AD49" s="46">
        <f t="shared" si="103"/>
        <v>34919.553226939315</v>
      </c>
      <c r="AE49" s="53"/>
      <c r="AF49" s="54"/>
      <c r="AG49" s="59">
        <f t="shared" si="103"/>
        <v>163164304.71319669</v>
      </c>
      <c r="AH49" s="15">
        <f t="shared" si="103"/>
        <v>88636.522811148723</v>
      </c>
      <c r="AI49" s="101"/>
    </row>
    <row r="50" spans="1:35">
      <c r="A50" s="361">
        <v>5</v>
      </c>
      <c r="B50" s="23">
        <v>43221</v>
      </c>
      <c r="C50" s="29">
        <f t="shared" si="95"/>
        <v>-1239624411.7949643</v>
      </c>
      <c r="D50" s="30">
        <f t="shared" si="96"/>
        <v>-218266.61036578764</v>
      </c>
      <c r="E50" s="35"/>
      <c r="F50" s="38"/>
      <c r="G50" s="45">
        <f t="shared" si="97"/>
        <v>82566464.235784531</v>
      </c>
      <c r="H50" s="46">
        <f t="shared" si="97"/>
        <v>58344.891778198216</v>
      </c>
      <c r="I50" s="53">
        <f t="shared" si="97"/>
        <v>-1621414011.0644324</v>
      </c>
      <c r="J50" s="54">
        <f t="shared" si="97"/>
        <v>-435568.61059202644</v>
      </c>
      <c r="K50" s="59">
        <f t="shared" si="97"/>
        <v>299223135.03368348</v>
      </c>
      <c r="L50" s="15">
        <f t="shared" si="97"/>
        <v>158957.10844804056</v>
      </c>
      <c r="M50" s="101"/>
      <c r="N50" s="29">
        <f t="shared" si="98"/>
        <v>-26713389.6118453</v>
      </c>
      <c r="O50" s="30">
        <f t="shared" si="99"/>
        <v>9796.3237055822647</v>
      </c>
      <c r="P50" s="35"/>
      <c r="Q50" s="38"/>
      <c r="R50" s="45">
        <f t="shared" si="100"/>
        <v>-93224437.901655197</v>
      </c>
      <c r="S50" s="46">
        <f t="shared" si="100"/>
        <v>-5641.6547326945583</v>
      </c>
      <c r="T50" s="53"/>
      <c r="U50" s="54"/>
      <c r="V50" s="59">
        <f t="shared" si="100"/>
        <v>66511048.289809898</v>
      </c>
      <c r="W50" s="15">
        <f t="shared" si="100"/>
        <v>15437.978438276823</v>
      </c>
      <c r="X50" s="101"/>
      <c r="Y50" s="29">
        <f t="shared" si="101"/>
        <v>408502988.88131332</v>
      </c>
      <c r="Z50" s="30">
        <f t="shared" si="102"/>
        <v>207505.67652065645</v>
      </c>
      <c r="AA50" s="35"/>
      <c r="AB50" s="38"/>
      <c r="AC50" s="45">
        <f t="shared" si="103"/>
        <v>175790902.13743973</v>
      </c>
      <c r="AD50" s="46">
        <f t="shared" si="103"/>
        <v>63986.54651089276</v>
      </c>
      <c r="AE50" s="53"/>
      <c r="AF50" s="54"/>
      <c r="AG50" s="59">
        <f t="shared" si="103"/>
        <v>232712086.7438736</v>
      </c>
      <c r="AH50" s="15">
        <f t="shared" si="103"/>
        <v>143519.1300097637</v>
      </c>
      <c r="AI50" s="101"/>
    </row>
    <row r="51" spans="1:35">
      <c r="A51" s="361">
        <v>6</v>
      </c>
      <c r="B51" s="23">
        <v>43252</v>
      </c>
      <c r="C51" s="29">
        <f t="shared" si="95"/>
        <v>-1314332157.7912331</v>
      </c>
      <c r="D51" s="30">
        <f t="shared" si="96"/>
        <v>-306097.24820813665</v>
      </c>
      <c r="E51" s="35"/>
      <c r="F51" s="38"/>
      <c r="G51" s="45">
        <f t="shared" si="97"/>
        <v>212473641.25779784</v>
      </c>
      <c r="H51" s="46">
        <f t="shared" si="97"/>
        <v>86423.468488930783</v>
      </c>
      <c r="I51" s="53">
        <f t="shared" si="97"/>
        <v>-1591243454.3715734</v>
      </c>
      <c r="J51" s="54">
        <f t="shared" si="97"/>
        <v>-427463.74202063092</v>
      </c>
      <c r="K51" s="59">
        <f t="shared" si="97"/>
        <v>64437655.322542548</v>
      </c>
      <c r="L51" s="15">
        <f t="shared" si="97"/>
        <v>34943.025323563466</v>
      </c>
      <c r="M51" s="101"/>
      <c r="N51" s="29">
        <f t="shared" si="98"/>
        <v>58249447.784553528</v>
      </c>
      <c r="O51" s="30">
        <f t="shared" si="99"/>
        <v>5883.6551776091292</v>
      </c>
      <c r="P51" s="35"/>
      <c r="Q51" s="38"/>
      <c r="R51" s="45">
        <f t="shared" si="100"/>
        <v>23854975.924103379</v>
      </c>
      <c r="S51" s="46">
        <f t="shared" si="100"/>
        <v>-2561.0306644521042</v>
      </c>
      <c r="T51" s="53"/>
      <c r="U51" s="54"/>
      <c r="V51" s="59">
        <f t="shared" si="100"/>
        <v>34394471.860450149</v>
      </c>
      <c r="W51" s="15">
        <f t="shared" si="100"/>
        <v>8444.6858420612334</v>
      </c>
      <c r="X51" s="101"/>
      <c r="Y51" s="29">
        <f t="shared" si="101"/>
        <v>218661848.79578686</v>
      </c>
      <c r="Z51" s="30">
        <f t="shared" si="102"/>
        <v>115482.83863488518</v>
      </c>
      <c r="AA51" s="35"/>
      <c r="AB51" s="38"/>
      <c r="AC51" s="45">
        <f t="shared" si="103"/>
        <v>188618665.33369446</v>
      </c>
      <c r="AD51" s="46">
        <f t="shared" si="103"/>
        <v>88984.499153382945</v>
      </c>
      <c r="AE51" s="53"/>
      <c r="AF51" s="54"/>
      <c r="AG51" s="59">
        <f t="shared" si="103"/>
        <v>30043183.4620924</v>
      </c>
      <c r="AH51" s="15">
        <f t="shared" si="103"/>
        <v>26498.339481502233</v>
      </c>
      <c r="AI51" s="101"/>
    </row>
    <row r="52" spans="1:35">
      <c r="A52" s="361">
        <v>7</v>
      </c>
      <c r="B52" s="23">
        <v>43282</v>
      </c>
      <c r="C52" s="29">
        <f t="shared" si="95"/>
        <v>-1460099942.6907246</v>
      </c>
      <c r="D52" s="30">
        <f t="shared" si="96"/>
        <v>-391804.68011492316</v>
      </c>
      <c r="E52" s="35"/>
      <c r="F52" s="38"/>
      <c r="G52" s="45">
        <f t="shared" si="97"/>
        <v>151238732.41275847</v>
      </c>
      <c r="H52" s="46">
        <f t="shared" si="97"/>
        <v>47601.337710164342</v>
      </c>
      <c r="I52" s="53">
        <f t="shared" si="97"/>
        <v>-1718025511.1624486</v>
      </c>
      <c r="J52" s="54">
        <f t="shared" si="97"/>
        <v>-461521.84436066699</v>
      </c>
      <c r="K52" s="59">
        <f t="shared" si="97"/>
        <v>106686836.05896549</v>
      </c>
      <c r="L52" s="15">
        <f t="shared" si="97"/>
        <v>22115.826535579505</v>
      </c>
      <c r="M52" s="101"/>
      <c r="N52" s="29">
        <f t="shared" si="98"/>
        <v>24973420.807415769</v>
      </c>
      <c r="O52" s="30">
        <f t="shared" si="99"/>
        <v>-7307.2268077443468</v>
      </c>
      <c r="P52" s="35"/>
      <c r="Q52" s="38"/>
      <c r="R52" s="45">
        <f t="shared" si="100"/>
        <v>-32842587.929768682</v>
      </c>
      <c r="S52" s="46">
        <f t="shared" si="100"/>
        <v>-14204.360681520484</v>
      </c>
      <c r="T52" s="53"/>
      <c r="U52" s="54"/>
      <c r="V52" s="59">
        <f t="shared" si="100"/>
        <v>57816008.73718445</v>
      </c>
      <c r="W52" s="15">
        <f t="shared" si="100"/>
        <v>6897.1338737761371</v>
      </c>
      <c r="X52" s="101"/>
      <c r="Y52" s="29">
        <f t="shared" si="101"/>
        <v>232952147.66430819</v>
      </c>
      <c r="Z52" s="30">
        <f t="shared" si="102"/>
        <v>77024.391053488158</v>
      </c>
      <c r="AA52" s="35"/>
      <c r="AB52" s="38"/>
      <c r="AC52" s="45">
        <f t="shared" si="103"/>
        <v>184081320.34252715</v>
      </c>
      <c r="AD52" s="46">
        <f t="shared" si="103"/>
        <v>61805.698391684797</v>
      </c>
      <c r="AE52" s="53"/>
      <c r="AF52" s="54"/>
      <c r="AG52" s="59">
        <f t="shared" si="103"/>
        <v>48870827.321781039</v>
      </c>
      <c r="AH52" s="15">
        <f t="shared" si="103"/>
        <v>15218.692661803365</v>
      </c>
      <c r="AI52" s="101"/>
    </row>
    <row r="53" spans="1:35">
      <c r="A53" s="361">
        <v>8</v>
      </c>
      <c r="B53" s="23">
        <v>43313</v>
      </c>
      <c r="C53" s="29">
        <f t="shared" si="95"/>
        <v>-1555492419.8979065</v>
      </c>
      <c r="D53" s="30">
        <f t="shared" si="96"/>
        <v>-355366.18371069082</v>
      </c>
      <c r="E53" s="35"/>
      <c r="F53" s="38"/>
      <c r="G53" s="45">
        <f t="shared" si="97"/>
        <v>61530005.720278502</v>
      </c>
      <c r="H53" s="46">
        <f t="shared" si="97"/>
        <v>77488.380273823685</v>
      </c>
      <c r="I53" s="53">
        <f t="shared" si="97"/>
        <v>-1701988048.1496534</v>
      </c>
      <c r="J53" s="54">
        <f t="shared" si="97"/>
        <v>-457213.61991321796</v>
      </c>
      <c r="K53" s="59">
        <f t="shared" si="97"/>
        <v>84965622.531468332</v>
      </c>
      <c r="L53" s="15">
        <f t="shared" si="97"/>
        <v>24359.055928703485</v>
      </c>
      <c r="M53" s="101"/>
      <c r="N53" s="29">
        <f t="shared" si="98"/>
        <v>-56557631.185427859</v>
      </c>
      <c r="O53" s="30">
        <f t="shared" si="99"/>
        <v>23630.88566017952</v>
      </c>
      <c r="P53" s="35"/>
      <c r="Q53" s="38"/>
      <c r="R53" s="45">
        <f t="shared" si="100"/>
        <v>-87765167.165777326</v>
      </c>
      <c r="S53" s="46">
        <f t="shared" si="100"/>
        <v>17458.870670909091</v>
      </c>
      <c r="T53" s="53"/>
      <c r="U53" s="54"/>
      <c r="V53" s="59">
        <f t="shared" si="100"/>
        <v>31207535.980349466</v>
      </c>
      <c r="W53" s="15">
        <f t="shared" si="100"/>
        <v>6172.0149892704285</v>
      </c>
      <c r="X53" s="101"/>
      <c r="Y53" s="29">
        <f t="shared" si="101"/>
        <v>203053259.43717468</v>
      </c>
      <c r="Z53" s="30">
        <f t="shared" si="102"/>
        <v>78216.550542347657</v>
      </c>
      <c r="AA53" s="35"/>
      <c r="AB53" s="38"/>
      <c r="AC53" s="45">
        <f t="shared" si="103"/>
        <v>149295172.88605583</v>
      </c>
      <c r="AD53" s="46">
        <f t="shared" si="103"/>
        <v>60029.509602914593</v>
      </c>
      <c r="AE53" s="53"/>
      <c r="AF53" s="54"/>
      <c r="AG53" s="59">
        <f t="shared" si="103"/>
        <v>53758086.551118866</v>
      </c>
      <c r="AH53" s="15">
        <f t="shared" si="103"/>
        <v>18187.040939433056</v>
      </c>
      <c r="AI53" s="101"/>
    </row>
    <row r="54" spans="1:35">
      <c r="A54" s="361">
        <v>9</v>
      </c>
      <c r="B54" s="23">
        <v>43344</v>
      </c>
      <c r="C54" s="29">
        <f t="shared" si="95"/>
        <v>-2699187341.078845</v>
      </c>
      <c r="D54" s="30">
        <f t="shared" si="96"/>
        <v>-665689.04544447467</v>
      </c>
      <c r="E54" s="35"/>
      <c r="F54" s="38"/>
      <c r="G54" s="45">
        <f t="shared" si="97"/>
        <v>-790556961.82225585</v>
      </c>
      <c r="H54" s="46">
        <f t="shared" si="97"/>
        <v>-164397.07953697184</v>
      </c>
      <c r="I54" s="53">
        <f t="shared" si="97"/>
        <v>-1795693670.4248385</v>
      </c>
      <c r="J54" s="54">
        <f t="shared" si="97"/>
        <v>-482386.23308945977</v>
      </c>
      <c r="K54" s="59">
        <f t="shared" si="97"/>
        <v>-112936708.83175085</v>
      </c>
      <c r="L54" s="15">
        <f t="shared" si="97"/>
        <v>-18905.732818043078</v>
      </c>
      <c r="M54" s="101"/>
      <c r="N54" s="29">
        <f t="shared" si="98"/>
        <v>-845444202.31448674</v>
      </c>
      <c r="O54" s="30">
        <f t="shared" si="99"/>
        <v>-149784.48340144358</v>
      </c>
      <c r="P54" s="35"/>
      <c r="Q54" s="38"/>
      <c r="R54" s="45">
        <f t="shared" si="100"/>
        <v>-745495214.99838722</v>
      </c>
      <c r="S54" s="46">
        <f t="shared" si="100"/>
        <v>-141891.34987433814</v>
      </c>
      <c r="T54" s="53"/>
      <c r="U54" s="54"/>
      <c r="V54" s="59">
        <f t="shared" si="100"/>
        <v>-99948987.31609951</v>
      </c>
      <c r="W54" s="15">
        <f t="shared" si="100"/>
        <v>-7893.1335271054359</v>
      </c>
      <c r="X54" s="101"/>
      <c r="Y54" s="29">
        <f t="shared" si="101"/>
        <v>-58049468.339519978</v>
      </c>
      <c r="Z54" s="30">
        <f t="shared" si="102"/>
        <v>-33518.328953571348</v>
      </c>
      <c r="AA54" s="35"/>
      <c r="AB54" s="38"/>
      <c r="AC54" s="45">
        <f t="shared" si="103"/>
        <v>-45061746.823868632</v>
      </c>
      <c r="AD54" s="46">
        <f t="shared" si="103"/>
        <v>-22505.729662633705</v>
      </c>
      <c r="AE54" s="53"/>
      <c r="AF54" s="54"/>
      <c r="AG54" s="59">
        <f t="shared" si="103"/>
        <v>-12987721.515651345</v>
      </c>
      <c r="AH54" s="15">
        <f t="shared" si="103"/>
        <v>-11012.599290937642</v>
      </c>
      <c r="AI54" s="101"/>
    </row>
    <row r="55" spans="1:35">
      <c r="A55" s="361">
        <v>10</v>
      </c>
      <c r="B55" s="23">
        <v>43374</v>
      </c>
      <c r="C55" s="29">
        <f t="shared" si="95"/>
        <v>-2896195026.05759</v>
      </c>
      <c r="D55" s="30">
        <f t="shared" si="96"/>
        <v>-714276.20935222623</v>
      </c>
      <c r="E55" s="35"/>
      <c r="F55" s="38"/>
      <c r="G55" s="45">
        <f t="shared" si="97"/>
        <v>-848257957.42272496</v>
      </c>
      <c r="H55" s="46">
        <f t="shared" si="97"/>
        <v>-176396.05699360892</v>
      </c>
      <c r="I55" s="53">
        <f t="shared" si="97"/>
        <v>-1926757360.4316182</v>
      </c>
      <c r="J55" s="54">
        <f t="shared" si="97"/>
        <v>-517594.5321208961</v>
      </c>
      <c r="K55" s="59">
        <f t="shared" si="97"/>
        <v>-121179708.20324643</v>
      </c>
      <c r="L55" s="15">
        <f t="shared" si="97"/>
        <v>-20285.620237721268</v>
      </c>
      <c r="M55" s="101"/>
      <c r="N55" s="29">
        <f t="shared" si="98"/>
        <v>-907151295.60950279</v>
      </c>
      <c r="O55" s="30">
        <f t="shared" si="99"/>
        <v>-160716.91994319958</v>
      </c>
      <c r="P55" s="35"/>
      <c r="Q55" s="38"/>
      <c r="R55" s="45">
        <f t="shared" si="100"/>
        <v>-799907253.84962964</v>
      </c>
      <c r="S55" s="46">
        <f t="shared" si="100"/>
        <v>-152247.68414274041</v>
      </c>
      <c r="T55" s="53"/>
      <c r="U55" s="54"/>
      <c r="V55" s="59">
        <f t="shared" si="100"/>
        <v>-107244041.75987309</v>
      </c>
      <c r="W55" s="15">
        <f t="shared" si="100"/>
        <v>-8469.2358004591733</v>
      </c>
      <c r="X55" s="101"/>
      <c r="Y55" s="29">
        <f t="shared" si="101"/>
        <v>-62286370.016468659</v>
      </c>
      <c r="Z55" s="30">
        <f t="shared" si="102"/>
        <v>-35964.757288130597</v>
      </c>
      <c r="AA55" s="35"/>
      <c r="AB55" s="38"/>
      <c r="AC55" s="45">
        <f t="shared" si="103"/>
        <v>-48350703.573095322</v>
      </c>
      <c r="AD55" s="46">
        <f t="shared" si="103"/>
        <v>-24148.372850868502</v>
      </c>
      <c r="AE55" s="53"/>
      <c r="AF55" s="54"/>
      <c r="AG55" s="59">
        <f t="shared" si="103"/>
        <v>-13935666.443373337</v>
      </c>
      <c r="AH55" s="15">
        <f t="shared" si="103"/>
        <v>-11816.384437262095</v>
      </c>
      <c r="AI55" s="101"/>
    </row>
    <row r="56" spans="1:35">
      <c r="A56" s="361">
        <v>11</v>
      </c>
      <c r="B56" s="23">
        <v>43405</v>
      </c>
      <c r="C56" s="29">
        <f t="shared" si="95"/>
        <v>-2955761410.8480978</v>
      </c>
      <c r="D56" s="30">
        <f t="shared" si="96"/>
        <v>-728966.8124194158</v>
      </c>
      <c r="E56" s="35"/>
      <c r="F56" s="38"/>
      <c r="G56" s="45">
        <f t="shared" si="97"/>
        <v>-865704178.90948462</v>
      </c>
      <c r="H56" s="46">
        <f t="shared" si="97"/>
        <v>-180024.01550878966</v>
      </c>
      <c r="I56" s="53">
        <f t="shared" si="97"/>
        <v>-1966385206.3801153</v>
      </c>
      <c r="J56" s="54">
        <f t="shared" si="97"/>
        <v>-528239.95992820268</v>
      </c>
      <c r="K56" s="59">
        <f t="shared" si="97"/>
        <v>-123672025.55849782</v>
      </c>
      <c r="L56" s="15">
        <f t="shared" si="97"/>
        <v>-20702.836982423396</v>
      </c>
      <c r="M56" s="101"/>
      <c r="N56" s="29">
        <f t="shared" si="98"/>
        <v>-925808783.3309145</v>
      </c>
      <c r="O56" s="30">
        <f t="shared" si="99"/>
        <v>-164022.40379685891</v>
      </c>
      <c r="P56" s="35"/>
      <c r="Q56" s="38"/>
      <c r="R56" s="45">
        <f t="shared" si="100"/>
        <v>-816359040.71164393</v>
      </c>
      <c r="S56" s="46">
        <f t="shared" si="100"/>
        <v>-155378.98022450152</v>
      </c>
      <c r="T56" s="53"/>
      <c r="U56" s="54"/>
      <c r="V56" s="59">
        <f t="shared" si="100"/>
        <v>-109449742.61927056</v>
      </c>
      <c r="W56" s="15">
        <f t="shared" si="100"/>
        <v>-8643.4235723573984</v>
      </c>
      <c r="X56" s="101"/>
      <c r="Y56" s="29">
        <f t="shared" si="101"/>
        <v>-63567421.137067944</v>
      </c>
      <c r="Z56" s="30">
        <f t="shared" si="102"/>
        <v>-36704.448694354141</v>
      </c>
      <c r="AA56" s="35"/>
      <c r="AB56" s="38"/>
      <c r="AC56" s="45">
        <f t="shared" si="103"/>
        <v>-49345138.197840691</v>
      </c>
      <c r="AD56" s="46">
        <f t="shared" si="103"/>
        <v>-24645.03528428814</v>
      </c>
      <c r="AE56" s="53"/>
      <c r="AF56" s="54"/>
      <c r="AG56" s="59">
        <f t="shared" si="103"/>
        <v>-14222282.939227253</v>
      </c>
      <c r="AH56" s="15">
        <f t="shared" si="103"/>
        <v>-12059.413410065998</v>
      </c>
      <c r="AI56" s="101"/>
    </row>
    <row r="57" spans="1:35" ht="15" thickBot="1">
      <c r="A57" s="361">
        <v>12</v>
      </c>
      <c r="B57" s="24">
        <v>43435</v>
      </c>
      <c r="C57" s="31">
        <f t="shared" si="95"/>
        <v>-3280813278.750545</v>
      </c>
      <c r="D57" s="32">
        <f t="shared" si="96"/>
        <v>-809132.96627275913</v>
      </c>
      <c r="E57" s="363"/>
      <c r="F57" s="40"/>
      <c r="G57" s="47">
        <f t="shared" si="97"/>
        <v>-960907654.86417639</v>
      </c>
      <c r="H57" s="48">
        <f t="shared" si="97"/>
        <v>-199821.66977603344</v>
      </c>
      <c r="I57" s="55">
        <f t="shared" si="97"/>
        <v>-2182633101.7629151</v>
      </c>
      <c r="J57" s="56">
        <f t="shared" si="97"/>
        <v>-586331.72100377223</v>
      </c>
      <c r="K57" s="60">
        <f t="shared" si="97"/>
        <v>-137272522.1234538</v>
      </c>
      <c r="L57" s="16">
        <f t="shared" si="97"/>
        <v>-22979.575492953481</v>
      </c>
      <c r="M57" s="101"/>
      <c r="N57" s="31">
        <f t="shared" si="98"/>
        <v>-1027622100.6161749</v>
      </c>
      <c r="O57" s="32">
        <f t="shared" si="99"/>
        <v>-182060.32408918746</v>
      </c>
      <c r="P57" s="363"/>
      <c r="Q57" s="40"/>
      <c r="R57" s="47">
        <f t="shared" si="100"/>
        <v>-906135918.53691828</v>
      </c>
      <c r="S57" s="48">
        <f t="shared" si="100"/>
        <v>-172466.36338384115</v>
      </c>
      <c r="T57" s="55"/>
      <c r="U57" s="56"/>
      <c r="V57" s="60">
        <f t="shared" si="100"/>
        <v>-121486182.07925661</v>
      </c>
      <c r="W57" s="16">
        <f t="shared" si="100"/>
        <v>-9593.9607053463151</v>
      </c>
      <c r="X57" s="101"/>
      <c r="Y57" s="31">
        <f t="shared" si="101"/>
        <v>-70558076.371455297</v>
      </c>
      <c r="Z57" s="32">
        <f t="shared" si="102"/>
        <v>-40740.92117979945</v>
      </c>
      <c r="AA57" s="363"/>
      <c r="AB57" s="40"/>
      <c r="AC57" s="47">
        <f t="shared" si="103"/>
        <v>-54771736.32725811</v>
      </c>
      <c r="AD57" s="48">
        <f t="shared" si="103"/>
        <v>-27355.306392192288</v>
      </c>
      <c r="AE57" s="55"/>
      <c r="AF57" s="56"/>
      <c r="AG57" s="60">
        <f t="shared" si="103"/>
        <v>-15786340.044197187</v>
      </c>
      <c r="AH57" s="16">
        <f t="shared" si="103"/>
        <v>-13385.614787607166</v>
      </c>
      <c r="AI57" s="101"/>
    </row>
    <row r="58" spans="1:35" ht="15" thickBot="1">
      <c r="M58" s="101"/>
      <c r="X58" s="101"/>
      <c r="AI58" s="101"/>
    </row>
    <row r="59" spans="1:35">
      <c r="A59" s="361"/>
      <c r="B59" s="438" t="s">
        <v>126</v>
      </c>
      <c r="C59" s="454">
        <f t="shared" ref="C59:L59" si="104">SUM(C46:C48)</f>
        <v>-3411021315.1370597</v>
      </c>
      <c r="D59" s="455">
        <f t="shared" si="104"/>
        <v>-929836.94496844802</v>
      </c>
      <c r="E59" s="456"/>
      <c r="F59" s="457"/>
      <c r="G59" s="458">
        <f t="shared" si="104"/>
        <v>310356371.11048466</v>
      </c>
      <c r="H59" s="459">
        <f t="shared" si="104"/>
        <v>80041.634613669725</v>
      </c>
      <c r="I59" s="460">
        <f t="shared" si="104"/>
        <v>-3874224673.120471</v>
      </c>
      <c r="J59" s="461">
        <f t="shared" si="104"/>
        <v>-1040752.483003783</v>
      </c>
      <c r="K59" s="462">
        <f t="shared" si="104"/>
        <v>152846986.87292635</v>
      </c>
      <c r="L59" s="463">
        <f t="shared" si="104"/>
        <v>30873.903421665222</v>
      </c>
      <c r="M59" s="449"/>
      <c r="N59" s="454">
        <f t="shared" ref="N59:W59" si="105">SUM(N46:N48)</f>
        <v>229819005.55472687</v>
      </c>
      <c r="O59" s="455">
        <f t="shared" si="105"/>
        <v>47155.811552845058</v>
      </c>
      <c r="P59" s="456"/>
      <c r="Q59" s="457"/>
      <c r="R59" s="458">
        <f t="shared" si="105"/>
        <v>103416776.83218706</v>
      </c>
      <c r="S59" s="459">
        <f t="shared" si="105"/>
        <v>29431.424617261291</v>
      </c>
      <c r="T59" s="460"/>
      <c r="U59" s="461"/>
      <c r="V59" s="462">
        <f t="shared" si="105"/>
        <v>126402228.72253981</v>
      </c>
      <c r="W59" s="463">
        <f t="shared" si="105"/>
        <v>17724.386935583763</v>
      </c>
      <c r="X59" s="449"/>
      <c r="Y59" s="454">
        <f t="shared" ref="Y59:AH59" si="106">SUM(Y46:Y48)</f>
        <v>233384352.42868412</v>
      </c>
      <c r="Z59" s="455">
        <f t="shared" si="106"/>
        <v>63759.726482489903</v>
      </c>
      <c r="AA59" s="456"/>
      <c r="AB59" s="457"/>
      <c r="AC59" s="458">
        <f t="shared" si="106"/>
        <v>206939594.2782976</v>
      </c>
      <c r="AD59" s="459">
        <f t="shared" si="106"/>
        <v>50610.209996408441</v>
      </c>
      <c r="AE59" s="460"/>
      <c r="AF59" s="461"/>
      <c r="AG59" s="462">
        <f t="shared" si="106"/>
        <v>26444758.150386542</v>
      </c>
      <c r="AH59" s="463">
        <f t="shared" si="106"/>
        <v>13149.516486081458</v>
      </c>
      <c r="AI59" s="101"/>
    </row>
    <row r="60" spans="1:35">
      <c r="A60" s="361"/>
      <c r="B60" s="450" t="s">
        <v>127</v>
      </c>
      <c r="C60" s="29">
        <f t="shared" ref="C60:L60" si="107">SUM(C49:C51)</f>
        <v>-3751080358.5392294</v>
      </c>
      <c r="D60" s="30">
        <f t="shared" si="107"/>
        <v>-787281.29075121693</v>
      </c>
      <c r="E60" s="37"/>
      <c r="F60" s="38"/>
      <c r="G60" s="45">
        <f t="shared" si="107"/>
        <v>329975687.77512109</v>
      </c>
      <c r="H60" s="46">
        <f t="shared" si="107"/>
        <v>178040.87588624103</v>
      </c>
      <c r="I60" s="53">
        <f t="shared" si="107"/>
        <v>-4709292428.5679398</v>
      </c>
      <c r="J60" s="54">
        <f t="shared" si="107"/>
        <v>-1265080.9392206341</v>
      </c>
      <c r="K60" s="59">
        <f t="shared" si="107"/>
        <v>628236382.25358868</v>
      </c>
      <c r="L60" s="15">
        <f t="shared" si="107"/>
        <v>299758.77258317597</v>
      </c>
      <c r="M60" s="451"/>
      <c r="N60" s="29">
        <f t="shared" ref="N60:W60" si="108">SUM(N49:N51)</f>
        <v>59571382.694365218</v>
      </c>
      <c r="O60" s="30">
        <f t="shared" si="108"/>
        <v>31255.057275787352</v>
      </c>
      <c r="P60" s="37"/>
      <c r="Q60" s="38"/>
      <c r="R60" s="45">
        <f t="shared" si="108"/>
        <v>-142745424.64006078</v>
      </c>
      <c r="S60" s="46">
        <f t="shared" si="108"/>
        <v>-9849.7230049739155</v>
      </c>
      <c r="T60" s="53"/>
      <c r="U60" s="54"/>
      <c r="V60" s="59">
        <f t="shared" si="108"/>
        <v>202316807.33442599</v>
      </c>
      <c r="W60" s="15">
        <f t="shared" si="108"/>
        <v>41104.780280761268</v>
      </c>
      <c r="X60" s="451"/>
      <c r="Y60" s="29">
        <f t="shared" ref="Y60:AH60" si="109">SUM(Y49:Y51)</f>
        <v>898640687.33434463</v>
      </c>
      <c r="Z60" s="30">
        <f t="shared" si="109"/>
        <v>446544.59119362966</v>
      </c>
      <c r="AA60" s="37"/>
      <c r="AB60" s="38"/>
      <c r="AC60" s="45">
        <f t="shared" si="109"/>
        <v>472721112.41518188</v>
      </c>
      <c r="AD60" s="46">
        <f t="shared" si="109"/>
        <v>187890.59889121502</v>
      </c>
      <c r="AE60" s="53"/>
      <c r="AF60" s="54"/>
      <c r="AG60" s="59">
        <f t="shared" si="109"/>
        <v>425919574.91916269</v>
      </c>
      <c r="AH60" s="15">
        <f t="shared" si="109"/>
        <v>258653.99230241467</v>
      </c>
      <c r="AI60" s="101"/>
    </row>
    <row r="61" spans="1:35">
      <c r="A61" s="361"/>
      <c r="B61" s="450" t="s">
        <v>161</v>
      </c>
      <c r="C61" s="29">
        <f t="shared" ref="C61:L61" si="110">SUM(C52:C54)</f>
        <v>-5714779703.6674767</v>
      </c>
      <c r="D61" s="30">
        <f t="shared" si="110"/>
        <v>-1412859.9092700887</v>
      </c>
      <c r="E61" s="37"/>
      <c r="F61" s="38"/>
      <c r="G61" s="45">
        <f t="shared" si="110"/>
        <v>-577788223.68921888</v>
      </c>
      <c r="H61" s="46">
        <f t="shared" si="110"/>
        <v>-39307.361552983813</v>
      </c>
      <c r="I61" s="53">
        <f t="shared" si="110"/>
        <v>-5215707229.7369404</v>
      </c>
      <c r="J61" s="54">
        <f t="shared" si="110"/>
        <v>-1401121.6973633447</v>
      </c>
      <c r="K61" s="59">
        <f t="shared" si="110"/>
        <v>78715749.758682981</v>
      </c>
      <c r="L61" s="15">
        <f t="shared" si="110"/>
        <v>27569.149646239908</v>
      </c>
      <c r="M61" s="451"/>
      <c r="N61" s="29">
        <f t="shared" ref="N61:W61" si="111">SUM(N52:N54)</f>
        <v>-877028412.6924988</v>
      </c>
      <c r="O61" s="30">
        <f t="shared" si="111"/>
        <v>-133460.82454900839</v>
      </c>
      <c r="P61" s="37"/>
      <c r="Q61" s="38"/>
      <c r="R61" s="45">
        <f t="shared" si="111"/>
        <v>-866102970.09393322</v>
      </c>
      <c r="S61" s="46">
        <f t="shared" si="111"/>
        <v>-138636.83988494953</v>
      </c>
      <c r="T61" s="53"/>
      <c r="U61" s="54"/>
      <c r="V61" s="59">
        <f t="shared" si="111"/>
        <v>-10925442.598565593</v>
      </c>
      <c r="W61" s="15">
        <f t="shared" si="111"/>
        <v>5176.0153359411288</v>
      </c>
      <c r="X61" s="451"/>
      <c r="Y61" s="29">
        <f t="shared" ref="Y61:AH61" si="112">SUM(Y52:Y54)</f>
        <v>377955938.76196289</v>
      </c>
      <c r="Z61" s="30">
        <f t="shared" si="112"/>
        <v>121722.61264226446</v>
      </c>
      <c r="AA61" s="37"/>
      <c r="AB61" s="38"/>
      <c r="AC61" s="45">
        <f t="shared" si="112"/>
        <v>288314746.40471435</v>
      </c>
      <c r="AD61" s="46">
        <f t="shared" si="112"/>
        <v>99329.478331965685</v>
      </c>
      <c r="AE61" s="53"/>
      <c r="AF61" s="54"/>
      <c r="AG61" s="59">
        <f t="shared" si="112"/>
        <v>89641192.35724856</v>
      </c>
      <c r="AH61" s="15">
        <f t="shared" si="112"/>
        <v>22393.134310298781</v>
      </c>
      <c r="AI61" s="101"/>
    </row>
    <row r="62" spans="1:35" ht="15" thickBot="1">
      <c r="A62" s="361"/>
      <c r="B62" s="452" t="s">
        <v>162</v>
      </c>
      <c r="C62" s="31">
        <f t="shared" ref="C62:L62" si="113">SUM(C55:C57)</f>
        <v>-9132769715.6562328</v>
      </c>
      <c r="D62" s="32">
        <f t="shared" si="113"/>
        <v>-2252375.9880444012</v>
      </c>
      <c r="E62" s="39"/>
      <c r="F62" s="40"/>
      <c r="G62" s="47">
        <f t="shared" si="113"/>
        <v>-2674869791.1963859</v>
      </c>
      <c r="H62" s="48">
        <f t="shared" si="113"/>
        <v>-556241.74227843201</v>
      </c>
      <c r="I62" s="55">
        <f t="shared" si="113"/>
        <v>-6075775668.5746479</v>
      </c>
      <c r="J62" s="56">
        <f t="shared" si="113"/>
        <v>-1632166.2130528709</v>
      </c>
      <c r="K62" s="60">
        <f t="shared" si="113"/>
        <v>-382124255.88519806</v>
      </c>
      <c r="L62" s="16">
        <f t="shared" si="113"/>
        <v>-63968.032713098146</v>
      </c>
      <c r="M62" s="453"/>
      <c r="N62" s="31">
        <f t="shared" ref="N62:W62" si="114">SUM(N55:N57)</f>
        <v>-2860582179.556592</v>
      </c>
      <c r="O62" s="32">
        <f t="shared" si="114"/>
        <v>-506799.64782924589</v>
      </c>
      <c r="P62" s="39"/>
      <c r="Q62" s="40"/>
      <c r="R62" s="47">
        <f t="shared" si="114"/>
        <v>-2522402213.0981917</v>
      </c>
      <c r="S62" s="48">
        <f t="shared" si="114"/>
        <v>-480093.02775108302</v>
      </c>
      <c r="T62" s="55"/>
      <c r="U62" s="56"/>
      <c r="V62" s="60">
        <f t="shared" si="114"/>
        <v>-338179966.45840025</v>
      </c>
      <c r="W62" s="16">
        <f t="shared" si="114"/>
        <v>-26706.620078162887</v>
      </c>
      <c r="X62" s="453"/>
      <c r="Y62" s="31">
        <f t="shared" ref="Y62:AH62" si="115">SUM(Y55:Y57)</f>
        <v>-196411867.5249919</v>
      </c>
      <c r="Z62" s="32">
        <f t="shared" si="115"/>
        <v>-113410.12716228419</v>
      </c>
      <c r="AA62" s="39"/>
      <c r="AB62" s="40"/>
      <c r="AC62" s="47">
        <f t="shared" si="115"/>
        <v>-152467578.09819412</v>
      </c>
      <c r="AD62" s="48">
        <f t="shared" si="115"/>
        <v>-76148.71452734893</v>
      </c>
      <c r="AE62" s="55"/>
      <c r="AF62" s="56"/>
      <c r="AG62" s="60">
        <f t="shared" si="115"/>
        <v>-43944289.426797777</v>
      </c>
      <c r="AH62" s="16">
        <f t="shared" si="115"/>
        <v>-37261.412634935259</v>
      </c>
      <c r="AI62" s="101"/>
    </row>
    <row r="63" spans="1:35" ht="15" thickBot="1">
      <c r="M63" s="101"/>
      <c r="X63" s="101"/>
      <c r="AI63" s="101"/>
    </row>
    <row r="64" spans="1:35" ht="15" thickBot="1">
      <c r="B64" s="20" t="s">
        <v>153</v>
      </c>
      <c r="M64" s="101"/>
      <c r="P64" s="370"/>
      <c r="Q64" s="371"/>
      <c r="R64" s="370">
        <v>0.94299999999999995</v>
      </c>
      <c r="S64" s="371">
        <v>1.9033167084063054E-4</v>
      </c>
      <c r="T64" s="370"/>
      <c r="U64" s="371"/>
      <c r="V64" s="370">
        <v>0.88500000000000001</v>
      </c>
      <c r="W64" s="371">
        <v>7.8971620814351478E-5</v>
      </c>
      <c r="X64" s="101"/>
      <c r="AI64" s="101"/>
    </row>
    <row r="65" spans="1:35" ht="15" thickBot="1">
      <c r="B65" s="21" t="s">
        <v>7</v>
      </c>
      <c r="C65" s="25">
        <f t="shared" ref="C65:D65" si="116">SUM(C66:C77)</f>
        <v>29875000000.000004</v>
      </c>
      <c r="D65" s="26">
        <f t="shared" si="116"/>
        <v>7367943.6510341698</v>
      </c>
      <c r="E65" s="33"/>
      <c r="F65" s="34"/>
      <c r="G65" s="41">
        <f t="shared" ref="F65:L65" si="117">SUM(G66:G77)</f>
        <v>8750000000</v>
      </c>
      <c r="H65" s="42">
        <f t="shared" si="117"/>
        <v>1819570.9043315225</v>
      </c>
      <c r="I65" s="49">
        <f t="shared" si="117"/>
        <v>19875000000</v>
      </c>
      <c r="J65" s="50">
        <f t="shared" si="117"/>
        <v>5339121.332640633</v>
      </c>
      <c r="K65" s="57">
        <f t="shared" si="117"/>
        <v>1250000000.0000002</v>
      </c>
      <c r="L65" s="18">
        <f t="shared" si="117"/>
        <v>209251.41406201432</v>
      </c>
      <c r="M65" s="101"/>
      <c r="N65" s="25">
        <f t="shared" ref="N65" si="118">SUM(N66:N77)</f>
        <v>9357499999.9999981</v>
      </c>
      <c r="O65" s="26">
        <f t="shared" ref="O65" si="119">SUM(O66:O77)</f>
        <v>1657836.5545496286</v>
      </c>
      <c r="P65" s="33"/>
      <c r="Q65" s="34"/>
      <c r="R65" s="41">
        <f t="shared" ref="R65" si="120">SUM(R66:R77)</f>
        <v>8251249999.999999</v>
      </c>
      <c r="S65" s="42">
        <f t="shared" ref="S65" si="121">SUM(S66:S77)</f>
        <v>1570474.1990237527</v>
      </c>
      <c r="T65" s="49"/>
      <c r="U65" s="50"/>
      <c r="V65" s="57">
        <f t="shared" ref="V65" si="122">SUM(V66:V77)</f>
        <v>1106250000</v>
      </c>
      <c r="W65" s="18">
        <f t="shared" ref="W65" si="123">SUM(W66:W77)</f>
        <v>87362.355525876323</v>
      </c>
      <c r="X65" s="101"/>
      <c r="Y65" s="25">
        <f t="shared" ref="Y65" si="124">SUM(Y66:Y77)</f>
        <v>642500000.00000024</v>
      </c>
      <c r="Z65" s="26">
        <f t="shared" ref="Z65" si="125">SUM(Z66:Z77)</f>
        <v>370985.76384390832</v>
      </c>
      <c r="AA65" s="33"/>
      <c r="AB65" s="34"/>
      <c r="AC65" s="41">
        <f t="shared" ref="AC65" si="126">SUM(AC66:AC77)</f>
        <v>498750000.0000003</v>
      </c>
      <c r="AD65" s="42">
        <f t="shared" ref="AD65" si="127">SUM(AD66:AD77)</f>
        <v>249096.70530777035</v>
      </c>
      <c r="AE65" s="49"/>
      <c r="AF65" s="50"/>
      <c r="AG65" s="57">
        <f t="shared" ref="AG65" si="128">SUM(AG66:AG77)</f>
        <v>143749999.99999997</v>
      </c>
      <c r="AH65" s="18">
        <f t="shared" ref="AH65" si="129">SUM(AH66:AH77)</f>
        <v>121889.05853613796</v>
      </c>
      <c r="AI65" s="101"/>
    </row>
    <row r="66" spans="1:35">
      <c r="A66" s="361">
        <v>1</v>
      </c>
      <c r="B66" s="22">
        <v>43101</v>
      </c>
      <c r="C66" s="27">
        <f>SUM(E66,G66,I66,K66)</f>
        <v>1945032315.7619007</v>
      </c>
      <c r="D66" s="28">
        <f>SUM(F66,H66,J66,L66)</f>
        <v>479695.01261838275</v>
      </c>
      <c r="E66" s="35"/>
      <c r="F66" s="36"/>
      <c r="G66" s="43">
        <v>569674736.83402956</v>
      </c>
      <c r="H66" s="44">
        <v>118464.40869439059</v>
      </c>
      <c r="I66" s="51">
        <v>1293975473.6658671</v>
      </c>
      <c r="J66" s="52">
        <v>347607.14743965771</v>
      </c>
      <c r="K66" s="58">
        <v>81382105.262004226</v>
      </c>
      <c r="L66" s="17">
        <v>13623.456484334463</v>
      </c>
      <c r="M66" s="101"/>
      <c r="N66" s="27">
        <f>SUM(P66,R66,T66,V66)</f>
        <v>609226439.99136353</v>
      </c>
      <c r="O66" s="28">
        <f>SUM(Q66,S66,U66,W66)</f>
        <v>107934.58319164504</v>
      </c>
      <c r="P66" s="35"/>
      <c r="Q66" s="36"/>
      <c r="R66" s="43">
        <v>537203276.83448982</v>
      </c>
      <c r="S66" s="44">
        <f>R66*$S$64</f>
        <v>102246.79726097024</v>
      </c>
      <c r="T66" s="51"/>
      <c r="U66" s="52"/>
      <c r="V66" s="58">
        <v>72023163.156873748</v>
      </c>
      <c r="W66" s="17">
        <f>V66*$W$64</f>
        <v>5687.7859306748032</v>
      </c>
      <c r="X66" s="101"/>
      <c r="Y66" s="27">
        <f>SUM(AA66,AC66,AE66,AG66)</f>
        <v>41830402.104670212</v>
      </c>
      <c r="Z66" s="28">
        <f>SUM(AB66,AD66,AF66,AH66)</f>
        <v>24153.281987080005</v>
      </c>
      <c r="AA66" s="35"/>
      <c r="AB66" s="38"/>
      <c r="AC66" s="43">
        <f t="shared" ref="AC66:AC77" si="130">G66-R66</f>
        <v>32471459.999539733</v>
      </c>
      <c r="AD66" s="44">
        <f t="shared" ref="AD66:AD77" si="131">H66-S66</f>
        <v>16217.611433420345</v>
      </c>
      <c r="AE66" s="51"/>
      <c r="AF66" s="52"/>
      <c r="AG66" s="58">
        <f t="shared" ref="AG66:AG77" si="132">K66-V66</f>
        <v>9358942.1051304787</v>
      </c>
      <c r="AH66" s="17">
        <f t="shared" ref="AH66:AH77" si="133">L66-W66</f>
        <v>7935.6705536596601</v>
      </c>
      <c r="AI66" s="101"/>
    </row>
    <row r="67" spans="1:35">
      <c r="A67" s="361">
        <v>2</v>
      </c>
      <c r="B67" s="23">
        <v>43132</v>
      </c>
      <c r="C67" s="29">
        <f t="shared" ref="C67:D77" si="134">SUM(E67,G67,I67,K67)</f>
        <v>1735958025.9069738</v>
      </c>
      <c r="D67" s="30">
        <f t="shared" si="134"/>
        <v>428131.91348763509</v>
      </c>
      <c r="E67" s="37"/>
      <c r="F67" s="38"/>
      <c r="G67" s="45">
        <v>508439589.17777473</v>
      </c>
      <c r="H67" s="46">
        <v>105730.50092321732</v>
      </c>
      <c r="I67" s="53">
        <v>1154884209.7038028</v>
      </c>
      <c r="J67" s="54">
        <v>310242.36079292529</v>
      </c>
      <c r="K67" s="59">
        <v>72634227.025396392</v>
      </c>
      <c r="L67" s="15">
        <v>12159.051771492457</v>
      </c>
      <c r="M67" s="103"/>
      <c r="N67" s="29">
        <f t="shared" ref="N67:N77" si="135">SUM(P67,R67,T67,V67)</f>
        <v>543739823.51211739</v>
      </c>
      <c r="O67" s="30">
        <f t="shared" ref="O67:O77" si="136">SUM(Q67,S67,U67,W67)</f>
        <v>96332.54133932697</v>
      </c>
      <c r="P67" s="37"/>
      <c r="Q67" s="36"/>
      <c r="R67" s="45">
        <v>479458532.59464157</v>
      </c>
      <c r="S67" s="44">
        <f t="shared" ref="S67:S77" si="137">R67*$S$64</f>
        <v>91256.14360753505</v>
      </c>
      <c r="T67" s="53"/>
      <c r="U67" s="52"/>
      <c r="V67" s="59">
        <v>64281290.917475805</v>
      </c>
      <c r="W67" s="17">
        <f t="shared" ref="W67:W77" si="138">V67*$W$64</f>
        <v>5076.3977317919152</v>
      </c>
      <c r="X67" s="103"/>
      <c r="Y67" s="29">
        <f t="shared" ref="Y67:Y77" si="139">SUM(AA67,AC67,AE67,AG67)</f>
        <v>37333992.691053748</v>
      </c>
      <c r="Z67" s="30">
        <f t="shared" ref="Z67:Z77" si="140">SUM(AB67,AD67,AF67,AH67)</f>
        <v>21557.011355382809</v>
      </c>
      <c r="AA67" s="35"/>
      <c r="AB67" s="38"/>
      <c r="AC67" s="45">
        <f t="shared" si="130"/>
        <v>28981056.583133161</v>
      </c>
      <c r="AD67" s="46">
        <f t="shared" si="131"/>
        <v>14474.357315682268</v>
      </c>
      <c r="AE67" s="53"/>
      <c r="AF67" s="54"/>
      <c r="AG67" s="59">
        <f t="shared" si="132"/>
        <v>8352936.1079205871</v>
      </c>
      <c r="AH67" s="15">
        <f t="shared" si="133"/>
        <v>7082.6540397005419</v>
      </c>
      <c r="AI67" s="103"/>
    </row>
    <row r="68" spans="1:35">
      <c r="A68" s="361">
        <v>3</v>
      </c>
      <c r="B68" s="23">
        <v>43160</v>
      </c>
      <c r="C68" s="29">
        <f t="shared" si="134"/>
        <v>2142529764.4681852</v>
      </c>
      <c r="D68" s="30">
        <f t="shared" si="134"/>
        <v>528402.96486243024</v>
      </c>
      <c r="E68" s="37"/>
      <c r="F68" s="38"/>
      <c r="G68" s="45">
        <v>627519177.87771106</v>
      </c>
      <c r="H68" s="46">
        <v>130493.21576872235</v>
      </c>
      <c r="I68" s="53">
        <v>1425364989.7508011</v>
      </c>
      <c r="J68" s="54">
        <v>382902.97477119998</v>
      </c>
      <c r="K68" s="59">
        <v>89645596.839673027</v>
      </c>
      <c r="L68" s="15">
        <v>15006.774322507856</v>
      </c>
      <c r="M68" s="101"/>
      <c r="N68" s="29">
        <f t="shared" si="135"/>
        <v>671086937.94179225</v>
      </c>
      <c r="O68" s="30">
        <f t="shared" si="136"/>
        <v>118894.19791618291</v>
      </c>
      <c r="P68" s="37"/>
      <c r="Q68" s="36"/>
      <c r="R68" s="45">
        <v>591750584.73868155</v>
      </c>
      <c r="S68" s="44">
        <f t="shared" si="137"/>
        <v>112628.87751423339</v>
      </c>
      <c r="T68" s="53"/>
      <c r="U68" s="52"/>
      <c r="V68" s="59">
        <v>79336353.203110635</v>
      </c>
      <c r="W68" s="17">
        <f t="shared" si="138"/>
        <v>6265.3204019495124</v>
      </c>
      <c r="X68" s="101"/>
      <c r="Y68" s="29">
        <f t="shared" si="139"/>
        <v>46077836.775591895</v>
      </c>
      <c r="Z68" s="30">
        <f t="shared" si="140"/>
        <v>26605.792175047303</v>
      </c>
      <c r="AA68" s="35"/>
      <c r="AB68" s="38"/>
      <c r="AC68" s="45">
        <f t="shared" si="130"/>
        <v>35768593.139029503</v>
      </c>
      <c r="AD68" s="46">
        <f t="shared" si="131"/>
        <v>17864.338254488961</v>
      </c>
      <c r="AE68" s="53"/>
      <c r="AF68" s="54"/>
      <c r="AG68" s="59">
        <f t="shared" si="132"/>
        <v>10309243.636562392</v>
      </c>
      <c r="AH68" s="15">
        <f t="shared" si="133"/>
        <v>8741.4539205583424</v>
      </c>
      <c r="AI68" s="101"/>
    </row>
    <row r="69" spans="1:35">
      <c r="A69" s="361">
        <v>4</v>
      </c>
      <c r="B69" s="23">
        <v>43191</v>
      </c>
      <c r="C69" s="29">
        <f t="shared" si="134"/>
        <v>2249658843.9530325</v>
      </c>
      <c r="D69" s="30">
        <f t="shared" si="134"/>
        <v>554823.7521772926</v>
      </c>
      <c r="E69" s="37"/>
      <c r="F69" s="38"/>
      <c r="G69" s="45">
        <v>658895895.71846128</v>
      </c>
      <c r="H69" s="46">
        <v>137018.03438088796</v>
      </c>
      <c r="I69" s="53">
        <v>1496634963.1319337</v>
      </c>
      <c r="J69" s="54">
        <v>402048.58660797658</v>
      </c>
      <c r="K69" s="59">
        <v>94127985.102637336</v>
      </c>
      <c r="L69" s="15">
        <v>15757.131188428062</v>
      </c>
      <c r="M69" s="101"/>
      <c r="N69" s="29">
        <f t="shared" si="135"/>
        <v>704642096.47834301</v>
      </c>
      <c r="O69" s="30">
        <f t="shared" si="136"/>
        <v>124839.05160740406</v>
      </c>
      <c r="P69" s="37"/>
      <c r="Q69" s="36"/>
      <c r="R69" s="45">
        <v>621338829.66250896</v>
      </c>
      <c r="S69" s="44">
        <f t="shared" si="137"/>
        <v>118260.45760782727</v>
      </c>
      <c r="T69" s="53"/>
      <c r="U69" s="52"/>
      <c r="V69" s="59">
        <v>83303266.815834045</v>
      </c>
      <c r="W69" s="17">
        <f t="shared" si="138"/>
        <v>6578.5939995767949</v>
      </c>
      <c r="X69" s="101"/>
      <c r="Y69" s="29">
        <f t="shared" si="139"/>
        <v>48381784.342755601</v>
      </c>
      <c r="Z69" s="30">
        <f t="shared" si="140"/>
        <v>27936.113961911957</v>
      </c>
      <c r="AA69" s="35"/>
      <c r="AB69" s="38"/>
      <c r="AC69" s="45">
        <f t="shared" si="130"/>
        <v>37557066.055952311</v>
      </c>
      <c r="AD69" s="46">
        <f t="shared" si="131"/>
        <v>18757.576773060689</v>
      </c>
      <c r="AE69" s="53"/>
      <c r="AF69" s="54"/>
      <c r="AG69" s="59">
        <f t="shared" si="132"/>
        <v>10824718.28680329</v>
      </c>
      <c r="AH69" s="15">
        <f t="shared" si="133"/>
        <v>9178.5371888512673</v>
      </c>
      <c r="AI69" s="101"/>
    </row>
    <row r="70" spans="1:35">
      <c r="A70" s="361">
        <v>5</v>
      </c>
      <c r="B70" s="23">
        <v>43221</v>
      </c>
      <c r="C70" s="29">
        <f t="shared" si="134"/>
        <v>2437219802.7949643</v>
      </c>
      <c r="D70" s="30">
        <f t="shared" si="134"/>
        <v>601081.11036578775</v>
      </c>
      <c r="E70" s="37"/>
      <c r="F70" s="38"/>
      <c r="G70" s="45">
        <v>713830067.76421547</v>
      </c>
      <c r="H70" s="46">
        <v>148441.64822180182</v>
      </c>
      <c r="I70" s="53">
        <v>1621414011.0644324</v>
      </c>
      <c r="J70" s="54">
        <v>435568.61059202644</v>
      </c>
      <c r="K70" s="59">
        <v>101975723.96631651</v>
      </c>
      <c r="L70" s="15">
        <v>17070.851551959495</v>
      </c>
      <c r="M70" s="101"/>
      <c r="N70" s="29">
        <f t="shared" si="135"/>
        <v>763390269.61184525</v>
      </c>
      <c r="O70" s="30">
        <f t="shared" si="136"/>
        <v>135247.26629441773</v>
      </c>
      <c r="P70" s="37"/>
      <c r="Q70" s="36"/>
      <c r="R70" s="45">
        <v>673141753.9016552</v>
      </c>
      <c r="S70" s="44">
        <f t="shared" si="137"/>
        <v>128120.19473269457</v>
      </c>
      <c r="T70" s="53"/>
      <c r="U70" s="52"/>
      <c r="V70" s="59">
        <v>90248515.710190102</v>
      </c>
      <c r="W70" s="17">
        <f t="shared" si="138"/>
        <v>7127.0715617231754</v>
      </c>
      <c r="X70" s="101"/>
      <c r="Y70" s="29">
        <f t="shared" si="139"/>
        <v>52415522.118686676</v>
      </c>
      <c r="Z70" s="30">
        <f t="shared" si="140"/>
        <v>30265.233479343573</v>
      </c>
      <c r="AA70" s="35"/>
      <c r="AB70" s="38"/>
      <c r="AC70" s="45">
        <f t="shared" si="130"/>
        <v>40688313.862560272</v>
      </c>
      <c r="AD70" s="46">
        <f t="shared" si="131"/>
        <v>20321.453489107254</v>
      </c>
      <c r="AE70" s="53"/>
      <c r="AF70" s="54"/>
      <c r="AG70" s="59">
        <f t="shared" si="132"/>
        <v>11727208.256126404</v>
      </c>
      <c r="AH70" s="15">
        <f t="shared" si="133"/>
        <v>9943.7799902363186</v>
      </c>
      <c r="AI70" s="101"/>
    </row>
    <row r="71" spans="1:35">
      <c r="A71" s="361">
        <v>6</v>
      </c>
      <c r="B71" s="23">
        <v>43252</v>
      </c>
      <c r="C71" s="29">
        <f t="shared" si="134"/>
        <v>2391869091.7912331</v>
      </c>
      <c r="D71" s="30">
        <f t="shared" si="134"/>
        <v>589896.45820813661</v>
      </c>
      <c r="E71" s="37"/>
      <c r="F71" s="38"/>
      <c r="G71" s="45">
        <v>700547432.74220216</v>
      </c>
      <c r="H71" s="46">
        <v>145679.5115110692</v>
      </c>
      <c r="I71" s="53">
        <v>1591243454.3715734</v>
      </c>
      <c r="J71" s="54">
        <v>427463.74202063092</v>
      </c>
      <c r="K71" s="59">
        <v>100078204.67745745</v>
      </c>
      <c r="L71" s="15">
        <v>16753.20467643653</v>
      </c>
      <c r="M71" s="101"/>
      <c r="N71" s="29">
        <f t="shared" si="135"/>
        <v>749185440.21544647</v>
      </c>
      <c r="O71" s="30">
        <f t="shared" si="136"/>
        <v>132730.6448223909</v>
      </c>
      <c r="P71" s="37"/>
      <c r="Q71" s="36"/>
      <c r="R71" s="45">
        <v>660616229.07589662</v>
      </c>
      <c r="S71" s="44">
        <f t="shared" si="137"/>
        <v>125736.19066445214</v>
      </c>
      <c r="T71" s="53"/>
      <c r="U71" s="52"/>
      <c r="V71" s="59">
        <v>88569211.139549851</v>
      </c>
      <c r="W71" s="17">
        <f t="shared" si="138"/>
        <v>6994.454157938766</v>
      </c>
      <c r="X71" s="101"/>
      <c r="Y71" s="29">
        <f t="shared" si="139"/>
        <v>51440197.204213142</v>
      </c>
      <c r="Z71" s="30">
        <f t="shared" si="140"/>
        <v>29702.071365114825</v>
      </c>
      <c r="AA71" s="35"/>
      <c r="AB71" s="38"/>
      <c r="AC71" s="45">
        <f t="shared" si="130"/>
        <v>39931203.666305542</v>
      </c>
      <c r="AD71" s="46">
        <f t="shared" si="131"/>
        <v>19943.320846617062</v>
      </c>
      <c r="AE71" s="53"/>
      <c r="AF71" s="54"/>
      <c r="AG71" s="59">
        <f t="shared" si="132"/>
        <v>11508993.5379076</v>
      </c>
      <c r="AH71" s="15">
        <f t="shared" si="133"/>
        <v>9758.7505184977636</v>
      </c>
      <c r="AI71" s="101"/>
    </row>
    <row r="72" spans="1:35">
      <c r="A72" s="361">
        <v>7</v>
      </c>
      <c r="B72" s="23">
        <v>43282</v>
      </c>
      <c r="C72" s="29">
        <f t="shared" si="134"/>
        <v>2582440862.6907244</v>
      </c>
      <c r="D72" s="30">
        <f t="shared" si="134"/>
        <v>636896.3601149231</v>
      </c>
      <c r="E72" s="37"/>
      <c r="F72" s="38"/>
      <c r="G72" s="45">
        <v>756363432.58724153</v>
      </c>
      <c r="H72" s="46">
        <v>157286.50228983568</v>
      </c>
      <c r="I72" s="53">
        <v>1718025511.1624486</v>
      </c>
      <c r="J72" s="54">
        <v>461521.84436066699</v>
      </c>
      <c r="K72" s="59">
        <v>108051918.94103451</v>
      </c>
      <c r="L72" s="15">
        <v>18088.013464420492</v>
      </c>
      <c r="M72" s="101"/>
      <c r="N72" s="29">
        <f t="shared" si="135"/>
        <v>808876665.19258428</v>
      </c>
      <c r="O72" s="30">
        <f t="shared" si="136"/>
        <v>143305.93680774435</v>
      </c>
      <c r="P72" s="37"/>
      <c r="Q72" s="36"/>
      <c r="R72" s="45">
        <v>713250716.92976868</v>
      </c>
      <c r="S72" s="44">
        <f t="shared" si="137"/>
        <v>135754.20068152048</v>
      </c>
      <c r="T72" s="53"/>
      <c r="U72" s="52"/>
      <c r="V72" s="59">
        <v>95625948.26281555</v>
      </c>
      <c r="W72" s="17">
        <f t="shared" si="138"/>
        <v>7551.7361262238619</v>
      </c>
      <c r="X72" s="101"/>
      <c r="Y72" s="29">
        <f t="shared" si="139"/>
        <v>55538686.33569181</v>
      </c>
      <c r="Z72" s="30">
        <f t="shared" si="140"/>
        <v>32068.578946511832</v>
      </c>
      <c r="AA72" s="35"/>
      <c r="AB72" s="38"/>
      <c r="AC72" s="45">
        <f t="shared" si="130"/>
        <v>43112715.657472849</v>
      </c>
      <c r="AD72" s="46">
        <f t="shared" si="131"/>
        <v>21532.301608315203</v>
      </c>
      <c r="AE72" s="53"/>
      <c r="AF72" s="54"/>
      <c r="AG72" s="59">
        <f t="shared" si="132"/>
        <v>12425970.678218961</v>
      </c>
      <c r="AH72" s="15">
        <f t="shared" si="133"/>
        <v>10536.277338196629</v>
      </c>
      <c r="AI72" s="101"/>
    </row>
    <row r="73" spans="1:35">
      <c r="A73" s="361">
        <v>8</v>
      </c>
      <c r="B73" s="23">
        <v>43313</v>
      </c>
      <c r="C73" s="29">
        <f t="shared" si="134"/>
        <v>2558334235.8979063</v>
      </c>
      <c r="D73" s="30">
        <f t="shared" si="134"/>
        <v>630951.0457107058</v>
      </c>
      <c r="E73" s="37"/>
      <c r="F73" s="38"/>
      <c r="G73" s="45">
        <v>749302914.2797215</v>
      </c>
      <c r="H73" s="46">
        <v>155818.26072619413</v>
      </c>
      <c r="I73" s="53">
        <v>1701988048.1496534</v>
      </c>
      <c r="J73" s="54">
        <v>457213.61991321796</v>
      </c>
      <c r="K73" s="59">
        <v>107043273.46853167</v>
      </c>
      <c r="L73" s="15">
        <v>17919.165071293719</v>
      </c>
      <c r="M73" s="101"/>
      <c r="N73" s="29">
        <f t="shared" si="135"/>
        <v>801325945.1854279</v>
      </c>
      <c r="O73" s="30">
        <f t="shared" si="136"/>
        <v>141968.20133982738</v>
      </c>
      <c r="P73" s="37"/>
      <c r="Q73" s="36"/>
      <c r="R73" s="45">
        <v>706592648.16577733</v>
      </c>
      <c r="S73" s="44">
        <f t="shared" si="137"/>
        <v>134486.9593290982</v>
      </c>
      <c r="T73" s="53"/>
      <c r="U73" s="52"/>
      <c r="V73" s="59">
        <v>94733297.019650534</v>
      </c>
      <c r="W73" s="17">
        <f t="shared" si="138"/>
        <v>7481.2420107291746</v>
      </c>
      <c r="X73" s="101"/>
      <c r="Y73" s="29">
        <f t="shared" si="139"/>
        <v>55020242.562825307</v>
      </c>
      <c r="Z73" s="30">
        <f t="shared" si="140"/>
        <v>31769.224457660472</v>
      </c>
      <c r="AA73" s="35"/>
      <c r="AB73" s="38"/>
      <c r="AC73" s="45">
        <f t="shared" si="130"/>
        <v>42710266.113944173</v>
      </c>
      <c r="AD73" s="46">
        <f t="shared" si="131"/>
        <v>21331.301397095929</v>
      </c>
      <c r="AE73" s="53"/>
      <c r="AF73" s="54"/>
      <c r="AG73" s="59">
        <f t="shared" si="132"/>
        <v>12309976.448881134</v>
      </c>
      <c r="AH73" s="15">
        <f t="shared" si="133"/>
        <v>10437.923060564544</v>
      </c>
      <c r="AI73" s="101"/>
    </row>
    <row r="74" spans="1:35">
      <c r="A74" s="361">
        <v>9</v>
      </c>
      <c r="B74" s="23">
        <v>43344</v>
      </c>
      <c r="C74" s="29">
        <f t="shared" si="134"/>
        <v>2699187341.078845</v>
      </c>
      <c r="D74" s="30">
        <f t="shared" si="134"/>
        <v>665689.04544447467</v>
      </c>
      <c r="E74" s="37"/>
      <c r="F74" s="38"/>
      <c r="G74" s="45">
        <v>790556961.82225585</v>
      </c>
      <c r="H74" s="46">
        <v>164397.07953697184</v>
      </c>
      <c r="I74" s="53">
        <v>1795693670.4248385</v>
      </c>
      <c r="J74" s="54">
        <v>482386.23308945977</v>
      </c>
      <c r="K74" s="59">
        <v>112936708.83175085</v>
      </c>
      <c r="L74" s="15">
        <v>18905.732818043078</v>
      </c>
      <c r="M74" s="101"/>
      <c r="N74" s="29">
        <f t="shared" si="135"/>
        <v>845444202.31448674</v>
      </c>
      <c r="O74" s="30">
        <f t="shared" si="136"/>
        <v>149784.48340144358</v>
      </c>
      <c r="P74" s="37"/>
      <c r="Q74" s="36"/>
      <c r="R74" s="45">
        <v>745495214.99838722</v>
      </c>
      <c r="S74" s="44">
        <f t="shared" si="137"/>
        <v>141891.34987433814</v>
      </c>
      <c r="T74" s="53"/>
      <c r="U74" s="52"/>
      <c r="V74" s="59">
        <v>99948987.31609951</v>
      </c>
      <c r="W74" s="17">
        <f t="shared" si="138"/>
        <v>7893.1335271054359</v>
      </c>
      <c r="X74" s="101"/>
      <c r="Y74" s="29">
        <f t="shared" si="139"/>
        <v>58049468.339519978</v>
      </c>
      <c r="Z74" s="30">
        <f t="shared" si="140"/>
        <v>33518.328953571348</v>
      </c>
      <c r="AA74" s="35"/>
      <c r="AB74" s="38"/>
      <c r="AC74" s="45">
        <f t="shared" si="130"/>
        <v>45061746.823868632</v>
      </c>
      <c r="AD74" s="46">
        <f t="shared" si="131"/>
        <v>22505.729662633705</v>
      </c>
      <c r="AE74" s="53"/>
      <c r="AF74" s="54"/>
      <c r="AG74" s="59">
        <f t="shared" si="132"/>
        <v>12987721.515651345</v>
      </c>
      <c r="AH74" s="15">
        <f t="shared" si="133"/>
        <v>11012.599290937642</v>
      </c>
      <c r="AI74" s="101"/>
    </row>
    <row r="75" spans="1:35">
      <c r="A75" s="361">
        <v>10</v>
      </c>
      <c r="B75" s="23">
        <v>43374</v>
      </c>
      <c r="C75" s="29">
        <f t="shared" si="134"/>
        <v>2896195026.05759</v>
      </c>
      <c r="D75" s="30">
        <f t="shared" si="134"/>
        <v>714276.20935222623</v>
      </c>
      <c r="E75" s="37"/>
      <c r="F75" s="38"/>
      <c r="G75" s="45">
        <v>848257957.42272496</v>
      </c>
      <c r="H75" s="46">
        <v>176396.05699360892</v>
      </c>
      <c r="I75" s="53">
        <v>1926757360.4316182</v>
      </c>
      <c r="J75" s="54">
        <v>517594.5321208961</v>
      </c>
      <c r="K75" s="59">
        <v>121179708.20324643</v>
      </c>
      <c r="L75" s="15">
        <v>20285.620237721268</v>
      </c>
      <c r="M75" s="101"/>
      <c r="N75" s="29">
        <f t="shared" si="135"/>
        <v>907151295.60950279</v>
      </c>
      <c r="O75" s="30">
        <f t="shared" si="136"/>
        <v>160716.91994319958</v>
      </c>
      <c r="P75" s="37"/>
      <c r="Q75" s="36"/>
      <c r="R75" s="45">
        <v>799907253.84962964</v>
      </c>
      <c r="S75" s="44">
        <f t="shared" si="137"/>
        <v>152247.68414274041</v>
      </c>
      <c r="T75" s="53"/>
      <c r="U75" s="52"/>
      <c r="V75" s="59">
        <v>107244041.75987309</v>
      </c>
      <c r="W75" s="17">
        <f t="shared" si="138"/>
        <v>8469.2358004591733</v>
      </c>
      <c r="X75" s="101"/>
      <c r="Y75" s="29">
        <f t="shared" si="139"/>
        <v>62286370.016468659</v>
      </c>
      <c r="Z75" s="30">
        <f t="shared" si="140"/>
        <v>35964.757288130597</v>
      </c>
      <c r="AA75" s="35"/>
      <c r="AB75" s="38"/>
      <c r="AC75" s="45">
        <f t="shared" si="130"/>
        <v>48350703.573095322</v>
      </c>
      <c r="AD75" s="46">
        <f t="shared" si="131"/>
        <v>24148.372850868502</v>
      </c>
      <c r="AE75" s="53"/>
      <c r="AF75" s="54"/>
      <c r="AG75" s="59">
        <f t="shared" si="132"/>
        <v>13935666.443373337</v>
      </c>
      <c r="AH75" s="15">
        <f t="shared" si="133"/>
        <v>11816.384437262095</v>
      </c>
      <c r="AI75" s="101"/>
    </row>
    <row r="76" spans="1:35">
      <c r="A76" s="361">
        <v>11</v>
      </c>
      <c r="B76" s="23">
        <v>43405</v>
      </c>
      <c r="C76" s="29">
        <f t="shared" si="134"/>
        <v>2955761410.8480978</v>
      </c>
      <c r="D76" s="30">
        <f t="shared" si="134"/>
        <v>728966.8124194158</v>
      </c>
      <c r="E76" s="37"/>
      <c r="F76" s="38"/>
      <c r="G76" s="45">
        <v>865704178.90948462</v>
      </c>
      <c r="H76" s="46">
        <v>180024.01550878966</v>
      </c>
      <c r="I76" s="53">
        <v>1966385206.3801153</v>
      </c>
      <c r="J76" s="54">
        <v>528239.95992820268</v>
      </c>
      <c r="K76" s="59">
        <v>123672025.55849782</v>
      </c>
      <c r="L76" s="15">
        <v>20702.836982423396</v>
      </c>
      <c r="M76" s="101"/>
      <c r="N76" s="29">
        <f t="shared" si="135"/>
        <v>925808783.3309145</v>
      </c>
      <c r="O76" s="30">
        <f t="shared" si="136"/>
        <v>164022.40379685891</v>
      </c>
      <c r="P76" s="37"/>
      <c r="Q76" s="36"/>
      <c r="R76" s="45">
        <v>816359040.71164393</v>
      </c>
      <c r="S76" s="44">
        <f t="shared" si="137"/>
        <v>155378.98022450152</v>
      </c>
      <c r="T76" s="53"/>
      <c r="U76" s="52"/>
      <c r="V76" s="59">
        <v>109449742.61927056</v>
      </c>
      <c r="W76" s="17">
        <f t="shared" si="138"/>
        <v>8643.4235723573984</v>
      </c>
      <c r="X76" s="101"/>
      <c r="Y76" s="29">
        <f t="shared" si="139"/>
        <v>63567421.137067944</v>
      </c>
      <c r="Z76" s="30">
        <f t="shared" si="140"/>
        <v>36704.448694354141</v>
      </c>
      <c r="AA76" s="35"/>
      <c r="AB76" s="38"/>
      <c r="AC76" s="45">
        <f t="shared" si="130"/>
        <v>49345138.197840691</v>
      </c>
      <c r="AD76" s="46">
        <f t="shared" si="131"/>
        <v>24645.03528428814</v>
      </c>
      <c r="AE76" s="53"/>
      <c r="AF76" s="54"/>
      <c r="AG76" s="59">
        <f t="shared" si="132"/>
        <v>14222282.939227253</v>
      </c>
      <c r="AH76" s="15">
        <f t="shared" si="133"/>
        <v>12059.413410065998</v>
      </c>
      <c r="AI76" s="101"/>
    </row>
    <row r="77" spans="1:35" ht="15" thickBot="1">
      <c r="A77" s="361">
        <v>12</v>
      </c>
      <c r="B77" s="24">
        <v>43435</v>
      </c>
      <c r="C77" s="31">
        <f t="shared" si="134"/>
        <v>3280813278.750545</v>
      </c>
      <c r="D77" s="32">
        <f t="shared" si="134"/>
        <v>809132.96627275913</v>
      </c>
      <c r="E77" s="39"/>
      <c r="F77" s="40"/>
      <c r="G77" s="47">
        <v>960907654.86417639</v>
      </c>
      <c r="H77" s="48">
        <v>199821.66977603344</v>
      </c>
      <c r="I77" s="55">
        <v>2182633101.7629151</v>
      </c>
      <c r="J77" s="56">
        <v>586331.72100377223</v>
      </c>
      <c r="K77" s="60">
        <v>137272522.1234538</v>
      </c>
      <c r="L77" s="16">
        <v>22979.575492953481</v>
      </c>
      <c r="M77" s="101"/>
      <c r="N77" s="31">
        <f t="shared" si="135"/>
        <v>1027622100.6161749</v>
      </c>
      <c r="O77" s="32">
        <f t="shared" si="136"/>
        <v>182060.32408918746</v>
      </c>
      <c r="P77" s="39"/>
      <c r="Q77" s="602"/>
      <c r="R77" s="47">
        <v>906135918.53691828</v>
      </c>
      <c r="S77" s="603">
        <f t="shared" si="137"/>
        <v>172466.36338384115</v>
      </c>
      <c r="T77" s="55"/>
      <c r="U77" s="604"/>
      <c r="V77" s="60">
        <v>121486182.07925661</v>
      </c>
      <c r="W77" s="605">
        <f t="shared" si="138"/>
        <v>9593.9607053463151</v>
      </c>
      <c r="X77" s="101"/>
      <c r="Y77" s="31">
        <f t="shared" si="139"/>
        <v>70558076.371455297</v>
      </c>
      <c r="Z77" s="32">
        <f t="shared" si="140"/>
        <v>40740.92117979945</v>
      </c>
      <c r="AA77" s="363"/>
      <c r="AB77" s="40"/>
      <c r="AC77" s="47">
        <f t="shared" si="130"/>
        <v>54771736.32725811</v>
      </c>
      <c r="AD77" s="48">
        <f t="shared" si="131"/>
        <v>27355.306392192288</v>
      </c>
      <c r="AE77" s="55"/>
      <c r="AF77" s="56"/>
      <c r="AG77" s="60">
        <f t="shared" si="132"/>
        <v>15786340.044197187</v>
      </c>
      <c r="AH77" s="16">
        <f t="shared" si="133"/>
        <v>13385.614787607166</v>
      </c>
      <c r="AI77" s="101"/>
    </row>
    <row r="78" spans="1:35" ht="15" thickBot="1">
      <c r="M78" s="101"/>
      <c r="X78" s="101"/>
      <c r="AI78" s="101"/>
    </row>
    <row r="79" spans="1:35">
      <c r="A79" s="361"/>
      <c r="B79" s="438" t="s">
        <v>126</v>
      </c>
      <c r="C79" s="454">
        <f t="shared" ref="C79:L79" si="141">SUM(C66:C68)</f>
        <v>5823520106.1370602</v>
      </c>
      <c r="D79" s="455">
        <f t="shared" si="141"/>
        <v>1436229.890968448</v>
      </c>
      <c r="E79" s="456"/>
      <c r="F79" s="457"/>
      <c r="G79" s="458">
        <f t="shared" si="141"/>
        <v>1705633503.8895154</v>
      </c>
      <c r="H79" s="459">
        <f t="shared" si="141"/>
        <v>354688.12538633024</v>
      </c>
      <c r="I79" s="460">
        <f t="shared" si="141"/>
        <v>3874224673.120471</v>
      </c>
      <c r="J79" s="461">
        <f t="shared" si="141"/>
        <v>1040752.483003783</v>
      </c>
      <c r="K79" s="462">
        <f t="shared" si="141"/>
        <v>243661929.12707365</v>
      </c>
      <c r="L79" s="463">
        <f t="shared" si="141"/>
        <v>40789.28257833478</v>
      </c>
      <c r="M79" s="449"/>
      <c r="N79" s="454">
        <f t="shared" ref="N79:W79" si="142">SUM(N66:N68)</f>
        <v>1824053201.4452732</v>
      </c>
      <c r="O79" s="455">
        <f t="shared" si="142"/>
        <v>323161.3224471549</v>
      </c>
      <c r="P79" s="456"/>
      <c r="Q79" s="457"/>
      <c r="R79" s="458">
        <f t="shared" si="142"/>
        <v>1608412394.1678128</v>
      </c>
      <c r="S79" s="459">
        <f t="shared" si="142"/>
        <v>306131.81838273868</v>
      </c>
      <c r="T79" s="460"/>
      <c r="U79" s="461"/>
      <c r="V79" s="462">
        <f t="shared" si="142"/>
        <v>215640807.27746019</v>
      </c>
      <c r="W79" s="463">
        <f t="shared" si="142"/>
        <v>17029.504064416233</v>
      </c>
      <c r="X79" s="449"/>
      <c r="Y79" s="454">
        <f t="shared" ref="Y79:AH79" si="143">SUM(Y66:Y68)</f>
        <v>125242231.57131585</v>
      </c>
      <c r="Z79" s="455">
        <f t="shared" si="143"/>
        <v>72316.085517510117</v>
      </c>
      <c r="AA79" s="456"/>
      <c r="AB79" s="457"/>
      <c r="AC79" s="458">
        <f t="shared" si="143"/>
        <v>97221109.721702397</v>
      </c>
      <c r="AD79" s="459">
        <f t="shared" si="143"/>
        <v>48556.307003591573</v>
      </c>
      <c r="AE79" s="460"/>
      <c r="AF79" s="461"/>
      <c r="AG79" s="462">
        <f t="shared" si="143"/>
        <v>28021121.849613458</v>
      </c>
      <c r="AH79" s="463">
        <f t="shared" si="143"/>
        <v>23759.778513918543</v>
      </c>
      <c r="AI79" s="101"/>
    </row>
    <row r="80" spans="1:35">
      <c r="A80" s="361"/>
      <c r="B80" s="450" t="s">
        <v>127</v>
      </c>
      <c r="C80" s="29">
        <f t="shared" ref="C80:L80" si="144">SUM(C69:C71)</f>
        <v>7078747738.5392303</v>
      </c>
      <c r="D80" s="30">
        <f t="shared" si="144"/>
        <v>1745801.3207512172</v>
      </c>
      <c r="E80" s="37"/>
      <c r="F80" s="38"/>
      <c r="G80" s="45">
        <f t="shared" si="144"/>
        <v>2073273396.2248788</v>
      </c>
      <c r="H80" s="46">
        <f t="shared" si="144"/>
        <v>431139.19411375897</v>
      </c>
      <c r="I80" s="53">
        <f t="shared" si="144"/>
        <v>4709292428.5679398</v>
      </c>
      <c r="J80" s="54">
        <f t="shared" si="144"/>
        <v>1265080.9392206341</v>
      </c>
      <c r="K80" s="59">
        <f t="shared" si="144"/>
        <v>296181913.74641132</v>
      </c>
      <c r="L80" s="15">
        <f t="shared" si="144"/>
        <v>49581.187416824083</v>
      </c>
      <c r="M80" s="451"/>
      <c r="N80" s="29">
        <f t="shared" ref="N80:W80" si="145">SUM(N69:N71)</f>
        <v>2217217806.3056345</v>
      </c>
      <c r="O80" s="30">
        <f t="shared" si="145"/>
        <v>392816.96272421267</v>
      </c>
      <c r="P80" s="37"/>
      <c r="Q80" s="38"/>
      <c r="R80" s="45">
        <f t="shared" si="145"/>
        <v>1955096812.6400609</v>
      </c>
      <c r="S80" s="46">
        <f t="shared" si="145"/>
        <v>372116.84300497395</v>
      </c>
      <c r="T80" s="53"/>
      <c r="U80" s="54"/>
      <c r="V80" s="59">
        <f t="shared" si="145"/>
        <v>262120993.66557401</v>
      </c>
      <c r="W80" s="15">
        <f t="shared" si="145"/>
        <v>20700.119719238737</v>
      </c>
      <c r="X80" s="451"/>
      <c r="Y80" s="29">
        <f t="shared" ref="Y80:AH80" si="146">SUM(Y69:Y71)</f>
        <v>152237503.66565543</v>
      </c>
      <c r="Z80" s="30">
        <f t="shared" si="146"/>
        <v>87903.418806370348</v>
      </c>
      <c r="AA80" s="37"/>
      <c r="AB80" s="38"/>
      <c r="AC80" s="45">
        <f t="shared" si="146"/>
        <v>118176583.58481812</v>
      </c>
      <c r="AD80" s="46">
        <f t="shared" si="146"/>
        <v>59022.351108785006</v>
      </c>
      <c r="AE80" s="53"/>
      <c r="AF80" s="54"/>
      <c r="AG80" s="59">
        <f t="shared" si="146"/>
        <v>34060920.080837294</v>
      </c>
      <c r="AH80" s="15">
        <f t="shared" si="146"/>
        <v>28881.067697585349</v>
      </c>
      <c r="AI80" s="101"/>
    </row>
    <row r="81" spans="1:35">
      <c r="A81" s="361"/>
      <c r="B81" s="450" t="s">
        <v>161</v>
      </c>
      <c r="C81" s="29">
        <f t="shared" ref="C81:L81" si="147">SUM(C72:C74)</f>
        <v>7839962439.6674757</v>
      </c>
      <c r="D81" s="30">
        <f t="shared" si="147"/>
        <v>1933536.4512701035</v>
      </c>
      <c r="E81" s="37"/>
      <c r="F81" s="38"/>
      <c r="G81" s="45">
        <f t="shared" si="147"/>
        <v>2296223308.6892185</v>
      </c>
      <c r="H81" s="46">
        <f t="shared" si="147"/>
        <v>477501.84255300171</v>
      </c>
      <c r="I81" s="53">
        <f t="shared" si="147"/>
        <v>5215707229.7369404</v>
      </c>
      <c r="J81" s="54">
        <f t="shared" si="147"/>
        <v>1401121.6973633447</v>
      </c>
      <c r="K81" s="59">
        <f t="shared" si="147"/>
        <v>328031901.24131703</v>
      </c>
      <c r="L81" s="15">
        <f t="shared" si="147"/>
        <v>54912.911353757285</v>
      </c>
      <c r="M81" s="451"/>
      <c r="N81" s="29">
        <f t="shared" ref="N81:W81" si="148">SUM(N72:N74)</f>
        <v>2455646812.6924992</v>
      </c>
      <c r="O81" s="30">
        <f t="shared" si="148"/>
        <v>435058.62154901528</v>
      </c>
      <c r="P81" s="37"/>
      <c r="Q81" s="38"/>
      <c r="R81" s="45">
        <f t="shared" si="148"/>
        <v>2165338580.0939331</v>
      </c>
      <c r="S81" s="46">
        <f t="shared" si="148"/>
        <v>412132.50988495682</v>
      </c>
      <c r="T81" s="53"/>
      <c r="U81" s="54"/>
      <c r="V81" s="59">
        <f t="shared" si="148"/>
        <v>290308232.59856558</v>
      </c>
      <c r="W81" s="15">
        <f t="shared" si="148"/>
        <v>22926.111664058473</v>
      </c>
      <c r="X81" s="451"/>
      <c r="Y81" s="29">
        <f t="shared" ref="Y81:AH81" si="149">SUM(Y72:Y74)</f>
        <v>168608397.23803711</v>
      </c>
      <c r="Z81" s="30">
        <f t="shared" si="149"/>
        <v>97356.132357743656</v>
      </c>
      <c r="AA81" s="37"/>
      <c r="AB81" s="38"/>
      <c r="AC81" s="45">
        <f t="shared" si="149"/>
        <v>130884728.59528565</v>
      </c>
      <c r="AD81" s="46">
        <f t="shared" si="149"/>
        <v>65369.332668044837</v>
      </c>
      <c r="AE81" s="53"/>
      <c r="AF81" s="54"/>
      <c r="AG81" s="59">
        <f t="shared" si="149"/>
        <v>37723668.64275144</v>
      </c>
      <c r="AH81" s="15">
        <f t="shared" si="149"/>
        <v>31986.799689698819</v>
      </c>
      <c r="AI81" s="101"/>
    </row>
    <row r="82" spans="1:35" ht="15" thickBot="1">
      <c r="A82" s="361"/>
      <c r="B82" s="452" t="s">
        <v>162</v>
      </c>
      <c r="C82" s="31">
        <f t="shared" ref="C82:L82" si="150">SUM(C75:C77)</f>
        <v>9132769715.6562328</v>
      </c>
      <c r="D82" s="32">
        <f t="shared" si="150"/>
        <v>2252375.9880444012</v>
      </c>
      <c r="E82" s="39"/>
      <c r="F82" s="40"/>
      <c r="G82" s="47">
        <f t="shared" si="150"/>
        <v>2674869791.1963859</v>
      </c>
      <c r="H82" s="48">
        <f t="shared" si="150"/>
        <v>556241.74227843201</v>
      </c>
      <c r="I82" s="55">
        <f t="shared" si="150"/>
        <v>6075775668.5746479</v>
      </c>
      <c r="J82" s="56">
        <f t="shared" si="150"/>
        <v>1632166.2130528709</v>
      </c>
      <c r="K82" s="60">
        <f t="shared" si="150"/>
        <v>382124255.88519806</v>
      </c>
      <c r="L82" s="16">
        <f t="shared" si="150"/>
        <v>63968.032713098146</v>
      </c>
      <c r="M82" s="453"/>
      <c r="N82" s="31">
        <f t="shared" ref="N82:W82" si="151">SUM(N75:N77)</f>
        <v>2860582179.556592</v>
      </c>
      <c r="O82" s="32">
        <f t="shared" si="151"/>
        <v>506799.64782924589</v>
      </c>
      <c r="P82" s="39"/>
      <c r="Q82" s="40"/>
      <c r="R82" s="47">
        <f t="shared" si="151"/>
        <v>2522402213.0981917</v>
      </c>
      <c r="S82" s="48">
        <f t="shared" si="151"/>
        <v>480093.02775108302</v>
      </c>
      <c r="T82" s="55"/>
      <c r="U82" s="56"/>
      <c r="V82" s="60">
        <f t="shared" si="151"/>
        <v>338179966.45840025</v>
      </c>
      <c r="W82" s="16">
        <f t="shared" si="151"/>
        <v>26706.620078162887</v>
      </c>
      <c r="X82" s="453"/>
      <c r="Y82" s="31">
        <f t="shared" ref="Y82:AH82" si="152">SUM(Y75:Y77)</f>
        <v>196411867.5249919</v>
      </c>
      <c r="Z82" s="32">
        <f t="shared" si="152"/>
        <v>113410.12716228419</v>
      </c>
      <c r="AA82" s="39"/>
      <c r="AB82" s="40"/>
      <c r="AC82" s="47">
        <f t="shared" si="152"/>
        <v>152467578.09819412</v>
      </c>
      <c r="AD82" s="48">
        <f t="shared" si="152"/>
        <v>76148.71452734893</v>
      </c>
      <c r="AE82" s="55"/>
      <c r="AF82" s="56"/>
      <c r="AG82" s="60">
        <f t="shared" si="152"/>
        <v>43944289.426797777</v>
      </c>
      <c r="AH82" s="16">
        <f t="shared" si="152"/>
        <v>37261.412634935259</v>
      </c>
      <c r="AI82" s="101"/>
    </row>
    <row r="85" spans="1:35">
      <c r="C85" s="436"/>
      <c r="D85" s="436"/>
      <c r="E85" s="599"/>
      <c r="F85" s="436"/>
      <c r="G85" s="436"/>
      <c r="H85" s="436"/>
      <c r="I85" s="436"/>
      <c r="J85" s="436"/>
      <c r="K85" s="436"/>
      <c r="L85" s="436"/>
    </row>
    <row r="86" spans="1:35">
      <c r="E86" s="600"/>
    </row>
    <row r="87" spans="1:35">
      <c r="E87" s="436"/>
    </row>
    <row r="88" spans="1:35">
      <c r="C88" s="465"/>
      <c r="D88" s="466"/>
      <c r="E88" s="436"/>
    </row>
    <row r="89" spans="1:35">
      <c r="E89" s="599"/>
    </row>
    <row r="90" spans="1:35">
      <c r="E90" s="601"/>
    </row>
  </sheetData>
  <mergeCells count="15">
    <mergeCell ref="C2:D2"/>
    <mergeCell ref="E2:F2"/>
    <mergeCell ref="G2:H2"/>
    <mergeCell ref="I2:J2"/>
    <mergeCell ref="K2:L2"/>
    <mergeCell ref="AE2:AF2"/>
    <mergeCell ref="AG2:AH2"/>
    <mergeCell ref="N2:O2"/>
    <mergeCell ref="Y2:Z2"/>
    <mergeCell ref="AA2:AB2"/>
    <mergeCell ref="P2:Q2"/>
    <mergeCell ref="R2:S2"/>
    <mergeCell ref="T2:U2"/>
    <mergeCell ref="V2:W2"/>
    <mergeCell ref="AC2:AD2"/>
  </mergeCells>
  <conditionalFormatting sqref="C26:L37">
    <cfRule type="expression" dxfId="20" priority="137">
      <formula>C26&gt;100%</formula>
    </cfRule>
  </conditionalFormatting>
  <conditionalFormatting sqref="AA26:AH37">
    <cfRule type="expression" dxfId="19" priority="135">
      <formula>AA26&gt;100%</formula>
    </cfRule>
  </conditionalFormatting>
  <conditionalFormatting sqref="P26:W37">
    <cfRule type="expression" dxfId="18" priority="136">
      <formula>P26&gt;100%</formula>
    </cfRule>
  </conditionalFormatting>
  <conditionalFormatting sqref="N26:O37">
    <cfRule type="expression" dxfId="17" priority="134">
      <formula>N26&gt;100%</formula>
    </cfRule>
  </conditionalFormatting>
  <conditionalFormatting sqref="Y26:Z37">
    <cfRule type="expression" dxfId="16" priority="133">
      <formula>Y26&gt;100%</formula>
    </cfRule>
  </conditionalFormatting>
  <conditionalFormatting sqref="E5 E65">
    <cfRule type="dataBar" priority="127">
      <dataBar>
        <cfvo type="min"/>
        <cfvo type="max"/>
        <color theme="5"/>
      </dataBar>
      <extLst>
        <ext xmlns:x14="http://schemas.microsoft.com/office/spreadsheetml/2009/9/main" uri="{B025F937-C7B1-47D3-B67F-A62EFF666E3E}">
          <x14:id>{4E45A5A2-75E4-485A-BBF2-3F7AB5A285F3}</x14:id>
        </ext>
      </extLst>
    </cfRule>
    <cfRule type="dataBar" priority="128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{98456672-996E-44F9-A32F-EEB9288ABA54}</x14:id>
        </ext>
      </extLst>
    </cfRule>
  </conditionalFormatting>
  <conditionalFormatting sqref="F5 F65">
    <cfRule type="dataBar" priority="126">
      <dataBar>
        <cfvo type="min"/>
        <cfvo type="max"/>
        <color theme="5"/>
      </dataBar>
      <extLst>
        <ext xmlns:x14="http://schemas.microsoft.com/office/spreadsheetml/2009/9/main" uri="{B025F937-C7B1-47D3-B67F-A62EFF666E3E}">
          <x14:id>{5D398E50-37CB-49E8-911C-1120DD8438D4}</x14:id>
        </ext>
      </extLst>
    </cfRule>
  </conditionalFormatting>
  <conditionalFormatting sqref="G5 G65">
    <cfRule type="dataBar" priority="125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{AD390B73-6D25-451E-9229-AD6A1AF715D2}</x14:id>
        </ext>
      </extLst>
    </cfRule>
  </conditionalFormatting>
  <conditionalFormatting sqref="H5 H65">
    <cfRule type="dataBar" priority="124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{E812A744-4749-45B0-B570-82AA1C0334C2}</x14:id>
        </ext>
      </extLst>
    </cfRule>
  </conditionalFormatting>
  <conditionalFormatting sqref="I5 I65">
    <cfRule type="dataBar" priority="12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{AF52D331-0F60-443C-A3E3-23ADB62C0E8C}</x14:id>
        </ext>
      </extLst>
    </cfRule>
  </conditionalFormatting>
  <conditionalFormatting sqref="J5 J65">
    <cfRule type="dataBar" priority="12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{5FB8923A-D883-4642-9F24-EF27CFB0E81B}</x14:id>
        </ext>
      </extLst>
    </cfRule>
  </conditionalFormatting>
  <conditionalFormatting sqref="K5 K65">
    <cfRule type="dataBar" priority="121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{18D751A3-19DA-4884-A841-1473EB7D79AF}</x14:id>
        </ext>
      </extLst>
    </cfRule>
  </conditionalFormatting>
  <conditionalFormatting sqref="L5 L65">
    <cfRule type="dataBar" priority="120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{E14E5BC9-3A6D-4B7B-BB27-0B139A804C02}</x14:id>
        </ext>
      </extLst>
    </cfRule>
  </conditionalFormatting>
  <conditionalFormatting sqref="C24:C25">
    <cfRule type="dataBar" priority="119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{C1DEAFFC-7086-4181-8A1F-2A44632C9191}</x14:id>
        </ext>
      </extLst>
    </cfRule>
  </conditionalFormatting>
  <conditionalFormatting sqref="D24:D25">
    <cfRule type="dataBar" priority="118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{69611CBD-9E06-4D99-A10E-2805937E2210}</x14:id>
        </ext>
      </extLst>
    </cfRule>
  </conditionalFormatting>
  <conditionalFormatting sqref="C5 C65">
    <cfRule type="dataBar" priority="117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{04A8EDD5-A8F4-4945-BA6D-D61F41AA56A3}</x14:id>
        </ext>
      </extLst>
    </cfRule>
  </conditionalFormatting>
  <conditionalFormatting sqref="D5 D65">
    <cfRule type="dataBar" priority="116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{5B3A9F2D-F8B4-4F60-ABA5-5B59A017385B}</x14:id>
        </ext>
      </extLst>
    </cfRule>
  </conditionalFormatting>
  <conditionalFormatting sqref="E24:E25">
    <cfRule type="dataBar" priority="115">
      <dataBar>
        <cfvo type="min"/>
        <cfvo type="max"/>
        <color theme="5"/>
      </dataBar>
      <extLst>
        <ext xmlns:x14="http://schemas.microsoft.com/office/spreadsheetml/2009/9/main" uri="{B025F937-C7B1-47D3-B67F-A62EFF666E3E}">
          <x14:id>{CE8EFF28-C1C3-471F-91E7-8364CCD825A2}</x14:id>
        </ext>
      </extLst>
    </cfRule>
  </conditionalFormatting>
  <conditionalFormatting sqref="F24:F25">
    <cfRule type="dataBar" priority="114">
      <dataBar>
        <cfvo type="min"/>
        <cfvo type="max"/>
        <color theme="5"/>
      </dataBar>
      <extLst>
        <ext xmlns:x14="http://schemas.microsoft.com/office/spreadsheetml/2009/9/main" uri="{B025F937-C7B1-47D3-B67F-A62EFF666E3E}">
          <x14:id>{F166693E-0C15-4600-A7AA-7E3775386C49}</x14:id>
        </ext>
      </extLst>
    </cfRule>
  </conditionalFormatting>
  <conditionalFormatting sqref="G24:G25">
    <cfRule type="dataBar" priority="113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{7706E1CB-B115-4F0B-836C-99F1C04AF90D}</x14:id>
        </ext>
      </extLst>
    </cfRule>
  </conditionalFormatting>
  <conditionalFormatting sqref="H24:H25">
    <cfRule type="dataBar" priority="112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{24CAD6B9-AF96-4847-B05C-9B62F1B94376}</x14:id>
        </ext>
      </extLst>
    </cfRule>
  </conditionalFormatting>
  <conditionalFormatting sqref="I24:I25">
    <cfRule type="dataBar" priority="11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{99B1ACDC-C346-4B8C-81DC-2176C79F31D6}</x14:id>
        </ext>
      </extLst>
    </cfRule>
  </conditionalFormatting>
  <conditionalFormatting sqref="J24:J25">
    <cfRule type="dataBar" priority="110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{7C33FCFA-4895-4390-BBA7-C1493849431E}</x14:id>
        </ext>
      </extLst>
    </cfRule>
  </conditionalFormatting>
  <conditionalFormatting sqref="K24:K25">
    <cfRule type="dataBar" priority="109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{929F59D3-A6A4-489C-B0AF-C80D8FC08C64}</x14:id>
        </ext>
      </extLst>
    </cfRule>
  </conditionalFormatting>
  <conditionalFormatting sqref="L24:L25">
    <cfRule type="dataBar" priority="108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{DFD99359-552A-4499-8ABC-F5202AE482DE}</x14:id>
        </ext>
      </extLst>
    </cfRule>
  </conditionalFormatting>
  <conditionalFormatting sqref="C24:L24">
    <cfRule type="dataBar" priority="107">
      <dataBar>
        <cfvo type="min"/>
        <cfvo type="max"/>
        <color theme="0"/>
      </dataBar>
      <extLst>
        <ext xmlns:x14="http://schemas.microsoft.com/office/spreadsheetml/2009/9/main" uri="{B025F937-C7B1-47D3-B67F-A62EFF666E3E}">
          <x14:id>{B101F2EE-AA53-4462-97D1-A058297D924A}</x14:id>
        </ext>
      </extLst>
    </cfRule>
  </conditionalFormatting>
  <conditionalFormatting sqref="N24">
    <cfRule type="dataBar" priority="106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{5EFD32A2-B238-4E8E-8672-A46985E2E0E8}</x14:id>
        </ext>
      </extLst>
    </cfRule>
  </conditionalFormatting>
  <conditionalFormatting sqref="O24">
    <cfRule type="dataBar" priority="105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{A96437A4-C304-4BF4-A8A2-1B9B3F8131AC}</x14:id>
        </ext>
      </extLst>
    </cfRule>
  </conditionalFormatting>
  <conditionalFormatting sqref="P24">
    <cfRule type="dataBar" priority="104">
      <dataBar>
        <cfvo type="min"/>
        <cfvo type="max"/>
        <color theme="5"/>
      </dataBar>
      <extLst>
        <ext xmlns:x14="http://schemas.microsoft.com/office/spreadsheetml/2009/9/main" uri="{B025F937-C7B1-47D3-B67F-A62EFF666E3E}">
          <x14:id>{52D2C674-B8FF-4FC7-9C60-55AB0E9D3D1B}</x14:id>
        </ext>
      </extLst>
    </cfRule>
  </conditionalFormatting>
  <conditionalFormatting sqref="Q24">
    <cfRule type="dataBar" priority="103">
      <dataBar>
        <cfvo type="min"/>
        <cfvo type="max"/>
        <color theme="5"/>
      </dataBar>
      <extLst>
        <ext xmlns:x14="http://schemas.microsoft.com/office/spreadsheetml/2009/9/main" uri="{B025F937-C7B1-47D3-B67F-A62EFF666E3E}">
          <x14:id>{BF99800B-0FAF-4764-A365-326FD51A33B8}</x14:id>
        </ext>
      </extLst>
    </cfRule>
  </conditionalFormatting>
  <conditionalFormatting sqref="R24">
    <cfRule type="dataBar" priority="102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{D9E5697C-CE60-467D-AECE-BB72065964B2}</x14:id>
        </ext>
      </extLst>
    </cfRule>
  </conditionalFormatting>
  <conditionalFormatting sqref="S24">
    <cfRule type="dataBar" priority="101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{51988CD6-C0C0-4A16-9372-F9C681E84D28}</x14:id>
        </ext>
      </extLst>
    </cfRule>
  </conditionalFormatting>
  <conditionalFormatting sqref="T24">
    <cfRule type="dataBar" priority="100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{0A05D721-8CC2-4348-B1E3-67DC6CB23ADE}</x14:id>
        </ext>
      </extLst>
    </cfRule>
  </conditionalFormatting>
  <conditionalFormatting sqref="U24">
    <cfRule type="dataBar" priority="99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{0EDE2B14-C2E7-435E-9BB6-F5DB87323782}</x14:id>
        </ext>
      </extLst>
    </cfRule>
  </conditionalFormatting>
  <conditionalFormatting sqref="V24">
    <cfRule type="dataBar" priority="98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{54067ECD-70C4-49DD-A4EC-0418B4562838}</x14:id>
        </ext>
      </extLst>
    </cfRule>
  </conditionalFormatting>
  <conditionalFormatting sqref="W24">
    <cfRule type="dataBar" priority="97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{9DFA12F7-E38B-43BB-A571-CFEBE8AAC0AC}</x14:id>
        </ext>
      </extLst>
    </cfRule>
  </conditionalFormatting>
  <conditionalFormatting sqref="N24:W24">
    <cfRule type="dataBar" priority="68">
      <dataBar>
        <cfvo type="min"/>
        <cfvo type="max"/>
        <color theme="0"/>
      </dataBar>
      <extLst>
        <ext xmlns:x14="http://schemas.microsoft.com/office/spreadsheetml/2009/9/main" uri="{B025F937-C7B1-47D3-B67F-A62EFF666E3E}">
          <x14:id>{D69A4C21-F974-4048-9FA6-8D7145CB588D}</x14:id>
        </ext>
      </extLst>
    </cfRule>
    <cfRule type="dataBar" priority="96">
      <dataBar>
        <cfvo type="min"/>
        <cfvo type="max"/>
        <color theme="0"/>
      </dataBar>
      <extLst>
        <ext xmlns:x14="http://schemas.microsoft.com/office/spreadsheetml/2009/9/main" uri="{B025F937-C7B1-47D3-B67F-A62EFF666E3E}">
          <x14:id>{BE100F5E-6F6E-435D-A669-B2C70D49F194}</x14:id>
        </ext>
      </extLst>
    </cfRule>
  </conditionalFormatting>
  <conditionalFormatting sqref="Y24">
    <cfRule type="dataBar" priority="95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{1B37AD4D-3BB7-453A-BCCA-5DEF14AD32BA}</x14:id>
        </ext>
      </extLst>
    </cfRule>
  </conditionalFormatting>
  <conditionalFormatting sqref="Z24">
    <cfRule type="dataBar" priority="94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{BC9E0EFB-CB47-43D4-8897-6FC84BF2F0B1}</x14:id>
        </ext>
      </extLst>
    </cfRule>
  </conditionalFormatting>
  <conditionalFormatting sqref="AA24">
    <cfRule type="dataBar" priority="93">
      <dataBar>
        <cfvo type="min"/>
        <cfvo type="max"/>
        <color theme="5"/>
      </dataBar>
      <extLst>
        <ext xmlns:x14="http://schemas.microsoft.com/office/spreadsheetml/2009/9/main" uri="{B025F937-C7B1-47D3-B67F-A62EFF666E3E}">
          <x14:id>{A2C93481-EB63-4C6E-B59D-D6948D9E278E}</x14:id>
        </ext>
      </extLst>
    </cfRule>
  </conditionalFormatting>
  <conditionalFormatting sqref="AB24">
    <cfRule type="dataBar" priority="92">
      <dataBar>
        <cfvo type="min"/>
        <cfvo type="max"/>
        <color theme="5"/>
      </dataBar>
      <extLst>
        <ext xmlns:x14="http://schemas.microsoft.com/office/spreadsheetml/2009/9/main" uri="{B025F937-C7B1-47D3-B67F-A62EFF666E3E}">
          <x14:id>{185FC3EF-13E0-427E-A2B2-AE916345DC90}</x14:id>
        </ext>
      </extLst>
    </cfRule>
  </conditionalFormatting>
  <conditionalFormatting sqref="AC24">
    <cfRule type="dataBar" priority="91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{85F4030B-0991-4E9C-9FF3-69D93C9B252E}</x14:id>
        </ext>
      </extLst>
    </cfRule>
  </conditionalFormatting>
  <conditionalFormatting sqref="AD24">
    <cfRule type="dataBar" priority="90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{3F72181A-D77F-4936-B00D-55890759374E}</x14:id>
        </ext>
      </extLst>
    </cfRule>
  </conditionalFormatting>
  <conditionalFormatting sqref="AE24">
    <cfRule type="dataBar" priority="89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{CCB3F138-33FF-431E-A2BD-E8FA94343283}</x14:id>
        </ext>
      </extLst>
    </cfRule>
  </conditionalFormatting>
  <conditionalFormatting sqref="AF24">
    <cfRule type="dataBar" priority="88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{7493B46A-8759-4A4B-B73B-AA82AE33F0FE}</x14:id>
        </ext>
      </extLst>
    </cfRule>
  </conditionalFormatting>
  <conditionalFormatting sqref="AG24">
    <cfRule type="dataBar" priority="87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{C70156C7-448F-4A1A-93F8-E84026D407F2}</x14:id>
        </ext>
      </extLst>
    </cfRule>
  </conditionalFormatting>
  <conditionalFormatting sqref="AH24">
    <cfRule type="dataBar" priority="86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{2216BAFA-BAC6-498A-B9B9-338379F17170}</x14:id>
        </ext>
      </extLst>
    </cfRule>
  </conditionalFormatting>
  <conditionalFormatting sqref="Y24:AH24">
    <cfRule type="dataBar" priority="69">
      <dataBar>
        <cfvo type="min"/>
        <cfvo type="max"/>
        <color theme="0"/>
      </dataBar>
      <extLst>
        <ext xmlns:x14="http://schemas.microsoft.com/office/spreadsheetml/2009/9/main" uri="{B025F937-C7B1-47D3-B67F-A62EFF666E3E}">
          <x14:id>{D33984E1-2A65-4BCE-B5AB-6F6BB94ACE01}</x14:id>
        </ext>
      </extLst>
    </cfRule>
    <cfRule type="dataBar" priority="85">
      <dataBar>
        <cfvo type="min"/>
        <cfvo type="max"/>
        <color theme="0"/>
      </dataBar>
      <extLst>
        <ext xmlns:x14="http://schemas.microsoft.com/office/spreadsheetml/2009/9/main" uri="{B025F937-C7B1-47D3-B67F-A62EFF666E3E}">
          <x14:id>{A60A87B8-E902-4975-AA61-96DB9F7949C7}</x14:id>
        </ext>
      </extLst>
    </cfRule>
  </conditionalFormatting>
  <conditionalFormatting sqref="N24:N25">
    <cfRule type="dataBar" priority="84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{51435EFF-0363-442F-9B52-F2D568EC8621}</x14:id>
        </ext>
      </extLst>
    </cfRule>
  </conditionalFormatting>
  <conditionalFormatting sqref="O24:O25">
    <cfRule type="dataBar" priority="83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{01D9F4C3-8D12-42D4-9411-DEE406DD8E96}</x14:id>
        </ext>
      </extLst>
    </cfRule>
  </conditionalFormatting>
  <conditionalFormatting sqref="P24:P25">
    <cfRule type="dataBar" priority="82">
      <dataBar>
        <cfvo type="min"/>
        <cfvo type="max"/>
        <color theme="5"/>
      </dataBar>
      <extLst>
        <ext xmlns:x14="http://schemas.microsoft.com/office/spreadsheetml/2009/9/main" uri="{B025F937-C7B1-47D3-B67F-A62EFF666E3E}">
          <x14:id>{4E89D492-6BEF-475F-A844-7580ED4ED7B5}</x14:id>
        </ext>
      </extLst>
    </cfRule>
  </conditionalFormatting>
  <conditionalFormatting sqref="Q24:Q25">
    <cfRule type="dataBar" priority="81">
      <dataBar>
        <cfvo type="min"/>
        <cfvo type="max"/>
        <color theme="5"/>
      </dataBar>
      <extLst>
        <ext xmlns:x14="http://schemas.microsoft.com/office/spreadsheetml/2009/9/main" uri="{B025F937-C7B1-47D3-B67F-A62EFF666E3E}">
          <x14:id>{4DAE0D2E-185F-424C-83ED-1BA3DFBC662C}</x14:id>
        </ext>
      </extLst>
    </cfRule>
  </conditionalFormatting>
  <conditionalFormatting sqref="R24:R25">
    <cfRule type="dataBar" priority="80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{3E8D95E5-C344-49CF-B4B0-B974A568C889}</x14:id>
        </ext>
      </extLst>
    </cfRule>
  </conditionalFormatting>
  <conditionalFormatting sqref="S24:S25">
    <cfRule type="dataBar" priority="79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{EFB5152D-1398-40A8-988F-2071DC022C54}</x14:id>
        </ext>
      </extLst>
    </cfRule>
  </conditionalFormatting>
  <conditionalFormatting sqref="T24:T25">
    <cfRule type="dataBar" priority="78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{0082312F-2FF7-4FD2-BD40-2642268F6541}</x14:id>
        </ext>
      </extLst>
    </cfRule>
  </conditionalFormatting>
  <conditionalFormatting sqref="U24:U25">
    <cfRule type="dataBar" priority="7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{50CF28D6-6F6E-4D73-8923-9F2A6D103BC4}</x14:id>
        </ext>
      </extLst>
    </cfRule>
  </conditionalFormatting>
  <conditionalFormatting sqref="V24:W25">
    <cfRule type="dataBar" priority="76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{C0194055-5C10-4F77-A798-253A00EBE1E5}</x14:id>
        </ext>
      </extLst>
    </cfRule>
  </conditionalFormatting>
  <conditionalFormatting sqref="Y24:Z25">
    <cfRule type="dataBar" priority="75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{B03B41D3-A7F0-4E30-BBC9-6E4F228B2B6B}</x14:id>
        </ext>
      </extLst>
    </cfRule>
  </conditionalFormatting>
  <conditionalFormatting sqref="AA24:AB25">
    <cfRule type="dataBar" priority="74">
      <dataBar>
        <cfvo type="min"/>
        <cfvo type="max"/>
        <color theme="5"/>
      </dataBar>
      <extLst>
        <ext xmlns:x14="http://schemas.microsoft.com/office/spreadsheetml/2009/9/main" uri="{B025F937-C7B1-47D3-B67F-A62EFF666E3E}">
          <x14:id>{DCD2F106-F4F0-4290-B601-4DED85849EF0}</x14:id>
        </ext>
      </extLst>
    </cfRule>
  </conditionalFormatting>
  <conditionalFormatting sqref="AC24:AD25">
    <cfRule type="dataBar" priority="73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{328103EA-DB99-4D78-BABC-04CD05F3983A}</x14:id>
        </ext>
      </extLst>
    </cfRule>
  </conditionalFormatting>
  <conditionalFormatting sqref="AE24:AF25">
    <cfRule type="dataBar" priority="72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{A335155A-FBB3-471A-8C6E-7972084AD3FC}</x14:id>
        </ext>
      </extLst>
    </cfRule>
  </conditionalFormatting>
  <conditionalFormatting sqref="AE24:AF25">
    <cfRule type="dataBar" priority="7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{81FD2A18-F4BB-405D-8C9C-7082DE06D835}</x14:id>
        </ext>
      </extLst>
    </cfRule>
  </conditionalFormatting>
  <conditionalFormatting sqref="AG24:AH25">
    <cfRule type="dataBar" priority="70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{B5C265C1-D208-407A-9C83-3B03123FD963}</x14:id>
        </ext>
      </extLst>
    </cfRule>
  </conditionalFormatting>
  <conditionalFormatting sqref="N65 N5">
    <cfRule type="dataBar" priority="67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{E3E5D52C-1D02-4F6E-9747-450F708AB208}</x14:id>
        </ext>
      </extLst>
    </cfRule>
  </conditionalFormatting>
  <conditionalFormatting sqref="O65 O5">
    <cfRule type="dataBar" priority="66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{C25555EF-8268-426D-BD1A-2AFB9119C4B7}</x14:id>
        </ext>
      </extLst>
    </cfRule>
  </conditionalFormatting>
  <conditionalFormatting sqref="P65 P5">
    <cfRule type="dataBar" priority="65">
      <dataBar>
        <cfvo type="min"/>
        <cfvo type="max"/>
        <color theme="5"/>
      </dataBar>
      <extLst>
        <ext xmlns:x14="http://schemas.microsoft.com/office/spreadsheetml/2009/9/main" uri="{B025F937-C7B1-47D3-B67F-A62EFF666E3E}">
          <x14:id>{41FDAE23-BB5D-4D05-8580-296F715D66B8}</x14:id>
        </ext>
      </extLst>
    </cfRule>
  </conditionalFormatting>
  <conditionalFormatting sqref="Q65 Q5">
    <cfRule type="dataBar" priority="64">
      <dataBar>
        <cfvo type="min"/>
        <cfvo type="max"/>
        <color theme="5"/>
      </dataBar>
      <extLst>
        <ext xmlns:x14="http://schemas.microsoft.com/office/spreadsheetml/2009/9/main" uri="{B025F937-C7B1-47D3-B67F-A62EFF666E3E}">
          <x14:id>{B7AE9FAA-1305-4DBF-8808-AF0F66261FB4}</x14:id>
        </ext>
      </extLst>
    </cfRule>
  </conditionalFormatting>
  <conditionalFormatting sqref="R65 R5">
    <cfRule type="dataBar" priority="63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{C1D39FAE-75EA-4445-A821-FA9219C2DC1C}</x14:id>
        </ext>
      </extLst>
    </cfRule>
  </conditionalFormatting>
  <conditionalFormatting sqref="S65 S5">
    <cfRule type="dataBar" priority="62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{0C904C06-F38D-4FD3-AF7E-FAE911D93E23}</x14:id>
        </ext>
      </extLst>
    </cfRule>
  </conditionalFormatting>
  <conditionalFormatting sqref="T65 T5">
    <cfRule type="dataBar" priority="6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{EE4D0629-CCAC-49CF-B5CA-FC0D83C83AEB}</x14:id>
        </ext>
      </extLst>
    </cfRule>
  </conditionalFormatting>
  <conditionalFormatting sqref="U5 U65">
    <cfRule type="dataBar" priority="60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{1D71C9C6-D214-4CBC-938A-998A05A01215}</x14:id>
        </ext>
      </extLst>
    </cfRule>
  </conditionalFormatting>
  <conditionalFormatting sqref="V5 V65">
    <cfRule type="dataBar" priority="59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{B3CE61C9-D8F4-4CF4-8D05-0432D1930368}</x14:id>
        </ext>
      </extLst>
    </cfRule>
  </conditionalFormatting>
  <conditionalFormatting sqref="W5 W65">
    <cfRule type="dataBar" priority="58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{17356CE0-ADB7-4379-9A9A-7BD1B20AEC89}</x14:id>
        </ext>
      </extLst>
    </cfRule>
  </conditionalFormatting>
  <conditionalFormatting sqref="Y5 Y65">
    <cfRule type="dataBar" priority="57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{452EF9F3-28A9-4A9B-A7D2-3818549AA87F}</x14:id>
        </ext>
      </extLst>
    </cfRule>
  </conditionalFormatting>
  <conditionalFormatting sqref="Z5 Z65">
    <cfRule type="dataBar" priority="56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{DC75C852-F92B-497A-9A1B-EC3CD22E226B}</x14:id>
        </ext>
      </extLst>
    </cfRule>
  </conditionalFormatting>
  <conditionalFormatting sqref="AA5 AA65">
    <cfRule type="dataBar" priority="55">
      <dataBar>
        <cfvo type="min"/>
        <cfvo type="max"/>
        <color theme="5"/>
      </dataBar>
      <extLst>
        <ext xmlns:x14="http://schemas.microsoft.com/office/spreadsheetml/2009/9/main" uri="{B025F937-C7B1-47D3-B67F-A62EFF666E3E}">
          <x14:id>{9A26CAF0-7C0F-4A5F-A2D6-AC30B27B46D1}</x14:id>
        </ext>
      </extLst>
    </cfRule>
  </conditionalFormatting>
  <conditionalFormatting sqref="AB5 AB65">
    <cfRule type="dataBar" priority="54">
      <dataBar>
        <cfvo type="min"/>
        <cfvo type="max"/>
        <color theme="5"/>
      </dataBar>
      <extLst>
        <ext xmlns:x14="http://schemas.microsoft.com/office/spreadsheetml/2009/9/main" uri="{B025F937-C7B1-47D3-B67F-A62EFF666E3E}">
          <x14:id>{B41870D0-9E34-4688-B3D9-53EB3184AFCE}</x14:id>
        </ext>
      </extLst>
    </cfRule>
  </conditionalFormatting>
  <conditionalFormatting sqref="AC5 AC65">
    <cfRule type="dataBar" priority="53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{F04BFF95-F2BD-4424-9583-FC97F97B0D13}</x14:id>
        </ext>
      </extLst>
    </cfRule>
  </conditionalFormatting>
  <conditionalFormatting sqref="AD5 AD65">
    <cfRule type="dataBar" priority="52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{A1F3A754-921D-498D-A8D3-E26709132B59}</x14:id>
        </ext>
      </extLst>
    </cfRule>
  </conditionalFormatting>
  <conditionalFormatting sqref="AE5 AE65">
    <cfRule type="dataBar" priority="5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{7EF3B0DE-18FE-415F-87E7-467D7D89EF84}</x14:id>
        </ext>
      </extLst>
    </cfRule>
  </conditionalFormatting>
  <conditionalFormatting sqref="AF5 AF65">
    <cfRule type="dataBar" priority="50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{DBB357B1-7F2A-4317-A932-94839619DC9A}</x14:id>
        </ext>
      </extLst>
    </cfRule>
  </conditionalFormatting>
  <conditionalFormatting sqref="AG5 AG65">
    <cfRule type="dataBar" priority="49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{D0398766-5104-48E4-B8D7-A6286AB91691}</x14:id>
        </ext>
      </extLst>
    </cfRule>
  </conditionalFormatting>
  <conditionalFormatting sqref="AH5 AH65">
    <cfRule type="dataBar" priority="48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{D5BCD316-E690-46E6-8C57-0B1AF34BE87B}</x14:id>
        </ext>
      </extLst>
    </cfRule>
  </conditionalFormatting>
  <conditionalFormatting sqref="C40:L41">
    <cfRule type="expression" dxfId="15" priority="16">
      <formula>C40&gt;100%</formula>
    </cfRule>
  </conditionalFormatting>
  <conditionalFormatting sqref="AA40:AH41">
    <cfRule type="expression" dxfId="14" priority="14">
      <formula>AA40&gt;100%</formula>
    </cfRule>
  </conditionalFormatting>
  <conditionalFormatting sqref="P40:W41">
    <cfRule type="expression" dxfId="13" priority="15">
      <formula>P40&gt;100%</formula>
    </cfRule>
  </conditionalFormatting>
  <conditionalFormatting sqref="N40:O41">
    <cfRule type="expression" dxfId="12" priority="13">
      <formula>N40&gt;100%</formula>
    </cfRule>
  </conditionalFormatting>
  <conditionalFormatting sqref="Y40:Z41">
    <cfRule type="expression" dxfId="11" priority="12">
      <formula>Y40&gt;100%</formula>
    </cfRule>
  </conditionalFormatting>
  <conditionalFormatting sqref="C42:L42">
    <cfRule type="expression" dxfId="10" priority="11">
      <formula>C42&gt;100%</formula>
    </cfRule>
  </conditionalFormatting>
  <conditionalFormatting sqref="AA42:AH42">
    <cfRule type="expression" dxfId="9" priority="9">
      <formula>AA42&gt;100%</formula>
    </cfRule>
  </conditionalFormatting>
  <conditionalFormatting sqref="P42:W42">
    <cfRule type="expression" dxfId="8" priority="10">
      <formula>P42&gt;100%</formula>
    </cfRule>
  </conditionalFormatting>
  <conditionalFormatting sqref="N42:O42">
    <cfRule type="expression" dxfId="7" priority="8">
      <formula>N42&gt;100%</formula>
    </cfRule>
  </conditionalFormatting>
  <conditionalFormatting sqref="Y42:Z42">
    <cfRule type="expression" dxfId="6" priority="7">
      <formula>Y42&gt;100%</formula>
    </cfRule>
  </conditionalFormatting>
  <conditionalFormatting sqref="C39:L39">
    <cfRule type="expression" dxfId="5" priority="6">
      <formula>C39&gt;100%</formula>
    </cfRule>
  </conditionalFormatting>
  <conditionalFormatting sqref="AA39:AH39">
    <cfRule type="expression" dxfId="4" priority="4">
      <formula>AA39&gt;100%</formula>
    </cfRule>
  </conditionalFormatting>
  <conditionalFormatting sqref="P39:W39">
    <cfRule type="expression" dxfId="3" priority="5">
      <formula>P39&gt;100%</formula>
    </cfRule>
  </conditionalFormatting>
  <conditionalFormatting sqref="N39:O39">
    <cfRule type="expression" dxfId="2" priority="3">
      <formula>N39&gt;100%</formula>
    </cfRule>
  </conditionalFormatting>
  <conditionalFormatting sqref="Y39:Z39">
    <cfRule type="expression" dxfId="1" priority="2">
      <formula>Y39&gt;100%</formula>
    </cfRule>
  </conditionalFormatting>
  <conditionalFormatting sqref="E26:F37 E39:F42 P26:Q37 P39:Q42 AA26:AB37 AA39:AB42">
    <cfRule type="expression" dxfId="0" priority="1">
      <formula>E26&gt;=100%</formula>
    </cfRule>
  </conditionalFormatting>
  <pageMargins left="0.7" right="0.7" top="0.75" bottom="0.75" header="0.3" footer="0.3"/>
  <pageSetup paperSize="9" orientation="portrait" r:id="rId1"/>
  <ignoredErrors>
    <ignoredError sqref="G79:O82 R79:S82 V79:Z82 AC79:AD82 AG79:AH82" formulaRange="1"/>
  </ignoredError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4E45A5A2-75E4-485A-BBF2-3F7AB5A285F3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14:cfRule type="dataBar" id="{98456672-996E-44F9-A32F-EEB9288ABA54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E5 E65</xm:sqref>
        </x14:conditionalFormatting>
        <x14:conditionalFormatting xmlns:xm="http://schemas.microsoft.com/office/excel/2006/main">
          <x14:cfRule type="dataBar" id="{5D398E50-37CB-49E8-911C-1120DD8438D4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F5 F65</xm:sqref>
        </x14:conditionalFormatting>
        <x14:conditionalFormatting xmlns:xm="http://schemas.microsoft.com/office/excel/2006/main">
          <x14:cfRule type="dataBar" id="{AD390B73-6D25-451E-9229-AD6A1AF715D2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G5 G65</xm:sqref>
        </x14:conditionalFormatting>
        <x14:conditionalFormatting xmlns:xm="http://schemas.microsoft.com/office/excel/2006/main">
          <x14:cfRule type="dataBar" id="{E812A744-4749-45B0-B570-82AA1C0334C2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H5 H65</xm:sqref>
        </x14:conditionalFormatting>
        <x14:conditionalFormatting xmlns:xm="http://schemas.microsoft.com/office/excel/2006/main">
          <x14:cfRule type="dataBar" id="{AF52D331-0F60-443C-A3E3-23ADB62C0E8C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I5 I65</xm:sqref>
        </x14:conditionalFormatting>
        <x14:conditionalFormatting xmlns:xm="http://schemas.microsoft.com/office/excel/2006/main">
          <x14:cfRule type="dataBar" id="{5FB8923A-D883-4642-9F24-EF27CFB0E81B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J5 J65</xm:sqref>
        </x14:conditionalFormatting>
        <x14:conditionalFormatting xmlns:xm="http://schemas.microsoft.com/office/excel/2006/main">
          <x14:cfRule type="dataBar" id="{18D751A3-19DA-4884-A841-1473EB7D79AF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K5 K65</xm:sqref>
        </x14:conditionalFormatting>
        <x14:conditionalFormatting xmlns:xm="http://schemas.microsoft.com/office/excel/2006/main">
          <x14:cfRule type="dataBar" id="{E14E5BC9-3A6D-4B7B-BB27-0B139A804C02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L5 L65</xm:sqref>
        </x14:conditionalFormatting>
        <x14:conditionalFormatting xmlns:xm="http://schemas.microsoft.com/office/excel/2006/main">
          <x14:cfRule type="dataBar" id="{C1DEAFFC-7086-4181-8A1F-2A44632C9191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C24:C25</xm:sqref>
        </x14:conditionalFormatting>
        <x14:conditionalFormatting xmlns:xm="http://schemas.microsoft.com/office/excel/2006/main">
          <x14:cfRule type="dataBar" id="{69611CBD-9E06-4D99-A10E-2805937E2210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D24:D25</xm:sqref>
        </x14:conditionalFormatting>
        <x14:conditionalFormatting xmlns:xm="http://schemas.microsoft.com/office/excel/2006/main">
          <x14:cfRule type="dataBar" id="{04A8EDD5-A8F4-4945-BA6D-D61F41AA56A3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C5 C65</xm:sqref>
        </x14:conditionalFormatting>
        <x14:conditionalFormatting xmlns:xm="http://schemas.microsoft.com/office/excel/2006/main">
          <x14:cfRule type="dataBar" id="{5B3A9F2D-F8B4-4F60-ABA5-5B59A017385B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D5 D65</xm:sqref>
        </x14:conditionalFormatting>
        <x14:conditionalFormatting xmlns:xm="http://schemas.microsoft.com/office/excel/2006/main">
          <x14:cfRule type="dataBar" id="{CE8EFF28-C1C3-471F-91E7-8364CCD825A2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E24:E25</xm:sqref>
        </x14:conditionalFormatting>
        <x14:conditionalFormatting xmlns:xm="http://schemas.microsoft.com/office/excel/2006/main">
          <x14:cfRule type="dataBar" id="{F166693E-0C15-4600-A7AA-7E3775386C49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F24:F25</xm:sqref>
        </x14:conditionalFormatting>
        <x14:conditionalFormatting xmlns:xm="http://schemas.microsoft.com/office/excel/2006/main">
          <x14:cfRule type="dataBar" id="{7706E1CB-B115-4F0B-836C-99F1C04AF90D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G24:G25</xm:sqref>
        </x14:conditionalFormatting>
        <x14:conditionalFormatting xmlns:xm="http://schemas.microsoft.com/office/excel/2006/main">
          <x14:cfRule type="dataBar" id="{24CAD6B9-AF96-4847-B05C-9B62F1B94376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H24:H25</xm:sqref>
        </x14:conditionalFormatting>
        <x14:conditionalFormatting xmlns:xm="http://schemas.microsoft.com/office/excel/2006/main">
          <x14:cfRule type="dataBar" id="{99B1ACDC-C346-4B8C-81DC-2176C79F31D6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I24:I25</xm:sqref>
        </x14:conditionalFormatting>
        <x14:conditionalFormatting xmlns:xm="http://schemas.microsoft.com/office/excel/2006/main">
          <x14:cfRule type="dataBar" id="{7C33FCFA-4895-4390-BBA7-C1493849431E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J24:J25</xm:sqref>
        </x14:conditionalFormatting>
        <x14:conditionalFormatting xmlns:xm="http://schemas.microsoft.com/office/excel/2006/main">
          <x14:cfRule type="dataBar" id="{929F59D3-A6A4-489C-B0AF-C80D8FC08C64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K24:K25</xm:sqref>
        </x14:conditionalFormatting>
        <x14:conditionalFormatting xmlns:xm="http://schemas.microsoft.com/office/excel/2006/main">
          <x14:cfRule type="dataBar" id="{DFD99359-552A-4499-8ABC-F5202AE482DE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L24:L25</xm:sqref>
        </x14:conditionalFormatting>
        <x14:conditionalFormatting xmlns:xm="http://schemas.microsoft.com/office/excel/2006/main">
          <x14:cfRule type="dataBar" id="{B101F2EE-AA53-4462-97D1-A058297D924A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C24:L24</xm:sqref>
        </x14:conditionalFormatting>
        <x14:conditionalFormatting xmlns:xm="http://schemas.microsoft.com/office/excel/2006/main">
          <x14:cfRule type="dataBar" id="{5EFD32A2-B238-4E8E-8672-A46985E2E0E8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N24</xm:sqref>
        </x14:conditionalFormatting>
        <x14:conditionalFormatting xmlns:xm="http://schemas.microsoft.com/office/excel/2006/main">
          <x14:cfRule type="dataBar" id="{A96437A4-C304-4BF4-A8A2-1B9B3F8131AC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O24</xm:sqref>
        </x14:conditionalFormatting>
        <x14:conditionalFormatting xmlns:xm="http://schemas.microsoft.com/office/excel/2006/main">
          <x14:cfRule type="dataBar" id="{52D2C674-B8FF-4FC7-9C60-55AB0E9D3D1B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P24</xm:sqref>
        </x14:conditionalFormatting>
        <x14:conditionalFormatting xmlns:xm="http://schemas.microsoft.com/office/excel/2006/main">
          <x14:cfRule type="dataBar" id="{BF99800B-0FAF-4764-A365-326FD51A33B8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Q24</xm:sqref>
        </x14:conditionalFormatting>
        <x14:conditionalFormatting xmlns:xm="http://schemas.microsoft.com/office/excel/2006/main">
          <x14:cfRule type="dataBar" id="{D9E5697C-CE60-467D-AECE-BB72065964B2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R24</xm:sqref>
        </x14:conditionalFormatting>
        <x14:conditionalFormatting xmlns:xm="http://schemas.microsoft.com/office/excel/2006/main">
          <x14:cfRule type="dataBar" id="{51988CD6-C0C0-4A16-9372-F9C681E84D28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S24</xm:sqref>
        </x14:conditionalFormatting>
        <x14:conditionalFormatting xmlns:xm="http://schemas.microsoft.com/office/excel/2006/main">
          <x14:cfRule type="dataBar" id="{0A05D721-8CC2-4348-B1E3-67DC6CB23ADE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T24</xm:sqref>
        </x14:conditionalFormatting>
        <x14:conditionalFormatting xmlns:xm="http://schemas.microsoft.com/office/excel/2006/main">
          <x14:cfRule type="dataBar" id="{0EDE2B14-C2E7-435E-9BB6-F5DB87323782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U24</xm:sqref>
        </x14:conditionalFormatting>
        <x14:conditionalFormatting xmlns:xm="http://schemas.microsoft.com/office/excel/2006/main">
          <x14:cfRule type="dataBar" id="{54067ECD-70C4-49DD-A4EC-0418B4562838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V24</xm:sqref>
        </x14:conditionalFormatting>
        <x14:conditionalFormatting xmlns:xm="http://schemas.microsoft.com/office/excel/2006/main">
          <x14:cfRule type="dataBar" id="{9DFA12F7-E38B-43BB-A571-CFEBE8AAC0AC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W24</xm:sqref>
        </x14:conditionalFormatting>
        <x14:conditionalFormatting xmlns:xm="http://schemas.microsoft.com/office/excel/2006/main">
          <x14:cfRule type="dataBar" id="{D69A4C21-F974-4048-9FA6-8D7145CB588D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14:cfRule type="dataBar" id="{BE100F5E-6F6E-435D-A669-B2C70D49F194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N24:W24</xm:sqref>
        </x14:conditionalFormatting>
        <x14:conditionalFormatting xmlns:xm="http://schemas.microsoft.com/office/excel/2006/main">
          <x14:cfRule type="dataBar" id="{1B37AD4D-3BB7-453A-BCCA-5DEF14AD32BA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Y24</xm:sqref>
        </x14:conditionalFormatting>
        <x14:conditionalFormatting xmlns:xm="http://schemas.microsoft.com/office/excel/2006/main">
          <x14:cfRule type="dataBar" id="{BC9E0EFB-CB47-43D4-8897-6FC84BF2F0B1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Z24</xm:sqref>
        </x14:conditionalFormatting>
        <x14:conditionalFormatting xmlns:xm="http://schemas.microsoft.com/office/excel/2006/main">
          <x14:cfRule type="dataBar" id="{A2C93481-EB63-4C6E-B59D-D6948D9E278E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AA24</xm:sqref>
        </x14:conditionalFormatting>
        <x14:conditionalFormatting xmlns:xm="http://schemas.microsoft.com/office/excel/2006/main">
          <x14:cfRule type="dataBar" id="{185FC3EF-13E0-427E-A2B2-AE916345DC90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AB24</xm:sqref>
        </x14:conditionalFormatting>
        <x14:conditionalFormatting xmlns:xm="http://schemas.microsoft.com/office/excel/2006/main">
          <x14:cfRule type="dataBar" id="{85F4030B-0991-4E9C-9FF3-69D93C9B252E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AC24</xm:sqref>
        </x14:conditionalFormatting>
        <x14:conditionalFormatting xmlns:xm="http://schemas.microsoft.com/office/excel/2006/main">
          <x14:cfRule type="dataBar" id="{3F72181A-D77F-4936-B00D-55890759374E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AD24</xm:sqref>
        </x14:conditionalFormatting>
        <x14:conditionalFormatting xmlns:xm="http://schemas.microsoft.com/office/excel/2006/main">
          <x14:cfRule type="dataBar" id="{CCB3F138-33FF-431E-A2BD-E8FA94343283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AE24</xm:sqref>
        </x14:conditionalFormatting>
        <x14:conditionalFormatting xmlns:xm="http://schemas.microsoft.com/office/excel/2006/main">
          <x14:cfRule type="dataBar" id="{7493B46A-8759-4A4B-B73B-AA82AE33F0FE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AF24</xm:sqref>
        </x14:conditionalFormatting>
        <x14:conditionalFormatting xmlns:xm="http://schemas.microsoft.com/office/excel/2006/main">
          <x14:cfRule type="dataBar" id="{C70156C7-448F-4A1A-93F8-E84026D407F2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AG24</xm:sqref>
        </x14:conditionalFormatting>
        <x14:conditionalFormatting xmlns:xm="http://schemas.microsoft.com/office/excel/2006/main">
          <x14:cfRule type="dataBar" id="{2216BAFA-BAC6-498A-B9B9-338379F17170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AH24</xm:sqref>
        </x14:conditionalFormatting>
        <x14:conditionalFormatting xmlns:xm="http://schemas.microsoft.com/office/excel/2006/main">
          <x14:cfRule type="dataBar" id="{D33984E1-2A65-4BCE-B5AB-6F6BB94ACE01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14:cfRule type="dataBar" id="{A60A87B8-E902-4975-AA61-96DB9F7949C7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Y24:AH24</xm:sqref>
        </x14:conditionalFormatting>
        <x14:conditionalFormatting xmlns:xm="http://schemas.microsoft.com/office/excel/2006/main">
          <x14:cfRule type="dataBar" id="{51435EFF-0363-442F-9B52-F2D568EC8621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N24:N25</xm:sqref>
        </x14:conditionalFormatting>
        <x14:conditionalFormatting xmlns:xm="http://schemas.microsoft.com/office/excel/2006/main">
          <x14:cfRule type="dataBar" id="{01D9F4C3-8D12-42D4-9411-DEE406DD8E96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O24:O25</xm:sqref>
        </x14:conditionalFormatting>
        <x14:conditionalFormatting xmlns:xm="http://schemas.microsoft.com/office/excel/2006/main">
          <x14:cfRule type="dataBar" id="{4E89D492-6BEF-475F-A844-7580ED4ED7B5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P24:P25</xm:sqref>
        </x14:conditionalFormatting>
        <x14:conditionalFormatting xmlns:xm="http://schemas.microsoft.com/office/excel/2006/main">
          <x14:cfRule type="dataBar" id="{4DAE0D2E-185F-424C-83ED-1BA3DFBC662C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Q24:Q25</xm:sqref>
        </x14:conditionalFormatting>
        <x14:conditionalFormatting xmlns:xm="http://schemas.microsoft.com/office/excel/2006/main">
          <x14:cfRule type="dataBar" id="{3E8D95E5-C344-49CF-B4B0-B974A568C889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R24:R25</xm:sqref>
        </x14:conditionalFormatting>
        <x14:conditionalFormatting xmlns:xm="http://schemas.microsoft.com/office/excel/2006/main">
          <x14:cfRule type="dataBar" id="{EFB5152D-1398-40A8-988F-2071DC022C54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S24:S25</xm:sqref>
        </x14:conditionalFormatting>
        <x14:conditionalFormatting xmlns:xm="http://schemas.microsoft.com/office/excel/2006/main">
          <x14:cfRule type="dataBar" id="{0082312F-2FF7-4FD2-BD40-2642268F6541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T24:T25</xm:sqref>
        </x14:conditionalFormatting>
        <x14:conditionalFormatting xmlns:xm="http://schemas.microsoft.com/office/excel/2006/main">
          <x14:cfRule type="dataBar" id="{50CF28D6-6F6E-4D73-8923-9F2A6D103BC4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U24:U25</xm:sqref>
        </x14:conditionalFormatting>
        <x14:conditionalFormatting xmlns:xm="http://schemas.microsoft.com/office/excel/2006/main">
          <x14:cfRule type="dataBar" id="{C0194055-5C10-4F77-A798-253A00EBE1E5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V24:W25</xm:sqref>
        </x14:conditionalFormatting>
        <x14:conditionalFormatting xmlns:xm="http://schemas.microsoft.com/office/excel/2006/main">
          <x14:cfRule type="dataBar" id="{B03B41D3-A7F0-4E30-BBC9-6E4F228B2B6B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Y24:Z25</xm:sqref>
        </x14:conditionalFormatting>
        <x14:conditionalFormatting xmlns:xm="http://schemas.microsoft.com/office/excel/2006/main">
          <x14:cfRule type="dataBar" id="{DCD2F106-F4F0-4290-B601-4DED85849EF0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AA24:AB25</xm:sqref>
        </x14:conditionalFormatting>
        <x14:conditionalFormatting xmlns:xm="http://schemas.microsoft.com/office/excel/2006/main">
          <x14:cfRule type="dataBar" id="{328103EA-DB99-4D78-BABC-04CD05F3983A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AC24:AD25</xm:sqref>
        </x14:conditionalFormatting>
        <x14:conditionalFormatting xmlns:xm="http://schemas.microsoft.com/office/excel/2006/main">
          <x14:cfRule type="dataBar" id="{A335155A-FBB3-471A-8C6E-7972084AD3FC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AE24:AF25</xm:sqref>
        </x14:conditionalFormatting>
        <x14:conditionalFormatting xmlns:xm="http://schemas.microsoft.com/office/excel/2006/main">
          <x14:cfRule type="dataBar" id="{81FD2A18-F4BB-405D-8C9C-7082DE06D835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AE24:AF25</xm:sqref>
        </x14:conditionalFormatting>
        <x14:conditionalFormatting xmlns:xm="http://schemas.microsoft.com/office/excel/2006/main">
          <x14:cfRule type="dataBar" id="{B5C265C1-D208-407A-9C83-3B03123FD963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AG24:AH25</xm:sqref>
        </x14:conditionalFormatting>
        <x14:conditionalFormatting xmlns:xm="http://schemas.microsoft.com/office/excel/2006/main">
          <x14:cfRule type="dataBar" id="{E3E5D52C-1D02-4F6E-9747-450F708AB208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N65 N5</xm:sqref>
        </x14:conditionalFormatting>
        <x14:conditionalFormatting xmlns:xm="http://schemas.microsoft.com/office/excel/2006/main">
          <x14:cfRule type="dataBar" id="{C25555EF-8268-426D-BD1A-2AFB9119C4B7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O65 O5</xm:sqref>
        </x14:conditionalFormatting>
        <x14:conditionalFormatting xmlns:xm="http://schemas.microsoft.com/office/excel/2006/main">
          <x14:cfRule type="dataBar" id="{41FDAE23-BB5D-4D05-8580-296F715D66B8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P65 P5</xm:sqref>
        </x14:conditionalFormatting>
        <x14:conditionalFormatting xmlns:xm="http://schemas.microsoft.com/office/excel/2006/main">
          <x14:cfRule type="dataBar" id="{B7AE9FAA-1305-4DBF-8808-AF0F66261FB4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Q65 Q5</xm:sqref>
        </x14:conditionalFormatting>
        <x14:conditionalFormatting xmlns:xm="http://schemas.microsoft.com/office/excel/2006/main">
          <x14:cfRule type="dataBar" id="{C1D39FAE-75EA-4445-A821-FA9219C2DC1C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R65 R5</xm:sqref>
        </x14:conditionalFormatting>
        <x14:conditionalFormatting xmlns:xm="http://schemas.microsoft.com/office/excel/2006/main">
          <x14:cfRule type="dataBar" id="{0C904C06-F38D-4FD3-AF7E-FAE911D93E23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S65 S5</xm:sqref>
        </x14:conditionalFormatting>
        <x14:conditionalFormatting xmlns:xm="http://schemas.microsoft.com/office/excel/2006/main">
          <x14:cfRule type="dataBar" id="{EE4D0629-CCAC-49CF-B5CA-FC0D83C83AEB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T65 T5</xm:sqref>
        </x14:conditionalFormatting>
        <x14:conditionalFormatting xmlns:xm="http://schemas.microsoft.com/office/excel/2006/main">
          <x14:cfRule type="dataBar" id="{1D71C9C6-D214-4CBC-938A-998A05A01215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U5 U65</xm:sqref>
        </x14:conditionalFormatting>
        <x14:conditionalFormatting xmlns:xm="http://schemas.microsoft.com/office/excel/2006/main">
          <x14:cfRule type="dataBar" id="{B3CE61C9-D8F4-4CF4-8D05-0432D1930368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V5 V65</xm:sqref>
        </x14:conditionalFormatting>
        <x14:conditionalFormatting xmlns:xm="http://schemas.microsoft.com/office/excel/2006/main">
          <x14:cfRule type="dataBar" id="{17356CE0-ADB7-4379-9A9A-7BD1B20AEC89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W5 W65</xm:sqref>
        </x14:conditionalFormatting>
        <x14:conditionalFormatting xmlns:xm="http://schemas.microsoft.com/office/excel/2006/main">
          <x14:cfRule type="dataBar" id="{452EF9F3-28A9-4A9B-A7D2-3818549AA87F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Y5 Y65</xm:sqref>
        </x14:conditionalFormatting>
        <x14:conditionalFormatting xmlns:xm="http://schemas.microsoft.com/office/excel/2006/main">
          <x14:cfRule type="dataBar" id="{DC75C852-F92B-497A-9A1B-EC3CD22E226B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Z5 Z65</xm:sqref>
        </x14:conditionalFormatting>
        <x14:conditionalFormatting xmlns:xm="http://schemas.microsoft.com/office/excel/2006/main">
          <x14:cfRule type="dataBar" id="{9A26CAF0-7C0F-4A5F-A2D6-AC30B27B46D1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AA5 AA65</xm:sqref>
        </x14:conditionalFormatting>
        <x14:conditionalFormatting xmlns:xm="http://schemas.microsoft.com/office/excel/2006/main">
          <x14:cfRule type="dataBar" id="{B41870D0-9E34-4688-B3D9-53EB3184AFCE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AB5 AB65</xm:sqref>
        </x14:conditionalFormatting>
        <x14:conditionalFormatting xmlns:xm="http://schemas.microsoft.com/office/excel/2006/main">
          <x14:cfRule type="dataBar" id="{F04BFF95-F2BD-4424-9583-FC97F97B0D13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AC5 AC65</xm:sqref>
        </x14:conditionalFormatting>
        <x14:conditionalFormatting xmlns:xm="http://schemas.microsoft.com/office/excel/2006/main">
          <x14:cfRule type="dataBar" id="{A1F3A754-921D-498D-A8D3-E26709132B59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AD5 AD65</xm:sqref>
        </x14:conditionalFormatting>
        <x14:conditionalFormatting xmlns:xm="http://schemas.microsoft.com/office/excel/2006/main">
          <x14:cfRule type="dataBar" id="{7EF3B0DE-18FE-415F-87E7-467D7D89EF84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AE5 AE65</xm:sqref>
        </x14:conditionalFormatting>
        <x14:conditionalFormatting xmlns:xm="http://schemas.microsoft.com/office/excel/2006/main">
          <x14:cfRule type="dataBar" id="{DBB357B1-7F2A-4317-A932-94839619DC9A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AF5 AF65</xm:sqref>
        </x14:conditionalFormatting>
        <x14:conditionalFormatting xmlns:xm="http://schemas.microsoft.com/office/excel/2006/main">
          <x14:cfRule type="dataBar" id="{D0398766-5104-48E4-B8D7-A6286AB91691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AG5 AG65</xm:sqref>
        </x14:conditionalFormatting>
        <x14:conditionalFormatting xmlns:xm="http://schemas.microsoft.com/office/excel/2006/main">
          <x14:cfRule type="dataBar" id="{D5BCD316-E690-46E6-8C57-0B1AF34BE87B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AH5 AH65</xm:sqref>
        </x14:conditionalFormatting>
      </x14:conditionalFormatting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>
    <tabColor theme="0" tint="-0.34998626667073579"/>
  </sheetPr>
  <dimension ref="A1:AM414"/>
  <sheetViews>
    <sheetView showGridLines="0" zoomScale="85" zoomScaleNormal="85" zoomScalePageLayoutView="85" workbookViewId="0">
      <pane xSplit="2" ySplit="4" topLeftCell="C5" activePane="bottomRight" state="frozen"/>
      <selection pane="topRight" activeCell="C1" sqref="C1"/>
      <selection pane="bottomLeft" activeCell="A5" sqref="A5"/>
      <selection pane="bottomRight" activeCell="E5" sqref="E5"/>
    </sheetView>
  </sheetViews>
  <sheetFormatPr defaultColWidth="8.77734375" defaultRowHeight="14.4" outlineLevelRow="1"/>
  <cols>
    <col min="1" max="1" width="14.44140625" bestFit="1" customWidth="1"/>
    <col min="2" max="2" width="7.44140625" customWidth="1"/>
    <col min="3" max="4" width="13.77734375" hidden="1" customWidth="1"/>
    <col min="5" max="6" width="13.77734375" customWidth="1"/>
    <col min="7" max="8" width="13.77734375" hidden="1" customWidth="1"/>
    <col min="9" max="10" width="13.77734375" customWidth="1"/>
    <col min="11" max="11" width="0.77734375" customWidth="1"/>
    <col min="12" max="13" width="13.77734375" hidden="1" customWidth="1"/>
    <col min="14" max="15" width="13.77734375" customWidth="1"/>
    <col min="16" max="17" width="13.77734375" hidden="1" customWidth="1"/>
    <col min="18" max="19" width="13.77734375" customWidth="1"/>
    <col min="20" max="20" width="0.77734375" customWidth="1"/>
    <col min="21" max="22" width="13.77734375" hidden="1" customWidth="1"/>
    <col min="23" max="24" width="13.77734375" customWidth="1"/>
    <col min="25" max="26" width="13.77734375" hidden="1" customWidth="1"/>
    <col min="27" max="28" width="13.77734375" customWidth="1"/>
    <col min="29" max="29" width="0.77734375" customWidth="1"/>
    <col min="30" max="31" width="12.44140625" customWidth="1"/>
    <col min="33" max="39" width="15.44140625" customWidth="1"/>
  </cols>
  <sheetData>
    <row r="1" spans="1:34" ht="15" thickBot="1">
      <c r="A1" s="355" t="s">
        <v>128</v>
      </c>
      <c r="C1" s="102"/>
      <c r="E1" s="102" t="s">
        <v>0</v>
      </c>
      <c r="K1" s="101"/>
      <c r="L1" s="102"/>
      <c r="N1" s="102" t="s">
        <v>5</v>
      </c>
      <c r="T1" s="101"/>
      <c r="U1" s="102"/>
      <c r="W1" s="102" t="s">
        <v>6</v>
      </c>
      <c r="AC1" s="101"/>
    </row>
    <row r="2" spans="1:34">
      <c r="C2" s="626"/>
      <c r="D2" s="627"/>
      <c r="E2" s="628" t="s">
        <v>2</v>
      </c>
      <c r="F2" s="629"/>
      <c r="G2" s="620"/>
      <c r="H2" s="621"/>
      <c r="I2" s="622" t="s">
        <v>4</v>
      </c>
      <c r="J2" s="623"/>
      <c r="K2" s="101"/>
      <c r="L2" s="626"/>
      <c r="M2" s="627"/>
      <c r="N2" s="628" t="s">
        <v>2</v>
      </c>
      <c r="O2" s="629"/>
      <c r="P2" s="620"/>
      <c r="Q2" s="621"/>
      <c r="R2" s="622" t="s">
        <v>4</v>
      </c>
      <c r="S2" s="623"/>
      <c r="T2" s="101"/>
      <c r="U2" s="626"/>
      <c r="V2" s="627"/>
      <c r="W2" s="628" t="s">
        <v>2</v>
      </c>
      <c r="X2" s="629"/>
      <c r="Y2" s="620"/>
      <c r="Z2" s="621"/>
      <c r="AA2" s="622" t="s">
        <v>4</v>
      </c>
      <c r="AB2" s="623"/>
      <c r="AC2" s="101"/>
      <c r="AD2" s="634" t="s">
        <v>124</v>
      </c>
      <c r="AE2" s="635"/>
    </row>
    <row r="3" spans="1:34">
      <c r="A3" s="99" t="s">
        <v>12</v>
      </c>
      <c r="B3" s="99" t="s">
        <v>125</v>
      </c>
      <c r="C3" s="1"/>
      <c r="D3" s="1"/>
      <c r="E3" s="2" t="s">
        <v>8</v>
      </c>
      <c r="F3" s="2" t="s">
        <v>9</v>
      </c>
      <c r="G3" s="3"/>
      <c r="H3" s="3"/>
      <c r="I3" s="4" t="s">
        <v>8</v>
      </c>
      <c r="J3" s="612" t="s">
        <v>9</v>
      </c>
      <c r="K3" s="101"/>
      <c r="L3" s="1"/>
      <c r="M3" s="1"/>
      <c r="N3" s="2" t="s">
        <v>8</v>
      </c>
      <c r="O3" s="2" t="s">
        <v>9</v>
      </c>
      <c r="P3" s="3"/>
      <c r="Q3" s="3"/>
      <c r="R3" s="4" t="s">
        <v>8</v>
      </c>
      <c r="S3" s="612" t="s">
        <v>9</v>
      </c>
      <c r="T3" s="101"/>
      <c r="U3" s="1"/>
      <c r="V3" s="1"/>
      <c r="W3" s="2" t="s">
        <v>8</v>
      </c>
      <c r="X3" s="2" t="s">
        <v>9</v>
      </c>
      <c r="Y3" s="3"/>
      <c r="Z3" s="3"/>
      <c r="AA3" s="4" t="s">
        <v>8</v>
      </c>
      <c r="AB3" s="612" t="s">
        <v>9</v>
      </c>
      <c r="AC3" s="101"/>
      <c r="AD3" s="360" t="s">
        <v>8</v>
      </c>
      <c r="AE3" s="360" t="s">
        <v>9</v>
      </c>
    </row>
    <row r="4" spans="1:34">
      <c r="A4" s="104"/>
      <c r="B4" s="125" t="s">
        <v>0</v>
      </c>
      <c r="C4" s="117"/>
      <c r="D4" s="118"/>
      <c r="E4" s="119">
        <f t="shared" ref="D4:AB4" si="0">SUBTOTAL(9,E6:E381)</f>
        <v>6137674044</v>
      </c>
      <c r="F4" s="120">
        <f t="shared" si="0"/>
        <v>1482104.3110000174</v>
      </c>
      <c r="G4" s="121"/>
      <c r="H4" s="122"/>
      <c r="I4" s="123">
        <f t="shared" si="0"/>
        <v>1727674863</v>
      </c>
      <c r="J4" s="124">
        <f t="shared" si="0"/>
        <v>503485.20699999732</v>
      </c>
      <c r="K4" s="103"/>
      <c r="L4" s="117"/>
      <c r="M4" s="118"/>
      <c r="N4" s="119">
        <f t="shared" si="0"/>
        <v>4823416169</v>
      </c>
      <c r="O4" s="120">
        <f t="shared" si="0"/>
        <v>971326.03300000727</v>
      </c>
      <c r="P4" s="121"/>
      <c r="Q4" s="122"/>
      <c r="R4" s="123">
        <f t="shared" si="0"/>
        <v>1085863627</v>
      </c>
      <c r="S4" s="124">
        <f t="shared" si="0"/>
        <v>124660.91799999958</v>
      </c>
      <c r="T4" s="103"/>
      <c r="U4" s="117"/>
      <c r="V4" s="118"/>
      <c r="W4" s="119">
        <f t="shared" si="0"/>
        <v>1314257875</v>
      </c>
      <c r="X4" s="120">
        <f t="shared" si="0"/>
        <v>510778.27800001082</v>
      </c>
      <c r="Y4" s="121"/>
      <c r="Z4" s="122"/>
      <c r="AA4" s="123">
        <f t="shared" si="0"/>
        <v>641811236</v>
      </c>
      <c r="AB4" s="124">
        <f t="shared" si="0"/>
        <v>378824.28899999749</v>
      </c>
      <c r="AC4" s="103"/>
      <c r="AD4" s="116"/>
      <c r="AE4" s="116"/>
    </row>
    <row r="5" spans="1:34">
      <c r="A5" s="104"/>
      <c r="B5" s="104" t="s">
        <v>14</v>
      </c>
      <c r="C5" s="105"/>
      <c r="D5" s="106"/>
      <c r="E5" s="107">
        <f t="shared" ref="D5:J5" si="1">SUBTOTAL(9,E6:E36)</f>
        <v>712243496</v>
      </c>
      <c r="F5" s="108">
        <f t="shared" si="1"/>
        <v>148369.26999999999</v>
      </c>
      <c r="G5" s="109"/>
      <c r="H5" s="110"/>
      <c r="I5" s="111">
        <f t="shared" si="1"/>
        <v>125989099</v>
      </c>
      <c r="J5" s="14">
        <f t="shared" si="1"/>
        <v>17239.806</v>
      </c>
      <c r="K5" s="103"/>
      <c r="L5" s="105"/>
      <c r="M5" s="106"/>
      <c r="N5" s="107">
        <f t="shared" ref="N5" si="2">SUBTOTAL(9,N6:N36)</f>
        <v>600131253</v>
      </c>
      <c r="O5" s="108">
        <f t="shared" ref="O5" si="3">SUBTOTAL(9,O6:O36)</f>
        <v>115656.79299999999</v>
      </c>
      <c r="P5" s="109"/>
      <c r="Q5" s="110"/>
      <c r="R5" s="111">
        <f t="shared" ref="R5" si="4">SUBTOTAL(9,R6:R36)</f>
        <v>100691266</v>
      </c>
      <c r="S5" s="14">
        <f t="shared" ref="S5" si="5">SUBTOTAL(9,S6:S36)</f>
        <v>8851.1309999999994</v>
      </c>
      <c r="T5" s="103"/>
      <c r="U5" s="105"/>
      <c r="V5" s="106"/>
      <c r="W5" s="107">
        <f t="shared" ref="W5" si="6">SUBTOTAL(9,W6:W36)</f>
        <v>112112243</v>
      </c>
      <c r="X5" s="108">
        <f t="shared" ref="X5" si="7">SUBTOTAL(9,X6:X36)</f>
        <v>32712.477000000003</v>
      </c>
      <c r="Y5" s="109"/>
      <c r="Z5" s="110"/>
      <c r="AA5" s="111">
        <f t="shared" ref="AA5" si="8">SUBTOTAL(9,AA6:AA36)</f>
        <v>25297833</v>
      </c>
      <c r="AB5" s="14">
        <f t="shared" ref="AB5" si="9">SUBTOTAL(9,AB6:AB36)</f>
        <v>8388.6749999999993</v>
      </c>
      <c r="AC5" s="103"/>
      <c r="AD5" s="116"/>
      <c r="AE5" s="116"/>
    </row>
    <row r="6" spans="1:34" hidden="1" outlineLevel="1">
      <c r="A6" s="114">
        <v>43101</v>
      </c>
      <c r="B6" s="115">
        <f t="shared" ref="B6:B25" si="10">MONTH(A6)</f>
        <v>1</v>
      </c>
      <c r="C6" s="35"/>
      <c r="D6" s="36"/>
      <c r="E6" s="43">
        <v>30951330</v>
      </c>
      <c r="F6" s="44">
        <v>6020.7370000000001</v>
      </c>
      <c r="G6" s="51"/>
      <c r="H6" s="52"/>
      <c r="I6" s="58">
        <v>5588995</v>
      </c>
      <c r="J6" s="17">
        <v>302.87799999999999</v>
      </c>
      <c r="K6" s="101"/>
      <c r="L6" s="35"/>
      <c r="M6" s="36"/>
      <c r="N6" s="43">
        <v>21286553</v>
      </c>
      <c r="O6" s="44">
        <v>2843.8069999999998</v>
      </c>
      <c r="P6" s="51"/>
      <c r="Q6" s="52"/>
      <c r="R6" s="58">
        <v>2854854</v>
      </c>
      <c r="S6" s="17">
        <v>149.655</v>
      </c>
      <c r="T6" s="101"/>
      <c r="U6" s="35"/>
      <c r="V6" s="36"/>
      <c r="W6" s="43">
        <f t="shared" ref="W6:AB6" si="11">E6-N6</f>
        <v>9664777</v>
      </c>
      <c r="X6" s="44">
        <f t="shared" si="11"/>
        <v>3176.9300000000003</v>
      </c>
      <c r="Y6" s="51"/>
      <c r="Z6" s="52"/>
      <c r="AA6" s="58">
        <f t="shared" si="11"/>
        <v>2734141</v>
      </c>
      <c r="AB6" s="17">
        <f t="shared" si="11"/>
        <v>153.22299999999998</v>
      </c>
      <c r="AC6" s="101"/>
      <c r="AD6" s="359">
        <f t="shared" ref="AD6:AE36" si="12">SUM(C6,E6,G6,I6)</f>
        <v>36540325</v>
      </c>
      <c r="AE6" s="435">
        <f t="shared" si="12"/>
        <v>6323.6149999999998</v>
      </c>
      <c r="AG6" s="116">
        <v>1</v>
      </c>
      <c r="AH6" s="116">
        <v>31</v>
      </c>
    </row>
    <row r="7" spans="1:34" hidden="1" outlineLevel="1">
      <c r="A7" s="114">
        <v>43102</v>
      </c>
      <c r="B7" s="115">
        <f t="shared" si="10"/>
        <v>1</v>
      </c>
      <c r="C7" s="35"/>
      <c r="D7" s="36"/>
      <c r="E7" s="43">
        <v>30633213</v>
      </c>
      <c r="F7" s="44">
        <v>6451.6570000000002</v>
      </c>
      <c r="G7" s="51"/>
      <c r="H7" s="52"/>
      <c r="I7" s="58">
        <v>5665551</v>
      </c>
      <c r="J7" s="17">
        <v>354.07299999999998</v>
      </c>
      <c r="K7" s="101"/>
      <c r="L7" s="35"/>
      <c r="M7" s="36"/>
      <c r="N7" s="43">
        <v>21148160</v>
      </c>
      <c r="O7" s="44">
        <v>3319.2469999999998</v>
      </c>
      <c r="P7" s="51"/>
      <c r="Q7" s="52"/>
      <c r="R7" s="58">
        <v>2811796</v>
      </c>
      <c r="S7" s="17">
        <v>175.256</v>
      </c>
      <c r="T7" s="101"/>
      <c r="U7" s="35"/>
      <c r="V7" s="36"/>
      <c r="W7" s="43">
        <f t="shared" ref="W7:W72" si="13">E7-N7</f>
        <v>9485053</v>
      </c>
      <c r="X7" s="44">
        <f t="shared" ref="X7:X72" si="14">F7-O7</f>
        <v>3132.4100000000003</v>
      </c>
      <c r="Y7" s="51"/>
      <c r="Z7" s="52"/>
      <c r="AA7" s="58">
        <f t="shared" ref="AA7:AA72" si="15">I7-R7</f>
        <v>2853755</v>
      </c>
      <c r="AB7" s="17">
        <f t="shared" ref="AB7:AB72" si="16">J7-S7</f>
        <v>178.81699999999998</v>
      </c>
      <c r="AC7" s="101"/>
      <c r="AD7" s="359">
        <f t="shared" si="12"/>
        <v>36298764</v>
      </c>
      <c r="AE7" s="435">
        <f t="shared" si="12"/>
        <v>6805.7300000000005</v>
      </c>
      <c r="AG7" s="116">
        <v>2</v>
      </c>
      <c r="AH7" s="116">
        <v>28</v>
      </c>
    </row>
    <row r="8" spans="1:34" hidden="1" outlineLevel="1">
      <c r="A8" s="114">
        <v>43103</v>
      </c>
      <c r="B8" s="115">
        <f t="shared" si="10"/>
        <v>1</v>
      </c>
      <c r="C8" s="35"/>
      <c r="D8" s="36"/>
      <c r="E8" s="43">
        <v>28400699</v>
      </c>
      <c r="F8" s="44">
        <v>5260.4719999999998</v>
      </c>
      <c r="G8" s="51"/>
      <c r="H8" s="52"/>
      <c r="I8" s="58">
        <v>5689422</v>
      </c>
      <c r="J8" s="17">
        <v>346.41399999999999</v>
      </c>
      <c r="K8" s="101"/>
      <c r="L8" s="35"/>
      <c r="M8" s="36"/>
      <c r="N8" s="43">
        <v>21726541</v>
      </c>
      <c r="O8" s="44">
        <v>3414.7890000000002</v>
      </c>
      <c r="P8" s="51"/>
      <c r="Q8" s="52"/>
      <c r="R8" s="58">
        <v>2882203</v>
      </c>
      <c r="S8" s="17">
        <v>163.215</v>
      </c>
      <c r="T8" s="101"/>
      <c r="U8" s="35"/>
      <c r="V8" s="36"/>
      <c r="W8" s="43">
        <f t="shared" si="13"/>
        <v>6674158</v>
      </c>
      <c r="X8" s="44">
        <f t="shared" si="14"/>
        <v>1845.6829999999995</v>
      </c>
      <c r="Y8" s="51"/>
      <c r="Z8" s="52"/>
      <c r="AA8" s="58">
        <f t="shared" si="15"/>
        <v>2807219</v>
      </c>
      <c r="AB8" s="17">
        <f t="shared" si="16"/>
        <v>183.19899999999998</v>
      </c>
      <c r="AC8" s="101"/>
      <c r="AD8" s="359">
        <f t="shared" si="12"/>
        <v>34090121</v>
      </c>
      <c r="AE8" s="435">
        <f t="shared" si="12"/>
        <v>5606.8859999999995</v>
      </c>
      <c r="AG8" s="116">
        <v>3</v>
      </c>
      <c r="AH8" s="116">
        <v>31</v>
      </c>
    </row>
    <row r="9" spans="1:34" hidden="1" outlineLevel="1">
      <c r="A9" s="114">
        <v>43104</v>
      </c>
      <c r="B9" s="115">
        <f t="shared" si="10"/>
        <v>1</v>
      </c>
      <c r="C9" s="35"/>
      <c r="D9" s="36"/>
      <c r="E9" s="43">
        <v>29798476</v>
      </c>
      <c r="F9" s="44">
        <v>5379.8879999999999</v>
      </c>
      <c r="G9" s="51"/>
      <c r="H9" s="52"/>
      <c r="I9" s="58">
        <v>5630864</v>
      </c>
      <c r="J9" s="17">
        <v>345.71300000000002</v>
      </c>
      <c r="K9" s="101"/>
      <c r="L9" s="35"/>
      <c r="M9" s="36"/>
      <c r="N9" s="43">
        <v>22839278</v>
      </c>
      <c r="O9" s="44">
        <v>3388.4029999999998</v>
      </c>
      <c r="P9" s="51"/>
      <c r="Q9" s="52"/>
      <c r="R9" s="58">
        <v>2984155</v>
      </c>
      <c r="S9" s="17">
        <v>159.51499999999999</v>
      </c>
      <c r="T9" s="101"/>
      <c r="U9" s="35"/>
      <c r="V9" s="36"/>
      <c r="W9" s="43">
        <f t="shared" si="13"/>
        <v>6959198</v>
      </c>
      <c r="X9" s="44">
        <f t="shared" si="14"/>
        <v>1991.4850000000001</v>
      </c>
      <c r="Y9" s="51"/>
      <c r="Z9" s="52"/>
      <c r="AA9" s="58">
        <f t="shared" si="15"/>
        <v>2646709</v>
      </c>
      <c r="AB9" s="17">
        <f t="shared" si="16"/>
        <v>186.19800000000004</v>
      </c>
      <c r="AC9" s="101"/>
      <c r="AD9" s="359">
        <f t="shared" si="12"/>
        <v>35429340</v>
      </c>
      <c r="AE9" s="435">
        <f t="shared" si="12"/>
        <v>5725.6009999999997</v>
      </c>
      <c r="AG9" s="116">
        <v>4</v>
      </c>
      <c r="AH9" s="116">
        <v>30</v>
      </c>
    </row>
    <row r="10" spans="1:34" hidden="1" outlineLevel="1">
      <c r="A10" s="114">
        <v>43105</v>
      </c>
      <c r="B10" s="115">
        <f t="shared" si="10"/>
        <v>1</v>
      </c>
      <c r="C10" s="35"/>
      <c r="D10" s="36"/>
      <c r="E10" s="43">
        <v>30682596</v>
      </c>
      <c r="F10" s="44">
        <v>5652.8860000000004</v>
      </c>
      <c r="G10" s="51"/>
      <c r="H10" s="52"/>
      <c r="I10" s="58">
        <v>5294513</v>
      </c>
      <c r="J10" s="17">
        <v>379.245</v>
      </c>
      <c r="K10" s="101"/>
      <c r="L10" s="35"/>
      <c r="M10" s="36"/>
      <c r="N10" s="43">
        <v>25749920</v>
      </c>
      <c r="O10" s="44">
        <v>4166.9639999999999</v>
      </c>
      <c r="P10" s="51"/>
      <c r="Q10" s="52"/>
      <c r="R10" s="58">
        <v>3128526</v>
      </c>
      <c r="S10" s="17">
        <v>183.28399999999999</v>
      </c>
      <c r="T10" s="101"/>
      <c r="U10" s="35"/>
      <c r="V10" s="36"/>
      <c r="W10" s="43">
        <f t="shared" si="13"/>
        <v>4932676</v>
      </c>
      <c r="X10" s="44">
        <f t="shared" si="14"/>
        <v>1485.9220000000005</v>
      </c>
      <c r="Y10" s="51"/>
      <c r="Z10" s="52"/>
      <c r="AA10" s="58">
        <f t="shared" si="15"/>
        <v>2165987</v>
      </c>
      <c r="AB10" s="17">
        <f t="shared" si="16"/>
        <v>195.96100000000001</v>
      </c>
      <c r="AC10" s="101"/>
      <c r="AD10" s="359">
        <f t="shared" si="12"/>
        <v>35977109</v>
      </c>
      <c r="AE10" s="435">
        <f t="shared" si="12"/>
        <v>6032.1310000000003</v>
      </c>
      <c r="AG10" s="116">
        <v>5</v>
      </c>
      <c r="AH10" s="116">
        <v>31</v>
      </c>
    </row>
    <row r="11" spans="1:34" hidden="1" outlineLevel="1">
      <c r="A11" s="114">
        <v>43106</v>
      </c>
      <c r="B11" s="115">
        <f t="shared" si="10"/>
        <v>1</v>
      </c>
      <c r="C11" s="35"/>
      <c r="D11" s="36"/>
      <c r="E11" s="43">
        <v>31909852</v>
      </c>
      <c r="F11" s="44">
        <v>5127.8670000000002</v>
      </c>
      <c r="G11" s="51"/>
      <c r="H11" s="52"/>
      <c r="I11" s="58">
        <v>4210443</v>
      </c>
      <c r="J11" s="17">
        <v>390.49599999999998</v>
      </c>
      <c r="K11" s="101"/>
      <c r="L11" s="35"/>
      <c r="M11" s="36"/>
      <c r="N11" s="43">
        <v>26915139</v>
      </c>
      <c r="O11" s="44">
        <v>3587.1559999999999</v>
      </c>
      <c r="P11" s="51"/>
      <c r="Q11" s="52"/>
      <c r="R11" s="58">
        <v>3244857</v>
      </c>
      <c r="S11" s="17">
        <v>156.709</v>
      </c>
      <c r="T11" s="101"/>
      <c r="U11" s="35"/>
      <c r="V11" s="36"/>
      <c r="W11" s="43">
        <f t="shared" si="13"/>
        <v>4994713</v>
      </c>
      <c r="X11" s="44">
        <f t="shared" si="14"/>
        <v>1540.7110000000002</v>
      </c>
      <c r="Y11" s="51"/>
      <c r="Z11" s="52"/>
      <c r="AA11" s="58">
        <f t="shared" si="15"/>
        <v>965586</v>
      </c>
      <c r="AB11" s="17">
        <f t="shared" si="16"/>
        <v>233.78699999999998</v>
      </c>
      <c r="AC11" s="101"/>
      <c r="AD11" s="359">
        <f t="shared" si="12"/>
        <v>36120295</v>
      </c>
      <c r="AE11" s="435">
        <f t="shared" si="12"/>
        <v>5518.3630000000003</v>
      </c>
      <c r="AG11" s="116">
        <v>6</v>
      </c>
      <c r="AH11" s="116">
        <v>30</v>
      </c>
    </row>
    <row r="12" spans="1:34" hidden="1" outlineLevel="1">
      <c r="A12" s="114">
        <v>43107</v>
      </c>
      <c r="B12" s="115">
        <f t="shared" si="10"/>
        <v>1</v>
      </c>
      <c r="C12" s="35"/>
      <c r="D12" s="36"/>
      <c r="E12" s="43">
        <v>27817987</v>
      </c>
      <c r="F12" s="44">
        <v>4964.2330000000002</v>
      </c>
      <c r="G12" s="51"/>
      <c r="H12" s="52"/>
      <c r="I12" s="58">
        <v>4050713</v>
      </c>
      <c r="J12" s="17">
        <v>339.81700000000001</v>
      </c>
      <c r="K12" s="101"/>
      <c r="L12" s="35"/>
      <c r="M12" s="36"/>
      <c r="N12" s="43">
        <v>21416595</v>
      </c>
      <c r="O12" s="44">
        <v>3023.46</v>
      </c>
      <c r="P12" s="51"/>
      <c r="Q12" s="52"/>
      <c r="R12" s="58">
        <v>2986966</v>
      </c>
      <c r="S12" s="17">
        <v>137.48400000000001</v>
      </c>
      <c r="T12" s="101"/>
      <c r="U12" s="35"/>
      <c r="V12" s="36"/>
      <c r="W12" s="43">
        <f t="shared" si="13"/>
        <v>6401392</v>
      </c>
      <c r="X12" s="44">
        <f t="shared" si="14"/>
        <v>1940.7730000000001</v>
      </c>
      <c r="Y12" s="51"/>
      <c r="Z12" s="52"/>
      <c r="AA12" s="58">
        <f t="shared" si="15"/>
        <v>1063747</v>
      </c>
      <c r="AB12" s="17">
        <f t="shared" si="16"/>
        <v>202.333</v>
      </c>
      <c r="AC12" s="101"/>
      <c r="AD12" s="359">
        <f t="shared" si="12"/>
        <v>31868700</v>
      </c>
      <c r="AE12" s="435">
        <f t="shared" si="12"/>
        <v>5304.05</v>
      </c>
      <c r="AG12" s="116">
        <v>7</v>
      </c>
      <c r="AH12" s="116">
        <v>31</v>
      </c>
    </row>
    <row r="13" spans="1:34" hidden="1" outlineLevel="1">
      <c r="A13" s="114">
        <v>43108</v>
      </c>
      <c r="B13" s="115">
        <f t="shared" si="10"/>
        <v>1</v>
      </c>
      <c r="C13" s="35"/>
      <c r="D13" s="36"/>
      <c r="E13" s="43">
        <v>26708875</v>
      </c>
      <c r="F13" s="44">
        <v>5191.5559999999996</v>
      </c>
      <c r="G13" s="51"/>
      <c r="H13" s="52"/>
      <c r="I13" s="58">
        <v>5801981</v>
      </c>
      <c r="J13" s="17">
        <v>829.07299999999998</v>
      </c>
      <c r="K13" s="101"/>
      <c r="L13" s="35"/>
      <c r="M13" s="36"/>
      <c r="N13" s="43">
        <v>19923837</v>
      </c>
      <c r="O13" s="44">
        <v>3097.73</v>
      </c>
      <c r="P13" s="51"/>
      <c r="Q13" s="52"/>
      <c r="R13" s="58">
        <v>4568593</v>
      </c>
      <c r="S13" s="17">
        <v>261.875</v>
      </c>
      <c r="T13" s="101"/>
      <c r="U13" s="35"/>
      <c r="V13" s="36"/>
      <c r="W13" s="43">
        <f t="shared" si="13"/>
        <v>6785038</v>
      </c>
      <c r="X13" s="44">
        <f t="shared" si="14"/>
        <v>2093.8259999999996</v>
      </c>
      <c r="Y13" s="51"/>
      <c r="Z13" s="52"/>
      <c r="AA13" s="58">
        <f t="shared" si="15"/>
        <v>1233388</v>
      </c>
      <c r="AB13" s="17">
        <f t="shared" si="16"/>
        <v>567.19799999999998</v>
      </c>
      <c r="AC13" s="101"/>
      <c r="AD13" s="359">
        <f t="shared" si="12"/>
        <v>32510856</v>
      </c>
      <c r="AE13" s="435">
        <f t="shared" si="12"/>
        <v>6020.6289999999999</v>
      </c>
      <c r="AG13" s="116">
        <v>8</v>
      </c>
      <c r="AH13" s="116">
        <v>31</v>
      </c>
    </row>
    <row r="14" spans="1:34" hidden="1" outlineLevel="1">
      <c r="A14" s="114">
        <v>43109</v>
      </c>
      <c r="B14" s="115">
        <f t="shared" si="10"/>
        <v>1</v>
      </c>
      <c r="C14" s="35"/>
      <c r="D14" s="36"/>
      <c r="E14" s="43">
        <v>26251962</v>
      </c>
      <c r="F14" s="44">
        <v>5566.15</v>
      </c>
      <c r="G14" s="51"/>
      <c r="H14" s="52"/>
      <c r="I14" s="58">
        <v>4765603</v>
      </c>
      <c r="J14" s="17">
        <v>588.03200000000004</v>
      </c>
      <c r="K14" s="101"/>
      <c r="L14" s="35"/>
      <c r="M14" s="36"/>
      <c r="N14" s="43">
        <v>19494178</v>
      </c>
      <c r="O14" s="44">
        <v>3083.9169999999999</v>
      </c>
      <c r="P14" s="51"/>
      <c r="Q14" s="52"/>
      <c r="R14" s="58">
        <v>3642099</v>
      </c>
      <c r="S14" s="17">
        <v>250.39500000000001</v>
      </c>
      <c r="T14" s="101"/>
      <c r="U14" s="35"/>
      <c r="V14" s="36"/>
      <c r="W14" s="43">
        <f t="shared" si="13"/>
        <v>6757784</v>
      </c>
      <c r="X14" s="44">
        <f t="shared" si="14"/>
        <v>2482.2329999999997</v>
      </c>
      <c r="Y14" s="51"/>
      <c r="Z14" s="52"/>
      <c r="AA14" s="58">
        <f t="shared" si="15"/>
        <v>1123504</v>
      </c>
      <c r="AB14" s="17">
        <f t="shared" si="16"/>
        <v>337.63700000000006</v>
      </c>
      <c r="AC14" s="101"/>
      <c r="AD14" s="359">
        <f t="shared" si="12"/>
        <v>31017565</v>
      </c>
      <c r="AE14" s="435">
        <f t="shared" si="12"/>
        <v>6154.1819999999998</v>
      </c>
      <c r="AG14" s="116">
        <v>9</v>
      </c>
      <c r="AH14" s="116">
        <v>30</v>
      </c>
    </row>
    <row r="15" spans="1:34" hidden="1" outlineLevel="1">
      <c r="A15" s="114">
        <v>43110</v>
      </c>
      <c r="B15" s="115">
        <f t="shared" si="10"/>
        <v>1</v>
      </c>
      <c r="C15" s="35"/>
      <c r="D15" s="36"/>
      <c r="E15" s="43">
        <v>17693650</v>
      </c>
      <c r="F15" s="44">
        <v>3127.788</v>
      </c>
      <c r="G15" s="51"/>
      <c r="H15" s="52"/>
      <c r="I15" s="58">
        <v>4029373</v>
      </c>
      <c r="J15" s="17">
        <v>554.34500000000003</v>
      </c>
      <c r="K15" s="101"/>
      <c r="L15" s="35"/>
      <c r="M15" s="36"/>
      <c r="N15" s="43">
        <v>16862238</v>
      </c>
      <c r="O15" s="44">
        <v>2844.172</v>
      </c>
      <c r="P15" s="51"/>
      <c r="Q15" s="52"/>
      <c r="R15" s="58">
        <v>3327298</v>
      </c>
      <c r="S15" s="17">
        <v>227.02500000000001</v>
      </c>
      <c r="T15" s="101"/>
      <c r="U15" s="35"/>
      <c r="V15" s="36"/>
      <c r="W15" s="43">
        <f t="shared" si="13"/>
        <v>831412</v>
      </c>
      <c r="X15" s="44">
        <f t="shared" si="14"/>
        <v>283.61599999999999</v>
      </c>
      <c r="Y15" s="51"/>
      <c r="Z15" s="52"/>
      <c r="AA15" s="58">
        <f t="shared" si="15"/>
        <v>702075</v>
      </c>
      <c r="AB15" s="17">
        <f t="shared" si="16"/>
        <v>327.32000000000005</v>
      </c>
      <c r="AC15" s="101"/>
      <c r="AD15" s="359">
        <f t="shared" si="12"/>
        <v>21723023</v>
      </c>
      <c r="AE15" s="435">
        <f t="shared" si="12"/>
        <v>3682.1329999999998</v>
      </c>
      <c r="AG15" s="116">
        <v>10</v>
      </c>
      <c r="AH15" s="116">
        <v>31</v>
      </c>
    </row>
    <row r="16" spans="1:34" hidden="1" outlineLevel="1">
      <c r="A16" s="114">
        <v>43111</v>
      </c>
      <c r="B16" s="115">
        <f t="shared" si="10"/>
        <v>1</v>
      </c>
      <c r="C16" s="35"/>
      <c r="D16" s="36"/>
      <c r="E16" s="43">
        <v>18241641</v>
      </c>
      <c r="F16" s="44">
        <v>3779.152</v>
      </c>
      <c r="G16" s="51"/>
      <c r="H16" s="52"/>
      <c r="I16" s="58">
        <v>3677371</v>
      </c>
      <c r="J16" s="17">
        <v>542.20799999999997</v>
      </c>
      <c r="K16" s="101"/>
      <c r="L16" s="35"/>
      <c r="M16" s="36"/>
      <c r="N16" s="43">
        <v>16679650</v>
      </c>
      <c r="O16" s="44">
        <v>3399.703</v>
      </c>
      <c r="P16" s="51"/>
      <c r="Q16" s="52"/>
      <c r="R16" s="58">
        <v>3061903</v>
      </c>
      <c r="S16" s="17">
        <v>248.88200000000001</v>
      </c>
      <c r="T16" s="101"/>
      <c r="U16" s="35"/>
      <c r="V16" s="36"/>
      <c r="W16" s="43">
        <f t="shared" si="13"/>
        <v>1561991</v>
      </c>
      <c r="X16" s="44">
        <f t="shared" si="14"/>
        <v>379.44900000000007</v>
      </c>
      <c r="Y16" s="51"/>
      <c r="Z16" s="52"/>
      <c r="AA16" s="58">
        <f t="shared" si="15"/>
        <v>615468</v>
      </c>
      <c r="AB16" s="17">
        <f t="shared" si="16"/>
        <v>293.32599999999996</v>
      </c>
      <c r="AC16" s="101"/>
      <c r="AD16" s="359">
        <f t="shared" si="12"/>
        <v>21919012</v>
      </c>
      <c r="AE16" s="435">
        <f t="shared" si="12"/>
        <v>4321.3599999999997</v>
      </c>
      <c r="AG16" s="116">
        <v>11</v>
      </c>
      <c r="AH16" s="116">
        <v>30</v>
      </c>
    </row>
    <row r="17" spans="1:39" hidden="1" outlineLevel="1">
      <c r="A17" s="114">
        <v>43112</v>
      </c>
      <c r="B17" s="115">
        <f t="shared" si="10"/>
        <v>1</v>
      </c>
      <c r="C17" s="35"/>
      <c r="D17" s="36"/>
      <c r="E17" s="43">
        <v>21630025</v>
      </c>
      <c r="F17" s="44">
        <v>4491.4089999999997</v>
      </c>
      <c r="G17" s="51"/>
      <c r="H17" s="52"/>
      <c r="I17" s="58">
        <v>3814862</v>
      </c>
      <c r="J17" s="17">
        <v>589.78700000000003</v>
      </c>
      <c r="K17" s="101"/>
      <c r="L17" s="35"/>
      <c r="M17" s="36"/>
      <c r="N17" s="43">
        <v>20011186</v>
      </c>
      <c r="O17" s="44">
        <v>4082.7640000000001</v>
      </c>
      <c r="P17" s="51"/>
      <c r="Q17" s="52"/>
      <c r="R17" s="58">
        <v>3155400</v>
      </c>
      <c r="S17" s="17">
        <v>259.15800000000002</v>
      </c>
      <c r="T17" s="101"/>
      <c r="U17" s="35"/>
      <c r="V17" s="36"/>
      <c r="W17" s="43">
        <f t="shared" si="13"/>
        <v>1618839</v>
      </c>
      <c r="X17" s="44">
        <f t="shared" si="14"/>
        <v>408.64499999999953</v>
      </c>
      <c r="Y17" s="51"/>
      <c r="Z17" s="52"/>
      <c r="AA17" s="58">
        <f t="shared" si="15"/>
        <v>659462</v>
      </c>
      <c r="AB17" s="17">
        <f t="shared" si="16"/>
        <v>330.62900000000002</v>
      </c>
      <c r="AC17" s="101"/>
      <c r="AD17" s="359">
        <f t="shared" si="12"/>
        <v>25444887</v>
      </c>
      <c r="AE17" s="435">
        <f t="shared" si="12"/>
        <v>5081.1959999999999</v>
      </c>
      <c r="AG17" s="116">
        <v>12</v>
      </c>
      <c r="AH17" s="116">
        <v>31</v>
      </c>
      <c r="AI17" s="358"/>
      <c r="AJ17" s="358"/>
      <c r="AK17" s="358"/>
      <c r="AL17" s="358"/>
      <c r="AM17" s="358"/>
    </row>
    <row r="18" spans="1:39" hidden="1" outlineLevel="1">
      <c r="A18" s="114">
        <v>43113</v>
      </c>
      <c r="B18" s="115">
        <f t="shared" si="10"/>
        <v>1</v>
      </c>
      <c r="C18" s="35"/>
      <c r="D18" s="36"/>
      <c r="E18" s="43">
        <v>22986512</v>
      </c>
      <c r="F18" s="44">
        <v>4240.7520000000004</v>
      </c>
      <c r="G18" s="51"/>
      <c r="H18" s="52"/>
      <c r="I18" s="58">
        <v>3608174</v>
      </c>
      <c r="J18" s="17">
        <v>546.15700000000004</v>
      </c>
      <c r="K18" s="101"/>
      <c r="L18" s="35"/>
      <c r="M18" s="36"/>
      <c r="N18" s="43">
        <v>21100045</v>
      </c>
      <c r="O18" s="44">
        <v>3761.7979999999998</v>
      </c>
      <c r="P18" s="51"/>
      <c r="Q18" s="52"/>
      <c r="R18" s="58">
        <v>3216753</v>
      </c>
      <c r="S18" s="17">
        <v>263.32299999999998</v>
      </c>
      <c r="T18" s="101"/>
      <c r="U18" s="35"/>
      <c r="V18" s="36"/>
      <c r="W18" s="43">
        <f t="shared" si="13"/>
        <v>1886467</v>
      </c>
      <c r="X18" s="44">
        <f t="shared" si="14"/>
        <v>478.95400000000063</v>
      </c>
      <c r="Y18" s="51"/>
      <c r="Z18" s="52"/>
      <c r="AA18" s="58">
        <f t="shared" si="15"/>
        <v>391421</v>
      </c>
      <c r="AB18" s="17">
        <f t="shared" si="16"/>
        <v>282.83400000000006</v>
      </c>
      <c r="AC18" s="101"/>
      <c r="AD18" s="359">
        <f t="shared" si="12"/>
        <v>26594686</v>
      </c>
      <c r="AE18" s="435">
        <f t="shared" si="12"/>
        <v>4786.9090000000006</v>
      </c>
      <c r="AG18" s="358"/>
      <c r="AH18" s="358"/>
      <c r="AI18" s="358"/>
      <c r="AJ18" s="358"/>
      <c r="AK18" s="358"/>
      <c r="AL18" s="358"/>
      <c r="AM18" s="358"/>
    </row>
    <row r="19" spans="1:39" hidden="1" outlineLevel="1">
      <c r="A19" s="114">
        <v>43114</v>
      </c>
      <c r="B19" s="115">
        <f t="shared" si="10"/>
        <v>1</v>
      </c>
      <c r="C19" s="35"/>
      <c r="D19" s="36"/>
      <c r="E19" s="43">
        <v>17761630</v>
      </c>
      <c r="F19" s="44">
        <v>3611.5210000000002</v>
      </c>
      <c r="G19" s="51"/>
      <c r="H19" s="52"/>
      <c r="I19" s="58">
        <v>3276487</v>
      </c>
      <c r="J19" s="17">
        <v>658.49699999999996</v>
      </c>
      <c r="K19" s="101"/>
      <c r="L19" s="35"/>
      <c r="M19" s="36"/>
      <c r="N19" s="43">
        <v>15999979</v>
      </c>
      <c r="O19" s="44">
        <v>3158.527</v>
      </c>
      <c r="P19" s="51"/>
      <c r="Q19" s="52"/>
      <c r="R19" s="58">
        <v>2951873</v>
      </c>
      <c r="S19" s="17">
        <v>325.10500000000002</v>
      </c>
      <c r="T19" s="101"/>
      <c r="U19" s="35"/>
      <c r="V19" s="36"/>
      <c r="W19" s="43">
        <f t="shared" si="13"/>
        <v>1761651</v>
      </c>
      <c r="X19" s="44">
        <f t="shared" si="14"/>
        <v>452.99400000000014</v>
      </c>
      <c r="Y19" s="51"/>
      <c r="Z19" s="52"/>
      <c r="AA19" s="58">
        <f t="shared" si="15"/>
        <v>324614</v>
      </c>
      <c r="AB19" s="17">
        <f t="shared" si="16"/>
        <v>333.39199999999994</v>
      </c>
      <c r="AC19" s="101"/>
      <c r="AD19" s="359">
        <f t="shared" si="12"/>
        <v>21038117</v>
      </c>
      <c r="AE19" s="435">
        <f t="shared" si="12"/>
        <v>4270.018</v>
      </c>
    </row>
    <row r="20" spans="1:39" hidden="1" outlineLevel="1">
      <c r="A20" s="114">
        <v>43115</v>
      </c>
      <c r="B20" s="115">
        <f t="shared" si="10"/>
        <v>1</v>
      </c>
      <c r="C20" s="35"/>
      <c r="D20" s="36"/>
      <c r="E20" s="43">
        <v>18071867</v>
      </c>
      <c r="F20" s="44">
        <v>3380.4209999999998</v>
      </c>
      <c r="G20" s="51"/>
      <c r="H20" s="52"/>
      <c r="I20" s="58">
        <v>3396641</v>
      </c>
      <c r="J20" s="17">
        <v>774.81700000000001</v>
      </c>
      <c r="K20" s="101"/>
      <c r="L20" s="35"/>
      <c r="M20" s="36"/>
      <c r="N20" s="43">
        <v>16229476</v>
      </c>
      <c r="O20" s="44">
        <v>2924.1750000000002</v>
      </c>
      <c r="P20" s="51"/>
      <c r="Q20" s="52"/>
      <c r="R20" s="58">
        <v>3097828</v>
      </c>
      <c r="S20" s="17">
        <v>409.07600000000002</v>
      </c>
      <c r="T20" s="101"/>
      <c r="U20" s="35"/>
      <c r="V20" s="36"/>
      <c r="W20" s="43">
        <f t="shared" si="13"/>
        <v>1842391</v>
      </c>
      <c r="X20" s="44">
        <f t="shared" si="14"/>
        <v>456.24599999999964</v>
      </c>
      <c r="Y20" s="51"/>
      <c r="Z20" s="52"/>
      <c r="AA20" s="58">
        <f t="shared" si="15"/>
        <v>298813</v>
      </c>
      <c r="AB20" s="17">
        <f t="shared" si="16"/>
        <v>365.74099999999999</v>
      </c>
      <c r="AC20" s="101"/>
      <c r="AD20" s="359">
        <f t="shared" si="12"/>
        <v>21468508</v>
      </c>
      <c r="AE20" s="435">
        <f t="shared" si="12"/>
        <v>4155.2379999999994</v>
      </c>
    </row>
    <row r="21" spans="1:39" hidden="1" outlineLevel="1">
      <c r="A21" s="114">
        <v>43116</v>
      </c>
      <c r="B21" s="115">
        <f t="shared" si="10"/>
        <v>1</v>
      </c>
      <c r="C21" s="35"/>
      <c r="D21" s="36"/>
      <c r="E21" s="43">
        <v>18985698</v>
      </c>
      <c r="F21" s="44">
        <v>4070.6509999999998</v>
      </c>
      <c r="G21" s="51"/>
      <c r="H21" s="52"/>
      <c r="I21" s="58">
        <v>3564513</v>
      </c>
      <c r="J21" s="17">
        <v>805.81</v>
      </c>
      <c r="K21" s="101"/>
      <c r="L21" s="35"/>
      <c r="M21" s="36"/>
      <c r="N21" s="43">
        <v>16989452</v>
      </c>
      <c r="O21" s="44">
        <v>3578.2620000000002</v>
      </c>
      <c r="P21" s="51"/>
      <c r="Q21" s="52"/>
      <c r="R21" s="58">
        <v>3264533</v>
      </c>
      <c r="S21" s="17">
        <v>430.524</v>
      </c>
      <c r="T21" s="101"/>
      <c r="U21" s="35"/>
      <c r="V21" s="36"/>
      <c r="W21" s="43">
        <f t="shared" si="13"/>
        <v>1996246</v>
      </c>
      <c r="X21" s="44">
        <f t="shared" si="14"/>
        <v>492.38899999999967</v>
      </c>
      <c r="Y21" s="51"/>
      <c r="Z21" s="52"/>
      <c r="AA21" s="58">
        <f t="shared" si="15"/>
        <v>299980</v>
      </c>
      <c r="AB21" s="17">
        <f t="shared" si="16"/>
        <v>375.28599999999994</v>
      </c>
      <c r="AC21" s="101"/>
      <c r="AD21" s="359">
        <f t="shared" si="12"/>
        <v>22550211</v>
      </c>
      <c r="AE21" s="435">
        <f t="shared" si="12"/>
        <v>4876.4609999999993</v>
      </c>
    </row>
    <row r="22" spans="1:39" hidden="1" outlineLevel="1">
      <c r="A22" s="114">
        <v>43117</v>
      </c>
      <c r="B22" s="115">
        <f t="shared" si="10"/>
        <v>1</v>
      </c>
      <c r="C22" s="35"/>
      <c r="D22" s="36"/>
      <c r="E22" s="43">
        <v>19426876</v>
      </c>
      <c r="F22" s="44">
        <v>4022.7420000000002</v>
      </c>
      <c r="G22" s="51"/>
      <c r="H22" s="52"/>
      <c r="I22" s="58">
        <v>3632060</v>
      </c>
      <c r="J22" s="17">
        <v>797.08500000000004</v>
      </c>
      <c r="K22" s="101"/>
      <c r="L22" s="35"/>
      <c r="M22" s="36"/>
      <c r="N22" s="43">
        <v>17289797</v>
      </c>
      <c r="O22" s="44">
        <v>3483.9259999999999</v>
      </c>
      <c r="P22" s="51"/>
      <c r="Q22" s="52"/>
      <c r="R22" s="58">
        <v>3336136</v>
      </c>
      <c r="S22" s="17">
        <v>439.43799999999999</v>
      </c>
      <c r="T22" s="101"/>
      <c r="U22" s="35"/>
      <c r="V22" s="36"/>
      <c r="W22" s="43">
        <f t="shared" si="13"/>
        <v>2137079</v>
      </c>
      <c r="X22" s="44">
        <f t="shared" si="14"/>
        <v>538.81600000000026</v>
      </c>
      <c r="Y22" s="51"/>
      <c r="Z22" s="52"/>
      <c r="AA22" s="58">
        <f t="shared" si="15"/>
        <v>295924</v>
      </c>
      <c r="AB22" s="17">
        <f t="shared" si="16"/>
        <v>357.64700000000005</v>
      </c>
      <c r="AC22" s="101"/>
      <c r="AD22" s="359">
        <f t="shared" si="12"/>
        <v>23058936</v>
      </c>
      <c r="AE22" s="435">
        <f t="shared" si="12"/>
        <v>4819.8270000000002</v>
      </c>
    </row>
    <row r="23" spans="1:39" hidden="1" outlineLevel="1">
      <c r="A23" s="114">
        <v>43118</v>
      </c>
      <c r="B23" s="115">
        <f t="shared" si="10"/>
        <v>1</v>
      </c>
      <c r="C23" s="35"/>
      <c r="D23" s="36"/>
      <c r="E23" s="43">
        <v>20116192</v>
      </c>
      <c r="F23" s="44">
        <v>4658.4250000000002</v>
      </c>
      <c r="G23" s="51"/>
      <c r="H23" s="52"/>
      <c r="I23" s="58">
        <v>3528007</v>
      </c>
      <c r="J23" s="17">
        <v>629.096</v>
      </c>
      <c r="K23" s="101"/>
      <c r="L23" s="35"/>
      <c r="M23" s="36"/>
      <c r="N23" s="43">
        <v>17768139</v>
      </c>
      <c r="O23" s="44">
        <v>4034.3240000000001</v>
      </c>
      <c r="P23" s="51"/>
      <c r="Q23" s="52"/>
      <c r="R23" s="58">
        <v>3248202</v>
      </c>
      <c r="S23" s="17">
        <v>339.40800000000002</v>
      </c>
      <c r="T23" s="101"/>
      <c r="U23" s="35"/>
      <c r="V23" s="36"/>
      <c r="W23" s="43">
        <f t="shared" si="13"/>
        <v>2348053</v>
      </c>
      <c r="X23" s="44">
        <f t="shared" si="14"/>
        <v>624.10100000000011</v>
      </c>
      <c r="Y23" s="51"/>
      <c r="Z23" s="52"/>
      <c r="AA23" s="58">
        <f t="shared" si="15"/>
        <v>279805</v>
      </c>
      <c r="AB23" s="17">
        <f t="shared" si="16"/>
        <v>289.68799999999999</v>
      </c>
      <c r="AC23" s="101"/>
      <c r="AD23" s="359">
        <f t="shared" si="12"/>
        <v>23644199</v>
      </c>
      <c r="AE23" s="435">
        <f t="shared" si="12"/>
        <v>5287.5210000000006</v>
      </c>
    </row>
    <row r="24" spans="1:39" hidden="1" outlineLevel="1">
      <c r="A24" s="114">
        <v>43119</v>
      </c>
      <c r="B24" s="115">
        <f t="shared" si="10"/>
        <v>1</v>
      </c>
      <c r="C24" s="35"/>
      <c r="D24" s="36"/>
      <c r="E24" s="43">
        <v>23516773</v>
      </c>
      <c r="F24" s="44">
        <v>5417.1890000000003</v>
      </c>
      <c r="G24" s="51"/>
      <c r="H24" s="52"/>
      <c r="I24" s="58">
        <v>3303747</v>
      </c>
      <c r="J24" s="17">
        <v>490.01600000000002</v>
      </c>
      <c r="K24" s="101"/>
      <c r="L24" s="35"/>
      <c r="M24" s="36"/>
      <c r="N24" s="43">
        <v>21054530</v>
      </c>
      <c r="O24" s="44">
        <v>4788.076</v>
      </c>
      <c r="P24" s="51"/>
      <c r="Q24" s="52"/>
      <c r="R24" s="58">
        <v>2969261</v>
      </c>
      <c r="S24" s="17">
        <v>250.22399999999999</v>
      </c>
      <c r="T24" s="101"/>
      <c r="U24" s="35"/>
      <c r="V24" s="36"/>
      <c r="W24" s="43">
        <f t="shared" si="13"/>
        <v>2462243</v>
      </c>
      <c r="X24" s="44">
        <f t="shared" si="14"/>
        <v>629.11300000000028</v>
      </c>
      <c r="Y24" s="51"/>
      <c r="Z24" s="52"/>
      <c r="AA24" s="58">
        <f t="shared" si="15"/>
        <v>334486</v>
      </c>
      <c r="AB24" s="17">
        <f t="shared" si="16"/>
        <v>239.79200000000003</v>
      </c>
      <c r="AC24" s="101"/>
      <c r="AD24" s="359">
        <f t="shared" si="12"/>
        <v>26820520</v>
      </c>
      <c r="AE24" s="435">
        <f t="shared" si="12"/>
        <v>5907.2049999999999</v>
      </c>
    </row>
    <row r="25" spans="1:39" hidden="1" outlineLevel="1">
      <c r="A25" s="114">
        <v>43120</v>
      </c>
      <c r="B25" s="115">
        <f t="shared" si="10"/>
        <v>1</v>
      </c>
      <c r="C25" s="35"/>
      <c r="D25" s="36"/>
      <c r="E25" s="43">
        <v>24850899</v>
      </c>
      <c r="F25" s="44">
        <v>5050.4549999999999</v>
      </c>
      <c r="G25" s="51"/>
      <c r="H25" s="52"/>
      <c r="I25" s="58">
        <v>3593515</v>
      </c>
      <c r="J25" s="17">
        <v>452.49200000000002</v>
      </c>
      <c r="K25" s="101"/>
      <c r="L25" s="35"/>
      <c r="M25" s="36"/>
      <c r="N25" s="43">
        <v>22295748</v>
      </c>
      <c r="O25" s="44">
        <v>4423.6949999999997</v>
      </c>
      <c r="P25" s="51"/>
      <c r="Q25" s="52"/>
      <c r="R25" s="58">
        <v>3259761</v>
      </c>
      <c r="S25" s="17">
        <v>239.07599999999999</v>
      </c>
      <c r="T25" s="101"/>
      <c r="U25" s="35"/>
      <c r="V25" s="36"/>
      <c r="W25" s="43">
        <f t="shared" si="13"/>
        <v>2555151</v>
      </c>
      <c r="X25" s="44">
        <f t="shared" si="14"/>
        <v>626.76000000000022</v>
      </c>
      <c r="Y25" s="51"/>
      <c r="Z25" s="52"/>
      <c r="AA25" s="58">
        <f t="shared" si="15"/>
        <v>333754</v>
      </c>
      <c r="AB25" s="17">
        <f t="shared" si="16"/>
        <v>213.41600000000003</v>
      </c>
      <c r="AC25" s="101"/>
      <c r="AD25" s="359">
        <f t="shared" si="12"/>
        <v>28444414</v>
      </c>
      <c r="AE25" s="435">
        <f t="shared" si="12"/>
        <v>5502.9470000000001</v>
      </c>
    </row>
    <row r="26" spans="1:39" hidden="1" outlineLevel="1">
      <c r="A26" s="114">
        <v>43121</v>
      </c>
      <c r="B26" s="115">
        <f>MONTH(A26)</f>
        <v>1</v>
      </c>
      <c r="C26" s="35"/>
      <c r="D26" s="36"/>
      <c r="E26" s="43">
        <v>20007495</v>
      </c>
      <c r="F26" s="44">
        <v>4305.2489999999998</v>
      </c>
      <c r="G26" s="51"/>
      <c r="H26" s="52"/>
      <c r="I26" s="58">
        <v>3094365</v>
      </c>
      <c r="J26" s="17">
        <v>463.94499999999999</v>
      </c>
      <c r="K26" s="101"/>
      <c r="L26" s="35"/>
      <c r="M26" s="36"/>
      <c r="N26" s="43">
        <v>17326839</v>
      </c>
      <c r="O26" s="44">
        <v>3636.9879999999998</v>
      </c>
      <c r="P26" s="51"/>
      <c r="Q26" s="52"/>
      <c r="R26" s="58">
        <v>2804240</v>
      </c>
      <c r="S26" s="17">
        <v>238.304</v>
      </c>
      <c r="T26" s="101"/>
      <c r="U26" s="35"/>
      <c r="V26" s="36"/>
      <c r="W26" s="43">
        <f t="shared" si="13"/>
        <v>2680656</v>
      </c>
      <c r="X26" s="44">
        <f t="shared" si="14"/>
        <v>668.26099999999997</v>
      </c>
      <c r="Y26" s="51"/>
      <c r="Z26" s="52"/>
      <c r="AA26" s="58">
        <f t="shared" si="15"/>
        <v>290125</v>
      </c>
      <c r="AB26" s="17">
        <f t="shared" si="16"/>
        <v>225.64099999999999</v>
      </c>
      <c r="AC26" s="101"/>
      <c r="AD26" s="359">
        <f t="shared" si="12"/>
        <v>23101860</v>
      </c>
      <c r="AE26" s="435">
        <f t="shared" si="12"/>
        <v>4769.1939999999995</v>
      </c>
    </row>
    <row r="27" spans="1:39" hidden="1" outlineLevel="1">
      <c r="A27" s="114">
        <v>43122</v>
      </c>
      <c r="B27" s="115">
        <f t="shared" ref="B27:B92" si="17">MONTH(A27)</f>
        <v>1</v>
      </c>
      <c r="C27" s="35"/>
      <c r="D27" s="36"/>
      <c r="E27" s="43">
        <v>19042150</v>
      </c>
      <c r="F27" s="44">
        <v>4975.05</v>
      </c>
      <c r="G27" s="51"/>
      <c r="H27" s="52"/>
      <c r="I27" s="58">
        <v>3280142</v>
      </c>
      <c r="J27" s="17">
        <v>589.47</v>
      </c>
      <c r="K27" s="101"/>
      <c r="L27" s="35"/>
      <c r="M27" s="36"/>
      <c r="N27" s="43">
        <v>16484384</v>
      </c>
      <c r="O27" s="44">
        <v>4286.12</v>
      </c>
      <c r="P27" s="51"/>
      <c r="Q27" s="52"/>
      <c r="R27" s="58">
        <v>2998112</v>
      </c>
      <c r="S27" s="17">
        <v>347.52</v>
      </c>
      <c r="T27" s="101"/>
      <c r="U27" s="35"/>
      <c r="V27" s="36"/>
      <c r="W27" s="43">
        <f t="shared" si="13"/>
        <v>2557766</v>
      </c>
      <c r="X27" s="44">
        <f t="shared" si="14"/>
        <v>688.93000000000029</v>
      </c>
      <c r="Y27" s="51"/>
      <c r="Z27" s="52"/>
      <c r="AA27" s="58">
        <f t="shared" si="15"/>
        <v>282030</v>
      </c>
      <c r="AB27" s="17">
        <f t="shared" si="16"/>
        <v>241.95000000000005</v>
      </c>
      <c r="AC27" s="101"/>
      <c r="AD27" s="359">
        <f t="shared" si="12"/>
        <v>22322292</v>
      </c>
      <c r="AE27" s="435">
        <f t="shared" si="12"/>
        <v>5564.52</v>
      </c>
    </row>
    <row r="28" spans="1:39" hidden="1" outlineLevel="1">
      <c r="A28" s="114">
        <v>43123</v>
      </c>
      <c r="B28" s="115">
        <f t="shared" si="17"/>
        <v>1</v>
      </c>
      <c r="C28" s="35"/>
      <c r="D28" s="36"/>
      <c r="E28" s="43">
        <v>18465185</v>
      </c>
      <c r="F28" s="44">
        <v>5907.96</v>
      </c>
      <c r="G28" s="51"/>
      <c r="H28" s="52"/>
      <c r="I28" s="58">
        <v>3954788</v>
      </c>
      <c r="J28" s="17">
        <v>644.91</v>
      </c>
      <c r="K28" s="101"/>
      <c r="L28" s="35"/>
      <c r="M28" s="36"/>
      <c r="N28" s="43">
        <v>15886525</v>
      </c>
      <c r="O28" s="44">
        <v>5156.95</v>
      </c>
      <c r="P28" s="51"/>
      <c r="Q28" s="52"/>
      <c r="R28" s="58">
        <v>3621631</v>
      </c>
      <c r="S28" s="17">
        <v>407.03</v>
      </c>
      <c r="T28" s="101"/>
      <c r="U28" s="35"/>
      <c r="V28" s="36"/>
      <c r="W28" s="43">
        <f t="shared" si="13"/>
        <v>2578660</v>
      </c>
      <c r="X28" s="44">
        <f t="shared" si="14"/>
        <v>751.01000000000022</v>
      </c>
      <c r="Y28" s="51"/>
      <c r="Z28" s="52"/>
      <c r="AA28" s="58">
        <f t="shared" si="15"/>
        <v>333157</v>
      </c>
      <c r="AB28" s="17">
        <f t="shared" si="16"/>
        <v>237.88</v>
      </c>
      <c r="AC28" s="101"/>
      <c r="AD28" s="359">
        <f t="shared" si="12"/>
        <v>22419973</v>
      </c>
      <c r="AE28" s="435">
        <f t="shared" si="12"/>
        <v>6552.87</v>
      </c>
    </row>
    <row r="29" spans="1:39" hidden="1" outlineLevel="1">
      <c r="A29" s="114">
        <v>43124</v>
      </c>
      <c r="B29" s="115">
        <f t="shared" si="17"/>
        <v>1</v>
      </c>
      <c r="C29" s="35"/>
      <c r="D29" s="36"/>
      <c r="E29" s="43">
        <v>18724142</v>
      </c>
      <c r="F29" s="44">
        <v>4841.46</v>
      </c>
      <c r="G29" s="51"/>
      <c r="H29" s="52"/>
      <c r="I29" s="58">
        <v>3510275</v>
      </c>
      <c r="J29" s="17">
        <v>580.92999999999995</v>
      </c>
      <c r="K29" s="101"/>
      <c r="L29" s="35"/>
      <c r="M29" s="36"/>
      <c r="N29" s="43">
        <v>16310177</v>
      </c>
      <c r="O29" s="44">
        <v>4186.1400000000003</v>
      </c>
      <c r="P29" s="51"/>
      <c r="Q29" s="52"/>
      <c r="R29" s="58">
        <v>3263105</v>
      </c>
      <c r="S29" s="17">
        <v>345.39</v>
      </c>
      <c r="T29" s="101"/>
      <c r="U29" s="35"/>
      <c r="V29" s="36"/>
      <c r="W29" s="43">
        <f t="shared" si="13"/>
        <v>2413965</v>
      </c>
      <c r="X29" s="44">
        <f t="shared" si="14"/>
        <v>655.31999999999971</v>
      </c>
      <c r="Y29" s="51"/>
      <c r="Z29" s="52"/>
      <c r="AA29" s="58">
        <f t="shared" si="15"/>
        <v>247170</v>
      </c>
      <c r="AB29" s="17">
        <f t="shared" si="16"/>
        <v>235.53999999999996</v>
      </c>
      <c r="AC29" s="101"/>
      <c r="AD29" s="359">
        <f t="shared" si="12"/>
        <v>22234417</v>
      </c>
      <c r="AE29" s="435">
        <f t="shared" si="12"/>
        <v>5422.39</v>
      </c>
    </row>
    <row r="30" spans="1:39" hidden="1" outlineLevel="1">
      <c r="A30" s="114">
        <v>43125</v>
      </c>
      <c r="B30" s="115">
        <f t="shared" si="17"/>
        <v>1</v>
      </c>
      <c r="C30" s="35"/>
      <c r="D30" s="36"/>
      <c r="E30" s="43">
        <v>19214820</v>
      </c>
      <c r="F30" s="44">
        <v>4750.79</v>
      </c>
      <c r="G30" s="51"/>
      <c r="H30" s="52"/>
      <c r="I30" s="58">
        <v>3446352</v>
      </c>
      <c r="J30" s="17">
        <v>576.66</v>
      </c>
      <c r="K30" s="101"/>
      <c r="L30" s="35"/>
      <c r="M30" s="36"/>
      <c r="N30" s="43">
        <v>16864765</v>
      </c>
      <c r="O30" s="44">
        <v>4115.6400000000003</v>
      </c>
      <c r="P30" s="51"/>
      <c r="Q30" s="52"/>
      <c r="R30" s="58">
        <v>3203541</v>
      </c>
      <c r="S30" s="17">
        <v>332.23</v>
      </c>
      <c r="T30" s="101"/>
      <c r="U30" s="35"/>
      <c r="V30" s="36"/>
      <c r="W30" s="43">
        <f t="shared" si="13"/>
        <v>2350055</v>
      </c>
      <c r="X30" s="44">
        <f t="shared" si="14"/>
        <v>635.14999999999964</v>
      </c>
      <c r="Y30" s="51"/>
      <c r="Z30" s="52"/>
      <c r="AA30" s="58">
        <f t="shared" si="15"/>
        <v>242811</v>
      </c>
      <c r="AB30" s="17">
        <f t="shared" si="16"/>
        <v>244.42999999999995</v>
      </c>
      <c r="AC30" s="101"/>
      <c r="AD30" s="359">
        <f t="shared" si="12"/>
        <v>22661172</v>
      </c>
      <c r="AE30" s="435">
        <f t="shared" si="12"/>
        <v>5327.45</v>
      </c>
    </row>
    <row r="31" spans="1:39" hidden="1" outlineLevel="1">
      <c r="A31" s="114">
        <v>43126</v>
      </c>
      <c r="B31" s="115">
        <f t="shared" si="17"/>
        <v>1</v>
      </c>
      <c r="C31" s="35"/>
      <c r="D31" s="36"/>
      <c r="E31" s="43">
        <v>24664923</v>
      </c>
      <c r="F31" s="44">
        <v>5175.5600000000004</v>
      </c>
      <c r="G31" s="51"/>
      <c r="H31" s="52"/>
      <c r="I31" s="58">
        <v>3726737</v>
      </c>
      <c r="J31" s="17">
        <v>611.54</v>
      </c>
      <c r="K31" s="101"/>
      <c r="L31" s="35"/>
      <c r="M31" s="36"/>
      <c r="N31" s="43">
        <v>22181202</v>
      </c>
      <c r="O31" s="44">
        <v>4514.84</v>
      </c>
      <c r="P31" s="51"/>
      <c r="Q31" s="52"/>
      <c r="R31" s="58">
        <v>3415368</v>
      </c>
      <c r="S31" s="17">
        <v>354.38</v>
      </c>
      <c r="T31" s="101"/>
      <c r="U31" s="35"/>
      <c r="V31" s="36"/>
      <c r="W31" s="43">
        <f t="shared" si="13"/>
        <v>2483721</v>
      </c>
      <c r="X31" s="44">
        <f t="shared" si="14"/>
        <v>660.72000000000025</v>
      </c>
      <c r="Y31" s="51"/>
      <c r="Z31" s="52"/>
      <c r="AA31" s="58">
        <f t="shared" si="15"/>
        <v>311369</v>
      </c>
      <c r="AB31" s="17">
        <f t="shared" si="16"/>
        <v>257.15999999999997</v>
      </c>
      <c r="AC31" s="101"/>
      <c r="AD31" s="359">
        <f t="shared" si="12"/>
        <v>28391660</v>
      </c>
      <c r="AE31" s="435">
        <f t="shared" si="12"/>
        <v>5787.1</v>
      </c>
    </row>
    <row r="32" spans="1:39" hidden="1" outlineLevel="1">
      <c r="A32" s="114">
        <v>43127</v>
      </c>
      <c r="B32" s="115">
        <f t="shared" si="17"/>
        <v>1</v>
      </c>
      <c r="C32" s="35"/>
      <c r="D32" s="36"/>
      <c r="E32" s="43">
        <v>25692123</v>
      </c>
      <c r="F32" s="44">
        <v>4718.22</v>
      </c>
      <c r="G32" s="51"/>
      <c r="H32" s="52"/>
      <c r="I32" s="58">
        <v>5483845</v>
      </c>
      <c r="J32" s="17">
        <v>605.61</v>
      </c>
      <c r="K32" s="101"/>
      <c r="L32" s="35"/>
      <c r="M32" s="36"/>
      <c r="N32" s="43">
        <v>23138362</v>
      </c>
      <c r="O32" s="44">
        <v>4095.57</v>
      </c>
      <c r="P32" s="51"/>
      <c r="Q32" s="52"/>
      <c r="R32" s="58">
        <v>5024090</v>
      </c>
      <c r="S32" s="17">
        <v>353.43</v>
      </c>
      <c r="T32" s="101"/>
      <c r="U32" s="35"/>
      <c r="V32" s="36"/>
      <c r="W32" s="43">
        <f t="shared" si="13"/>
        <v>2553761</v>
      </c>
      <c r="X32" s="44">
        <f t="shared" si="14"/>
        <v>622.65000000000009</v>
      </c>
      <c r="Y32" s="51"/>
      <c r="Z32" s="52"/>
      <c r="AA32" s="58">
        <f t="shared" si="15"/>
        <v>459755</v>
      </c>
      <c r="AB32" s="17">
        <f t="shared" si="16"/>
        <v>252.18</v>
      </c>
      <c r="AC32" s="101"/>
      <c r="AD32" s="359">
        <f t="shared" si="12"/>
        <v>31175968</v>
      </c>
      <c r="AE32" s="435">
        <f t="shared" si="12"/>
        <v>5323.83</v>
      </c>
    </row>
    <row r="33" spans="1:31" hidden="1" outlineLevel="1">
      <c r="A33" s="114">
        <v>43128</v>
      </c>
      <c r="B33" s="115">
        <f t="shared" si="17"/>
        <v>1</v>
      </c>
      <c r="C33" s="35"/>
      <c r="D33" s="36"/>
      <c r="E33" s="43">
        <v>20608720</v>
      </c>
      <c r="F33" s="44">
        <v>4126.4399999999996</v>
      </c>
      <c r="G33" s="51"/>
      <c r="H33" s="52"/>
      <c r="I33" s="58">
        <v>3056084</v>
      </c>
      <c r="J33" s="17">
        <v>530.54999999999995</v>
      </c>
      <c r="K33" s="101"/>
      <c r="L33" s="35"/>
      <c r="M33" s="36"/>
      <c r="N33" s="43">
        <v>17955745</v>
      </c>
      <c r="O33" s="44">
        <v>3449.7</v>
      </c>
      <c r="P33" s="51"/>
      <c r="Q33" s="52"/>
      <c r="R33" s="58">
        <v>2803900</v>
      </c>
      <c r="S33" s="17">
        <v>297.64999999999998</v>
      </c>
      <c r="T33" s="101"/>
      <c r="U33" s="35"/>
      <c r="V33" s="36"/>
      <c r="W33" s="43">
        <f t="shared" si="13"/>
        <v>2652975</v>
      </c>
      <c r="X33" s="44">
        <f t="shared" si="14"/>
        <v>676.73999999999978</v>
      </c>
      <c r="Y33" s="51"/>
      <c r="Z33" s="52"/>
      <c r="AA33" s="58">
        <f t="shared" si="15"/>
        <v>252184</v>
      </c>
      <c r="AB33" s="17">
        <f t="shared" si="16"/>
        <v>232.89999999999998</v>
      </c>
      <c r="AC33" s="101"/>
      <c r="AD33" s="359">
        <f t="shared" si="12"/>
        <v>23664804</v>
      </c>
      <c r="AE33" s="435">
        <f t="shared" si="12"/>
        <v>4656.99</v>
      </c>
    </row>
    <row r="34" spans="1:31" hidden="1" outlineLevel="1">
      <c r="A34" s="114">
        <v>43129</v>
      </c>
      <c r="B34" s="115">
        <f t="shared" si="17"/>
        <v>1</v>
      </c>
      <c r="C34" s="35"/>
      <c r="D34" s="36"/>
      <c r="E34" s="43">
        <v>19840859</v>
      </c>
      <c r="F34" s="44">
        <v>4834.1499999999996</v>
      </c>
      <c r="G34" s="51"/>
      <c r="H34" s="52"/>
      <c r="I34" s="58">
        <v>3275154</v>
      </c>
      <c r="J34" s="17">
        <v>614.54</v>
      </c>
      <c r="K34" s="101"/>
      <c r="L34" s="35"/>
      <c r="M34" s="36"/>
      <c r="N34" s="43">
        <v>17005388</v>
      </c>
      <c r="O34" s="44">
        <v>4062.93</v>
      </c>
      <c r="P34" s="51"/>
      <c r="Q34" s="52"/>
      <c r="R34" s="58">
        <v>3030477</v>
      </c>
      <c r="S34" s="17">
        <v>363.27</v>
      </c>
      <c r="T34" s="101"/>
      <c r="U34" s="35"/>
      <c r="V34" s="36"/>
      <c r="W34" s="43">
        <f t="shared" si="13"/>
        <v>2835471</v>
      </c>
      <c r="X34" s="44">
        <f t="shared" si="14"/>
        <v>771.2199999999998</v>
      </c>
      <c r="Y34" s="51"/>
      <c r="Z34" s="52"/>
      <c r="AA34" s="58">
        <f t="shared" si="15"/>
        <v>244677</v>
      </c>
      <c r="AB34" s="17">
        <f t="shared" si="16"/>
        <v>251.26999999999998</v>
      </c>
      <c r="AC34" s="101"/>
      <c r="AD34" s="359">
        <f t="shared" si="12"/>
        <v>23116013</v>
      </c>
      <c r="AE34" s="435">
        <f t="shared" si="12"/>
        <v>5448.69</v>
      </c>
    </row>
    <row r="35" spans="1:31" hidden="1" outlineLevel="1">
      <c r="A35" s="114">
        <v>43130</v>
      </c>
      <c r="B35" s="115">
        <f t="shared" si="17"/>
        <v>1</v>
      </c>
      <c r="C35" s="35"/>
      <c r="D35" s="36"/>
      <c r="E35" s="43">
        <v>20341494</v>
      </c>
      <c r="F35" s="44">
        <v>4862.1000000000004</v>
      </c>
      <c r="G35" s="51"/>
      <c r="H35" s="52"/>
      <c r="I35" s="58">
        <v>3628191</v>
      </c>
      <c r="J35" s="17">
        <v>666.61</v>
      </c>
      <c r="K35" s="101"/>
      <c r="L35" s="35"/>
      <c r="M35" s="36"/>
      <c r="N35" s="43">
        <v>17499530</v>
      </c>
      <c r="O35" s="44">
        <v>4034.9</v>
      </c>
      <c r="P35" s="51"/>
      <c r="Q35" s="52"/>
      <c r="R35" s="58">
        <v>3366609</v>
      </c>
      <c r="S35" s="17">
        <v>384.16</v>
      </c>
      <c r="T35" s="101"/>
      <c r="U35" s="35"/>
      <c r="V35" s="36"/>
      <c r="W35" s="43">
        <f t="shared" si="13"/>
        <v>2841964</v>
      </c>
      <c r="X35" s="44">
        <f t="shared" si="14"/>
        <v>827.20000000000027</v>
      </c>
      <c r="Y35" s="51"/>
      <c r="Z35" s="52"/>
      <c r="AA35" s="58">
        <f t="shared" si="15"/>
        <v>261582</v>
      </c>
      <c r="AB35" s="17">
        <f t="shared" si="16"/>
        <v>282.45</v>
      </c>
      <c r="AC35" s="101"/>
      <c r="AD35" s="359">
        <f t="shared" si="12"/>
        <v>23969685</v>
      </c>
      <c r="AE35" s="435">
        <f t="shared" si="12"/>
        <v>5528.71</v>
      </c>
    </row>
    <row r="36" spans="1:31" hidden="1" outlineLevel="1">
      <c r="A36" s="114">
        <v>43131</v>
      </c>
      <c r="B36" s="115">
        <f t="shared" si="17"/>
        <v>1</v>
      </c>
      <c r="C36" s="35"/>
      <c r="D36" s="36"/>
      <c r="E36" s="43">
        <v>19204832</v>
      </c>
      <c r="F36" s="44">
        <v>4406.34</v>
      </c>
      <c r="G36" s="51"/>
      <c r="H36" s="52"/>
      <c r="I36" s="58">
        <v>3410331</v>
      </c>
      <c r="J36" s="17">
        <v>638.99</v>
      </c>
      <c r="K36" s="101"/>
      <c r="L36" s="35"/>
      <c r="M36" s="36"/>
      <c r="N36" s="43">
        <v>16697895</v>
      </c>
      <c r="O36" s="44">
        <v>3712.12</v>
      </c>
      <c r="P36" s="51"/>
      <c r="Q36" s="52"/>
      <c r="R36" s="58">
        <v>3167196</v>
      </c>
      <c r="S36" s="17">
        <v>359.14</v>
      </c>
      <c r="T36" s="101"/>
      <c r="U36" s="35"/>
      <c r="V36" s="36"/>
      <c r="W36" s="43">
        <f t="shared" si="13"/>
        <v>2506937</v>
      </c>
      <c r="X36" s="44">
        <f t="shared" si="14"/>
        <v>694.22000000000025</v>
      </c>
      <c r="Y36" s="51"/>
      <c r="Z36" s="52"/>
      <c r="AA36" s="58">
        <f t="shared" si="15"/>
        <v>243135</v>
      </c>
      <c r="AB36" s="17">
        <f t="shared" si="16"/>
        <v>279.85000000000002</v>
      </c>
      <c r="AC36" s="101"/>
      <c r="AD36" s="359">
        <f t="shared" si="12"/>
        <v>22615163</v>
      </c>
      <c r="AE36" s="435">
        <f t="shared" si="12"/>
        <v>5045.33</v>
      </c>
    </row>
    <row r="37" spans="1:31" collapsed="1">
      <c r="A37" s="104"/>
      <c r="B37" s="104" t="s">
        <v>15</v>
      </c>
      <c r="C37" s="105"/>
      <c r="D37" s="106"/>
      <c r="E37" s="107">
        <f t="shared" ref="D37:J37" si="18">SUBTOTAL(9,E38:E65)</f>
        <v>640353919</v>
      </c>
      <c r="F37" s="108">
        <f t="shared" si="18"/>
        <v>118213.66</v>
      </c>
      <c r="G37" s="109"/>
      <c r="H37" s="110"/>
      <c r="I37" s="111">
        <f t="shared" si="18"/>
        <v>100703382</v>
      </c>
      <c r="J37" s="14">
        <f t="shared" si="18"/>
        <v>16223.649999999996</v>
      </c>
      <c r="K37" s="103"/>
      <c r="L37" s="105"/>
      <c r="M37" s="106"/>
      <c r="N37" s="107">
        <f t="shared" ref="N37" si="19">SUBTOTAL(9,N38:N65)</f>
        <v>559835027</v>
      </c>
      <c r="O37" s="108">
        <f t="shared" ref="O37" si="20">SUBTOTAL(9,O38:O65)</f>
        <v>94450.7</v>
      </c>
      <c r="P37" s="109"/>
      <c r="Q37" s="110"/>
      <c r="R37" s="111">
        <f t="shared" ref="R37" si="21">SUBTOTAL(9,R38:R65)</f>
        <v>87725110</v>
      </c>
      <c r="S37" s="14">
        <f t="shared" ref="S37" si="22">SUBTOTAL(9,S38:S65)</f>
        <v>7885.42</v>
      </c>
      <c r="T37" s="103"/>
      <c r="U37" s="105"/>
      <c r="V37" s="106"/>
      <c r="W37" s="107">
        <f t="shared" ref="W37" si="23">SUBTOTAL(9,W38:W65)</f>
        <v>80518892</v>
      </c>
      <c r="X37" s="108">
        <f t="shared" ref="X37" si="24">SUBTOTAL(9,X38:X65)</f>
        <v>23762.960000000003</v>
      </c>
      <c r="Y37" s="109"/>
      <c r="Z37" s="110"/>
      <c r="AA37" s="111">
        <f t="shared" ref="AA37" si="25">SUBTOTAL(9,AA38:AA65)</f>
        <v>12978272</v>
      </c>
      <c r="AB37" s="14">
        <f t="shared" ref="AB37" si="26">SUBTOTAL(9,AB38:AB65)</f>
        <v>8338.2300000000014</v>
      </c>
      <c r="AC37" s="103"/>
      <c r="AD37" s="116"/>
      <c r="AE37" s="116"/>
    </row>
    <row r="38" spans="1:31" hidden="1" outlineLevel="1">
      <c r="A38" s="97">
        <v>43132</v>
      </c>
      <c r="B38" s="98">
        <f t="shared" si="17"/>
        <v>2</v>
      </c>
      <c r="C38" s="35"/>
      <c r="D38" s="36"/>
      <c r="E38" s="43">
        <v>19140126</v>
      </c>
      <c r="F38" s="44">
        <v>5358.43</v>
      </c>
      <c r="G38" s="51"/>
      <c r="H38" s="52"/>
      <c r="I38" s="58">
        <v>3262505</v>
      </c>
      <c r="J38" s="17">
        <v>615.28</v>
      </c>
      <c r="K38" s="101"/>
      <c r="L38" s="35"/>
      <c r="M38" s="36"/>
      <c r="N38" s="43">
        <v>16481943</v>
      </c>
      <c r="O38" s="44">
        <v>4625.96</v>
      </c>
      <c r="P38" s="51"/>
      <c r="Q38" s="52"/>
      <c r="R38" s="58">
        <v>3016256</v>
      </c>
      <c r="S38" s="17">
        <v>343.75</v>
      </c>
      <c r="T38" s="101"/>
      <c r="U38" s="35"/>
      <c r="V38" s="36"/>
      <c r="W38" s="43">
        <f t="shared" si="13"/>
        <v>2658183</v>
      </c>
      <c r="X38" s="44">
        <f t="shared" si="14"/>
        <v>732.47000000000025</v>
      </c>
      <c r="Y38" s="51"/>
      <c r="Z38" s="52"/>
      <c r="AA38" s="58">
        <f t="shared" si="15"/>
        <v>246249</v>
      </c>
      <c r="AB38" s="17">
        <f t="shared" si="16"/>
        <v>271.52999999999997</v>
      </c>
      <c r="AC38" s="101"/>
      <c r="AD38" s="359">
        <f t="shared" ref="AD38:AE65" si="27">SUM(C38,E38,G38,I38)</f>
        <v>22402631</v>
      </c>
      <c r="AE38" s="435">
        <f t="shared" si="27"/>
        <v>5973.71</v>
      </c>
    </row>
    <row r="39" spans="1:31" hidden="1" outlineLevel="1">
      <c r="A39" s="97">
        <v>43133</v>
      </c>
      <c r="B39" s="98">
        <f t="shared" si="17"/>
        <v>2</v>
      </c>
      <c r="C39" s="35"/>
      <c r="D39" s="36"/>
      <c r="E39" s="43">
        <v>24236511</v>
      </c>
      <c r="F39" s="44">
        <v>6481.92</v>
      </c>
      <c r="G39" s="51"/>
      <c r="H39" s="52"/>
      <c r="I39" s="58">
        <v>3560151</v>
      </c>
      <c r="J39" s="17">
        <v>671.73</v>
      </c>
      <c r="K39" s="101"/>
      <c r="L39" s="35"/>
      <c r="M39" s="36"/>
      <c r="N39" s="43">
        <v>20957767</v>
      </c>
      <c r="O39" s="44">
        <v>5528.06</v>
      </c>
      <c r="P39" s="51"/>
      <c r="Q39" s="52"/>
      <c r="R39" s="58">
        <v>3264744</v>
      </c>
      <c r="S39" s="17">
        <v>373.01</v>
      </c>
      <c r="T39" s="101"/>
      <c r="U39" s="35"/>
      <c r="V39" s="36"/>
      <c r="W39" s="43">
        <f t="shared" si="13"/>
        <v>3278744</v>
      </c>
      <c r="X39" s="44">
        <f t="shared" si="14"/>
        <v>953.85999999999967</v>
      </c>
      <c r="Y39" s="51"/>
      <c r="Z39" s="52"/>
      <c r="AA39" s="58">
        <f t="shared" si="15"/>
        <v>295407</v>
      </c>
      <c r="AB39" s="17">
        <f t="shared" si="16"/>
        <v>298.72000000000003</v>
      </c>
      <c r="AC39" s="101"/>
      <c r="AD39" s="359">
        <f t="shared" si="27"/>
        <v>27796662</v>
      </c>
      <c r="AE39" s="435">
        <f t="shared" si="27"/>
        <v>7153.65</v>
      </c>
    </row>
    <row r="40" spans="1:31" hidden="1" outlineLevel="1">
      <c r="A40" s="97">
        <v>43134</v>
      </c>
      <c r="B40" s="98">
        <f t="shared" si="17"/>
        <v>2</v>
      </c>
      <c r="C40" s="35"/>
      <c r="D40" s="36"/>
      <c r="E40" s="43">
        <v>26018733</v>
      </c>
      <c r="F40" s="44">
        <v>5775.16</v>
      </c>
      <c r="G40" s="51"/>
      <c r="H40" s="52"/>
      <c r="I40" s="58">
        <v>3760536</v>
      </c>
      <c r="J40" s="17">
        <v>633.08000000000004</v>
      </c>
      <c r="K40" s="101"/>
      <c r="L40" s="35"/>
      <c r="M40" s="36"/>
      <c r="N40" s="43">
        <v>22139865</v>
      </c>
      <c r="O40" s="44">
        <v>4699.88</v>
      </c>
      <c r="P40" s="51"/>
      <c r="Q40" s="52"/>
      <c r="R40" s="58">
        <v>3393130</v>
      </c>
      <c r="S40" s="17">
        <v>352.77</v>
      </c>
      <c r="T40" s="101"/>
      <c r="U40" s="35"/>
      <c r="V40" s="36"/>
      <c r="W40" s="43">
        <f t="shared" si="13"/>
        <v>3878868</v>
      </c>
      <c r="X40" s="44">
        <f t="shared" si="14"/>
        <v>1075.2799999999997</v>
      </c>
      <c r="Y40" s="51"/>
      <c r="Z40" s="52"/>
      <c r="AA40" s="58">
        <f t="shared" si="15"/>
        <v>367406</v>
      </c>
      <c r="AB40" s="17">
        <f t="shared" si="16"/>
        <v>280.31000000000006</v>
      </c>
      <c r="AC40" s="101"/>
      <c r="AD40" s="359">
        <f t="shared" si="27"/>
        <v>29779269</v>
      </c>
      <c r="AE40" s="435">
        <f t="shared" si="27"/>
        <v>6408.24</v>
      </c>
    </row>
    <row r="41" spans="1:31" hidden="1" outlineLevel="1">
      <c r="A41" s="97">
        <v>43135</v>
      </c>
      <c r="B41" s="98">
        <f t="shared" si="17"/>
        <v>2</v>
      </c>
      <c r="C41" s="35"/>
      <c r="D41" s="36"/>
      <c r="E41" s="43">
        <v>19441360</v>
      </c>
      <c r="F41" s="44">
        <v>4623.3</v>
      </c>
      <c r="G41" s="51"/>
      <c r="H41" s="52"/>
      <c r="I41" s="58">
        <v>3500808</v>
      </c>
      <c r="J41" s="17">
        <v>631.24</v>
      </c>
      <c r="K41" s="101"/>
      <c r="L41" s="35"/>
      <c r="M41" s="36"/>
      <c r="N41" s="43">
        <v>16820410</v>
      </c>
      <c r="O41" s="44">
        <v>3876.16</v>
      </c>
      <c r="P41" s="51"/>
      <c r="Q41" s="52"/>
      <c r="R41" s="58">
        <v>3146276</v>
      </c>
      <c r="S41" s="17">
        <v>329.4</v>
      </c>
      <c r="T41" s="101"/>
      <c r="U41" s="35"/>
      <c r="V41" s="36"/>
      <c r="W41" s="43">
        <f t="shared" si="13"/>
        <v>2620950</v>
      </c>
      <c r="X41" s="44">
        <f t="shared" si="14"/>
        <v>747.14000000000033</v>
      </c>
      <c r="Y41" s="51"/>
      <c r="Z41" s="52"/>
      <c r="AA41" s="58">
        <f t="shared" si="15"/>
        <v>354532</v>
      </c>
      <c r="AB41" s="17">
        <f t="shared" si="16"/>
        <v>301.84000000000003</v>
      </c>
      <c r="AC41" s="101"/>
      <c r="AD41" s="359">
        <f t="shared" si="27"/>
        <v>22942168</v>
      </c>
      <c r="AE41" s="435">
        <f t="shared" si="27"/>
        <v>5254.54</v>
      </c>
    </row>
    <row r="42" spans="1:31" hidden="1" outlineLevel="1">
      <c r="A42" s="97">
        <v>43136</v>
      </c>
      <c r="B42" s="98">
        <f t="shared" si="17"/>
        <v>2</v>
      </c>
      <c r="C42" s="35"/>
      <c r="D42" s="36"/>
      <c r="E42" s="43">
        <v>18088263</v>
      </c>
      <c r="F42" s="44">
        <v>4430.93</v>
      </c>
      <c r="G42" s="51"/>
      <c r="H42" s="52"/>
      <c r="I42" s="58">
        <v>3364285</v>
      </c>
      <c r="J42" s="17">
        <v>670.29</v>
      </c>
      <c r="K42" s="101"/>
      <c r="L42" s="35"/>
      <c r="M42" s="36"/>
      <c r="N42" s="43">
        <v>15755469</v>
      </c>
      <c r="O42" s="44">
        <v>3733.98</v>
      </c>
      <c r="P42" s="51"/>
      <c r="Q42" s="52"/>
      <c r="R42" s="58">
        <v>3013604</v>
      </c>
      <c r="S42" s="17">
        <v>343.25</v>
      </c>
      <c r="T42" s="101"/>
      <c r="U42" s="35"/>
      <c r="V42" s="36"/>
      <c r="W42" s="43">
        <f t="shared" si="13"/>
        <v>2332794</v>
      </c>
      <c r="X42" s="44">
        <f t="shared" si="14"/>
        <v>696.95000000000027</v>
      </c>
      <c r="Y42" s="51"/>
      <c r="Z42" s="52"/>
      <c r="AA42" s="58">
        <f t="shared" si="15"/>
        <v>350681</v>
      </c>
      <c r="AB42" s="17">
        <f t="shared" si="16"/>
        <v>327.03999999999996</v>
      </c>
      <c r="AC42" s="101"/>
      <c r="AD42" s="359">
        <f t="shared" si="27"/>
        <v>21452548</v>
      </c>
      <c r="AE42" s="435">
        <f t="shared" si="27"/>
        <v>5101.22</v>
      </c>
    </row>
    <row r="43" spans="1:31" hidden="1" outlineLevel="1">
      <c r="A43" s="97">
        <v>43137</v>
      </c>
      <c r="B43" s="98">
        <f t="shared" si="17"/>
        <v>2</v>
      </c>
      <c r="C43" s="35"/>
      <c r="D43" s="36"/>
      <c r="E43" s="43">
        <v>18047279</v>
      </c>
      <c r="F43" s="44">
        <v>4595.8</v>
      </c>
      <c r="G43" s="51"/>
      <c r="H43" s="52"/>
      <c r="I43" s="58">
        <v>3310363</v>
      </c>
      <c r="J43" s="17">
        <v>674.03</v>
      </c>
      <c r="K43" s="101"/>
      <c r="L43" s="35"/>
      <c r="M43" s="36"/>
      <c r="N43" s="43">
        <v>15651898</v>
      </c>
      <c r="O43" s="44">
        <v>3845.04</v>
      </c>
      <c r="P43" s="51"/>
      <c r="Q43" s="52"/>
      <c r="R43" s="58">
        <v>2998633</v>
      </c>
      <c r="S43" s="17">
        <v>344.53</v>
      </c>
      <c r="T43" s="101"/>
      <c r="U43" s="35"/>
      <c r="V43" s="36"/>
      <c r="W43" s="43">
        <f t="shared" si="13"/>
        <v>2395381</v>
      </c>
      <c r="X43" s="44">
        <f t="shared" si="14"/>
        <v>750.76000000000022</v>
      </c>
      <c r="Y43" s="51"/>
      <c r="Z43" s="52"/>
      <c r="AA43" s="58">
        <f t="shared" si="15"/>
        <v>311730</v>
      </c>
      <c r="AB43" s="17">
        <f t="shared" si="16"/>
        <v>329.5</v>
      </c>
      <c r="AC43" s="101"/>
      <c r="AD43" s="359">
        <f t="shared" si="27"/>
        <v>21357642</v>
      </c>
      <c r="AE43" s="435">
        <f t="shared" si="27"/>
        <v>5269.83</v>
      </c>
    </row>
    <row r="44" spans="1:31" hidden="1" outlineLevel="1">
      <c r="A44" s="97">
        <v>43138</v>
      </c>
      <c r="B44" s="98">
        <f t="shared" si="17"/>
        <v>2</v>
      </c>
      <c r="C44" s="35"/>
      <c r="D44" s="36"/>
      <c r="E44" s="43">
        <v>18823692</v>
      </c>
      <c r="F44" s="44">
        <v>4110.82</v>
      </c>
      <c r="G44" s="51"/>
      <c r="H44" s="52"/>
      <c r="I44" s="58">
        <v>3317414</v>
      </c>
      <c r="J44" s="17">
        <v>615.67999999999995</v>
      </c>
      <c r="K44" s="101"/>
      <c r="L44" s="35"/>
      <c r="M44" s="36"/>
      <c r="N44" s="43">
        <v>16319384</v>
      </c>
      <c r="O44" s="44">
        <v>3424.34</v>
      </c>
      <c r="P44" s="51"/>
      <c r="Q44" s="52"/>
      <c r="R44" s="58">
        <v>2995583</v>
      </c>
      <c r="S44" s="17">
        <v>319.67</v>
      </c>
      <c r="T44" s="101"/>
      <c r="U44" s="35"/>
      <c r="V44" s="36"/>
      <c r="W44" s="43">
        <f t="shared" si="13"/>
        <v>2504308</v>
      </c>
      <c r="X44" s="44">
        <f t="shared" si="14"/>
        <v>686.47999999999956</v>
      </c>
      <c r="Y44" s="51"/>
      <c r="Z44" s="52"/>
      <c r="AA44" s="58">
        <f t="shared" si="15"/>
        <v>321831</v>
      </c>
      <c r="AB44" s="17">
        <f t="shared" si="16"/>
        <v>296.00999999999993</v>
      </c>
      <c r="AC44" s="101"/>
      <c r="AD44" s="359">
        <f t="shared" si="27"/>
        <v>22141106</v>
      </c>
      <c r="AE44" s="435">
        <f t="shared" si="27"/>
        <v>4726.5</v>
      </c>
    </row>
    <row r="45" spans="1:31" hidden="1" outlineLevel="1">
      <c r="A45" s="97">
        <v>43139</v>
      </c>
      <c r="B45" s="98">
        <f t="shared" si="17"/>
        <v>2</v>
      </c>
      <c r="C45" s="35"/>
      <c r="D45" s="36"/>
      <c r="E45" s="43">
        <v>20464476</v>
      </c>
      <c r="F45" s="44">
        <v>4148.3500000000004</v>
      </c>
      <c r="G45" s="51"/>
      <c r="H45" s="52"/>
      <c r="I45" s="58">
        <v>3346878</v>
      </c>
      <c r="J45" s="17">
        <v>616.75</v>
      </c>
      <c r="K45" s="101"/>
      <c r="L45" s="35"/>
      <c r="M45" s="36"/>
      <c r="N45" s="43">
        <v>17732022</v>
      </c>
      <c r="O45" s="44">
        <v>3415.06</v>
      </c>
      <c r="P45" s="51"/>
      <c r="Q45" s="52"/>
      <c r="R45" s="58">
        <v>3003820</v>
      </c>
      <c r="S45" s="17">
        <v>315.49</v>
      </c>
      <c r="T45" s="101"/>
      <c r="U45" s="35"/>
      <c r="V45" s="36"/>
      <c r="W45" s="43">
        <f t="shared" si="13"/>
        <v>2732454</v>
      </c>
      <c r="X45" s="44">
        <f t="shared" si="14"/>
        <v>733.29000000000042</v>
      </c>
      <c r="Y45" s="51"/>
      <c r="Z45" s="52"/>
      <c r="AA45" s="58">
        <f t="shared" si="15"/>
        <v>343058</v>
      </c>
      <c r="AB45" s="17">
        <f t="shared" si="16"/>
        <v>301.26</v>
      </c>
      <c r="AC45" s="101"/>
      <c r="AD45" s="359">
        <f t="shared" si="27"/>
        <v>23811354</v>
      </c>
      <c r="AE45" s="435">
        <f t="shared" si="27"/>
        <v>4765.1000000000004</v>
      </c>
    </row>
    <row r="46" spans="1:31" hidden="1" outlineLevel="1">
      <c r="A46" s="97">
        <v>43140</v>
      </c>
      <c r="B46" s="98">
        <f t="shared" si="17"/>
        <v>2</v>
      </c>
      <c r="C46" s="35"/>
      <c r="D46" s="36"/>
      <c r="E46" s="43">
        <v>24637247</v>
      </c>
      <c r="F46" s="44">
        <v>4746.6400000000003</v>
      </c>
      <c r="G46" s="51"/>
      <c r="H46" s="52"/>
      <c r="I46" s="58">
        <v>3388502</v>
      </c>
      <c r="J46" s="17">
        <v>592.70000000000005</v>
      </c>
      <c r="K46" s="101"/>
      <c r="L46" s="35"/>
      <c r="M46" s="36"/>
      <c r="N46" s="43">
        <v>21562756</v>
      </c>
      <c r="O46" s="44">
        <v>3968.8</v>
      </c>
      <c r="P46" s="51"/>
      <c r="Q46" s="52"/>
      <c r="R46" s="58">
        <v>3006709</v>
      </c>
      <c r="S46" s="17">
        <v>308.27999999999997</v>
      </c>
      <c r="T46" s="101"/>
      <c r="U46" s="35"/>
      <c r="V46" s="36"/>
      <c r="W46" s="43">
        <f t="shared" si="13"/>
        <v>3074491</v>
      </c>
      <c r="X46" s="44">
        <f t="shared" si="14"/>
        <v>777.84000000000015</v>
      </c>
      <c r="Y46" s="51"/>
      <c r="Z46" s="52"/>
      <c r="AA46" s="58">
        <f t="shared" si="15"/>
        <v>381793</v>
      </c>
      <c r="AB46" s="17">
        <f t="shared" si="16"/>
        <v>284.42000000000007</v>
      </c>
      <c r="AC46" s="101"/>
      <c r="AD46" s="359">
        <f t="shared" si="27"/>
        <v>28025749</v>
      </c>
      <c r="AE46" s="435">
        <f t="shared" si="27"/>
        <v>5339.34</v>
      </c>
    </row>
    <row r="47" spans="1:31" hidden="1" outlineLevel="1">
      <c r="A47" s="97">
        <v>43141</v>
      </c>
      <c r="B47" s="98">
        <f t="shared" si="17"/>
        <v>2</v>
      </c>
      <c r="C47" s="35"/>
      <c r="D47" s="36"/>
      <c r="E47" s="43">
        <v>26011955</v>
      </c>
      <c r="F47" s="44">
        <v>4451.07</v>
      </c>
      <c r="G47" s="51"/>
      <c r="H47" s="52"/>
      <c r="I47" s="58">
        <v>3529403</v>
      </c>
      <c r="J47" s="17">
        <v>582.33000000000004</v>
      </c>
      <c r="K47" s="101"/>
      <c r="L47" s="35"/>
      <c r="M47" s="36"/>
      <c r="N47" s="43">
        <v>22971017</v>
      </c>
      <c r="O47" s="44">
        <v>3727.5</v>
      </c>
      <c r="P47" s="51"/>
      <c r="Q47" s="52"/>
      <c r="R47" s="58">
        <v>3089608</v>
      </c>
      <c r="S47" s="17">
        <v>311.32</v>
      </c>
      <c r="T47" s="101"/>
      <c r="U47" s="35"/>
      <c r="V47" s="36"/>
      <c r="W47" s="43">
        <f t="shared" si="13"/>
        <v>3040938</v>
      </c>
      <c r="X47" s="44">
        <f t="shared" si="14"/>
        <v>723.56999999999971</v>
      </c>
      <c r="Y47" s="51"/>
      <c r="Z47" s="52"/>
      <c r="AA47" s="58">
        <f t="shared" si="15"/>
        <v>439795</v>
      </c>
      <c r="AB47" s="17">
        <f t="shared" si="16"/>
        <v>271.01000000000005</v>
      </c>
      <c r="AC47" s="101"/>
      <c r="AD47" s="359">
        <f t="shared" si="27"/>
        <v>29541358</v>
      </c>
      <c r="AE47" s="435">
        <f t="shared" si="27"/>
        <v>5033.3999999999996</v>
      </c>
    </row>
    <row r="48" spans="1:31" hidden="1" outlineLevel="1">
      <c r="A48" s="97">
        <v>43142</v>
      </c>
      <c r="B48" s="98">
        <f t="shared" si="17"/>
        <v>2</v>
      </c>
      <c r="C48" s="35"/>
      <c r="D48" s="36"/>
      <c r="E48" s="43">
        <v>26028766</v>
      </c>
      <c r="F48" s="44">
        <v>4189.3599999999997</v>
      </c>
      <c r="G48" s="51"/>
      <c r="H48" s="52"/>
      <c r="I48" s="58">
        <v>3526131</v>
      </c>
      <c r="J48" s="17">
        <v>530.05999999999995</v>
      </c>
      <c r="K48" s="101"/>
      <c r="L48" s="35"/>
      <c r="M48" s="36"/>
      <c r="N48" s="43">
        <v>23159197</v>
      </c>
      <c r="O48" s="44">
        <v>3497.23</v>
      </c>
      <c r="P48" s="51"/>
      <c r="Q48" s="52"/>
      <c r="R48" s="58">
        <v>3112229</v>
      </c>
      <c r="S48" s="17">
        <v>270.98</v>
      </c>
      <c r="T48" s="101"/>
      <c r="U48" s="35"/>
      <c r="V48" s="36"/>
      <c r="W48" s="43">
        <f t="shared" si="13"/>
        <v>2869569</v>
      </c>
      <c r="X48" s="44">
        <f t="shared" si="14"/>
        <v>692.12999999999965</v>
      </c>
      <c r="Y48" s="51"/>
      <c r="Z48" s="52"/>
      <c r="AA48" s="58">
        <f t="shared" si="15"/>
        <v>413902</v>
      </c>
      <c r="AB48" s="17">
        <f t="shared" si="16"/>
        <v>259.07999999999993</v>
      </c>
      <c r="AC48" s="101"/>
      <c r="AD48" s="359">
        <f t="shared" si="27"/>
        <v>29554897</v>
      </c>
      <c r="AE48" s="435">
        <f t="shared" si="27"/>
        <v>4719.42</v>
      </c>
    </row>
    <row r="49" spans="1:31" hidden="1" outlineLevel="1">
      <c r="A49" s="97">
        <v>43143</v>
      </c>
      <c r="B49" s="98">
        <f t="shared" si="17"/>
        <v>2</v>
      </c>
      <c r="C49" s="35"/>
      <c r="D49" s="36"/>
      <c r="E49" s="43">
        <v>25890939</v>
      </c>
      <c r="F49" s="44">
        <v>4086.25</v>
      </c>
      <c r="G49" s="51"/>
      <c r="H49" s="52"/>
      <c r="I49" s="58">
        <v>3537158</v>
      </c>
      <c r="J49" s="17">
        <v>578.53</v>
      </c>
      <c r="K49" s="101"/>
      <c r="L49" s="35"/>
      <c r="M49" s="36"/>
      <c r="N49" s="43">
        <v>23103863</v>
      </c>
      <c r="O49" s="44">
        <v>3382.77</v>
      </c>
      <c r="P49" s="51"/>
      <c r="Q49" s="52"/>
      <c r="R49" s="58">
        <v>3187566</v>
      </c>
      <c r="S49" s="17">
        <v>304.81</v>
      </c>
      <c r="T49" s="101"/>
      <c r="U49" s="35"/>
      <c r="V49" s="36"/>
      <c r="W49" s="43">
        <f t="shared" si="13"/>
        <v>2787076</v>
      </c>
      <c r="X49" s="44">
        <f t="shared" si="14"/>
        <v>703.48</v>
      </c>
      <c r="Y49" s="51"/>
      <c r="Z49" s="52"/>
      <c r="AA49" s="58">
        <f t="shared" si="15"/>
        <v>349592</v>
      </c>
      <c r="AB49" s="17">
        <f t="shared" si="16"/>
        <v>273.71999999999997</v>
      </c>
      <c r="AC49" s="101"/>
      <c r="AD49" s="359">
        <f t="shared" si="27"/>
        <v>29428097</v>
      </c>
      <c r="AE49" s="435">
        <f t="shared" si="27"/>
        <v>4664.78</v>
      </c>
    </row>
    <row r="50" spans="1:31" hidden="1" outlineLevel="1">
      <c r="A50" s="97">
        <v>43144</v>
      </c>
      <c r="B50" s="98">
        <f t="shared" si="17"/>
        <v>2</v>
      </c>
      <c r="C50" s="35"/>
      <c r="D50" s="36"/>
      <c r="E50" s="43">
        <v>25724634</v>
      </c>
      <c r="F50" s="44">
        <v>4183.78</v>
      </c>
      <c r="G50" s="51"/>
      <c r="H50" s="52"/>
      <c r="I50" s="58">
        <v>3570462</v>
      </c>
      <c r="J50" s="17">
        <v>578.26</v>
      </c>
      <c r="K50" s="101"/>
      <c r="L50" s="35"/>
      <c r="M50" s="36"/>
      <c r="N50" s="43">
        <v>23045900</v>
      </c>
      <c r="O50" s="44">
        <v>3468.66</v>
      </c>
      <c r="P50" s="51"/>
      <c r="Q50" s="52"/>
      <c r="R50" s="58">
        <v>3234269</v>
      </c>
      <c r="S50" s="17">
        <v>305.52</v>
      </c>
      <c r="T50" s="101"/>
      <c r="U50" s="35"/>
      <c r="V50" s="36"/>
      <c r="W50" s="43">
        <f t="shared" si="13"/>
        <v>2678734</v>
      </c>
      <c r="X50" s="44">
        <f t="shared" si="14"/>
        <v>715.11999999999989</v>
      </c>
      <c r="Y50" s="51"/>
      <c r="Z50" s="52"/>
      <c r="AA50" s="58">
        <f t="shared" si="15"/>
        <v>336193</v>
      </c>
      <c r="AB50" s="17">
        <f t="shared" si="16"/>
        <v>272.74</v>
      </c>
      <c r="AC50" s="101"/>
      <c r="AD50" s="359">
        <f t="shared" si="27"/>
        <v>29295096</v>
      </c>
      <c r="AE50" s="435">
        <f t="shared" si="27"/>
        <v>4762.04</v>
      </c>
    </row>
    <row r="51" spans="1:31" hidden="1" outlineLevel="1">
      <c r="A51" s="97">
        <v>43145</v>
      </c>
      <c r="B51" s="98">
        <f t="shared" si="17"/>
        <v>2</v>
      </c>
      <c r="C51" s="35"/>
      <c r="D51" s="36"/>
      <c r="E51" s="43">
        <v>27203764</v>
      </c>
      <c r="F51" s="44">
        <v>4072.41</v>
      </c>
      <c r="G51" s="51"/>
      <c r="H51" s="52"/>
      <c r="I51" s="58">
        <v>3479087</v>
      </c>
      <c r="J51" s="17">
        <v>509.62</v>
      </c>
      <c r="K51" s="101"/>
      <c r="L51" s="35"/>
      <c r="M51" s="36"/>
      <c r="N51" s="43">
        <v>24494457</v>
      </c>
      <c r="O51" s="44">
        <v>3332.92</v>
      </c>
      <c r="P51" s="51"/>
      <c r="Q51" s="52"/>
      <c r="R51" s="58">
        <v>3149641</v>
      </c>
      <c r="S51" s="17">
        <v>253.75</v>
      </c>
      <c r="T51" s="101"/>
      <c r="U51" s="35"/>
      <c r="V51" s="36"/>
      <c r="W51" s="43">
        <f t="shared" si="13"/>
        <v>2709307</v>
      </c>
      <c r="X51" s="44">
        <f t="shared" si="14"/>
        <v>739.48999999999978</v>
      </c>
      <c r="Y51" s="51"/>
      <c r="Z51" s="52"/>
      <c r="AA51" s="58">
        <f t="shared" si="15"/>
        <v>329446</v>
      </c>
      <c r="AB51" s="17">
        <f t="shared" si="16"/>
        <v>255.87</v>
      </c>
      <c r="AC51" s="101"/>
      <c r="AD51" s="359">
        <f t="shared" si="27"/>
        <v>30682851</v>
      </c>
      <c r="AE51" s="435">
        <f t="shared" si="27"/>
        <v>4582.03</v>
      </c>
    </row>
    <row r="52" spans="1:31" hidden="1" outlineLevel="1">
      <c r="A52" s="97">
        <v>43146</v>
      </c>
      <c r="B52" s="98">
        <f t="shared" si="17"/>
        <v>2</v>
      </c>
      <c r="C52" s="35"/>
      <c r="D52" s="36"/>
      <c r="E52" s="43">
        <v>26173765</v>
      </c>
      <c r="F52" s="44">
        <v>3957.98</v>
      </c>
      <c r="G52" s="51"/>
      <c r="H52" s="52"/>
      <c r="I52" s="58">
        <v>3709356</v>
      </c>
      <c r="J52" s="17">
        <v>466.04</v>
      </c>
      <c r="K52" s="101"/>
      <c r="L52" s="35"/>
      <c r="M52" s="36"/>
      <c r="N52" s="43">
        <v>23321885</v>
      </c>
      <c r="O52" s="44">
        <v>3116.79</v>
      </c>
      <c r="P52" s="51"/>
      <c r="Q52" s="52"/>
      <c r="R52" s="58">
        <v>3369495</v>
      </c>
      <c r="S52" s="17">
        <v>221.61</v>
      </c>
      <c r="T52" s="101"/>
      <c r="U52" s="35"/>
      <c r="V52" s="36"/>
      <c r="W52" s="43">
        <f t="shared" si="13"/>
        <v>2851880</v>
      </c>
      <c r="X52" s="44">
        <f t="shared" si="14"/>
        <v>841.19</v>
      </c>
      <c r="Y52" s="51"/>
      <c r="Z52" s="52"/>
      <c r="AA52" s="58">
        <f t="shared" si="15"/>
        <v>339861</v>
      </c>
      <c r="AB52" s="17">
        <f t="shared" si="16"/>
        <v>244.43</v>
      </c>
      <c r="AC52" s="101"/>
      <c r="AD52" s="359">
        <f t="shared" si="27"/>
        <v>29883121</v>
      </c>
      <c r="AE52" s="435">
        <f t="shared" si="27"/>
        <v>4424.0200000000004</v>
      </c>
    </row>
    <row r="53" spans="1:31" hidden="1" outlineLevel="1">
      <c r="A53" s="97">
        <v>43147</v>
      </c>
      <c r="B53" s="98">
        <f t="shared" si="17"/>
        <v>2</v>
      </c>
      <c r="C53" s="35"/>
      <c r="D53" s="36"/>
      <c r="E53" s="43">
        <v>24115101</v>
      </c>
      <c r="F53" s="44">
        <v>3549.56</v>
      </c>
      <c r="G53" s="51"/>
      <c r="H53" s="52"/>
      <c r="I53" s="58">
        <v>3838515</v>
      </c>
      <c r="J53" s="17">
        <v>454.81</v>
      </c>
      <c r="K53" s="101"/>
      <c r="L53" s="35"/>
      <c r="M53" s="36"/>
      <c r="N53" s="43">
        <v>21214861</v>
      </c>
      <c r="O53" s="44">
        <v>2684.06</v>
      </c>
      <c r="P53" s="51"/>
      <c r="Q53" s="52"/>
      <c r="R53" s="58">
        <v>3381288</v>
      </c>
      <c r="S53" s="17">
        <v>210.41</v>
      </c>
      <c r="T53" s="101"/>
      <c r="U53" s="35"/>
      <c r="V53" s="36"/>
      <c r="W53" s="43">
        <f t="shared" si="13"/>
        <v>2900240</v>
      </c>
      <c r="X53" s="44">
        <f t="shared" si="14"/>
        <v>865.5</v>
      </c>
      <c r="Y53" s="51"/>
      <c r="Z53" s="52"/>
      <c r="AA53" s="58">
        <f t="shared" si="15"/>
        <v>457227</v>
      </c>
      <c r="AB53" s="17">
        <f t="shared" si="16"/>
        <v>244.4</v>
      </c>
      <c r="AC53" s="101"/>
      <c r="AD53" s="359">
        <f t="shared" si="27"/>
        <v>27953616</v>
      </c>
      <c r="AE53" s="435">
        <f t="shared" si="27"/>
        <v>4004.37</v>
      </c>
    </row>
    <row r="54" spans="1:31" hidden="1" outlineLevel="1">
      <c r="A54" s="97">
        <v>43148</v>
      </c>
      <c r="B54" s="98">
        <f t="shared" si="17"/>
        <v>2</v>
      </c>
      <c r="C54" s="35"/>
      <c r="D54" s="36"/>
      <c r="E54" s="43">
        <v>23747774</v>
      </c>
      <c r="F54" s="44">
        <v>3348.57</v>
      </c>
      <c r="G54" s="51"/>
      <c r="H54" s="52"/>
      <c r="I54" s="58">
        <v>3992201</v>
      </c>
      <c r="J54" s="17">
        <v>437.36</v>
      </c>
      <c r="K54" s="101"/>
      <c r="L54" s="35"/>
      <c r="M54" s="36"/>
      <c r="N54" s="43">
        <v>20629130</v>
      </c>
      <c r="O54" s="44">
        <v>2449.92</v>
      </c>
      <c r="P54" s="51"/>
      <c r="Q54" s="52"/>
      <c r="R54" s="58">
        <v>3348879</v>
      </c>
      <c r="S54" s="17">
        <v>196.09</v>
      </c>
      <c r="T54" s="101"/>
      <c r="U54" s="35"/>
      <c r="V54" s="36"/>
      <c r="W54" s="43">
        <f t="shared" si="13"/>
        <v>3118644</v>
      </c>
      <c r="X54" s="44">
        <f t="shared" si="14"/>
        <v>898.65000000000009</v>
      </c>
      <c r="Y54" s="51"/>
      <c r="Z54" s="52"/>
      <c r="AA54" s="58">
        <f t="shared" si="15"/>
        <v>643322</v>
      </c>
      <c r="AB54" s="17">
        <f t="shared" si="16"/>
        <v>241.27</v>
      </c>
      <c r="AC54" s="101"/>
      <c r="AD54" s="359">
        <f t="shared" si="27"/>
        <v>27739975</v>
      </c>
      <c r="AE54" s="435">
        <f t="shared" si="27"/>
        <v>3785.9300000000003</v>
      </c>
    </row>
    <row r="55" spans="1:31" hidden="1" outlineLevel="1">
      <c r="A55" s="97">
        <v>43149</v>
      </c>
      <c r="B55" s="98">
        <f t="shared" si="17"/>
        <v>2</v>
      </c>
      <c r="C55" s="35"/>
      <c r="D55" s="36"/>
      <c r="E55" s="43">
        <v>24548386</v>
      </c>
      <c r="F55" s="44">
        <v>3437.21</v>
      </c>
      <c r="G55" s="51"/>
      <c r="H55" s="52"/>
      <c r="I55" s="58">
        <v>3882400</v>
      </c>
      <c r="J55" s="17">
        <v>419.33</v>
      </c>
      <c r="K55" s="101"/>
      <c r="L55" s="35"/>
      <c r="M55" s="36"/>
      <c r="N55" s="43">
        <v>21599099</v>
      </c>
      <c r="O55" s="44">
        <v>2564.04</v>
      </c>
      <c r="P55" s="51"/>
      <c r="Q55" s="52"/>
      <c r="R55" s="58">
        <v>3253953</v>
      </c>
      <c r="S55" s="17">
        <v>184.48</v>
      </c>
      <c r="T55" s="101"/>
      <c r="U55" s="35"/>
      <c r="V55" s="36"/>
      <c r="W55" s="43">
        <f t="shared" si="13"/>
        <v>2949287</v>
      </c>
      <c r="X55" s="44">
        <f t="shared" si="14"/>
        <v>873.17000000000007</v>
      </c>
      <c r="Y55" s="51"/>
      <c r="Z55" s="52"/>
      <c r="AA55" s="58">
        <f t="shared" si="15"/>
        <v>628447</v>
      </c>
      <c r="AB55" s="17">
        <f t="shared" si="16"/>
        <v>234.85</v>
      </c>
      <c r="AC55" s="101"/>
      <c r="AD55" s="359">
        <f t="shared" si="27"/>
        <v>28430786</v>
      </c>
      <c r="AE55" s="435">
        <f t="shared" si="27"/>
        <v>3856.54</v>
      </c>
    </row>
    <row r="56" spans="1:31" hidden="1" outlineLevel="1">
      <c r="A56" s="97">
        <v>43150</v>
      </c>
      <c r="B56" s="98">
        <f t="shared" si="17"/>
        <v>2</v>
      </c>
      <c r="C56" s="35"/>
      <c r="D56" s="36"/>
      <c r="E56" s="43">
        <v>24816742</v>
      </c>
      <c r="F56" s="44">
        <v>3730.65</v>
      </c>
      <c r="G56" s="51"/>
      <c r="H56" s="52"/>
      <c r="I56" s="58">
        <v>3893590</v>
      </c>
      <c r="J56" s="17">
        <v>450.05</v>
      </c>
      <c r="K56" s="101"/>
      <c r="L56" s="35"/>
      <c r="M56" s="36"/>
      <c r="N56" s="43">
        <v>22096301</v>
      </c>
      <c r="O56" s="44">
        <v>2907.47</v>
      </c>
      <c r="P56" s="51"/>
      <c r="Q56" s="52"/>
      <c r="R56" s="58">
        <v>3296104</v>
      </c>
      <c r="S56" s="17">
        <v>208.48</v>
      </c>
      <c r="T56" s="101"/>
      <c r="U56" s="35"/>
      <c r="V56" s="36"/>
      <c r="W56" s="43">
        <f t="shared" si="13"/>
        <v>2720441</v>
      </c>
      <c r="X56" s="44">
        <f t="shared" si="14"/>
        <v>823.18000000000029</v>
      </c>
      <c r="Y56" s="51"/>
      <c r="Z56" s="52"/>
      <c r="AA56" s="58">
        <f t="shared" si="15"/>
        <v>597486</v>
      </c>
      <c r="AB56" s="17">
        <f t="shared" si="16"/>
        <v>241.57000000000002</v>
      </c>
      <c r="AC56" s="101"/>
      <c r="AD56" s="359">
        <f t="shared" si="27"/>
        <v>28710332</v>
      </c>
      <c r="AE56" s="435">
        <f t="shared" si="27"/>
        <v>4180.7</v>
      </c>
    </row>
    <row r="57" spans="1:31" hidden="1" outlineLevel="1">
      <c r="A57" s="97">
        <v>43151</v>
      </c>
      <c r="B57" s="98">
        <f t="shared" si="17"/>
        <v>2</v>
      </c>
      <c r="C57" s="35"/>
      <c r="D57" s="36"/>
      <c r="E57" s="43">
        <v>23345150</v>
      </c>
      <c r="F57" s="44">
        <v>3669.36</v>
      </c>
      <c r="G57" s="51"/>
      <c r="H57" s="52"/>
      <c r="I57" s="58">
        <v>3769512</v>
      </c>
      <c r="J57" s="17">
        <v>498.38</v>
      </c>
      <c r="K57" s="101"/>
      <c r="L57" s="35"/>
      <c r="M57" s="36"/>
      <c r="N57" s="43">
        <v>20422534</v>
      </c>
      <c r="O57" s="44">
        <v>2731.15</v>
      </c>
      <c r="P57" s="51"/>
      <c r="Q57" s="52"/>
      <c r="R57" s="58">
        <v>3083288</v>
      </c>
      <c r="S57" s="17">
        <v>228.26</v>
      </c>
      <c r="T57" s="101"/>
      <c r="U57" s="35"/>
      <c r="V57" s="36"/>
      <c r="W57" s="43">
        <f t="shared" si="13"/>
        <v>2922616</v>
      </c>
      <c r="X57" s="44">
        <f t="shared" si="14"/>
        <v>938.21</v>
      </c>
      <c r="Y57" s="51"/>
      <c r="Z57" s="52"/>
      <c r="AA57" s="58">
        <f t="shared" si="15"/>
        <v>686224</v>
      </c>
      <c r="AB57" s="17">
        <f t="shared" si="16"/>
        <v>270.12</v>
      </c>
      <c r="AC57" s="101"/>
      <c r="AD57" s="359">
        <f t="shared" si="27"/>
        <v>27114662</v>
      </c>
      <c r="AE57" s="435">
        <f t="shared" si="27"/>
        <v>4167.74</v>
      </c>
    </row>
    <row r="58" spans="1:31" hidden="1" outlineLevel="1">
      <c r="A58" s="97">
        <v>43152</v>
      </c>
      <c r="B58" s="98">
        <f t="shared" si="17"/>
        <v>2</v>
      </c>
      <c r="C58" s="35"/>
      <c r="D58" s="36"/>
      <c r="E58" s="43">
        <v>22786938</v>
      </c>
      <c r="F58" s="44">
        <v>3628.59</v>
      </c>
      <c r="G58" s="51"/>
      <c r="H58" s="52"/>
      <c r="I58" s="58">
        <v>3649847</v>
      </c>
      <c r="J58" s="17">
        <v>510.63</v>
      </c>
      <c r="K58" s="101"/>
      <c r="L58" s="35"/>
      <c r="M58" s="36"/>
      <c r="N58" s="43">
        <v>19885580</v>
      </c>
      <c r="O58" s="44">
        <v>2630.87</v>
      </c>
      <c r="P58" s="51"/>
      <c r="Q58" s="52"/>
      <c r="R58" s="58">
        <v>3029280</v>
      </c>
      <c r="S58" s="17">
        <v>227.06</v>
      </c>
      <c r="T58" s="101"/>
      <c r="U58" s="35"/>
      <c r="V58" s="36"/>
      <c r="W58" s="43">
        <f t="shared" si="13"/>
        <v>2901358</v>
      </c>
      <c r="X58" s="44">
        <f t="shared" si="14"/>
        <v>997.72000000000025</v>
      </c>
      <c r="Y58" s="51"/>
      <c r="Z58" s="52"/>
      <c r="AA58" s="58">
        <f t="shared" si="15"/>
        <v>620567</v>
      </c>
      <c r="AB58" s="17">
        <f t="shared" si="16"/>
        <v>283.57</v>
      </c>
      <c r="AC58" s="101"/>
      <c r="AD58" s="359">
        <f t="shared" si="27"/>
        <v>26436785</v>
      </c>
      <c r="AE58" s="435">
        <f t="shared" si="27"/>
        <v>4139.22</v>
      </c>
    </row>
    <row r="59" spans="1:31" hidden="1" outlineLevel="1">
      <c r="A59" s="97">
        <v>43153</v>
      </c>
      <c r="B59" s="98">
        <f t="shared" si="17"/>
        <v>2</v>
      </c>
      <c r="C59" s="35"/>
      <c r="D59" s="36"/>
      <c r="E59" s="43">
        <v>23271442</v>
      </c>
      <c r="F59" s="44">
        <v>3882.98</v>
      </c>
      <c r="G59" s="51"/>
      <c r="H59" s="52"/>
      <c r="I59" s="58">
        <v>3731478</v>
      </c>
      <c r="J59" s="17">
        <v>538.05999999999995</v>
      </c>
      <c r="K59" s="101"/>
      <c r="L59" s="35"/>
      <c r="M59" s="36"/>
      <c r="N59" s="43">
        <v>20095571</v>
      </c>
      <c r="O59" s="44">
        <v>2807.82</v>
      </c>
      <c r="P59" s="51"/>
      <c r="Q59" s="52"/>
      <c r="R59" s="58">
        <v>3098611</v>
      </c>
      <c r="S59" s="17">
        <v>241.26</v>
      </c>
      <c r="T59" s="101"/>
      <c r="U59" s="35"/>
      <c r="V59" s="36"/>
      <c r="W59" s="43">
        <f t="shared" si="13"/>
        <v>3175871</v>
      </c>
      <c r="X59" s="44">
        <f t="shared" si="14"/>
        <v>1075.1599999999999</v>
      </c>
      <c r="Y59" s="51"/>
      <c r="Z59" s="52"/>
      <c r="AA59" s="58">
        <f t="shared" si="15"/>
        <v>632867</v>
      </c>
      <c r="AB59" s="17">
        <f t="shared" si="16"/>
        <v>296.79999999999995</v>
      </c>
      <c r="AC59" s="101"/>
      <c r="AD59" s="359">
        <f t="shared" si="27"/>
        <v>27002920</v>
      </c>
      <c r="AE59" s="435">
        <f t="shared" si="27"/>
        <v>4421.04</v>
      </c>
    </row>
    <row r="60" spans="1:31" hidden="1" outlineLevel="1">
      <c r="A60" s="97">
        <v>43154</v>
      </c>
      <c r="B60" s="98">
        <f t="shared" si="17"/>
        <v>2</v>
      </c>
      <c r="C60" s="35"/>
      <c r="D60" s="36"/>
      <c r="E60" s="43">
        <v>25476885</v>
      </c>
      <c r="F60" s="44">
        <v>4549.47</v>
      </c>
      <c r="G60" s="51"/>
      <c r="H60" s="52"/>
      <c r="I60" s="58">
        <v>3958145</v>
      </c>
      <c r="J60" s="17">
        <v>618.55999999999995</v>
      </c>
      <c r="K60" s="101"/>
      <c r="L60" s="35"/>
      <c r="M60" s="36"/>
      <c r="N60" s="43">
        <v>22574740</v>
      </c>
      <c r="O60" s="44">
        <v>3515.76</v>
      </c>
      <c r="P60" s="51"/>
      <c r="Q60" s="52"/>
      <c r="R60" s="58">
        <v>3187335</v>
      </c>
      <c r="S60" s="17">
        <v>267.85000000000002</v>
      </c>
      <c r="T60" s="101"/>
      <c r="U60" s="35"/>
      <c r="V60" s="36"/>
      <c r="W60" s="43">
        <f t="shared" si="13"/>
        <v>2902145</v>
      </c>
      <c r="X60" s="44">
        <f t="shared" si="14"/>
        <v>1033.71</v>
      </c>
      <c r="Y60" s="51"/>
      <c r="Z60" s="52"/>
      <c r="AA60" s="58">
        <f t="shared" si="15"/>
        <v>770810</v>
      </c>
      <c r="AB60" s="17">
        <f t="shared" si="16"/>
        <v>350.70999999999992</v>
      </c>
      <c r="AC60" s="101"/>
      <c r="AD60" s="359">
        <f t="shared" si="27"/>
        <v>29435030</v>
      </c>
      <c r="AE60" s="435">
        <f t="shared" si="27"/>
        <v>5168.0300000000007</v>
      </c>
    </row>
    <row r="61" spans="1:31" hidden="1" outlineLevel="1">
      <c r="A61" s="97">
        <v>43155</v>
      </c>
      <c r="B61" s="98">
        <f t="shared" si="17"/>
        <v>2</v>
      </c>
      <c r="C61" s="35"/>
      <c r="D61" s="36"/>
      <c r="E61" s="43">
        <v>26289537</v>
      </c>
      <c r="F61" s="44">
        <v>4342.49</v>
      </c>
      <c r="G61" s="51"/>
      <c r="H61" s="52"/>
      <c r="I61" s="58">
        <v>4798742</v>
      </c>
      <c r="J61" s="17">
        <v>630.29999999999995</v>
      </c>
      <c r="K61" s="101"/>
      <c r="L61" s="35"/>
      <c r="M61" s="36"/>
      <c r="N61" s="43">
        <v>23140514</v>
      </c>
      <c r="O61" s="44">
        <v>3313.36</v>
      </c>
      <c r="P61" s="51"/>
      <c r="Q61" s="52"/>
      <c r="R61" s="58">
        <v>3324850</v>
      </c>
      <c r="S61" s="17">
        <v>276.45999999999998</v>
      </c>
      <c r="T61" s="101"/>
      <c r="U61" s="35"/>
      <c r="V61" s="36"/>
      <c r="W61" s="43">
        <f t="shared" si="13"/>
        <v>3149023</v>
      </c>
      <c r="X61" s="44">
        <f t="shared" si="14"/>
        <v>1029.1299999999997</v>
      </c>
      <c r="Y61" s="51"/>
      <c r="Z61" s="52"/>
      <c r="AA61" s="58">
        <f t="shared" si="15"/>
        <v>1473892</v>
      </c>
      <c r="AB61" s="17">
        <f t="shared" si="16"/>
        <v>353.84</v>
      </c>
      <c r="AC61" s="101"/>
      <c r="AD61" s="359">
        <f t="shared" si="27"/>
        <v>31088279</v>
      </c>
      <c r="AE61" s="435">
        <f t="shared" si="27"/>
        <v>4972.79</v>
      </c>
    </row>
    <row r="62" spans="1:31" hidden="1" outlineLevel="1">
      <c r="A62" s="97">
        <v>43156</v>
      </c>
      <c r="B62" s="98">
        <f t="shared" si="17"/>
        <v>2</v>
      </c>
      <c r="C62" s="35"/>
      <c r="D62" s="36"/>
      <c r="E62" s="43">
        <v>19615984</v>
      </c>
      <c r="F62" s="44">
        <v>3447.39</v>
      </c>
      <c r="G62" s="51"/>
      <c r="H62" s="52"/>
      <c r="I62" s="58">
        <v>3353964</v>
      </c>
      <c r="J62" s="17">
        <v>685.66</v>
      </c>
      <c r="K62" s="101"/>
      <c r="L62" s="35"/>
      <c r="M62" s="36"/>
      <c r="N62" s="43">
        <v>16737044</v>
      </c>
      <c r="O62" s="44">
        <v>2532.42</v>
      </c>
      <c r="P62" s="51"/>
      <c r="Q62" s="52"/>
      <c r="R62" s="58">
        <v>2804006</v>
      </c>
      <c r="S62" s="17">
        <v>264.56</v>
      </c>
      <c r="T62" s="101"/>
      <c r="U62" s="35"/>
      <c r="V62" s="36"/>
      <c r="W62" s="43">
        <f t="shared" si="13"/>
        <v>2878940</v>
      </c>
      <c r="X62" s="44">
        <f t="shared" si="14"/>
        <v>914.9699999999998</v>
      </c>
      <c r="Y62" s="51"/>
      <c r="Z62" s="52"/>
      <c r="AA62" s="58">
        <f t="shared" si="15"/>
        <v>549958</v>
      </c>
      <c r="AB62" s="17">
        <f t="shared" si="16"/>
        <v>421.09999999999997</v>
      </c>
      <c r="AC62" s="101"/>
      <c r="AD62" s="359">
        <f t="shared" si="27"/>
        <v>22969948</v>
      </c>
      <c r="AE62" s="435">
        <f t="shared" si="27"/>
        <v>4133.05</v>
      </c>
    </row>
    <row r="63" spans="1:31" hidden="1" outlineLevel="1">
      <c r="A63" s="97">
        <v>43157</v>
      </c>
      <c r="B63" s="98">
        <f t="shared" si="17"/>
        <v>2</v>
      </c>
      <c r="C63" s="35"/>
      <c r="D63" s="36"/>
      <c r="E63" s="43">
        <v>18830912</v>
      </c>
      <c r="F63" s="44">
        <v>3840.82</v>
      </c>
      <c r="G63" s="51"/>
      <c r="H63" s="52"/>
      <c r="I63" s="58">
        <v>3226795</v>
      </c>
      <c r="J63" s="17">
        <v>668.38</v>
      </c>
      <c r="K63" s="101"/>
      <c r="L63" s="35"/>
      <c r="M63" s="36"/>
      <c r="N63" s="43">
        <v>15830316</v>
      </c>
      <c r="O63" s="44">
        <v>2869.35</v>
      </c>
      <c r="P63" s="51"/>
      <c r="Q63" s="52"/>
      <c r="R63" s="58">
        <v>2926921</v>
      </c>
      <c r="S63" s="17">
        <v>300.82</v>
      </c>
      <c r="T63" s="101"/>
      <c r="U63" s="35"/>
      <c r="V63" s="36"/>
      <c r="W63" s="43">
        <f t="shared" si="13"/>
        <v>3000596</v>
      </c>
      <c r="X63" s="44">
        <f t="shared" si="14"/>
        <v>971.47000000000025</v>
      </c>
      <c r="Y63" s="51"/>
      <c r="Z63" s="52"/>
      <c r="AA63" s="58">
        <f t="shared" si="15"/>
        <v>299874</v>
      </c>
      <c r="AB63" s="17">
        <f t="shared" si="16"/>
        <v>367.56</v>
      </c>
      <c r="AC63" s="101"/>
      <c r="AD63" s="359">
        <f t="shared" si="27"/>
        <v>22057707</v>
      </c>
      <c r="AE63" s="435">
        <f t="shared" si="27"/>
        <v>4509.2</v>
      </c>
    </row>
    <row r="64" spans="1:31" hidden="1" outlineLevel="1">
      <c r="A64" s="97">
        <v>43158</v>
      </c>
      <c r="B64" s="98">
        <f t="shared" si="17"/>
        <v>2</v>
      </c>
      <c r="C64" s="35"/>
      <c r="D64" s="36"/>
      <c r="E64" s="43">
        <v>18793870</v>
      </c>
      <c r="F64" s="44">
        <v>3920.31</v>
      </c>
      <c r="G64" s="51"/>
      <c r="H64" s="52"/>
      <c r="I64" s="58">
        <v>3173562</v>
      </c>
      <c r="J64" s="17">
        <v>682.01</v>
      </c>
      <c r="K64" s="101"/>
      <c r="L64" s="35"/>
      <c r="M64" s="36"/>
      <c r="N64" s="43">
        <v>16007815</v>
      </c>
      <c r="O64" s="44">
        <v>3002.16</v>
      </c>
      <c r="P64" s="51"/>
      <c r="Q64" s="52"/>
      <c r="R64" s="58">
        <v>2960606</v>
      </c>
      <c r="S64" s="17">
        <v>294.33</v>
      </c>
      <c r="T64" s="101"/>
      <c r="U64" s="35"/>
      <c r="V64" s="36"/>
      <c r="W64" s="43">
        <f t="shared" si="13"/>
        <v>2786055</v>
      </c>
      <c r="X64" s="44">
        <f t="shared" si="14"/>
        <v>918.15000000000009</v>
      </c>
      <c r="Y64" s="51"/>
      <c r="Z64" s="52"/>
      <c r="AA64" s="58">
        <f t="shared" si="15"/>
        <v>212956</v>
      </c>
      <c r="AB64" s="17">
        <f t="shared" si="16"/>
        <v>387.68</v>
      </c>
      <c r="AC64" s="101"/>
      <c r="AD64" s="359">
        <f t="shared" si="27"/>
        <v>21967432</v>
      </c>
      <c r="AE64" s="435">
        <f t="shared" si="27"/>
        <v>4602.32</v>
      </c>
    </row>
    <row r="65" spans="1:31" hidden="1" outlineLevel="1">
      <c r="A65" s="97">
        <v>43159</v>
      </c>
      <c r="B65" s="98">
        <f t="shared" si="17"/>
        <v>2</v>
      </c>
      <c r="C65" s="35"/>
      <c r="D65" s="36"/>
      <c r="E65" s="43">
        <v>18783688</v>
      </c>
      <c r="F65" s="44">
        <v>3654.06</v>
      </c>
      <c r="G65" s="51"/>
      <c r="H65" s="52"/>
      <c r="I65" s="58">
        <v>3271592</v>
      </c>
      <c r="J65" s="17">
        <v>664.5</v>
      </c>
      <c r="K65" s="101"/>
      <c r="L65" s="35"/>
      <c r="M65" s="36"/>
      <c r="N65" s="43">
        <v>16083689</v>
      </c>
      <c r="O65" s="44">
        <v>2799.17</v>
      </c>
      <c r="P65" s="51"/>
      <c r="Q65" s="52"/>
      <c r="R65" s="58">
        <v>3048426</v>
      </c>
      <c r="S65" s="17">
        <v>287.22000000000003</v>
      </c>
      <c r="T65" s="101"/>
      <c r="U65" s="35"/>
      <c r="V65" s="36"/>
      <c r="W65" s="43">
        <f t="shared" si="13"/>
        <v>2699999</v>
      </c>
      <c r="X65" s="44">
        <f t="shared" si="14"/>
        <v>854.88999999999987</v>
      </c>
      <c r="Y65" s="51"/>
      <c r="Z65" s="52"/>
      <c r="AA65" s="58">
        <f t="shared" si="15"/>
        <v>223166</v>
      </c>
      <c r="AB65" s="17">
        <f t="shared" si="16"/>
        <v>377.28</v>
      </c>
      <c r="AC65" s="101"/>
      <c r="AD65" s="359">
        <f t="shared" si="27"/>
        <v>22055280</v>
      </c>
      <c r="AE65" s="435">
        <f t="shared" si="27"/>
        <v>4318.5599999999995</v>
      </c>
    </row>
    <row r="66" spans="1:31" collapsed="1">
      <c r="A66" s="104"/>
      <c r="B66" s="104" t="s">
        <v>16</v>
      </c>
      <c r="C66" s="105"/>
      <c r="D66" s="106"/>
      <c r="E66" s="107">
        <f t="shared" ref="D66:AB66" si="28">SUBTOTAL(9,E67:E97)</f>
        <v>663392460</v>
      </c>
      <c r="F66" s="108">
        <f t="shared" si="28"/>
        <v>168146.83</v>
      </c>
      <c r="G66" s="109"/>
      <c r="H66" s="110"/>
      <c r="I66" s="111">
        <f t="shared" si="28"/>
        <v>169816435</v>
      </c>
      <c r="J66" s="14">
        <f t="shared" si="28"/>
        <v>38199.730000000003</v>
      </c>
      <c r="K66" s="103"/>
      <c r="L66" s="105"/>
      <c r="M66" s="106"/>
      <c r="N66" s="107">
        <f t="shared" si="28"/>
        <v>551862891</v>
      </c>
      <c r="O66" s="108">
        <f t="shared" si="28"/>
        <v>125455.74999999999</v>
      </c>
      <c r="P66" s="109"/>
      <c r="Q66" s="110"/>
      <c r="R66" s="111">
        <f t="shared" si="28"/>
        <v>153626660</v>
      </c>
      <c r="S66" s="14">
        <f t="shared" si="28"/>
        <v>18017.339999999997</v>
      </c>
      <c r="T66" s="103"/>
      <c r="U66" s="105"/>
      <c r="V66" s="106"/>
      <c r="W66" s="107">
        <f t="shared" si="28"/>
        <v>111529569</v>
      </c>
      <c r="X66" s="108">
        <f t="shared" si="28"/>
        <v>42691.080000000009</v>
      </c>
      <c r="Y66" s="109"/>
      <c r="Z66" s="110"/>
      <c r="AA66" s="111">
        <f t="shared" si="28"/>
        <v>16189775</v>
      </c>
      <c r="AB66" s="14">
        <f t="shared" si="28"/>
        <v>20182.390000000003</v>
      </c>
      <c r="AC66" s="103"/>
      <c r="AD66" s="116"/>
      <c r="AE66" s="116"/>
    </row>
    <row r="67" spans="1:31" hidden="1" outlineLevel="1">
      <c r="A67" s="114">
        <v>43160</v>
      </c>
      <c r="B67" s="115">
        <f t="shared" si="17"/>
        <v>3</v>
      </c>
      <c r="C67" s="35"/>
      <c r="D67" s="36"/>
      <c r="E67" s="43">
        <v>18691536</v>
      </c>
      <c r="F67" s="44">
        <v>3693.11</v>
      </c>
      <c r="G67" s="51"/>
      <c r="H67" s="52"/>
      <c r="I67" s="58">
        <v>3499236</v>
      </c>
      <c r="J67" s="17">
        <v>603.34</v>
      </c>
      <c r="K67" s="101"/>
      <c r="L67" s="35"/>
      <c r="M67" s="36"/>
      <c r="N67" s="43">
        <v>16363389</v>
      </c>
      <c r="O67" s="44">
        <v>2985.26</v>
      </c>
      <c r="P67" s="51"/>
      <c r="Q67" s="52"/>
      <c r="R67" s="58">
        <v>3276309</v>
      </c>
      <c r="S67" s="17">
        <v>264.91000000000003</v>
      </c>
      <c r="T67" s="101"/>
      <c r="U67" s="35"/>
      <c r="V67" s="36"/>
      <c r="W67" s="43">
        <f t="shared" si="13"/>
        <v>2328147</v>
      </c>
      <c r="X67" s="44">
        <f t="shared" si="14"/>
        <v>707.84999999999991</v>
      </c>
      <c r="Y67" s="51"/>
      <c r="Z67" s="52"/>
      <c r="AA67" s="58">
        <f t="shared" si="15"/>
        <v>222927</v>
      </c>
      <c r="AB67" s="17">
        <f t="shared" si="16"/>
        <v>338.43</v>
      </c>
      <c r="AC67" s="101"/>
      <c r="AD67" s="359">
        <f t="shared" ref="AD67:AE92" si="29">SUM(C67,E67,G67,I67)</f>
        <v>22190772</v>
      </c>
      <c r="AE67" s="435">
        <f t="shared" si="29"/>
        <v>4296.45</v>
      </c>
    </row>
    <row r="68" spans="1:31" hidden="1" outlineLevel="1">
      <c r="A68" s="114">
        <v>43161</v>
      </c>
      <c r="B68" s="115">
        <f t="shared" si="17"/>
        <v>3</v>
      </c>
      <c r="C68" s="35"/>
      <c r="D68" s="36"/>
      <c r="E68" s="43">
        <v>23543407</v>
      </c>
      <c r="F68" s="44">
        <v>4550.63</v>
      </c>
      <c r="G68" s="51"/>
      <c r="H68" s="52"/>
      <c r="I68" s="58">
        <v>4198612</v>
      </c>
      <c r="J68" s="17">
        <v>714.29</v>
      </c>
      <c r="K68" s="101"/>
      <c r="L68" s="35"/>
      <c r="M68" s="36"/>
      <c r="N68" s="43">
        <v>21121345</v>
      </c>
      <c r="O68" s="44">
        <v>3806.27</v>
      </c>
      <c r="P68" s="51"/>
      <c r="Q68" s="52"/>
      <c r="R68" s="58">
        <v>3906638</v>
      </c>
      <c r="S68" s="17">
        <v>321.98</v>
      </c>
      <c r="T68" s="101"/>
      <c r="U68" s="35"/>
      <c r="V68" s="36"/>
      <c r="W68" s="43">
        <f t="shared" si="13"/>
        <v>2422062</v>
      </c>
      <c r="X68" s="44">
        <f t="shared" si="14"/>
        <v>744.36000000000013</v>
      </c>
      <c r="Y68" s="51"/>
      <c r="Z68" s="52"/>
      <c r="AA68" s="58">
        <f t="shared" si="15"/>
        <v>291974</v>
      </c>
      <c r="AB68" s="17">
        <f t="shared" si="16"/>
        <v>392.30999999999995</v>
      </c>
      <c r="AC68" s="101"/>
      <c r="AD68" s="359">
        <f t="shared" si="29"/>
        <v>27742019</v>
      </c>
      <c r="AE68" s="435">
        <f t="shared" si="29"/>
        <v>5264.92</v>
      </c>
    </row>
    <row r="69" spans="1:31" hidden="1" outlineLevel="1">
      <c r="A69" s="114">
        <v>43162</v>
      </c>
      <c r="B69" s="115">
        <f t="shared" si="17"/>
        <v>3</v>
      </c>
      <c r="C69" s="35"/>
      <c r="D69" s="36"/>
      <c r="E69" s="43">
        <v>24741991</v>
      </c>
      <c r="F69" s="44">
        <v>4348.26</v>
      </c>
      <c r="G69" s="51"/>
      <c r="H69" s="52"/>
      <c r="I69" s="58">
        <v>3940197</v>
      </c>
      <c r="J69" s="17">
        <v>648.26</v>
      </c>
      <c r="K69" s="101"/>
      <c r="L69" s="35"/>
      <c r="M69" s="36"/>
      <c r="N69" s="43">
        <v>22263745</v>
      </c>
      <c r="O69" s="44">
        <v>3595.12</v>
      </c>
      <c r="P69" s="51"/>
      <c r="Q69" s="52"/>
      <c r="R69" s="58">
        <v>3652654</v>
      </c>
      <c r="S69" s="17">
        <v>288.14999999999998</v>
      </c>
      <c r="T69" s="101"/>
      <c r="U69" s="35"/>
      <c r="V69" s="36"/>
      <c r="W69" s="43">
        <f t="shared" si="13"/>
        <v>2478246</v>
      </c>
      <c r="X69" s="44">
        <f t="shared" si="14"/>
        <v>753.14000000000033</v>
      </c>
      <c r="Y69" s="51"/>
      <c r="Z69" s="52"/>
      <c r="AA69" s="58">
        <f t="shared" si="15"/>
        <v>287543</v>
      </c>
      <c r="AB69" s="17">
        <f t="shared" si="16"/>
        <v>360.11</v>
      </c>
      <c r="AC69" s="101"/>
      <c r="AD69" s="359">
        <f t="shared" si="29"/>
        <v>28682188</v>
      </c>
      <c r="AE69" s="435">
        <f t="shared" si="29"/>
        <v>4996.5200000000004</v>
      </c>
    </row>
    <row r="70" spans="1:31" hidden="1" outlineLevel="1">
      <c r="A70" s="114">
        <v>43163</v>
      </c>
      <c r="B70" s="115">
        <f t="shared" si="17"/>
        <v>3</v>
      </c>
      <c r="C70" s="35"/>
      <c r="D70" s="36"/>
      <c r="E70" s="43">
        <v>18856076</v>
      </c>
      <c r="F70" s="44">
        <v>3402.25</v>
      </c>
      <c r="G70" s="51"/>
      <c r="H70" s="52"/>
      <c r="I70" s="58">
        <v>3295117</v>
      </c>
      <c r="J70" s="17">
        <v>631.88</v>
      </c>
      <c r="K70" s="101"/>
      <c r="L70" s="35"/>
      <c r="M70" s="36"/>
      <c r="N70" s="43">
        <v>16482390</v>
      </c>
      <c r="O70" s="44">
        <v>2653.72</v>
      </c>
      <c r="P70" s="51"/>
      <c r="Q70" s="52"/>
      <c r="R70" s="58">
        <v>3044396</v>
      </c>
      <c r="S70" s="17">
        <v>281.29000000000002</v>
      </c>
      <c r="T70" s="101"/>
      <c r="U70" s="35"/>
      <c r="V70" s="36"/>
      <c r="W70" s="43">
        <f t="shared" si="13"/>
        <v>2373686</v>
      </c>
      <c r="X70" s="44">
        <f t="shared" si="14"/>
        <v>748.5300000000002</v>
      </c>
      <c r="Y70" s="51"/>
      <c r="Z70" s="52"/>
      <c r="AA70" s="58">
        <f t="shared" si="15"/>
        <v>250721</v>
      </c>
      <c r="AB70" s="17">
        <f t="shared" si="16"/>
        <v>350.59</v>
      </c>
      <c r="AC70" s="101"/>
      <c r="AD70" s="359">
        <f t="shared" si="29"/>
        <v>22151193</v>
      </c>
      <c r="AE70" s="435">
        <f t="shared" si="29"/>
        <v>4034.13</v>
      </c>
    </row>
    <row r="71" spans="1:31" hidden="1" outlineLevel="1">
      <c r="A71" s="114">
        <v>43164</v>
      </c>
      <c r="B71" s="115">
        <f t="shared" si="17"/>
        <v>3</v>
      </c>
      <c r="C71" s="35"/>
      <c r="D71" s="36"/>
      <c r="E71" s="43">
        <v>18003210</v>
      </c>
      <c r="F71" s="44">
        <v>3471.4</v>
      </c>
      <c r="G71" s="51"/>
      <c r="H71" s="52"/>
      <c r="I71" s="58">
        <v>3247116</v>
      </c>
      <c r="J71" s="17">
        <v>673.1</v>
      </c>
      <c r="K71" s="101"/>
      <c r="L71" s="35"/>
      <c r="M71" s="36"/>
      <c r="N71" s="43">
        <v>15980030</v>
      </c>
      <c r="O71" s="44">
        <v>2788.74</v>
      </c>
      <c r="P71" s="51"/>
      <c r="Q71" s="52"/>
      <c r="R71" s="58">
        <v>3023033</v>
      </c>
      <c r="S71" s="17">
        <v>302.45999999999998</v>
      </c>
      <c r="T71" s="101"/>
      <c r="U71" s="35"/>
      <c r="V71" s="36"/>
      <c r="W71" s="43">
        <f t="shared" si="13"/>
        <v>2023180</v>
      </c>
      <c r="X71" s="44">
        <f t="shared" si="14"/>
        <v>682.66000000000031</v>
      </c>
      <c r="Y71" s="51"/>
      <c r="Z71" s="52"/>
      <c r="AA71" s="58">
        <f t="shared" si="15"/>
        <v>224083</v>
      </c>
      <c r="AB71" s="17">
        <f t="shared" si="16"/>
        <v>370.64000000000004</v>
      </c>
      <c r="AC71" s="101"/>
      <c r="AD71" s="359">
        <f t="shared" si="29"/>
        <v>21250326</v>
      </c>
      <c r="AE71" s="435">
        <f t="shared" si="29"/>
        <v>4144.5</v>
      </c>
    </row>
    <row r="72" spans="1:31" hidden="1" outlineLevel="1">
      <c r="A72" s="114">
        <v>43165</v>
      </c>
      <c r="B72" s="115">
        <f t="shared" si="17"/>
        <v>3</v>
      </c>
      <c r="C72" s="35"/>
      <c r="D72" s="36"/>
      <c r="E72" s="43">
        <v>18046316</v>
      </c>
      <c r="F72" s="44">
        <v>3801.05</v>
      </c>
      <c r="G72" s="51"/>
      <c r="H72" s="52"/>
      <c r="I72" s="58">
        <v>3222160</v>
      </c>
      <c r="J72" s="17">
        <v>774.03</v>
      </c>
      <c r="K72" s="101"/>
      <c r="L72" s="35"/>
      <c r="M72" s="36"/>
      <c r="N72" s="43">
        <v>15990582</v>
      </c>
      <c r="O72" s="44">
        <v>3128.07</v>
      </c>
      <c r="P72" s="51"/>
      <c r="Q72" s="52"/>
      <c r="R72" s="58">
        <v>3001179</v>
      </c>
      <c r="S72" s="17">
        <v>384.39</v>
      </c>
      <c r="T72" s="101"/>
      <c r="U72" s="35"/>
      <c r="V72" s="36"/>
      <c r="W72" s="43">
        <f t="shared" si="13"/>
        <v>2055734</v>
      </c>
      <c r="X72" s="44">
        <f t="shared" si="14"/>
        <v>672.98</v>
      </c>
      <c r="Y72" s="51"/>
      <c r="Z72" s="52"/>
      <c r="AA72" s="58">
        <f t="shared" si="15"/>
        <v>220981</v>
      </c>
      <c r="AB72" s="17">
        <f t="shared" si="16"/>
        <v>389.64</v>
      </c>
      <c r="AC72" s="101"/>
      <c r="AD72" s="359">
        <f t="shared" si="29"/>
        <v>21268476</v>
      </c>
      <c r="AE72" s="435">
        <f t="shared" si="29"/>
        <v>4575.08</v>
      </c>
    </row>
    <row r="73" spans="1:31" hidden="1" outlineLevel="1">
      <c r="A73" s="114">
        <v>43166</v>
      </c>
      <c r="B73" s="115">
        <f t="shared" si="17"/>
        <v>3</v>
      </c>
      <c r="C73" s="35"/>
      <c r="D73" s="36"/>
      <c r="E73" s="43">
        <v>19242301</v>
      </c>
      <c r="F73" s="44">
        <v>3825.76</v>
      </c>
      <c r="G73" s="51"/>
      <c r="H73" s="52"/>
      <c r="I73" s="58">
        <v>4376526</v>
      </c>
      <c r="J73" s="17">
        <v>848.17</v>
      </c>
      <c r="K73" s="101"/>
      <c r="L73" s="35"/>
      <c r="M73" s="36"/>
      <c r="N73" s="43">
        <v>17049277</v>
      </c>
      <c r="O73" s="44">
        <v>3128.12</v>
      </c>
      <c r="P73" s="51"/>
      <c r="Q73" s="52"/>
      <c r="R73" s="58">
        <v>4116126</v>
      </c>
      <c r="S73" s="17">
        <v>396.28</v>
      </c>
      <c r="T73" s="101"/>
      <c r="U73" s="35"/>
      <c r="V73" s="36"/>
      <c r="W73" s="43">
        <f t="shared" ref="W73:W138" si="30">E73-N73</f>
        <v>2193024</v>
      </c>
      <c r="X73" s="44">
        <f t="shared" ref="X73:X138" si="31">F73-O73</f>
        <v>697.64000000000033</v>
      </c>
      <c r="Y73" s="51"/>
      <c r="Z73" s="52"/>
      <c r="AA73" s="58">
        <f t="shared" ref="AA73:AA138" si="32">I73-R73</f>
        <v>260400</v>
      </c>
      <c r="AB73" s="17">
        <f t="shared" ref="AB73:AB138" si="33">J73-S73</f>
        <v>451.89</v>
      </c>
      <c r="AC73" s="101"/>
      <c r="AD73" s="359">
        <f t="shared" si="29"/>
        <v>23618827</v>
      </c>
      <c r="AE73" s="435">
        <f t="shared" si="29"/>
        <v>4673.93</v>
      </c>
    </row>
    <row r="74" spans="1:31" hidden="1" outlineLevel="1">
      <c r="A74" s="114">
        <v>43167</v>
      </c>
      <c r="B74" s="115">
        <f t="shared" si="17"/>
        <v>3</v>
      </c>
      <c r="C74" s="35"/>
      <c r="D74" s="36"/>
      <c r="E74" s="43">
        <v>18352319</v>
      </c>
      <c r="F74" s="44">
        <v>3609.8</v>
      </c>
      <c r="G74" s="51"/>
      <c r="H74" s="52"/>
      <c r="I74" s="58">
        <v>4480461</v>
      </c>
      <c r="J74" s="17">
        <v>859.92</v>
      </c>
      <c r="K74" s="101"/>
      <c r="L74" s="35"/>
      <c r="M74" s="36"/>
      <c r="N74" s="43">
        <v>16297580</v>
      </c>
      <c r="O74" s="44">
        <v>2888.93</v>
      </c>
      <c r="P74" s="51"/>
      <c r="Q74" s="52"/>
      <c r="R74" s="58">
        <v>4212545</v>
      </c>
      <c r="S74" s="17">
        <v>372.94</v>
      </c>
      <c r="T74" s="101"/>
      <c r="U74" s="35"/>
      <c r="V74" s="36"/>
      <c r="W74" s="43">
        <f t="shared" si="30"/>
        <v>2054739</v>
      </c>
      <c r="X74" s="44">
        <f t="shared" si="31"/>
        <v>720.87000000000035</v>
      </c>
      <c r="Y74" s="51"/>
      <c r="Z74" s="52"/>
      <c r="AA74" s="58">
        <f t="shared" si="32"/>
        <v>267916</v>
      </c>
      <c r="AB74" s="17">
        <f t="shared" si="33"/>
        <v>486.97999999999996</v>
      </c>
      <c r="AC74" s="101"/>
      <c r="AD74" s="359">
        <f t="shared" si="29"/>
        <v>22832780</v>
      </c>
      <c r="AE74" s="435">
        <f t="shared" si="29"/>
        <v>4469.72</v>
      </c>
    </row>
    <row r="75" spans="1:31" hidden="1" outlineLevel="1">
      <c r="A75" s="114">
        <v>43168</v>
      </c>
      <c r="B75" s="115">
        <f t="shared" si="17"/>
        <v>3</v>
      </c>
      <c r="C75" s="35"/>
      <c r="D75" s="36"/>
      <c r="E75" s="43">
        <v>22676849</v>
      </c>
      <c r="F75" s="44">
        <v>4323</v>
      </c>
      <c r="G75" s="51"/>
      <c r="H75" s="52"/>
      <c r="I75" s="58">
        <v>4527988</v>
      </c>
      <c r="J75" s="17">
        <v>843.42</v>
      </c>
      <c r="K75" s="101"/>
      <c r="L75" s="35"/>
      <c r="M75" s="36"/>
      <c r="N75" s="43">
        <v>20602254</v>
      </c>
      <c r="O75" s="44">
        <v>3652.27</v>
      </c>
      <c r="P75" s="51"/>
      <c r="Q75" s="52"/>
      <c r="R75" s="58">
        <v>4243627</v>
      </c>
      <c r="S75" s="17">
        <v>376.74</v>
      </c>
      <c r="T75" s="101"/>
      <c r="U75" s="35"/>
      <c r="V75" s="36"/>
      <c r="W75" s="43">
        <f t="shared" si="30"/>
        <v>2074595</v>
      </c>
      <c r="X75" s="44">
        <f t="shared" si="31"/>
        <v>670.73</v>
      </c>
      <c r="Y75" s="51"/>
      <c r="Z75" s="52"/>
      <c r="AA75" s="58">
        <f t="shared" si="32"/>
        <v>284361</v>
      </c>
      <c r="AB75" s="17">
        <f t="shared" si="33"/>
        <v>466.67999999999995</v>
      </c>
      <c r="AC75" s="101"/>
      <c r="AD75" s="359">
        <f t="shared" si="29"/>
        <v>27204837</v>
      </c>
      <c r="AE75" s="435">
        <f t="shared" si="29"/>
        <v>5166.42</v>
      </c>
    </row>
    <row r="76" spans="1:31" hidden="1" outlineLevel="1">
      <c r="A76" s="114">
        <v>43169</v>
      </c>
      <c r="B76" s="115">
        <f t="shared" si="17"/>
        <v>3</v>
      </c>
      <c r="C76" s="35"/>
      <c r="D76" s="36"/>
      <c r="E76" s="43">
        <v>23742909</v>
      </c>
      <c r="F76" s="44">
        <v>4091.77</v>
      </c>
      <c r="G76" s="51"/>
      <c r="H76" s="52"/>
      <c r="I76" s="58">
        <v>5051550</v>
      </c>
      <c r="J76" s="17">
        <v>830.75</v>
      </c>
      <c r="K76" s="101"/>
      <c r="L76" s="35"/>
      <c r="M76" s="36"/>
      <c r="N76" s="43">
        <v>21815221</v>
      </c>
      <c r="O76" s="44">
        <v>3487.5</v>
      </c>
      <c r="P76" s="51"/>
      <c r="Q76" s="52"/>
      <c r="R76" s="58">
        <v>4695212</v>
      </c>
      <c r="S76" s="17">
        <v>352.06</v>
      </c>
      <c r="T76" s="101"/>
      <c r="U76" s="35"/>
      <c r="V76" s="36"/>
      <c r="W76" s="43">
        <f t="shared" si="30"/>
        <v>1927688</v>
      </c>
      <c r="X76" s="44">
        <f t="shared" si="31"/>
        <v>604.27</v>
      </c>
      <c r="Y76" s="51"/>
      <c r="Z76" s="52"/>
      <c r="AA76" s="58">
        <f t="shared" si="32"/>
        <v>356338</v>
      </c>
      <c r="AB76" s="17">
        <f t="shared" si="33"/>
        <v>478.69</v>
      </c>
      <c r="AC76" s="101"/>
      <c r="AD76" s="359">
        <f t="shared" si="29"/>
        <v>28794459</v>
      </c>
      <c r="AE76" s="435">
        <f t="shared" si="29"/>
        <v>4922.5200000000004</v>
      </c>
    </row>
    <row r="77" spans="1:31" hidden="1" outlineLevel="1">
      <c r="A77" s="114">
        <v>43170</v>
      </c>
      <c r="B77" s="115">
        <f t="shared" si="17"/>
        <v>3</v>
      </c>
      <c r="C77" s="35"/>
      <c r="D77" s="36"/>
      <c r="E77" s="43">
        <v>17615778</v>
      </c>
      <c r="F77" s="44">
        <v>3669.5</v>
      </c>
      <c r="G77" s="51"/>
      <c r="H77" s="52"/>
      <c r="I77" s="58">
        <v>4116145</v>
      </c>
      <c r="J77" s="17">
        <v>824.67</v>
      </c>
      <c r="K77" s="101"/>
      <c r="L77" s="35"/>
      <c r="M77" s="36"/>
      <c r="N77" s="43">
        <v>15875120</v>
      </c>
      <c r="O77" s="44">
        <v>3084.15</v>
      </c>
      <c r="P77" s="51"/>
      <c r="Q77" s="52"/>
      <c r="R77" s="58">
        <v>3829095</v>
      </c>
      <c r="S77" s="17">
        <v>374.97</v>
      </c>
      <c r="T77" s="101"/>
      <c r="U77" s="35"/>
      <c r="V77" s="36"/>
      <c r="W77" s="43">
        <f t="shared" si="30"/>
        <v>1740658</v>
      </c>
      <c r="X77" s="44">
        <f t="shared" si="31"/>
        <v>585.34999999999991</v>
      </c>
      <c r="Y77" s="51"/>
      <c r="Z77" s="52"/>
      <c r="AA77" s="58">
        <f t="shared" si="32"/>
        <v>287050</v>
      </c>
      <c r="AB77" s="17">
        <f t="shared" si="33"/>
        <v>449.69999999999993</v>
      </c>
      <c r="AC77" s="101"/>
      <c r="AD77" s="359">
        <f t="shared" si="29"/>
        <v>21731923</v>
      </c>
      <c r="AE77" s="435">
        <f t="shared" si="29"/>
        <v>4494.17</v>
      </c>
    </row>
    <row r="78" spans="1:31" hidden="1" outlineLevel="1">
      <c r="A78" s="114">
        <v>43171</v>
      </c>
      <c r="B78" s="115">
        <f t="shared" si="17"/>
        <v>3</v>
      </c>
      <c r="C78" s="35"/>
      <c r="D78" s="36"/>
      <c r="E78" s="43">
        <v>18054301</v>
      </c>
      <c r="F78" s="44">
        <v>4061.8</v>
      </c>
      <c r="G78" s="51"/>
      <c r="H78" s="52"/>
      <c r="I78" s="58">
        <v>4190526</v>
      </c>
      <c r="J78" s="17">
        <v>875.72</v>
      </c>
      <c r="K78" s="101"/>
      <c r="L78" s="35"/>
      <c r="M78" s="36"/>
      <c r="N78" s="43">
        <v>16234498</v>
      </c>
      <c r="O78" s="44">
        <v>3372.53</v>
      </c>
      <c r="P78" s="51"/>
      <c r="Q78" s="52"/>
      <c r="R78" s="58">
        <v>3927486</v>
      </c>
      <c r="S78" s="17">
        <v>402.55</v>
      </c>
      <c r="T78" s="101"/>
      <c r="U78" s="35"/>
      <c r="V78" s="36"/>
      <c r="W78" s="43">
        <f t="shared" si="30"/>
        <v>1819803</v>
      </c>
      <c r="X78" s="44">
        <f t="shared" si="31"/>
        <v>689.27</v>
      </c>
      <c r="Y78" s="51"/>
      <c r="Z78" s="52"/>
      <c r="AA78" s="58">
        <f t="shared" si="32"/>
        <v>263040</v>
      </c>
      <c r="AB78" s="17">
        <f t="shared" si="33"/>
        <v>473.17</v>
      </c>
      <c r="AC78" s="101"/>
      <c r="AD78" s="359">
        <f t="shared" si="29"/>
        <v>22244827</v>
      </c>
      <c r="AE78" s="435">
        <f t="shared" si="29"/>
        <v>4937.5200000000004</v>
      </c>
    </row>
    <row r="79" spans="1:31" hidden="1" outlineLevel="1">
      <c r="A79" s="114">
        <v>43172</v>
      </c>
      <c r="B79" s="115">
        <f t="shared" si="17"/>
        <v>3</v>
      </c>
      <c r="C79" s="35"/>
      <c r="D79" s="36"/>
      <c r="E79" s="43">
        <v>17126059</v>
      </c>
      <c r="F79" s="44">
        <v>5311.76</v>
      </c>
      <c r="G79" s="51"/>
      <c r="H79" s="52"/>
      <c r="I79" s="58">
        <v>4137864</v>
      </c>
      <c r="J79" s="17">
        <v>1043.08</v>
      </c>
      <c r="K79" s="101"/>
      <c r="L79" s="35"/>
      <c r="M79" s="36"/>
      <c r="N79" s="43">
        <v>15445458</v>
      </c>
      <c r="O79" s="44">
        <v>4551.53</v>
      </c>
      <c r="P79" s="51"/>
      <c r="Q79" s="52"/>
      <c r="R79" s="58">
        <v>3868632</v>
      </c>
      <c r="S79" s="17">
        <v>524.58000000000004</v>
      </c>
      <c r="T79" s="101"/>
      <c r="U79" s="35"/>
      <c r="V79" s="36"/>
      <c r="W79" s="43">
        <f t="shared" si="30"/>
        <v>1680601</v>
      </c>
      <c r="X79" s="44">
        <f t="shared" si="31"/>
        <v>760.23000000000047</v>
      </c>
      <c r="Y79" s="51"/>
      <c r="Z79" s="52"/>
      <c r="AA79" s="58">
        <f t="shared" si="32"/>
        <v>269232</v>
      </c>
      <c r="AB79" s="17">
        <f t="shared" si="33"/>
        <v>518.49999999999989</v>
      </c>
      <c r="AC79" s="101"/>
      <c r="AD79" s="359">
        <f t="shared" si="29"/>
        <v>21263923</v>
      </c>
      <c r="AE79" s="435">
        <f t="shared" si="29"/>
        <v>6354.84</v>
      </c>
    </row>
    <row r="80" spans="1:31" hidden="1" outlineLevel="1">
      <c r="A80" s="114">
        <v>43173</v>
      </c>
      <c r="B80" s="115">
        <f t="shared" si="17"/>
        <v>3</v>
      </c>
      <c r="C80" s="35"/>
      <c r="D80" s="36"/>
      <c r="E80" s="43">
        <v>17623598</v>
      </c>
      <c r="F80" s="44">
        <v>4808.62</v>
      </c>
      <c r="G80" s="51"/>
      <c r="H80" s="52"/>
      <c r="I80" s="58">
        <v>4348692</v>
      </c>
      <c r="J80" s="17">
        <v>1120.93</v>
      </c>
      <c r="K80" s="101"/>
      <c r="L80" s="35"/>
      <c r="M80" s="36"/>
      <c r="N80" s="43">
        <v>15889725</v>
      </c>
      <c r="O80" s="44">
        <v>3960.21</v>
      </c>
      <c r="P80" s="51"/>
      <c r="Q80" s="52"/>
      <c r="R80" s="58">
        <v>4083964</v>
      </c>
      <c r="S80" s="17">
        <v>585.08000000000004</v>
      </c>
      <c r="T80" s="101"/>
      <c r="U80" s="35"/>
      <c r="V80" s="36"/>
      <c r="W80" s="43">
        <f t="shared" si="30"/>
        <v>1733873</v>
      </c>
      <c r="X80" s="44">
        <f t="shared" si="31"/>
        <v>848.40999999999985</v>
      </c>
      <c r="Y80" s="51"/>
      <c r="Z80" s="52"/>
      <c r="AA80" s="58">
        <f t="shared" si="32"/>
        <v>264728</v>
      </c>
      <c r="AB80" s="17">
        <f t="shared" si="33"/>
        <v>535.85</v>
      </c>
      <c r="AC80" s="101"/>
      <c r="AD80" s="359">
        <f t="shared" si="29"/>
        <v>21972290</v>
      </c>
      <c r="AE80" s="435">
        <f t="shared" si="29"/>
        <v>5929.55</v>
      </c>
    </row>
    <row r="81" spans="1:31" hidden="1" outlineLevel="1">
      <c r="A81" s="114">
        <v>43174</v>
      </c>
      <c r="B81" s="115">
        <f t="shared" si="17"/>
        <v>3</v>
      </c>
      <c r="C81" s="35"/>
      <c r="D81" s="36"/>
      <c r="E81" s="43">
        <v>17731984</v>
      </c>
      <c r="F81" s="44">
        <v>5008.8900000000003</v>
      </c>
      <c r="G81" s="51"/>
      <c r="H81" s="52"/>
      <c r="I81" s="58">
        <v>4400082</v>
      </c>
      <c r="J81" s="17">
        <v>1136.9100000000001</v>
      </c>
      <c r="K81" s="101"/>
      <c r="L81" s="35"/>
      <c r="M81" s="36"/>
      <c r="N81" s="43">
        <v>16049432</v>
      </c>
      <c r="O81" s="44">
        <v>4242.3500000000004</v>
      </c>
      <c r="P81" s="51"/>
      <c r="Q81" s="52"/>
      <c r="R81" s="58">
        <v>4128448</v>
      </c>
      <c r="S81" s="17">
        <v>589.16</v>
      </c>
      <c r="T81" s="101"/>
      <c r="U81" s="35"/>
      <c r="V81" s="36"/>
      <c r="W81" s="43">
        <f t="shared" si="30"/>
        <v>1682552</v>
      </c>
      <c r="X81" s="44">
        <f t="shared" si="31"/>
        <v>766.54</v>
      </c>
      <c r="Y81" s="51"/>
      <c r="Z81" s="52"/>
      <c r="AA81" s="58">
        <f t="shared" si="32"/>
        <v>271634</v>
      </c>
      <c r="AB81" s="17">
        <f t="shared" si="33"/>
        <v>547.75000000000011</v>
      </c>
      <c r="AC81" s="101"/>
      <c r="AD81" s="359">
        <f t="shared" si="29"/>
        <v>22132066</v>
      </c>
      <c r="AE81" s="435">
        <f t="shared" si="29"/>
        <v>6145.8</v>
      </c>
    </row>
    <row r="82" spans="1:31" hidden="1" outlineLevel="1">
      <c r="A82" s="114">
        <v>43175</v>
      </c>
      <c r="B82" s="115">
        <f t="shared" si="17"/>
        <v>3</v>
      </c>
      <c r="C82" s="35"/>
      <c r="D82" s="36"/>
      <c r="E82" s="43">
        <v>26802929</v>
      </c>
      <c r="F82" s="44">
        <v>5630.85</v>
      </c>
      <c r="G82" s="51"/>
      <c r="H82" s="52"/>
      <c r="I82" s="58">
        <v>4767456</v>
      </c>
      <c r="J82" s="17">
        <v>1123.99</v>
      </c>
      <c r="K82" s="101"/>
      <c r="L82" s="35"/>
      <c r="M82" s="36"/>
      <c r="N82" s="43">
        <v>20958517</v>
      </c>
      <c r="O82" s="44">
        <v>4883.18</v>
      </c>
      <c r="P82" s="51"/>
      <c r="Q82" s="52"/>
      <c r="R82" s="58">
        <v>4467224</v>
      </c>
      <c r="S82" s="17">
        <v>564.03</v>
      </c>
      <c r="T82" s="101"/>
      <c r="U82" s="35"/>
      <c r="V82" s="36"/>
      <c r="W82" s="43">
        <f t="shared" si="30"/>
        <v>5844412</v>
      </c>
      <c r="X82" s="44">
        <f t="shared" si="31"/>
        <v>747.67000000000007</v>
      </c>
      <c r="Y82" s="51"/>
      <c r="Z82" s="52"/>
      <c r="AA82" s="58">
        <f t="shared" si="32"/>
        <v>300232</v>
      </c>
      <c r="AB82" s="17">
        <f t="shared" si="33"/>
        <v>559.96</v>
      </c>
      <c r="AC82" s="101"/>
      <c r="AD82" s="359">
        <f t="shared" si="29"/>
        <v>31570385</v>
      </c>
      <c r="AE82" s="435">
        <f t="shared" si="29"/>
        <v>6754.84</v>
      </c>
    </row>
    <row r="83" spans="1:31" hidden="1" outlineLevel="1">
      <c r="A83" s="114">
        <v>43176</v>
      </c>
      <c r="B83" s="115">
        <f t="shared" si="17"/>
        <v>3</v>
      </c>
      <c r="C83" s="35"/>
      <c r="D83" s="36"/>
      <c r="E83" s="43">
        <v>27329991</v>
      </c>
      <c r="F83" s="44">
        <v>6493.11</v>
      </c>
      <c r="G83" s="51"/>
      <c r="H83" s="52"/>
      <c r="I83" s="58">
        <v>5326120</v>
      </c>
      <c r="J83" s="17">
        <v>1050.1600000000001</v>
      </c>
      <c r="K83" s="101"/>
      <c r="L83" s="35"/>
      <c r="M83" s="36"/>
      <c r="N83" s="43">
        <v>21977103</v>
      </c>
      <c r="O83" s="44">
        <v>4609.13</v>
      </c>
      <c r="P83" s="51"/>
      <c r="Q83" s="52"/>
      <c r="R83" s="58">
        <v>4985879</v>
      </c>
      <c r="S83" s="17">
        <v>523.51</v>
      </c>
      <c r="T83" s="101"/>
      <c r="U83" s="35"/>
      <c r="V83" s="36"/>
      <c r="W83" s="43">
        <f t="shared" si="30"/>
        <v>5352888</v>
      </c>
      <c r="X83" s="44">
        <f t="shared" si="31"/>
        <v>1883.9799999999996</v>
      </c>
      <c r="Y83" s="51"/>
      <c r="Z83" s="52"/>
      <c r="AA83" s="58">
        <f t="shared" si="32"/>
        <v>340241</v>
      </c>
      <c r="AB83" s="17">
        <f t="shared" si="33"/>
        <v>526.65000000000009</v>
      </c>
      <c r="AC83" s="101"/>
      <c r="AD83" s="359">
        <f t="shared" si="29"/>
        <v>32656111</v>
      </c>
      <c r="AE83" s="435">
        <f t="shared" si="29"/>
        <v>7543.2699999999995</v>
      </c>
    </row>
    <row r="84" spans="1:31" hidden="1" outlineLevel="1">
      <c r="A84" s="114">
        <v>43177</v>
      </c>
      <c r="B84" s="115">
        <f t="shared" si="17"/>
        <v>3</v>
      </c>
      <c r="C84" s="35"/>
      <c r="D84" s="36"/>
      <c r="E84" s="43">
        <v>21703646</v>
      </c>
      <c r="F84" s="44">
        <v>5384.55</v>
      </c>
      <c r="G84" s="51"/>
      <c r="H84" s="52"/>
      <c r="I84" s="58">
        <v>5066045</v>
      </c>
      <c r="J84" s="17">
        <v>1089.54</v>
      </c>
      <c r="K84" s="101"/>
      <c r="L84" s="35"/>
      <c r="M84" s="36"/>
      <c r="N84" s="43">
        <v>16786832</v>
      </c>
      <c r="O84" s="44">
        <v>3504.38</v>
      </c>
      <c r="P84" s="51"/>
      <c r="Q84" s="52"/>
      <c r="R84" s="58">
        <v>4616366</v>
      </c>
      <c r="S84" s="17">
        <v>520.29999999999995</v>
      </c>
      <c r="T84" s="101"/>
      <c r="U84" s="35"/>
      <c r="V84" s="36"/>
      <c r="W84" s="43">
        <f t="shared" si="30"/>
        <v>4916814</v>
      </c>
      <c r="X84" s="44">
        <f t="shared" si="31"/>
        <v>1880.17</v>
      </c>
      <c r="Y84" s="51"/>
      <c r="Z84" s="52"/>
      <c r="AA84" s="58">
        <f t="shared" si="32"/>
        <v>449679</v>
      </c>
      <c r="AB84" s="17">
        <f t="shared" si="33"/>
        <v>569.24</v>
      </c>
      <c r="AC84" s="101"/>
      <c r="AD84" s="359">
        <f t="shared" si="29"/>
        <v>26769691</v>
      </c>
      <c r="AE84" s="435">
        <f t="shared" si="29"/>
        <v>6474.09</v>
      </c>
    </row>
    <row r="85" spans="1:31" hidden="1" outlineLevel="1">
      <c r="A85" s="114">
        <v>43178</v>
      </c>
      <c r="B85" s="115">
        <f t="shared" si="17"/>
        <v>3</v>
      </c>
      <c r="C85" s="35"/>
      <c r="D85" s="36"/>
      <c r="E85" s="43">
        <v>20012845</v>
      </c>
      <c r="F85" s="44">
        <v>5781.78</v>
      </c>
      <c r="G85" s="51"/>
      <c r="H85" s="52"/>
      <c r="I85" s="58">
        <v>5262250</v>
      </c>
      <c r="J85" s="17">
        <v>1322.61</v>
      </c>
      <c r="K85" s="101"/>
      <c r="L85" s="35"/>
      <c r="M85" s="36"/>
      <c r="N85" s="43">
        <v>15456900</v>
      </c>
      <c r="O85" s="44">
        <v>3871.31</v>
      </c>
      <c r="P85" s="51"/>
      <c r="Q85" s="52"/>
      <c r="R85" s="58">
        <v>4739690</v>
      </c>
      <c r="S85" s="17">
        <v>592.13</v>
      </c>
      <c r="T85" s="101"/>
      <c r="U85" s="35"/>
      <c r="V85" s="36"/>
      <c r="W85" s="43">
        <f t="shared" si="30"/>
        <v>4555945</v>
      </c>
      <c r="X85" s="44">
        <f t="shared" si="31"/>
        <v>1910.4699999999998</v>
      </c>
      <c r="Y85" s="51"/>
      <c r="Z85" s="52"/>
      <c r="AA85" s="58">
        <f t="shared" si="32"/>
        <v>522560</v>
      </c>
      <c r="AB85" s="17">
        <f t="shared" si="33"/>
        <v>730.4799999999999</v>
      </c>
      <c r="AC85" s="101"/>
      <c r="AD85" s="359">
        <f t="shared" si="29"/>
        <v>25275095</v>
      </c>
      <c r="AE85" s="435">
        <f t="shared" si="29"/>
        <v>7104.3899999999994</v>
      </c>
    </row>
    <row r="86" spans="1:31" hidden="1" outlineLevel="1">
      <c r="A86" s="114">
        <v>43179</v>
      </c>
      <c r="B86" s="115">
        <f t="shared" si="17"/>
        <v>3</v>
      </c>
      <c r="C86" s="35"/>
      <c r="D86" s="36"/>
      <c r="E86" s="43">
        <v>19485233</v>
      </c>
      <c r="F86" s="44">
        <v>6216.58</v>
      </c>
      <c r="G86" s="51"/>
      <c r="H86" s="52"/>
      <c r="I86" s="58">
        <v>5758857</v>
      </c>
      <c r="J86" s="17">
        <v>1366.75</v>
      </c>
      <c r="K86" s="101"/>
      <c r="L86" s="35"/>
      <c r="M86" s="36"/>
      <c r="N86" s="43">
        <v>15181176</v>
      </c>
      <c r="O86" s="44">
        <v>4390.72</v>
      </c>
      <c r="P86" s="51"/>
      <c r="Q86" s="52"/>
      <c r="R86" s="58">
        <v>5348962</v>
      </c>
      <c r="S86" s="17">
        <v>718.66</v>
      </c>
      <c r="T86" s="101"/>
      <c r="U86" s="35"/>
      <c r="V86" s="36"/>
      <c r="W86" s="43">
        <f t="shared" si="30"/>
        <v>4304057</v>
      </c>
      <c r="X86" s="44">
        <f t="shared" si="31"/>
        <v>1825.8599999999997</v>
      </c>
      <c r="Y86" s="51"/>
      <c r="Z86" s="52"/>
      <c r="AA86" s="58">
        <f t="shared" si="32"/>
        <v>409895</v>
      </c>
      <c r="AB86" s="17">
        <f t="shared" si="33"/>
        <v>648.09</v>
      </c>
      <c r="AC86" s="101"/>
      <c r="AD86" s="359">
        <f t="shared" si="29"/>
        <v>25244090</v>
      </c>
      <c r="AE86" s="435">
        <f t="shared" si="29"/>
        <v>7583.33</v>
      </c>
    </row>
    <row r="87" spans="1:31" hidden="1" outlineLevel="1">
      <c r="A87" s="114">
        <v>43180</v>
      </c>
      <c r="B87" s="115">
        <f t="shared" si="17"/>
        <v>3</v>
      </c>
      <c r="C87" s="35"/>
      <c r="D87" s="36"/>
      <c r="E87" s="43">
        <v>19823714</v>
      </c>
      <c r="F87" s="44">
        <v>6280.3</v>
      </c>
      <c r="G87" s="51"/>
      <c r="H87" s="52"/>
      <c r="I87" s="58">
        <v>6302779</v>
      </c>
      <c r="J87" s="17">
        <v>1494.96</v>
      </c>
      <c r="K87" s="101"/>
      <c r="L87" s="35"/>
      <c r="M87" s="36"/>
      <c r="N87" s="43">
        <v>15399874</v>
      </c>
      <c r="O87" s="44">
        <v>4390.34</v>
      </c>
      <c r="P87" s="51"/>
      <c r="Q87" s="52"/>
      <c r="R87" s="58">
        <v>5719110</v>
      </c>
      <c r="S87" s="17">
        <v>868.77</v>
      </c>
      <c r="T87" s="101"/>
      <c r="U87" s="35"/>
      <c r="V87" s="36"/>
      <c r="W87" s="43">
        <f t="shared" si="30"/>
        <v>4423840</v>
      </c>
      <c r="X87" s="44">
        <f t="shared" si="31"/>
        <v>1889.96</v>
      </c>
      <c r="Y87" s="51"/>
      <c r="Z87" s="52"/>
      <c r="AA87" s="58">
        <f t="shared" si="32"/>
        <v>583669</v>
      </c>
      <c r="AB87" s="17">
        <f t="shared" si="33"/>
        <v>626.19000000000005</v>
      </c>
      <c r="AC87" s="101"/>
      <c r="AD87" s="359">
        <f t="shared" si="29"/>
        <v>26126493</v>
      </c>
      <c r="AE87" s="435">
        <f t="shared" si="29"/>
        <v>7775.26</v>
      </c>
    </row>
    <row r="88" spans="1:31" hidden="1" outlineLevel="1">
      <c r="A88" s="114">
        <v>43181</v>
      </c>
      <c r="B88" s="115">
        <f t="shared" si="17"/>
        <v>3</v>
      </c>
      <c r="C88" s="35"/>
      <c r="D88" s="36"/>
      <c r="E88" s="43">
        <v>20412306</v>
      </c>
      <c r="F88" s="44">
        <v>6486.62</v>
      </c>
      <c r="G88" s="51"/>
      <c r="H88" s="52"/>
      <c r="I88" s="58">
        <v>8438400</v>
      </c>
      <c r="J88" s="17">
        <v>2363.2399999999998</v>
      </c>
      <c r="K88" s="101"/>
      <c r="L88" s="35"/>
      <c r="M88" s="36"/>
      <c r="N88" s="43">
        <v>15846364</v>
      </c>
      <c r="O88" s="44">
        <v>4591.8500000000004</v>
      </c>
      <c r="P88" s="51"/>
      <c r="Q88" s="52"/>
      <c r="R88" s="58">
        <v>6858633</v>
      </c>
      <c r="S88" s="17">
        <v>987.64</v>
      </c>
      <c r="T88" s="101"/>
      <c r="U88" s="35"/>
      <c r="V88" s="36"/>
      <c r="W88" s="43">
        <f t="shared" si="30"/>
        <v>4565942</v>
      </c>
      <c r="X88" s="44">
        <f t="shared" si="31"/>
        <v>1894.7699999999995</v>
      </c>
      <c r="Y88" s="51"/>
      <c r="Z88" s="52"/>
      <c r="AA88" s="58">
        <f t="shared" si="32"/>
        <v>1579767</v>
      </c>
      <c r="AB88" s="17">
        <f t="shared" si="33"/>
        <v>1375.6</v>
      </c>
      <c r="AC88" s="101"/>
      <c r="AD88" s="359">
        <f t="shared" si="29"/>
        <v>28850706</v>
      </c>
      <c r="AE88" s="435">
        <f t="shared" si="29"/>
        <v>8849.86</v>
      </c>
    </row>
    <row r="89" spans="1:31" hidden="1" outlineLevel="1">
      <c r="A89" s="114">
        <v>43182</v>
      </c>
      <c r="B89" s="115">
        <f t="shared" si="17"/>
        <v>3</v>
      </c>
      <c r="C89" s="35"/>
      <c r="D89" s="36"/>
      <c r="E89" s="43">
        <v>24677662</v>
      </c>
      <c r="F89" s="44">
        <v>7972.49</v>
      </c>
      <c r="G89" s="51"/>
      <c r="H89" s="52"/>
      <c r="I89" s="58">
        <v>6970394</v>
      </c>
      <c r="J89" s="17">
        <v>1718.3</v>
      </c>
      <c r="K89" s="101"/>
      <c r="L89" s="35"/>
      <c r="M89" s="36"/>
      <c r="N89" s="43">
        <v>20088395</v>
      </c>
      <c r="O89" s="44">
        <v>6052.04</v>
      </c>
      <c r="P89" s="51"/>
      <c r="Q89" s="52"/>
      <c r="R89" s="58">
        <v>6242987</v>
      </c>
      <c r="S89" s="17">
        <v>863.78</v>
      </c>
      <c r="T89" s="101"/>
      <c r="U89" s="35"/>
      <c r="V89" s="36"/>
      <c r="W89" s="43">
        <f t="shared" si="30"/>
        <v>4589267</v>
      </c>
      <c r="X89" s="44">
        <f t="shared" si="31"/>
        <v>1920.4499999999998</v>
      </c>
      <c r="Y89" s="51"/>
      <c r="Z89" s="52"/>
      <c r="AA89" s="58">
        <f t="shared" si="32"/>
        <v>727407</v>
      </c>
      <c r="AB89" s="17">
        <f t="shared" si="33"/>
        <v>854.52</v>
      </c>
      <c r="AC89" s="101"/>
      <c r="AD89" s="359">
        <f t="shared" si="29"/>
        <v>31648056</v>
      </c>
      <c r="AE89" s="435">
        <f t="shared" si="29"/>
        <v>9690.7899999999991</v>
      </c>
    </row>
    <row r="90" spans="1:31" hidden="1" outlineLevel="1">
      <c r="A90" s="114">
        <v>43183</v>
      </c>
      <c r="B90" s="115">
        <f t="shared" si="17"/>
        <v>3</v>
      </c>
      <c r="C90" s="35"/>
      <c r="D90" s="36"/>
      <c r="E90" s="43">
        <v>26707887</v>
      </c>
      <c r="F90" s="44">
        <v>7570.49</v>
      </c>
      <c r="G90" s="51"/>
      <c r="H90" s="52"/>
      <c r="I90" s="58">
        <v>7981097</v>
      </c>
      <c r="J90" s="17">
        <v>1642.72</v>
      </c>
      <c r="K90" s="101"/>
      <c r="L90" s="35"/>
      <c r="M90" s="36"/>
      <c r="N90" s="43">
        <v>21661008</v>
      </c>
      <c r="O90" s="44">
        <v>5653.03</v>
      </c>
      <c r="P90" s="51"/>
      <c r="Q90" s="52"/>
      <c r="R90" s="58">
        <v>7042159</v>
      </c>
      <c r="S90" s="17">
        <v>788.13</v>
      </c>
      <c r="T90" s="101"/>
      <c r="U90" s="35"/>
      <c r="V90" s="36"/>
      <c r="W90" s="43">
        <f t="shared" si="30"/>
        <v>5046879</v>
      </c>
      <c r="X90" s="44">
        <f t="shared" si="31"/>
        <v>1917.46</v>
      </c>
      <c r="Y90" s="51"/>
      <c r="Z90" s="52"/>
      <c r="AA90" s="58">
        <f t="shared" si="32"/>
        <v>938938</v>
      </c>
      <c r="AB90" s="17">
        <f t="shared" si="33"/>
        <v>854.59</v>
      </c>
      <c r="AC90" s="101"/>
      <c r="AD90" s="359">
        <f t="shared" si="29"/>
        <v>34688984</v>
      </c>
      <c r="AE90" s="435">
        <f t="shared" si="29"/>
        <v>9213.2099999999991</v>
      </c>
    </row>
    <row r="91" spans="1:31" hidden="1" outlineLevel="1">
      <c r="A91" s="114">
        <v>43184</v>
      </c>
      <c r="B91" s="115">
        <f t="shared" si="17"/>
        <v>3</v>
      </c>
      <c r="C91" s="35"/>
      <c r="D91" s="36"/>
      <c r="E91" s="43">
        <v>21754894</v>
      </c>
      <c r="F91" s="44">
        <v>6450.26</v>
      </c>
      <c r="G91" s="51"/>
      <c r="H91" s="52"/>
      <c r="I91" s="58">
        <v>7694599</v>
      </c>
      <c r="J91" s="17">
        <v>1655.7</v>
      </c>
      <c r="K91" s="101"/>
      <c r="L91" s="35"/>
      <c r="M91" s="36"/>
      <c r="N91" s="43">
        <v>16936213</v>
      </c>
      <c r="O91" s="44">
        <v>4584.13</v>
      </c>
      <c r="P91" s="51"/>
      <c r="Q91" s="52"/>
      <c r="R91" s="58">
        <v>6671964</v>
      </c>
      <c r="S91" s="17">
        <v>784.11</v>
      </c>
      <c r="T91" s="101"/>
      <c r="U91" s="35"/>
      <c r="V91" s="36"/>
      <c r="W91" s="43">
        <f t="shared" si="30"/>
        <v>4818681</v>
      </c>
      <c r="X91" s="44">
        <f t="shared" si="31"/>
        <v>1866.13</v>
      </c>
      <c r="Y91" s="51"/>
      <c r="Z91" s="52"/>
      <c r="AA91" s="58">
        <f t="shared" si="32"/>
        <v>1022635</v>
      </c>
      <c r="AB91" s="17">
        <f t="shared" si="33"/>
        <v>871.59</v>
      </c>
      <c r="AC91" s="101"/>
      <c r="AD91" s="359">
        <f t="shared" si="29"/>
        <v>29449493</v>
      </c>
      <c r="AE91" s="435">
        <f t="shared" si="29"/>
        <v>8105.96</v>
      </c>
    </row>
    <row r="92" spans="1:31" hidden="1" outlineLevel="1">
      <c r="A92" s="114">
        <v>43185</v>
      </c>
      <c r="B92" s="115">
        <f t="shared" si="17"/>
        <v>3</v>
      </c>
      <c r="C92" s="35"/>
      <c r="D92" s="36"/>
      <c r="E92" s="43">
        <v>22885074</v>
      </c>
      <c r="F92" s="44">
        <v>6426.9</v>
      </c>
      <c r="G92" s="51"/>
      <c r="H92" s="52"/>
      <c r="I92" s="58">
        <v>7751851</v>
      </c>
      <c r="J92" s="17">
        <v>1781.92</v>
      </c>
      <c r="K92" s="101"/>
      <c r="L92" s="35"/>
      <c r="M92" s="36"/>
      <c r="N92" s="43">
        <v>18126454</v>
      </c>
      <c r="O92" s="44">
        <v>4289.04</v>
      </c>
      <c r="P92" s="51"/>
      <c r="Q92" s="52"/>
      <c r="R92" s="58">
        <v>6621727</v>
      </c>
      <c r="S92" s="17">
        <v>803.66</v>
      </c>
      <c r="T92" s="101"/>
      <c r="U92" s="35"/>
      <c r="V92" s="36"/>
      <c r="W92" s="43">
        <f t="shared" si="30"/>
        <v>4758620</v>
      </c>
      <c r="X92" s="44">
        <f t="shared" si="31"/>
        <v>2137.8599999999997</v>
      </c>
      <c r="Y92" s="51"/>
      <c r="Z92" s="52"/>
      <c r="AA92" s="58">
        <f t="shared" si="32"/>
        <v>1130124</v>
      </c>
      <c r="AB92" s="17">
        <f t="shared" si="33"/>
        <v>978.2600000000001</v>
      </c>
      <c r="AC92" s="101"/>
      <c r="AD92" s="359">
        <f t="shared" si="29"/>
        <v>30636925</v>
      </c>
      <c r="AE92" s="435">
        <f t="shared" si="29"/>
        <v>8208.82</v>
      </c>
    </row>
    <row r="93" spans="1:31" hidden="1" outlineLevel="1">
      <c r="A93" s="114">
        <v>43186</v>
      </c>
      <c r="B93" s="115">
        <f t="shared" ref="B93:B158" si="34">MONTH(A93)</f>
        <v>3</v>
      </c>
      <c r="C93" s="35"/>
      <c r="D93" s="36"/>
      <c r="E93" s="43">
        <v>21138103</v>
      </c>
      <c r="F93" s="44">
        <v>6618.54</v>
      </c>
      <c r="G93" s="51"/>
      <c r="H93" s="52"/>
      <c r="I93" s="58">
        <v>8066465</v>
      </c>
      <c r="J93" s="17">
        <v>1795.15</v>
      </c>
      <c r="K93" s="101"/>
      <c r="L93" s="35"/>
      <c r="M93" s="36"/>
      <c r="N93" s="43">
        <v>15850338</v>
      </c>
      <c r="O93" s="44">
        <v>4125.8</v>
      </c>
      <c r="P93" s="51"/>
      <c r="Q93" s="52"/>
      <c r="R93" s="58">
        <v>7056835</v>
      </c>
      <c r="S93" s="17">
        <v>824.15</v>
      </c>
      <c r="T93" s="101"/>
      <c r="U93" s="35"/>
      <c r="V93" s="36"/>
      <c r="W93" s="43">
        <f t="shared" si="30"/>
        <v>5287765</v>
      </c>
      <c r="X93" s="44">
        <f t="shared" si="31"/>
        <v>2492.7399999999998</v>
      </c>
      <c r="Y93" s="51"/>
      <c r="Z93" s="52"/>
      <c r="AA93" s="58">
        <f t="shared" si="32"/>
        <v>1009630</v>
      </c>
      <c r="AB93" s="17">
        <f t="shared" si="33"/>
        <v>971.00000000000011</v>
      </c>
      <c r="AC93" s="101"/>
      <c r="AD93" s="359">
        <f t="shared" ref="AD93:AE97" si="35">SUM(C93,E93,G93,I93)</f>
        <v>29204568</v>
      </c>
      <c r="AE93" s="435">
        <f t="shared" si="35"/>
        <v>8413.69</v>
      </c>
    </row>
    <row r="94" spans="1:31" hidden="1" outlineLevel="1">
      <c r="A94" s="114">
        <v>43187</v>
      </c>
      <c r="B94" s="115">
        <f t="shared" si="34"/>
        <v>3</v>
      </c>
      <c r="C94" s="35"/>
      <c r="D94" s="36"/>
      <c r="E94" s="43">
        <v>23132300</v>
      </c>
      <c r="F94" s="44">
        <v>6650.17</v>
      </c>
      <c r="G94" s="51"/>
      <c r="H94" s="52"/>
      <c r="I94" s="58">
        <v>8200139</v>
      </c>
      <c r="J94" s="17">
        <v>1830.6</v>
      </c>
      <c r="K94" s="101"/>
      <c r="L94" s="35"/>
      <c r="M94" s="36"/>
      <c r="N94" s="43">
        <v>17043757</v>
      </c>
      <c r="O94" s="44">
        <v>4084.23</v>
      </c>
      <c r="P94" s="51"/>
      <c r="Q94" s="52"/>
      <c r="R94" s="58">
        <v>7300669</v>
      </c>
      <c r="S94" s="17">
        <v>861.1</v>
      </c>
      <c r="T94" s="101"/>
      <c r="U94" s="35"/>
      <c r="V94" s="36"/>
      <c r="W94" s="43">
        <f t="shared" si="30"/>
        <v>6088543</v>
      </c>
      <c r="X94" s="44">
        <f t="shared" si="31"/>
        <v>2565.94</v>
      </c>
      <c r="Y94" s="51"/>
      <c r="Z94" s="52"/>
      <c r="AA94" s="58">
        <f t="shared" si="32"/>
        <v>899470</v>
      </c>
      <c r="AB94" s="17">
        <f t="shared" si="33"/>
        <v>969.49999999999989</v>
      </c>
      <c r="AC94" s="101"/>
      <c r="AD94" s="359">
        <f t="shared" si="35"/>
        <v>31332439</v>
      </c>
      <c r="AE94" s="435">
        <f t="shared" si="35"/>
        <v>8480.77</v>
      </c>
    </row>
    <row r="95" spans="1:31" hidden="1" outlineLevel="1">
      <c r="A95" s="114">
        <v>43188</v>
      </c>
      <c r="B95" s="115">
        <f t="shared" si="34"/>
        <v>3</v>
      </c>
      <c r="C95" s="35"/>
      <c r="D95" s="36"/>
      <c r="E95" s="43">
        <v>21524317</v>
      </c>
      <c r="F95" s="44">
        <v>6970.24</v>
      </c>
      <c r="G95" s="51"/>
      <c r="H95" s="52"/>
      <c r="I95" s="58">
        <v>7091097</v>
      </c>
      <c r="J95" s="17">
        <v>1918.81</v>
      </c>
      <c r="K95" s="101"/>
      <c r="L95" s="35"/>
      <c r="M95" s="36"/>
      <c r="N95" s="43">
        <v>16282260</v>
      </c>
      <c r="O95" s="44">
        <v>4476.0200000000004</v>
      </c>
      <c r="P95" s="51"/>
      <c r="Q95" s="52"/>
      <c r="R95" s="58">
        <v>6393149</v>
      </c>
      <c r="S95" s="17">
        <v>898.22</v>
      </c>
      <c r="T95" s="101"/>
      <c r="U95" s="35"/>
      <c r="V95" s="36"/>
      <c r="W95" s="43">
        <f t="shared" si="30"/>
        <v>5242057</v>
      </c>
      <c r="X95" s="44">
        <f t="shared" si="31"/>
        <v>2494.2199999999993</v>
      </c>
      <c r="Y95" s="51"/>
      <c r="Z95" s="52"/>
      <c r="AA95" s="58">
        <f t="shared" si="32"/>
        <v>697948</v>
      </c>
      <c r="AB95" s="17">
        <f t="shared" si="33"/>
        <v>1020.5899999999999</v>
      </c>
      <c r="AC95" s="101"/>
      <c r="AD95" s="359">
        <f t="shared" si="35"/>
        <v>28615414</v>
      </c>
      <c r="AE95" s="435">
        <f t="shared" si="35"/>
        <v>8889.0499999999993</v>
      </c>
    </row>
    <row r="96" spans="1:31" hidden="1" outlineLevel="1">
      <c r="A96" s="114">
        <v>43189</v>
      </c>
      <c r="B96" s="115">
        <f t="shared" si="34"/>
        <v>3</v>
      </c>
      <c r="C96" s="35"/>
      <c r="D96" s="36"/>
      <c r="E96" s="43">
        <v>26001782</v>
      </c>
      <c r="F96" s="44">
        <v>7852.49</v>
      </c>
      <c r="G96" s="51"/>
      <c r="H96" s="52"/>
      <c r="I96" s="58">
        <v>6799241</v>
      </c>
      <c r="J96" s="17">
        <v>1916.23</v>
      </c>
      <c r="K96" s="101"/>
      <c r="L96" s="35"/>
      <c r="M96" s="36"/>
      <c r="N96" s="43">
        <v>20643864</v>
      </c>
      <c r="O96" s="44">
        <v>5574.86</v>
      </c>
      <c r="P96" s="51"/>
      <c r="Q96" s="52"/>
      <c r="R96" s="58">
        <v>6081301</v>
      </c>
      <c r="S96" s="17">
        <v>862.51</v>
      </c>
      <c r="T96" s="101"/>
      <c r="U96" s="35"/>
      <c r="V96" s="36"/>
      <c r="W96" s="43">
        <f t="shared" si="30"/>
        <v>5357918</v>
      </c>
      <c r="X96" s="44">
        <f t="shared" si="31"/>
        <v>2277.63</v>
      </c>
      <c r="Y96" s="51"/>
      <c r="Z96" s="52"/>
      <c r="AA96" s="58">
        <f t="shared" si="32"/>
        <v>717940</v>
      </c>
      <c r="AB96" s="17">
        <f t="shared" si="33"/>
        <v>1053.72</v>
      </c>
      <c r="AC96" s="101"/>
      <c r="AD96" s="359">
        <f t="shared" si="35"/>
        <v>32801023</v>
      </c>
      <c r="AE96" s="435">
        <f t="shared" si="35"/>
        <v>9768.7199999999993</v>
      </c>
    </row>
    <row r="97" spans="1:31" hidden="1" outlineLevel="1">
      <c r="A97" s="114">
        <v>43190</v>
      </c>
      <c r="B97" s="115">
        <f t="shared" si="34"/>
        <v>3</v>
      </c>
      <c r="C97" s="35"/>
      <c r="D97" s="36"/>
      <c r="E97" s="43">
        <v>25951143</v>
      </c>
      <c r="F97" s="44">
        <v>7383.86</v>
      </c>
      <c r="G97" s="51"/>
      <c r="H97" s="52"/>
      <c r="I97" s="58">
        <v>7307373</v>
      </c>
      <c r="J97" s="17">
        <v>1700.58</v>
      </c>
      <c r="K97" s="101"/>
      <c r="L97" s="35"/>
      <c r="M97" s="36"/>
      <c r="N97" s="43">
        <v>20163790</v>
      </c>
      <c r="O97" s="44">
        <v>5050.92</v>
      </c>
      <c r="P97" s="51"/>
      <c r="Q97" s="52"/>
      <c r="R97" s="58">
        <v>6470661</v>
      </c>
      <c r="S97" s="17">
        <v>739.1</v>
      </c>
      <c r="T97" s="101"/>
      <c r="U97" s="35"/>
      <c r="V97" s="36"/>
      <c r="W97" s="43">
        <f t="shared" si="30"/>
        <v>5787353</v>
      </c>
      <c r="X97" s="44">
        <f t="shared" si="31"/>
        <v>2332.9399999999996</v>
      </c>
      <c r="Y97" s="51"/>
      <c r="Z97" s="52"/>
      <c r="AA97" s="58">
        <f t="shared" si="32"/>
        <v>836712</v>
      </c>
      <c r="AB97" s="17">
        <f t="shared" si="33"/>
        <v>961.4799999999999</v>
      </c>
      <c r="AC97" s="101"/>
      <c r="AD97" s="359">
        <f t="shared" si="35"/>
        <v>33258516</v>
      </c>
      <c r="AE97" s="435">
        <f t="shared" si="35"/>
        <v>9084.4399999999987</v>
      </c>
    </row>
    <row r="98" spans="1:31" collapsed="1">
      <c r="A98" s="104"/>
      <c r="B98" s="104" t="s">
        <v>17</v>
      </c>
      <c r="C98" s="105"/>
      <c r="D98" s="106"/>
      <c r="E98" s="107">
        <f t="shared" ref="D98:AB98" si="36">SUBTOTAL(9,E99:E128)</f>
        <v>693831478</v>
      </c>
      <c r="F98" s="108">
        <f t="shared" si="36"/>
        <v>170290.55</v>
      </c>
      <c r="G98" s="109"/>
      <c r="H98" s="110"/>
      <c r="I98" s="111">
        <f t="shared" si="36"/>
        <v>358703577</v>
      </c>
      <c r="J98" s="14">
        <f t="shared" si="36"/>
        <v>121615.77</v>
      </c>
      <c r="K98" s="103"/>
      <c r="L98" s="105"/>
      <c r="M98" s="106"/>
      <c r="N98" s="107">
        <f t="shared" si="36"/>
        <v>547962867</v>
      </c>
      <c r="O98" s="108">
        <f t="shared" si="36"/>
        <v>116613.42000000001</v>
      </c>
      <c r="P98" s="109"/>
      <c r="Q98" s="110"/>
      <c r="R98" s="111">
        <f t="shared" si="36"/>
        <v>184714554</v>
      </c>
      <c r="S98" s="14">
        <f t="shared" si="36"/>
        <v>23800.710000000006</v>
      </c>
      <c r="T98" s="103"/>
      <c r="U98" s="105"/>
      <c r="V98" s="106"/>
      <c r="W98" s="107">
        <f t="shared" si="36"/>
        <v>145868611</v>
      </c>
      <c r="X98" s="108">
        <f t="shared" si="36"/>
        <v>53677.130000000005</v>
      </c>
      <c r="Y98" s="109"/>
      <c r="Z98" s="110"/>
      <c r="AA98" s="111">
        <f t="shared" si="36"/>
        <v>173989023</v>
      </c>
      <c r="AB98" s="14">
        <f t="shared" si="36"/>
        <v>97815.059999999983</v>
      </c>
      <c r="AC98" s="103"/>
      <c r="AD98" s="359"/>
      <c r="AE98" s="435"/>
    </row>
    <row r="99" spans="1:31" hidden="1" outlineLevel="1">
      <c r="A99" s="97">
        <v>43191</v>
      </c>
      <c r="B99" s="98">
        <f t="shared" si="34"/>
        <v>4</v>
      </c>
      <c r="C99" s="35"/>
      <c r="D99" s="36"/>
      <c r="E99" s="43">
        <v>22107101</v>
      </c>
      <c r="F99" s="44">
        <v>5723.21</v>
      </c>
      <c r="G99" s="51"/>
      <c r="H99" s="52"/>
      <c r="I99" s="58">
        <v>6691924</v>
      </c>
      <c r="J99" s="17">
        <v>1356.14</v>
      </c>
      <c r="K99" s="101"/>
      <c r="L99" s="35"/>
      <c r="M99" s="36"/>
      <c r="N99" s="43">
        <v>15701668</v>
      </c>
      <c r="O99" s="44">
        <v>3616.52</v>
      </c>
      <c r="P99" s="51"/>
      <c r="Q99" s="52"/>
      <c r="R99" s="58">
        <v>5873925</v>
      </c>
      <c r="S99" s="17">
        <v>641.77</v>
      </c>
      <c r="T99" s="101"/>
      <c r="U99" s="35"/>
      <c r="V99" s="36"/>
      <c r="W99" s="43">
        <f t="shared" si="30"/>
        <v>6405433</v>
      </c>
      <c r="X99" s="44">
        <f t="shared" si="31"/>
        <v>2106.69</v>
      </c>
      <c r="Y99" s="51"/>
      <c r="Z99" s="52"/>
      <c r="AA99" s="58">
        <f t="shared" si="32"/>
        <v>817999</v>
      </c>
      <c r="AB99" s="17">
        <f t="shared" si="33"/>
        <v>714.37000000000012</v>
      </c>
      <c r="AC99" s="101"/>
      <c r="AD99" s="359">
        <f t="shared" ref="AD99:AD160" si="37">SUM(C99,E99,G99,I99)</f>
        <v>28799025</v>
      </c>
      <c r="AE99" s="435">
        <f t="shared" ref="AE99:AE160" si="38">SUM(D99,F99,H99,J99)</f>
        <v>7079.35</v>
      </c>
    </row>
    <row r="100" spans="1:31" hidden="1" outlineLevel="1">
      <c r="A100" s="97">
        <v>43192</v>
      </c>
      <c r="B100" s="98">
        <f t="shared" si="34"/>
        <v>4</v>
      </c>
      <c r="C100" s="35"/>
      <c r="D100" s="36"/>
      <c r="E100" s="43">
        <v>20893311</v>
      </c>
      <c r="F100" s="44">
        <v>4889.6000000000004</v>
      </c>
      <c r="G100" s="51"/>
      <c r="H100" s="52"/>
      <c r="I100" s="58">
        <v>7012261</v>
      </c>
      <c r="J100" s="17">
        <v>1562.51</v>
      </c>
      <c r="K100" s="101"/>
      <c r="L100" s="35"/>
      <c r="M100" s="36"/>
      <c r="N100" s="43">
        <v>15257634</v>
      </c>
      <c r="O100" s="44">
        <v>3035.68</v>
      </c>
      <c r="P100" s="51"/>
      <c r="Q100" s="52"/>
      <c r="R100" s="58">
        <v>5812420</v>
      </c>
      <c r="S100" s="17">
        <v>731.25</v>
      </c>
      <c r="T100" s="101"/>
      <c r="U100" s="35"/>
      <c r="V100" s="36"/>
      <c r="W100" s="43">
        <f t="shared" si="30"/>
        <v>5635677</v>
      </c>
      <c r="X100" s="44">
        <f t="shared" si="31"/>
        <v>1853.9200000000005</v>
      </c>
      <c r="Y100" s="51"/>
      <c r="Z100" s="52"/>
      <c r="AA100" s="58">
        <f t="shared" si="32"/>
        <v>1199841</v>
      </c>
      <c r="AB100" s="17">
        <f t="shared" si="33"/>
        <v>831.26</v>
      </c>
      <c r="AC100" s="101"/>
      <c r="AD100" s="359">
        <f t="shared" si="37"/>
        <v>27905572</v>
      </c>
      <c r="AE100" s="435">
        <f t="shared" si="38"/>
        <v>6452.1100000000006</v>
      </c>
    </row>
    <row r="101" spans="1:31" hidden="1" outlineLevel="1">
      <c r="A101" s="97">
        <v>43193</v>
      </c>
      <c r="B101" s="98">
        <f t="shared" si="34"/>
        <v>4</v>
      </c>
      <c r="C101" s="35"/>
      <c r="D101" s="36"/>
      <c r="E101" s="43">
        <v>20388110</v>
      </c>
      <c r="F101" s="44">
        <v>4805.62</v>
      </c>
      <c r="G101" s="51"/>
      <c r="H101" s="52"/>
      <c r="I101" s="58">
        <v>22162928</v>
      </c>
      <c r="J101" s="17">
        <v>2092.02</v>
      </c>
      <c r="K101" s="101"/>
      <c r="L101" s="35"/>
      <c r="M101" s="36"/>
      <c r="N101" s="43">
        <v>15593701</v>
      </c>
      <c r="O101" s="44">
        <v>3073.39</v>
      </c>
      <c r="P101" s="51"/>
      <c r="Q101" s="52"/>
      <c r="R101" s="58">
        <v>8152566</v>
      </c>
      <c r="S101" s="17">
        <v>721.77</v>
      </c>
      <c r="T101" s="101"/>
      <c r="U101" s="35"/>
      <c r="V101" s="36"/>
      <c r="W101" s="43">
        <f t="shared" si="30"/>
        <v>4794409</v>
      </c>
      <c r="X101" s="44">
        <f t="shared" si="31"/>
        <v>1732.23</v>
      </c>
      <c r="Y101" s="51"/>
      <c r="Z101" s="52"/>
      <c r="AA101" s="58">
        <f t="shared" si="32"/>
        <v>14010362</v>
      </c>
      <c r="AB101" s="17">
        <f t="shared" si="33"/>
        <v>1370.25</v>
      </c>
      <c r="AC101" s="101"/>
      <c r="AD101" s="359">
        <f t="shared" si="37"/>
        <v>42551038</v>
      </c>
      <c r="AE101" s="435">
        <f t="shared" si="38"/>
        <v>6897.6399999999994</v>
      </c>
    </row>
    <row r="102" spans="1:31" hidden="1" outlineLevel="1">
      <c r="A102" s="97">
        <v>43194</v>
      </c>
      <c r="B102" s="98">
        <f t="shared" si="34"/>
        <v>4</v>
      </c>
      <c r="C102" s="35"/>
      <c r="D102" s="36"/>
      <c r="E102" s="43">
        <v>20233415</v>
      </c>
      <c r="F102" s="44">
        <v>4722.22</v>
      </c>
      <c r="G102" s="51"/>
      <c r="H102" s="52"/>
      <c r="I102" s="58">
        <v>15899070</v>
      </c>
      <c r="J102" s="17">
        <v>6208.5</v>
      </c>
      <c r="K102" s="101"/>
      <c r="L102" s="35"/>
      <c r="M102" s="36"/>
      <c r="N102" s="43">
        <v>15690797</v>
      </c>
      <c r="O102" s="44">
        <v>3052.02</v>
      </c>
      <c r="P102" s="51"/>
      <c r="Q102" s="52"/>
      <c r="R102" s="58">
        <v>7634256</v>
      </c>
      <c r="S102" s="17">
        <v>793.36</v>
      </c>
      <c r="T102" s="101"/>
      <c r="U102" s="35"/>
      <c r="V102" s="36"/>
      <c r="W102" s="43">
        <f t="shared" si="30"/>
        <v>4542618</v>
      </c>
      <c r="X102" s="44">
        <f t="shared" si="31"/>
        <v>1670.2000000000003</v>
      </c>
      <c r="Y102" s="51"/>
      <c r="Z102" s="52"/>
      <c r="AA102" s="58">
        <f t="shared" si="32"/>
        <v>8264814</v>
      </c>
      <c r="AB102" s="17">
        <f t="shared" si="33"/>
        <v>5415.14</v>
      </c>
      <c r="AC102" s="101"/>
      <c r="AD102" s="359">
        <f t="shared" si="37"/>
        <v>36132485</v>
      </c>
      <c r="AE102" s="435">
        <f t="shared" si="38"/>
        <v>10930.720000000001</v>
      </c>
    </row>
    <row r="103" spans="1:31" hidden="1" outlineLevel="1">
      <c r="A103" s="97">
        <v>43195</v>
      </c>
      <c r="B103" s="98">
        <f t="shared" si="34"/>
        <v>4</v>
      </c>
      <c r="C103" s="35"/>
      <c r="D103" s="36"/>
      <c r="E103" s="43">
        <v>20546025</v>
      </c>
      <c r="F103" s="44">
        <v>5888.46</v>
      </c>
      <c r="G103" s="51"/>
      <c r="H103" s="52"/>
      <c r="I103" s="58">
        <v>12672146</v>
      </c>
      <c r="J103" s="17">
        <v>5038.53</v>
      </c>
      <c r="K103" s="101"/>
      <c r="L103" s="35"/>
      <c r="M103" s="36"/>
      <c r="N103" s="43">
        <v>15616330</v>
      </c>
      <c r="O103" s="44">
        <v>4001.05</v>
      </c>
      <c r="P103" s="51"/>
      <c r="Q103" s="52"/>
      <c r="R103" s="58">
        <v>7046988</v>
      </c>
      <c r="S103" s="17">
        <v>881.07</v>
      </c>
      <c r="T103" s="101"/>
      <c r="U103" s="35"/>
      <c r="V103" s="36"/>
      <c r="W103" s="43">
        <f t="shared" si="30"/>
        <v>4929695</v>
      </c>
      <c r="X103" s="44">
        <f t="shared" si="31"/>
        <v>1887.4099999999999</v>
      </c>
      <c r="Y103" s="51"/>
      <c r="Z103" s="52"/>
      <c r="AA103" s="58">
        <f t="shared" si="32"/>
        <v>5625158</v>
      </c>
      <c r="AB103" s="17">
        <f t="shared" si="33"/>
        <v>4157.46</v>
      </c>
      <c r="AC103" s="101"/>
      <c r="AD103" s="359">
        <f t="shared" si="37"/>
        <v>33218171</v>
      </c>
      <c r="AE103" s="435">
        <f t="shared" si="38"/>
        <v>10926.99</v>
      </c>
    </row>
    <row r="104" spans="1:31" hidden="1" outlineLevel="1">
      <c r="A104" s="97">
        <v>43196</v>
      </c>
      <c r="B104" s="98">
        <f t="shared" si="34"/>
        <v>4</v>
      </c>
      <c r="C104" s="35"/>
      <c r="D104" s="36"/>
      <c r="E104" s="43">
        <v>25429599</v>
      </c>
      <c r="F104" s="44">
        <v>5723.5</v>
      </c>
      <c r="G104" s="51"/>
      <c r="H104" s="52"/>
      <c r="I104" s="58">
        <v>13070970</v>
      </c>
      <c r="J104" s="17">
        <v>4377.6499999999996</v>
      </c>
      <c r="K104" s="101"/>
      <c r="L104" s="35"/>
      <c r="M104" s="36"/>
      <c r="N104" s="43">
        <v>19996352</v>
      </c>
      <c r="O104" s="44">
        <v>3551.26</v>
      </c>
      <c r="P104" s="51"/>
      <c r="Q104" s="52"/>
      <c r="R104" s="58">
        <v>7787321</v>
      </c>
      <c r="S104" s="17">
        <v>842.66</v>
      </c>
      <c r="T104" s="101"/>
      <c r="U104" s="35"/>
      <c r="V104" s="36"/>
      <c r="W104" s="43">
        <f t="shared" si="30"/>
        <v>5433247</v>
      </c>
      <c r="X104" s="44">
        <f t="shared" si="31"/>
        <v>2172.2399999999998</v>
      </c>
      <c r="Y104" s="51"/>
      <c r="Z104" s="52"/>
      <c r="AA104" s="58">
        <f t="shared" si="32"/>
        <v>5283649</v>
      </c>
      <c r="AB104" s="17">
        <f t="shared" si="33"/>
        <v>3534.99</v>
      </c>
      <c r="AC104" s="101"/>
      <c r="AD104" s="359">
        <f t="shared" si="37"/>
        <v>38500569</v>
      </c>
      <c r="AE104" s="435">
        <f t="shared" si="38"/>
        <v>10101.15</v>
      </c>
    </row>
    <row r="105" spans="1:31" hidden="1" outlineLevel="1">
      <c r="A105" s="97">
        <v>43197</v>
      </c>
      <c r="B105" s="98">
        <f t="shared" si="34"/>
        <v>4</v>
      </c>
      <c r="C105" s="35"/>
      <c r="D105" s="36"/>
      <c r="E105" s="43">
        <v>26287698</v>
      </c>
      <c r="F105" s="44">
        <v>5798.69</v>
      </c>
      <c r="G105" s="51"/>
      <c r="H105" s="52"/>
      <c r="I105" s="58">
        <v>16065480</v>
      </c>
      <c r="J105" s="17">
        <v>5760.89</v>
      </c>
      <c r="K105" s="101"/>
      <c r="L105" s="35"/>
      <c r="M105" s="36"/>
      <c r="N105" s="43">
        <v>20652462</v>
      </c>
      <c r="O105" s="44">
        <v>3612.34</v>
      </c>
      <c r="P105" s="51"/>
      <c r="Q105" s="52"/>
      <c r="R105" s="58">
        <v>8584604</v>
      </c>
      <c r="S105" s="17">
        <v>846.79</v>
      </c>
      <c r="T105" s="101"/>
      <c r="U105" s="35"/>
      <c r="V105" s="36"/>
      <c r="W105" s="43">
        <f t="shared" si="30"/>
        <v>5635236</v>
      </c>
      <c r="X105" s="44">
        <f t="shared" si="31"/>
        <v>2186.3499999999995</v>
      </c>
      <c r="Y105" s="51"/>
      <c r="Z105" s="52"/>
      <c r="AA105" s="58">
        <f t="shared" si="32"/>
        <v>7480876</v>
      </c>
      <c r="AB105" s="17">
        <f t="shared" si="33"/>
        <v>4914.1000000000004</v>
      </c>
      <c r="AC105" s="101"/>
      <c r="AD105" s="359">
        <f t="shared" si="37"/>
        <v>42353178</v>
      </c>
      <c r="AE105" s="435">
        <f t="shared" si="38"/>
        <v>11559.58</v>
      </c>
    </row>
    <row r="106" spans="1:31" hidden="1" outlineLevel="1">
      <c r="A106" s="97">
        <v>43198</v>
      </c>
      <c r="B106" s="98">
        <f t="shared" si="34"/>
        <v>4</v>
      </c>
      <c r="C106" s="35"/>
      <c r="D106" s="36"/>
      <c r="E106" s="43">
        <v>21232753</v>
      </c>
      <c r="F106" s="44">
        <v>5083.68</v>
      </c>
      <c r="G106" s="51"/>
      <c r="H106" s="52"/>
      <c r="I106" s="58">
        <v>17905601</v>
      </c>
      <c r="J106" s="17">
        <v>6632.73</v>
      </c>
      <c r="K106" s="101"/>
      <c r="L106" s="35"/>
      <c r="M106" s="36"/>
      <c r="N106" s="43">
        <v>15850079</v>
      </c>
      <c r="O106" s="44">
        <v>3048.97</v>
      </c>
      <c r="P106" s="51"/>
      <c r="Q106" s="52"/>
      <c r="R106" s="58">
        <v>7293676</v>
      </c>
      <c r="S106" s="17">
        <v>797.32</v>
      </c>
      <c r="T106" s="101"/>
      <c r="U106" s="35"/>
      <c r="V106" s="36"/>
      <c r="W106" s="43">
        <f t="shared" si="30"/>
        <v>5382674</v>
      </c>
      <c r="X106" s="44">
        <f t="shared" si="31"/>
        <v>2034.7100000000005</v>
      </c>
      <c r="Y106" s="51"/>
      <c r="Z106" s="52"/>
      <c r="AA106" s="58">
        <f t="shared" si="32"/>
        <v>10611925</v>
      </c>
      <c r="AB106" s="17">
        <f t="shared" si="33"/>
        <v>5835.41</v>
      </c>
      <c r="AC106" s="101"/>
      <c r="AD106" s="359">
        <f t="shared" si="37"/>
        <v>39138354</v>
      </c>
      <c r="AE106" s="435">
        <f t="shared" si="38"/>
        <v>11716.41</v>
      </c>
    </row>
    <row r="107" spans="1:31" hidden="1" outlineLevel="1">
      <c r="A107" s="97">
        <v>43199</v>
      </c>
      <c r="B107" s="98">
        <f t="shared" si="34"/>
        <v>4</v>
      </c>
      <c r="C107" s="35"/>
      <c r="D107" s="36"/>
      <c r="E107" s="43">
        <v>19907490</v>
      </c>
      <c r="F107" s="44">
        <v>5590.18</v>
      </c>
      <c r="G107" s="51"/>
      <c r="H107" s="52"/>
      <c r="I107" s="58">
        <v>19267150</v>
      </c>
      <c r="J107" s="17">
        <v>8955.56</v>
      </c>
      <c r="K107" s="101"/>
      <c r="L107" s="35"/>
      <c r="M107" s="36"/>
      <c r="N107" s="43">
        <v>14894443</v>
      </c>
      <c r="O107" s="44">
        <v>3616.95</v>
      </c>
      <c r="P107" s="51"/>
      <c r="Q107" s="52"/>
      <c r="R107" s="58">
        <v>6952535</v>
      </c>
      <c r="S107" s="17">
        <v>881.9</v>
      </c>
      <c r="T107" s="101"/>
      <c r="U107" s="35"/>
      <c r="V107" s="36"/>
      <c r="W107" s="43">
        <f t="shared" si="30"/>
        <v>5013047</v>
      </c>
      <c r="X107" s="44">
        <f t="shared" si="31"/>
        <v>1973.2300000000005</v>
      </c>
      <c r="Y107" s="51"/>
      <c r="Z107" s="52"/>
      <c r="AA107" s="58">
        <f t="shared" si="32"/>
        <v>12314615</v>
      </c>
      <c r="AB107" s="17">
        <f t="shared" si="33"/>
        <v>8073.66</v>
      </c>
      <c r="AC107" s="101"/>
      <c r="AD107" s="359">
        <f t="shared" si="37"/>
        <v>39174640</v>
      </c>
      <c r="AE107" s="435">
        <f t="shared" si="38"/>
        <v>14545.74</v>
      </c>
    </row>
    <row r="108" spans="1:31" hidden="1" outlineLevel="1">
      <c r="A108" s="97">
        <v>43200</v>
      </c>
      <c r="B108" s="98">
        <f t="shared" si="34"/>
        <v>4</v>
      </c>
      <c r="C108" s="35"/>
      <c r="D108" s="36"/>
      <c r="E108" s="43">
        <v>20677631</v>
      </c>
      <c r="F108" s="44">
        <v>5518.82</v>
      </c>
      <c r="G108" s="51"/>
      <c r="H108" s="52"/>
      <c r="I108" s="58">
        <v>14561951</v>
      </c>
      <c r="J108" s="17">
        <v>5238.1899999999996</v>
      </c>
      <c r="K108" s="101"/>
      <c r="L108" s="35"/>
      <c r="M108" s="36"/>
      <c r="N108" s="43">
        <v>15634522</v>
      </c>
      <c r="O108" s="44">
        <v>3444.87</v>
      </c>
      <c r="P108" s="51"/>
      <c r="Q108" s="52"/>
      <c r="R108" s="58">
        <v>6263189</v>
      </c>
      <c r="S108" s="17">
        <v>776.55</v>
      </c>
      <c r="T108" s="101"/>
      <c r="U108" s="35"/>
      <c r="V108" s="36"/>
      <c r="W108" s="43">
        <f t="shared" si="30"/>
        <v>5043109</v>
      </c>
      <c r="X108" s="44">
        <f t="shared" si="31"/>
        <v>2073.9499999999998</v>
      </c>
      <c r="Y108" s="51"/>
      <c r="Z108" s="52"/>
      <c r="AA108" s="58">
        <f t="shared" si="32"/>
        <v>8298762</v>
      </c>
      <c r="AB108" s="17">
        <f t="shared" si="33"/>
        <v>4461.6399999999994</v>
      </c>
      <c r="AC108" s="101"/>
      <c r="AD108" s="359">
        <f t="shared" si="37"/>
        <v>35239582</v>
      </c>
      <c r="AE108" s="435">
        <f t="shared" si="38"/>
        <v>10757.009999999998</v>
      </c>
    </row>
    <row r="109" spans="1:31" hidden="1" outlineLevel="1">
      <c r="A109" s="97">
        <v>43201</v>
      </c>
      <c r="B109" s="98">
        <f t="shared" si="34"/>
        <v>4</v>
      </c>
      <c r="C109" s="35"/>
      <c r="D109" s="36"/>
      <c r="E109" s="43">
        <v>20963300</v>
      </c>
      <c r="F109" s="44">
        <v>5574.02</v>
      </c>
      <c r="G109" s="51"/>
      <c r="H109" s="52"/>
      <c r="I109" s="58">
        <v>11699732</v>
      </c>
      <c r="J109" s="17">
        <v>3821.37</v>
      </c>
      <c r="K109" s="101"/>
      <c r="L109" s="35"/>
      <c r="M109" s="36"/>
      <c r="N109" s="43">
        <v>15635181</v>
      </c>
      <c r="O109" s="44">
        <v>3420.48</v>
      </c>
      <c r="P109" s="51"/>
      <c r="Q109" s="52"/>
      <c r="R109" s="58">
        <v>6159699</v>
      </c>
      <c r="S109" s="17">
        <v>776.21</v>
      </c>
      <c r="T109" s="101"/>
      <c r="U109" s="35"/>
      <c r="V109" s="36"/>
      <c r="W109" s="43">
        <f t="shared" si="30"/>
        <v>5328119</v>
      </c>
      <c r="X109" s="44">
        <f t="shared" si="31"/>
        <v>2153.5400000000004</v>
      </c>
      <c r="Y109" s="51"/>
      <c r="Z109" s="52"/>
      <c r="AA109" s="58">
        <f t="shared" si="32"/>
        <v>5540033</v>
      </c>
      <c r="AB109" s="17">
        <f t="shared" si="33"/>
        <v>3045.16</v>
      </c>
      <c r="AC109" s="101"/>
      <c r="AD109" s="359">
        <f t="shared" si="37"/>
        <v>32663032</v>
      </c>
      <c r="AE109" s="435">
        <f t="shared" si="38"/>
        <v>9395.39</v>
      </c>
    </row>
    <row r="110" spans="1:31" hidden="1" outlineLevel="1">
      <c r="A110" s="97">
        <v>43202</v>
      </c>
      <c r="B110" s="98">
        <f t="shared" si="34"/>
        <v>4</v>
      </c>
      <c r="C110" s="35"/>
      <c r="D110" s="36"/>
      <c r="E110" s="43">
        <v>20919919</v>
      </c>
      <c r="F110" s="44">
        <v>5305.97</v>
      </c>
      <c r="G110" s="51"/>
      <c r="H110" s="52"/>
      <c r="I110" s="58">
        <v>12275821</v>
      </c>
      <c r="J110" s="17">
        <v>4224.79</v>
      </c>
      <c r="K110" s="101"/>
      <c r="L110" s="35"/>
      <c r="M110" s="36"/>
      <c r="N110" s="43">
        <v>16001554</v>
      </c>
      <c r="O110" s="44">
        <v>3445.55</v>
      </c>
      <c r="P110" s="51"/>
      <c r="Q110" s="52"/>
      <c r="R110" s="58">
        <v>6079067</v>
      </c>
      <c r="S110" s="17">
        <v>788.86</v>
      </c>
      <c r="T110" s="101"/>
      <c r="U110" s="35"/>
      <c r="V110" s="36"/>
      <c r="W110" s="43">
        <f t="shared" si="30"/>
        <v>4918365</v>
      </c>
      <c r="X110" s="44">
        <f t="shared" si="31"/>
        <v>1860.42</v>
      </c>
      <c r="Y110" s="51"/>
      <c r="Z110" s="52"/>
      <c r="AA110" s="58">
        <f t="shared" si="32"/>
        <v>6196754</v>
      </c>
      <c r="AB110" s="17">
        <f t="shared" si="33"/>
        <v>3435.93</v>
      </c>
      <c r="AC110" s="101"/>
      <c r="AD110" s="359">
        <f t="shared" si="37"/>
        <v>33195740</v>
      </c>
      <c r="AE110" s="435">
        <f t="shared" si="38"/>
        <v>9530.76</v>
      </c>
    </row>
    <row r="111" spans="1:31" hidden="1" outlineLevel="1">
      <c r="A111" s="97">
        <v>43203</v>
      </c>
      <c r="B111" s="98">
        <f t="shared" si="34"/>
        <v>4</v>
      </c>
      <c r="C111" s="35"/>
      <c r="D111" s="36"/>
      <c r="E111" s="43">
        <v>24430701</v>
      </c>
      <c r="F111" s="44">
        <v>5792.28</v>
      </c>
      <c r="G111" s="51"/>
      <c r="H111" s="52"/>
      <c r="I111" s="58">
        <v>14747698</v>
      </c>
      <c r="J111" s="17">
        <v>4851.34</v>
      </c>
      <c r="K111" s="101"/>
      <c r="L111" s="35"/>
      <c r="M111" s="36"/>
      <c r="N111" s="43">
        <v>20429088</v>
      </c>
      <c r="O111" s="44">
        <v>4359.6400000000003</v>
      </c>
      <c r="P111" s="51"/>
      <c r="Q111" s="52"/>
      <c r="R111" s="58">
        <v>6829564</v>
      </c>
      <c r="S111" s="17">
        <v>786.61</v>
      </c>
      <c r="T111" s="101"/>
      <c r="U111" s="35"/>
      <c r="V111" s="36"/>
      <c r="W111" s="43">
        <f t="shared" si="30"/>
        <v>4001613</v>
      </c>
      <c r="X111" s="44">
        <f t="shared" si="31"/>
        <v>1432.6399999999994</v>
      </c>
      <c r="Y111" s="51"/>
      <c r="Z111" s="52"/>
      <c r="AA111" s="58">
        <f t="shared" si="32"/>
        <v>7918134</v>
      </c>
      <c r="AB111" s="17">
        <f t="shared" si="33"/>
        <v>4064.73</v>
      </c>
      <c r="AC111" s="101"/>
      <c r="AD111" s="359">
        <f t="shared" si="37"/>
        <v>39178399</v>
      </c>
      <c r="AE111" s="435">
        <f t="shared" si="38"/>
        <v>10643.619999999999</v>
      </c>
    </row>
    <row r="112" spans="1:31" hidden="1" outlineLevel="1">
      <c r="A112" s="97">
        <v>43204</v>
      </c>
      <c r="B112" s="98">
        <f t="shared" si="34"/>
        <v>4</v>
      </c>
      <c r="C112" s="35"/>
      <c r="D112" s="36"/>
      <c r="E112" s="43">
        <v>25287483</v>
      </c>
      <c r="F112" s="44">
        <v>5303.02</v>
      </c>
      <c r="G112" s="51"/>
      <c r="H112" s="52"/>
      <c r="I112" s="58">
        <v>21772454</v>
      </c>
      <c r="J112" s="17">
        <v>8709.77</v>
      </c>
      <c r="K112" s="101"/>
      <c r="L112" s="35"/>
      <c r="M112" s="36"/>
      <c r="N112" s="43">
        <v>21515375</v>
      </c>
      <c r="O112" s="44">
        <v>3901.38</v>
      </c>
      <c r="P112" s="51"/>
      <c r="Q112" s="52"/>
      <c r="R112" s="58">
        <v>8226583</v>
      </c>
      <c r="S112" s="17">
        <v>863.49</v>
      </c>
      <c r="T112" s="101"/>
      <c r="U112" s="35"/>
      <c r="V112" s="36"/>
      <c r="W112" s="43">
        <f t="shared" si="30"/>
        <v>3772108</v>
      </c>
      <c r="X112" s="44">
        <f t="shared" si="31"/>
        <v>1401.6400000000003</v>
      </c>
      <c r="Y112" s="51"/>
      <c r="Z112" s="52"/>
      <c r="AA112" s="58">
        <f t="shared" si="32"/>
        <v>13545871</v>
      </c>
      <c r="AB112" s="17">
        <f t="shared" si="33"/>
        <v>7846.2800000000007</v>
      </c>
      <c r="AC112" s="101"/>
      <c r="AD112" s="359">
        <f t="shared" si="37"/>
        <v>47059937</v>
      </c>
      <c r="AE112" s="435">
        <f t="shared" si="38"/>
        <v>14012.79</v>
      </c>
    </row>
    <row r="113" spans="1:31" hidden="1" outlineLevel="1">
      <c r="A113" s="97">
        <v>43205</v>
      </c>
      <c r="B113" s="98">
        <f t="shared" si="34"/>
        <v>4</v>
      </c>
      <c r="C113" s="35"/>
      <c r="D113" s="36"/>
      <c r="E113" s="43">
        <v>20824972</v>
      </c>
      <c r="F113" s="44">
        <v>5236.2</v>
      </c>
      <c r="G113" s="51"/>
      <c r="H113" s="52"/>
      <c r="I113" s="58">
        <v>20421072</v>
      </c>
      <c r="J113" s="17">
        <v>9207.9500000000007</v>
      </c>
      <c r="K113" s="101"/>
      <c r="L113" s="35"/>
      <c r="M113" s="36"/>
      <c r="N113" s="43">
        <v>17187719</v>
      </c>
      <c r="O113" s="44">
        <v>3916.35</v>
      </c>
      <c r="P113" s="51"/>
      <c r="Q113" s="52"/>
      <c r="R113" s="58">
        <v>7267545</v>
      </c>
      <c r="S113" s="17">
        <v>949.7</v>
      </c>
      <c r="T113" s="101"/>
      <c r="U113" s="35"/>
      <c r="V113" s="36"/>
      <c r="W113" s="43">
        <f t="shared" si="30"/>
        <v>3637253</v>
      </c>
      <c r="X113" s="44">
        <f t="shared" si="31"/>
        <v>1319.85</v>
      </c>
      <c r="Y113" s="51"/>
      <c r="Z113" s="52"/>
      <c r="AA113" s="58">
        <f t="shared" si="32"/>
        <v>13153527</v>
      </c>
      <c r="AB113" s="17">
        <f t="shared" si="33"/>
        <v>8258.25</v>
      </c>
      <c r="AC113" s="101"/>
      <c r="AD113" s="359">
        <f t="shared" si="37"/>
        <v>41246044</v>
      </c>
      <c r="AE113" s="435">
        <f t="shared" si="38"/>
        <v>14444.150000000001</v>
      </c>
    </row>
    <row r="114" spans="1:31" hidden="1" outlineLevel="1">
      <c r="A114" s="97">
        <v>43206</v>
      </c>
      <c r="B114" s="98">
        <f t="shared" si="34"/>
        <v>4</v>
      </c>
      <c r="C114" s="35"/>
      <c r="D114" s="36"/>
      <c r="E114" s="43">
        <v>26059719</v>
      </c>
      <c r="F114" s="44">
        <v>5239.99</v>
      </c>
      <c r="G114" s="51"/>
      <c r="H114" s="52"/>
      <c r="I114" s="58">
        <v>12224917</v>
      </c>
      <c r="J114" s="17">
        <v>5097.22</v>
      </c>
      <c r="K114" s="101"/>
      <c r="L114" s="35"/>
      <c r="M114" s="36"/>
      <c r="N114" s="43">
        <v>21288312</v>
      </c>
      <c r="O114" s="44">
        <v>3805.7</v>
      </c>
      <c r="P114" s="51"/>
      <c r="Q114" s="52"/>
      <c r="R114" s="58">
        <v>6156887</v>
      </c>
      <c r="S114" s="17">
        <v>924.17</v>
      </c>
      <c r="T114" s="101"/>
      <c r="U114" s="35"/>
      <c r="V114" s="36"/>
      <c r="W114" s="43">
        <f t="shared" si="30"/>
        <v>4771407</v>
      </c>
      <c r="X114" s="44">
        <f t="shared" si="31"/>
        <v>1434.29</v>
      </c>
      <c r="Y114" s="51"/>
      <c r="Z114" s="52"/>
      <c r="AA114" s="58">
        <f t="shared" si="32"/>
        <v>6068030</v>
      </c>
      <c r="AB114" s="17">
        <f t="shared" si="33"/>
        <v>4173.05</v>
      </c>
      <c r="AC114" s="101"/>
      <c r="AD114" s="359">
        <f t="shared" si="37"/>
        <v>38284636</v>
      </c>
      <c r="AE114" s="435">
        <f t="shared" si="38"/>
        <v>10337.209999999999</v>
      </c>
    </row>
    <row r="115" spans="1:31" hidden="1" outlineLevel="1">
      <c r="A115" s="97">
        <v>43207</v>
      </c>
      <c r="B115" s="98">
        <f t="shared" si="34"/>
        <v>4</v>
      </c>
      <c r="C115" s="35"/>
      <c r="D115" s="36"/>
      <c r="E115" s="43">
        <v>21143976</v>
      </c>
      <c r="F115" s="44">
        <v>5516.66</v>
      </c>
      <c r="G115" s="51"/>
      <c r="H115" s="52"/>
      <c r="I115" s="58">
        <v>7239427</v>
      </c>
      <c r="J115" s="17">
        <v>2374.33</v>
      </c>
      <c r="K115" s="101"/>
      <c r="L115" s="35"/>
      <c r="M115" s="36"/>
      <c r="N115" s="43">
        <v>16391196</v>
      </c>
      <c r="O115" s="44">
        <v>4012.6</v>
      </c>
      <c r="P115" s="51"/>
      <c r="Q115" s="52"/>
      <c r="R115" s="58">
        <v>4824659</v>
      </c>
      <c r="S115" s="17">
        <v>819.75</v>
      </c>
      <c r="T115" s="101"/>
      <c r="U115" s="35"/>
      <c r="V115" s="36"/>
      <c r="W115" s="43">
        <f t="shared" si="30"/>
        <v>4752780</v>
      </c>
      <c r="X115" s="44">
        <f t="shared" si="31"/>
        <v>1504.06</v>
      </c>
      <c r="Y115" s="51"/>
      <c r="Z115" s="52"/>
      <c r="AA115" s="58">
        <f t="shared" si="32"/>
        <v>2414768</v>
      </c>
      <c r="AB115" s="17">
        <f t="shared" si="33"/>
        <v>1554.58</v>
      </c>
      <c r="AC115" s="101"/>
      <c r="AD115" s="359">
        <f t="shared" si="37"/>
        <v>28383403</v>
      </c>
      <c r="AE115" s="435">
        <f t="shared" si="38"/>
        <v>7890.99</v>
      </c>
    </row>
    <row r="116" spans="1:31" hidden="1" outlineLevel="1">
      <c r="A116" s="97">
        <v>43208</v>
      </c>
      <c r="B116" s="98">
        <f t="shared" si="34"/>
        <v>4</v>
      </c>
      <c r="C116" s="35"/>
      <c r="D116" s="36"/>
      <c r="E116" s="43">
        <v>21225539</v>
      </c>
      <c r="F116" s="44">
        <v>4863.43</v>
      </c>
      <c r="G116" s="51"/>
      <c r="H116" s="52"/>
      <c r="I116" s="58">
        <v>6354644</v>
      </c>
      <c r="J116" s="17">
        <v>1834.67</v>
      </c>
      <c r="K116" s="101"/>
      <c r="L116" s="35"/>
      <c r="M116" s="36"/>
      <c r="N116" s="43">
        <v>16872046</v>
      </c>
      <c r="O116" s="44">
        <v>3521.86</v>
      </c>
      <c r="P116" s="51"/>
      <c r="Q116" s="52"/>
      <c r="R116" s="58">
        <v>4677924</v>
      </c>
      <c r="S116" s="17">
        <v>759.48</v>
      </c>
      <c r="T116" s="101"/>
      <c r="U116" s="35"/>
      <c r="V116" s="36"/>
      <c r="W116" s="43">
        <f t="shared" si="30"/>
        <v>4353493</v>
      </c>
      <c r="X116" s="44">
        <f t="shared" si="31"/>
        <v>1341.5700000000002</v>
      </c>
      <c r="Y116" s="51"/>
      <c r="Z116" s="52"/>
      <c r="AA116" s="58">
        <f t="shared" si="32"/>
        <v>1676720</v>
      </c>
      <c r="AB116" s="17">
        <f t="shared" si="33"/>
        <v>1075.19</v>
      </c>
      <c r="AC116" s="101"/>
      <c r="AD116" s="359">
        <f t="shared" si="37"/>
        <v>27580183</v>
      </c>
      <c r="AE116" s="435">
        <f t="shared" si="38"/>
        <v>6698.1</v>
      </c>
    </row>
    <row r="117" spans="1:31" hidden="1" outlineLevel="1">
      <c r="A117" s="97">
        <v>43209</v>
      </c>
      <c r="B117" s="98">
        <f t="shared" si="34"/>
        <v>4</v>
      </c>
      <c r="C117" s="35"/>
      <c r="D117" s="36"/>
      <c r="E117" s="43">
        <v>21285137</v>
      </c>
      <c r="F117" s="44">
        <v>5004.7299999999996</v>
      </c>
      <c r="G117" s="51"/>
      <c r="H117" s="52"/>
      <c r="I117" s="58">
        <v>6667114</v>
      </c>
      <c r="J117" s="17">
        <v>1921.16</v>
      </c>
      <c r="K117" s="101"/>
      <c r="L117" s="35"/>
      <c r="M117" s="36"/>
      <c r="N117" s="43">
        <v>17038293</v>
      </c>
      <c r="O117" s="44">
        <v>3583.39</v>
      </c>
      <c r="P117" s="51"/>
      <c r="Q117" s="52"/>
      <c r="R117" s="58">
        <v>4906546</v>
      </c>
      <c r="S117" s="17">
        <v>786.82</v>
      </c>
      <c r="T117" s="101"/>
      <c r="U117" s="35"/>
      <c r="V117" s="36"/>
      <c r="W117" s="43">
        <f t="shared" si="30"/>
        <v>4246844</v>
      </c>
      <c r="X117" s="44">
        <f t="shared" si="31"/>
        <v>1421.3399999999997</v>
      </c>
      <c r="Y117" s="51"/>
      <c r="Z117" s="52"/>
      <c r="AA117" s="58">
        <f t="shared" si="32"/>
        <v>1760568</v>
      </c>
      <c r="AB117" s="17">
        <f t="shared" si="33"/>
        <v>1134.3400000000001</v>
      </c>
      <c r="AC117" s="101"/>
      <c r="AD117" s="359">
        <f t="shared" si="37"/>
        <v>27952251</v>
      </c>
      <c r="AE117" s="435">
        <f t="shared" si="38"/>
        <v>6925.8899999999994</v>
      </c>
    </row>
    <row r="118" spans="1:31" hidden="1" outlineLevel="1">
      <c r="A118" s="97">
        <v>43210</v>
      </c>
      <c r="B118" s="98">
        <f t="shared" si="34"/>
        <v>4</v>
      </c>
      <c r="C118" s="35"/>
      <c r="D118" s="36"/>
      <c r="E118" s="43">
        <v>24449601</v>
      </c>
      <c r="F118" s="44">
        <v>5777.91</v>
      </c>
      <c r="G118" s="51"/>
      <c r="H118" s="52"/>
      <c r="I118" s="58">
        <v>6710288</v>
      </c>
      <c r="J118" s="17">
        <v>1730.92</v>
      </c>
      <c r="K118" s="101"/>
      <c r="L118" s="35"/>
      <c r="M118" s="36"/>
      <c r="N118" s="43">
        <v>20777800</v>
      </c>
      <c r="O118" s="44">
        <v>4359.05</v>
      </c>
      <c r="P118" s="51"/>
      <c r="Q118" s="52"/>
      <c r="R118" s="58">
        <v>5044615</v>
      </c>
      <c r="S118" s="17">
        <v>766.62</v>
      </c>
      <c r="T118" s="101"/>
      <c r="U118" s="35"/>
      <c r="V118" s="36"/>
      <c r="W118" s="43">
        <f t="shared" si="30"/>
        <v>3671801</v>
      </c>
      <c r="X118" s="44">
        <f t="shared" si="31"/>
        <v>1418.8599999999997</v>
      </c>
      <c r="Y118" s="51"/>
      <c r="Z118" s="52"/>
      <c r="AA118" s="58">
        <f t="shared" si="32"/>
        <v>1665673</v>
      </c>
      <c r="AB118" s="17">
        <f t="shared" si="33"/>
        <v>964.30000000000007</v>
      </c>
      <c r="AC118" s="101"/>
      <c r="AD118" s="359">
        <f t="shared" si="37"/>
        <v>31159889</v>
      </c>
      <c r="AE118" s="435">
        <f t="shared" si="38"/>
        <v>7508.83</v>
      </c>
    </row>
    <row r="119" spans="1:31" hidden="1" outlineLevel="1">
      <c r="A119" s="97">
        <v>43211</v>
      </c>
      <c r="B119" s="98">
        <f t="shared" si="34"/>
        <v>4</v>
      </c>
      <c r="C119" s="35"/>
      <c r="D119" s="36"/>
      <c r="E119" s="43">
        <v>26158983</v>
      </c>
      <c r="F119" s="44">
        <v>5812.29</v>
      </c>
      <c r="G119" s="51"/>
      <c r="H119" s="52"/>
      <c r="I119" s="58">
        <v>6838886</v>
      </c>
      <c r="J119" s="17">
        <v>1733.94</v>
      </c>
      <c r="K119" s="101"/>
      <c r="L119" s="35"/>
      <c r="M119" s="36"/>
      <c r="N119" s="43">
        <v>22166212</v>
      </c>
      <c r="O119" s="44">
        <v>4320.33</v>
      </c>
      <c r="P119" s="51"/>
      <c r="Q119" s="52"/>
      <c r="R119" s="58">
        <v>5359638</v>
      </c>
      <c r="S119" s="17">
        <v>820.65</v>
      </c>
      <c r="T119" s="101"/>
      <c r="U119" s="35"/>
      <c r="V119" s="36"/>
      <c r="W119" s="43">
        <f t="shared" si="30"/>
        <v>3992771</v>
      </c>
      <c r="X119" s="44">
        <f t="shared" si="31"/>
        <v>1491.96</v>
      </c>
      <c r="Y119" s="51"/>
      <c r="Z119" s="52"/>
      <c r="AA119" s="58">
        <f t="shared" si="32"/>
        <v>1479248</v>
      </c>
      <c r="AB119" s="17">
        <f t="shared" si="33"/>
        <v>913.29000000000008</v>
      </c>
      <c r="AC119" s="101"/>
      <c r="AD119" s="359">
        <f t="shared" si="37"/>
        <v>32997869</v>
      </c>
      <c r="AE119" s="435">
        <f t="shared" si="38"/>
        <v>7546.23</v>
      </c>
    </row>
    <row r="120" spans="1:31" hidden="1" outlineLevel="1">
      <c r="A120" s="97">
        <v>43212</v>
      </c>
      <c r="B120" s="98">
        <f t="shared" si="34"/>
        <v>4</v>
      </c>
      <c r="C120" s="35"/>
      <c r="D120" s="36"/>
      <c r="E120" s="43">
        <v>21211423</v>
      </c>
      <c r="F120" s="44">
        <v>5358.11</v>
      </c>
      <c r="G120" s="51"/>
      <c r="H120" s="52"/>
      <c r="I120" s="58">
        <v>6163980</v>
      </c>
      <c r="J120" s="17">
        <v>1716.78</v>
      </c>
      <c r="K120" s="101"/>
      <c r="L120" s="35"/>
      <c r="M120" s="36"/>
      <c r="N120" s="43">
        <v>17059361</v>
      </c>
      <c r="O120" s="44">
        <v>3827.42</v>
      </c>
      <c r="P120" s="51"/>
      <c r="Q120" s="52"/>
      <c r="R120" s="58">
        <v>4853178</v>
      </c>
      <c r="S120" s="17">
        <v>813.49</v>
      </c>
      <c r="T120" s="101"/>
      <c r="U120" s="35"/>
      <c r="V120" s="36"/>
      <c r="W120" s="43">
        <f t="shared" si="30"/>
        <v>4152062</v>
      </c>
      <c r="X120" s="44">
        <f t="shared" si="31"/>
        <v>1530.6899999999996</v>
      </c>
      <c r="Y120" s="51"/>
      <c r="Z120" s="52"/>
      <c r="AA120" s="58">
        <f t="shared" si="32"/>
        <v>1310802</v>
      </c>
      <c r="AB120" s="17">
        <f t="shared" si="33"/>
        <v>903.29</v>
      </c>
      <c r="AC120" s="101"/>
      <c r="AD120" s="359">
        <f t="shared" si="37"/>
        <v>27375403</v>
      </c>
      <c r="AE120" s="435">
        <f t="shared" si="38"/>
        <v>7074.8899999999994</v>
      </c>
    </row>
    <row r="121" spans="1:31" hidden="1" outlineLevel="1">
      <c r="A121" s="97">
        <v>43213</v>
      </c>
      <c r="B121" s="98">
        <f t="shared" si="34"/>
        <v>4</v>
      </c>
      <c r="C121" s="35"/>
      <c r="D121" s="36"/>
      <c r="E121" s="43">
        <v>20323249</v>
      </c>
      <c r="F121" s="44">
        <v>5583.36</v>
      </c>
      <c r="G121" s="51"/>
      <c r="H121" s="52"/>
      <c r="I121" s="58">
        <v>5859061</v>
      </c>
      <c r="J121" s="17">
        <v>1735.29</v>
      </c>
      <c r="K121" s="101"/>
      <c r="L121" s="35"/>
      <c r="M121" s="36"/>
      <c r="N121" s="43">
        <v>16373380</v>
      </c>
      <c r="O121" s="44">
        <v>4076.98</v>
      </c>
      <c r="P121" s="51"/>
      <c r="Q121" s="52"/>
      <c r="R121" s="58">
        <v>4535345</v>
      </c>
      <c r="S121" s="17">
        <v>778.63</v>
      </c>
      <c r="T121" s="101"/>
      <c r="U121" s="35"/>
      <c r="V121" s="36"/>
      <c r="W121" s="43">
        <f t="shared" si="30"/>
        <v>3949869</v>
      </c>
      <c r="X121" s="44">
        <f t="shared" si="31"/>
        <v>1506.3799999999997</v>
      </c>
      <c r="Y121" s="51"/>
      <c r="Z121" s="52"/>
      <c r="AA121" s="58">
        <f t="shared" si="32"/>
        <v>1323716</v>
      </c>
      <c r="AB121" s="17">
        <f t="shared" si="33"/>
        <v>956.66</v>
      </c>
      <c r="AC121" s="101"/>
      <c r="AD121" s="359">
        <f t="shared" si="37"/>
        <v>26182310</v>
      </c>
      <c r="AE121" s="435">
        <f t="shared" si="38"/>
        <v>7318.65</v>
      </c>
    </row>
    <row r="122" spans="1:31" hidden="1" outlineLevel="1">
      <c r="A122" s="97">
        <v>43214</v>
      </c>
      <c r="B122" s="98">
        <f t="shared" si="34"/>
        <v>4</v>
      </c>
      <c r="C122" s="35"/>
      <c r="D122" s="36"/>
      <c r="E122" s="43">
        <v>25482993</v>
      </c>
      <c r="F122" s="44">
        <v>6345.48</v>
      </c>
      <c r="G122" s="51"/>
      <c r="H122" s="52"/>
      <c r="I122" s="58">
        <v>6602107</v>
      </c>
      <c r="J122" s="17">
        <v>1706.3</v>
      </c>
      <c r="K122" s="101"/>
      <c r="L122" s="35"/>
      <c r="M122" s="36"/>
      <c r="N122" s="43">
        <v>21460716</v>
      </c>
      <c r="O122" s="44">
        <v>4725.8100000000004</v>
      </c>
      <c r="P122" s="51"/>
      <c r="Q122" s="52"/>
      <c r="R122" s="58">
        <v>5272151</v>
      </c>
      <c r="S122" s="17">
        <v>806.02</v>
      </c>
      <c r="T122" s="101"/>
      <c r="U122" s="35"/>
      <c r="V122" s="36"/>
      <c r="W122" s="43">
        <f t="shared" si="30"/>
        <v>4022277</v>
      </c>
      <c r="X122" s="44">
        <f t="shared" si="31"/>
        <v>1619.6699999999992</v>
      </c>
      <c r="Y122" s="51"/>
      <c r="Z122" s="52"/>
      <c r="AA122" s="58">
        <f t="shared" si="32"/>
        <v>1329956</v>
      </c>
      <c r="AB122" s="17">
        <f t="shared" si="33"/>
        <v>900.28</v>
      </c>
      <c r="AC122" s="101"/>
      <c r="AD122" s="359">
        <f t="shared" si="37"/>
        <v>32085100</v>
      </c>
      <c r="AE122" s="435">
        <f t="shared" si="38"/>
        <v>8051.78</v>
      </c>
    </row>
    <row r="123" spans="1:31" hidden="1" outlineLevel="1">
      <c r="A123" s="97">
        <v>43215</v>
      </c>
      <c r="B123" s="98">
        <f t="shared" si="34"/>
        <v>4</v>
      </c>
      <c r="C123" s="35"/>
      <c r="D123" s="36"/>
      <c r="E123" s="43">
        <v>21545020</v>
      </c>
      <c r="F123" s="44">
        <v>5363.91</v>
      </c>
      <c r="G123" s="51"/>
      <c r="H123" s="52"/>
      <c r="I123" s="58">
        <v>6314228</v>
      </c>
      <c r="J123" s="17">
        <v>1837.66</v>
      </c>
      <c r="K123" s="101"/>
      <c r="L123" s="35"/>
      <c r="M123" s="36"/>
      <c r="N123" s="43">
        <v>17428023</v>
      </c>
      <c r="O123" s="44">
        <v>3668.1</v>
      </c>
      <c r="P123" s="51"/>
      <c r="Q123" s="52"/>
      <c r="R123" s="58">
        <v>4914621</v>
      </c>
      <c r="S123" s="17">
        <v>709.76</v>
      </c>
      <c r="T123" s="101"/>
      <c r="U123" s="35"/>
      <c r="V123" s="36"/>
      <c r="W123" s="43">
        <f t="shared" si="30"/>
        <v>4116997</v>
      </c>
      <c r="X123" s="44">
        <f t="shared" si="31"/>
        <v>1695.81</v>
      </c>
      <c r="Y123" s="51"/>
      <c r="Z123" s="52"/>
      <c r="AA123" s="58">
        <f t="shared" si="32"/>
        <v>1399607</v>
      </c>
      <c r="AB123" s="17">
        <f t="shared" si="33"/>
        <v>1127.9000000000001</v>
      </c>
      <c r="AC123" s="101"/>
      <c r="AD123" s="359">
        <f t="shared" si="37"/>
        <v>27859248</v>
      </c>
      <c r="AE123" s="435">
        <f t="shared" si="38"/>
        <v>7201.57</v>
      </c>
    </row>
    <row r="124" spans="1:31" hidden="1" outlineLevel="1">
      <c r="A124" s="97">
        <v>43216</v>
      </c>
      <c r="B124" s="98">
        <f t="shared" si="34"/>
        <v>4</v>
      </c>
      <c r="C124" s="35"/>
      <c r="D124" s="36"/>
      <c r="E124" s="43">
        <v>21625195</v>
      </c>
      <c r="F124" s="44">
        <v>5845.84</v>
      </c>
      <c r="G124" s="51"/>
      <c r="H124" s="52"/>
      <c r="I124" s="58">
        <v>6018870</v>
      </c>
      <c r="J124" s="17">
        <v>1831.14</v>
      </c>
      <c r="K124" s="101"/>
      <c r="L124" s="35"/>
      <c r="M124" s="36"/>
      <c r="N124" s="43">
        <v>17185768</v>
      </c>
      <c r="O124" s="44">
        <v>4045.72</v>
      </c>
      <c r="P124" s="51"/>
      <c r="Q124" s="52"/>
      <c r="R124" s="58">
        <v>4624721</v>
      </c>
      <c r="S124" s="17">
        <v>750.58</v>
      </c>
      <c r="T124" s="101"/>
      <c r="U124" s="35"/>
      <c r="V124" s="36"/>
      <c r="W124" s="43">
        <f t="shared" si="30"/>
        <v>4439427</v>
      </c>
      <c r="X124" s="44">
        <f t="shared" si="31"/>
        <v>1800.1200000000003</v>
      </c>
      <c r="Y124" s="51"/>
      <c r="Z124" s="52"/>
      <c r="AA124" s="58">
        <f t="shared" si="32"/>
        <v>1394149</v>
      </c>
      <c r="AB124" s="17">
        <f t="shared" si="33"/>
        <v>1080.56</v>
      </c>
      <c r="AC124" s="101"/>
      <c r="AD124" s="359">
        <f t="shared" si="37"/>
        <v>27644065</v>
      </c>
      <c r="AE124" s="435">
        <f t="shared" si="38"/>
        <v>7676.9800000000005</v>
      </c>
    </row>
    <row r="125" spans="1:31" hidden="1" outlineLevel="1">
      <c r="A125" s="97">
        <v>43217</v>
      </c>
      <c r="B125" s="98">
        <f t="shared" si="34"/>
        <v>4</v>
      </c>
      <c r="C125" s="35"/>
      <c r="D125" s="36"/>
      <c r="E125" s="43">
        <v>27350647</v>
      </c>
      <c r="F125" s="44">
        <v>7155.97</v>
      </c>
      <c r="G125" s="51"/>
      <c r="H125" s="52"/>
      <c r="I125" s="58">
        <v>15250292</v>
      </c>
      <c r="J125" s="17">
        <v>6542.25</v>
      </c>
      <c r="K125" s="101"/>
      <c r="L125" s="35"/>
      <c r="M125" s="36"/>
      <c r="N125" s="43">
        <v>21774869</v>
      </c>
      <c r="O125" s="44">
        <v>5066.72</v>
      </c>
      <c r="P125" s="51"/>
      <c r="Q125" s="52"/>
      <c r="R125" s="58">
        <v>5655845</v>
      </c>
      <c r="S125" s="17">
        <v>812.43</v>
      </c>
      <c r="T125" s="101"/>
      <c r="U125" s="35"/>
      <c r="V125" s="36"/>
      <c r="W125" s="43">
        <f t="shared" si="30"/>
        <v>5575778</v>
      </c>
      <c r="X125" s="44">
        <f t="shared" si="31"/>
        <v>2089.25</v>
      </c>
      <c r="Y125" s="51"/>
      <c r="Z125" s="52"/>
      <c r="AA125" s="58">
        <f t="shared" si="32"/>
        <v>9594447</v>
      </c>
      <c r="AB125" s="17">
        <f t="shared" si="33"/>
        <v>5729.82</v>
      </c>
      <c r="AC125" s="101"/>
      <c r="AD125" s="359">
        <f t="shared" si="37"/>
        <v>42600939</v>
      </c>
      <c r="AE125" s="435">
        <f t="shared" si="38"/>
        <v>13698.220000000001</v>
      </c>
    </row>
    <row r="126" spans="1:31" hidden="1" outlineLevel="1">
      <c r="A126" s="97">
        <v>43218</v>
      </c>
      <c r="B126" s="98">
        <f t="shared" si="34"/>
        <v>4</v>
      </c>
      <c r="C126" s="35"/>
      <c r="D126" s="36"/>
      <c r="E126" s="43">
        <v>28670040</v>
      </c>
      <c r="F126" s="44">
        <v>7166.83</v>
      </c>
      <c r="G126" s="51"/>
      <c r="H126" s="52"/>
      <c r="I126" s="58">
        <v>14062173</v>
      </c>
      <c r="J126" s="17">
        <v>4905.38</v>
      </c>
      <c r="K126" s="101"/>
      <c r="L126" s="35"/>
      <c r="M126" s="36"/>
      <c r="N126" s="43">
        <v>22457696</v>
      </c>
      <c r="O126" s="44">
        <v>4968.72</v>
      </c>
      <c r="P126" s="51"/>
      <c r="Q126" s="52"/>
      <c r="R126" s="58">
        <v>5813976</v>
      </c>
      <c r="S126" s="17">
        <v>758.71</v>
      </c>
      <c r="T126" s="101"/>
      <c r="U126" s="35"/>
      <c r="V126" s="36"/>
      <c r="W126" s="43">
        <f t="shared" si="30"/>
        <v>6212344</v>
      </c>
      <c r="X126" s="44">
        <f t="shared" si="31"/>
        <v>2198.1099999999997</v>
      </c>
      <c r="Y126" s="51"/>
      <c r="Z126" s="52"/>
      <c r="AA126" s="58">
        <f t="shared" si="32"/>
        <v>8248197</v>
      </c>
      <c r="AB126" s="17">
        <f t="shared" si="33"/>
        <v>4146.67</v>
      </c>
      <c r="AC126" s="101"/>
      <c r="AD126" s="359">
        <f t="shared" si="37"/>
        <v>42732213</v>
      </c>
      <c r="AE126" s="435">
        <f t="shared" si="38"/>
        <v>12072.21</v>
      </c>
    </row>
    <row r="127" spans="1:31" hidden="1" outlineLevel="1">
      <c r="A127" s="97">
        <v>43219</v>
      </c>
      <c r="B127" s="98">
        <f t="shared" si="34"/>
        <v>4</v>
      </c>
      <c r="C127" s="35"/>
      <c r="D127" s="36"/>
      <c r="E127" s="43">
        <v>28954895</v>
      </c>
      <c r="F127" s="44">
        <v>7423.75</v>
      </c>
      <c r="G127" s="51"/>
      <c r="H127" s="52"/>
      <c r="I127" s="58">
        <v>13065888</v>
      </c>
      <c r="J127" s="17">
        <v>3992.7</v>
      </c>
      <c r="K127" s="101"/>
      <c r="L127" s="35"/>
      <c r="M127" s="36"/>
      <c r="N127" s="43">
        <v>22269357</v>
      </c>
      <c r="O127" s="44">
        <v>5032.97</v>
      </c>
      <c r="P127" s="51"/>
      <c r="Q127" s="52"/>
      <c r="R127" s="58">
        <v>5953451</v>
      </c>
      <c r="S127" s="17">
        <v>705.86</v>
      </c>
      <c r="T127" s="101"/>
      <c r="U127" s="35"/>
      <c r="V127" s="36"/>
      <c r="W127" s="43">
        <f t="shared" si="30"/>
        <v>6685538</v>
      </c>
      <c r="X127" s="44">
        <f t="shared" si="31"/>
        <v>2390.7799999999997</v>
      </c>
      <c r="Y127" s="51"/>
      <c r="Z127" s="52"/>
      <c r="AA127" s="58">
        <f t="shared" si="32"/>
        <v>7112437</v>
      </c>
      <c r="AB127" s="17">
        <f t="shared" si="33"/>
        <v>3286.8399999999997</v>
      </c>
      <c r="AC127" s="101"/>
      <c r="AD127" s="359">
        <f t="shared" si="37"/>
        <v>42020783</v>
      </c>
      <c r="AE127" s="435">
        <f t="shared" si="38"/>
        <v>11416.45</v>
      </c>
    </row>
    <row r="128" spans="1:31" hidden="1" outlineLevel="1">
      <c r="A128" s="97">
        <v>43220</v>
      </c>
      <c r="B128" s="98">
        <f t="shared" si="34"/>
        <v>4</v>
      </c>
      <c r="C128" s="35"/>
      <c r="D128" s="36"/>
      <c r="E128" s="43">
        <v>28215553</v>
      </c>
      <c r="F128" s="44">
        <v>6876.82</v>
      </c>
      <c r="G128" s="51"/>
      <c r="H128" s="52"/>
      <c r="I128" s="58">
        <v>13105444</v>
      </c>
      <c r="J128" s="17">
        <v>4618.09</v>
      </c>
      <c r="K128" s="101"/>
      <c r="L128" s="35"/>
      <c r="M128" s="36"/>
      <c r="N128" s="43">
        <v>21762933</v>
      </c>
      <c r="O128" s="44">
        <v>4501.6000000000004</v>
      </c>
      <c r="P128" s="51"/>
      <c r="Q128" s="52"/>
      <c r="R128" s="58">
        <v>6157059</v>
      </c>
      <c r="S128" s="17">
        <v>708.43</v>
      </c>
      <c r="T128" s="101"/>
      <c r="U128" s="35"/>
      <c r="V128" s="36"/>
      <c r="W128" s="43">
        <f t="shared" si="30"/>
        <v>6452620</v>
      </c>
      <c r="X128" s="44">
        <f t="shared" si="31"/>
        <v>2375.2199999999993</v>
      </c>
      <c r="Y128" s="51"/>
      <c r="Z128" s="52"/>
      <c r="AA128" s="58">
        <f t="shared" si="32"/>
        <v>6948385</v>
      </c>
      <c r="AB128" s="17">
        <f t="shared" si="33"/>
        <v>3909.6600000000003</v>
      </c>
      <c r="AC128" s="101"/>
      <c r="AD128" s="359">
        <f t="shared" si="37"/>
        <v>41320997</v>
      </c>
      <c r="AE128" s="435">
        <f t="shared" si="38"/>
        <v>11494.91</v>
      </c>
    </row>
    <row r="129" spans="1:31" collapsed="1">
      <c r="A129" s="104"/>
      <c r="B129" s="104" t="s">
        <v>18</v>
      </c>
      <c r="C129" s="105"/>
      <c r="D129" s="106"/>
      <c r="E129" s="107">
        <f t="shared" ref="D129:AB129" si="39">SUBTOTAL(9,E130:E160)</f>
        <v>796396532</v>
      </c>
      <c r="F129" s="108">
        <f t="shared" si="39"/>
        <v>206786.54000000004</v>
      </c>
      <c r="G129" s="109"/>
      <c r="H129" s="110"/>
      <c r="I129" s="111">
        <f t="shared" si="39"/>
        <v>401198859</v>
      </c>
      <c r="J129" s="14">
        <f t="shared" si="39"/>
        <v>176027.96000000005</v>
      </c>
      <c r="K129" s="103"/>
      <c r="L129" s="105"/>
      <c r="M129" s="106"/>
      <c r="N129" s="107">
        <f t="shared" si="39"/>
        <v>579917316</v>
      </c>
      <c r="O129" s="108">
        <f t="shared" si="39"/>
        <v>122478.54000000001</v>
      </c>
      <c r="P129" s="109"/>
      <c r="Q129" s="110"/>
      <c r="R129" s="111">
        <f t="shared" si="39"/>
        <v>156759564</v>
      </c>
      <c r="S129" s="14">
        <f t="shared" si="39"/>
        <v>22565.05</v>
      </c>
      <c r="T129" s="103"/>
      <c r="U129" s="105"/>
      <c r="V129" s="106"/>
      <c r="W129" s="107">
        <f t="shared" si="39"/>
        <v>216479216</v>
      </c>
      <c r="X129" s="108">
        <f t="shared" si="39"/>
        <v>84308.000000000015</v>
      </c>
      <c r="Y129" s="109"/>
      <c r="Z129" s="110"/>
      <c r="AA129" s="111">
        <f t="shared" si="39"/>
        <v>244439295</v>
      </c>
      <c r="AB129" s="14">
        <f t="shared" si="39"/>
        <v>153462.91000000003</v>
      </c>
      <c r="AC129" s="103"/>
      <c r="AD129" s="359"/>
      <c r="AE129" s="435"/>
    </row>
    <row r="130" spans="1:31" hidden="1" outlineLevel="1">
      <c r="A130" s="114">
        <v>43221</v>
      </c>
      <c r="B130" s="115">
        <f t="shared" si="34"/>
        <v>5</v>
      </c>
      <c r="C130" s="35"/>
      <c r="D130" s="36"/>
      <c r="E130" s="43">
        <v>22726652</v>
      </c>
      <c r="F130" s="44">
        <v>5896.44</v>
      </c>
      <c r="G130" s="51"/>
      <c r="H130" s="52"/>
      <c r="I130" s="58">
        <v>14687335</v>
      </c>
      <c r="J130" s="17">
        <v>5375.45</v>
      </c>
      <c r="K130" s="101"/>
      <c r="L130" s="35"/>
      <c r="M130" s="36"/>
      <c r="N130" s="43">
        <v>16786776</v>
      </c>
      <c r="O130" s="44">
        <v>3797.29</v>
      </c>
      <c r="P130" s="51"/>
      <c r="Q130" s="52"/>
      <c r="R130" s="58">
        <v>5233724</v>
      </c>
      <c r="S130" s="17">
        <v>652.98</v>
      </c>
      <c r="T130" s="101"/>
      <c r="U130" s="35"/>
      <c r="V130" s="36"/>
      <c r="W130" s="43">
        <f t="shared" si="30"/>
        <v>5939876</v>
      </c>
      <c r="X130" s="44">
        <f t="shared" si="31"/>
        <v>2099.1499999999996</v>
      </c>
      <c r="Y130" s="51"/>
      <c r="Z130" s="52"/>
      <c r="AA130" s="58">
        <f t="shared" si="32"/>
        <v>9453611</v>
      </c>
      <c r="AB130" s="17">
        <f t="shared" si="33"/>
        <v>4722.4699999999993</v>
      </c>
      <c r="AC130" s="101"/>
      <c r="AD130" s="359">
        <f t="shared" si="37"/>
        <v>37413987</v>
      </c>
      <c r="AE130" s="435">
        <f t="shared" si="38"/>
        <v>11271.89</v>
      </c>
    </row>
    <row r="131" spans="1:31" hidden="1" outlineLevel="1">
      <c r="A131" s="114">
        <v>43222</v>
      </c>
      <c r="B131" s="115">
        <f t="shared" si="34"/>
        <v>5</v>
      </c>
      <c r="C131" s="35"/>
      <c r="D131" s="36"/>
      <c r="E131" s="43">
        <v>20638779</v>
      </c>
      <c r="F131" s="44">
        <v>6267.69</v>
      </c>
      <c r="G131" s="51"/>
      <c r="H131" s="52"/>
      <c r="I131" s="58">
        <v>15016765</v>
      </c>
      <c r="J131" s="17">
        <v>6625.81</v>
      </c>
      <c r="K131" s="101"/>
      <c r="L131" s="35"/>
      <c r="M131" s="36"/>
      <c r="N131" s="43">
        <v>15760635</v>
      </c>
      <c r="O131" s="44">
        <v>4462.3599999999997</v>
      </c>
      <c r="P131" s="51"/>
      <c r="Q131" s="52"/>
      <c r="R131" s="58">
        <v>4955285</v>
      </c>
      <c r="S131" s="17">
        <v>881.96</v>
      </c>
      <c r="T131" s="101"/>
      <c r="U131" s="35"/>
      <c r="V131" s="36"/>
      <c r="W131" s="43">
        <f t="shared" si="30"/>
        <v>4878144</v>
      </c>
      <c r="X131" s="44">
        <f t="shared" si="31"/>
        <v>1805.33</v>
      </c>
      <c r="Y131" s="51"/>
      <c r="Z131" s="52"/>
      <c r="AA131" s="58">
        <f t="shared" si="32"/>
        <v>10061480</v>
      </c>
      <c r="AB131" s="17">
        <f t="shared" si="33"/>
        <v>5743.85</v>
      </c>
      <c r="AC131" s="101"/>
      <c r="AD131" s="359">
        <f t="shared" si="37"/>
        <v>35655544</v>
      </c>
      <c r="AE131" s="435">
        <f t="shared" si="38"/>
        <v>12893.5</v>
      </c>
    </row>
    <row r="132" spans="1:31" hidden="1" outlineLevel="1">
      <c r="A132" s="114">
        <v>43223</v>
      </c>
      <c r="B132" s="115">
        <f t="shared" si="34"/>
        <v>5</v>
      </c>
      <c r="C132" s="35"/>
      <c r="D132" s="36"/>
      <c r="E132" s="43">
        <v>20559860</v>
      </c>
      <c r="F132" s="44">
        <v>5572.34</v>
      </c>
      <c r="G132" s="51"/>
      <c r="H132" s="52"/>
      <c r="I132" s="58">
        <v>15847363</v>
      </c>
      <c r="J132" s="17">
        <v>7883.05</v>
      </c>
      <c r="K132" s="101"/>
      <c r="L132" s="35"/>
      <c r="M132" s="36"/>
      <c r="N132" s="43">
        <v>15789594</v>
      </c>
      <c r="O132" s="44">
        <v>3731.41</v>
      </c>
      <c r="P132" s="51"/>
      <c r="Q132" s="52"/>
      <c r="R132" s="58">
        <v>5087081</v>
      </c>
      <c r="S132" s="17">
        <v>735.25</v>
      </c>
      <c r="T132" s="101"/>
      <c r="U132" s="35"/>
      <c r="V132" s="36"/>
      <c r="W132" s="43">
        <f t="shared" si="30"/>
        <v>4770266</v>
      </c>
      <c r="X132" s="44">
        <f t="shared" si="31"/>
        <v>1840.9300000000003</v>
      </c>
      <c r="Y132" s="51"/>
      <c r="Z132" s="52"/>
      <c r="AA132" s="58">
        <f t="shared" si="32"/>
        <v>10760282</v>
      </c>
      <c r="AB132" s="17">
        <f t="shared" si="33"/>
        <v>7147.8</v>
      </c>
      <c r="AC132" s="101"/>
      <c r="AD132" s="359">
        <f t="shared" si="37"/>
        <v>36407223</v>
      </c>
      <c r="AE132" s="435">
        <f t="shared" si="38"/>
        <v>13455.39</v>
      </c>
    </row>
    <row r="133" spans="1:31" hidden="1" outlineLevel="1">
      <c r="A133" s="114">
        <v>43224</v>
      </c>
      <c r="B133" s="115">
        <f t="shared" si="34"/>
        <v>5</v>
      </c>
      <c r="C133" s="35"/>
      <c r="D133" s="36"/>
      <c r="E133" s="43">
        <v>25745750</v>
      </c>
      <c r="F133" s="44">
        <v>6218.19</v>
      </c>
      <c r="G133" s="51"/>
      <c r="H133" s="52"/>
      <c r="I133" s="58">
        <v>15534523</v>
      </c>
      <c r="J133" s="17">
        <v>6874.28</v>
      </c>
      <c r="K133" s="101"/>
      <c r="L133" s="35"/>
      <c r="M133" s="36"/>
      <c r="N133" s="43">
        <v>19875675</v>
      </c>
      <c r="O133" s="44">
        <v>4096.1499999999996</v>
      </c>
      <c r="P133" s="51"/>
      <c r="Q133" s="52"/>
      <c r="R133" s="58">
        <v>6026154</v>
      </c>
      <c r="S133" s="17">
        <v>833.71</v>
      </c>
      <c r="T133" s="101"/>
      <c r="U133" s="35"/>
      <c r="V133" s="36"/>
      <c r="W133" s="43">
        <f t="shared" si="30"/>
        <v>5870075</v>
      </c>
      <c r="X133" s="44">
        <f t="shared" si="31"/>
        <v>2122.04</v>
      </c>
      <c r="Y133" s="51"/>
      <c r="Z133" s="52"/>
      <c r="AA133" s="58">
        <f t="shared" si="32"/>
        <v>9508369</v>
      </c>
      <c r="AB133" s="17">
        <f t="shared" si="33"/>
        <v>6040.57</v>
      </c>
      <c r="AC133" s="101"/>
      <c r="AD133" s="359">
        <f t="shared" si="37"/>
        <v>41280273</v>
      </c>
      <c r="AE133" s="435">
        <f t="shared" si="38"/>
        <v>13092.47</v>
      </c>
    </row>
    <row r="134" spans="1:31" hidden="1" outlineLevel="1">
      <c r="A134" s="114">
        <v>43225</v>
      </c>
      <c r="B134" s="115">
        <f t="shared" si="34"/>
        <v>5</v>
      </c>
      <c r="C134" s="35"/>
      <c r="D134" s="36"/>
      <c r="E134" s="43">
        <v>27901413</v>
      </c>
      <c r="F134" s="44">
        <v>6454.04</v>
      </c>
      <c r="G134" s="51"/>
      <c r="H134" s="52"/>
      <c r="I134" s="58">
        <v>17249462</v>
      </c>
      <c r="J134" s="17">
        <v>6884.86</v>
      </c>
      <c r="K134" s="101"/>
      <c r="L134" s="35"/>
      <c r="M134" s="36"/>
      <c r="N134" s="43">
        <v>20493831</v>
      </c>
      <c r="O134" s="44">
        <v>3904.53</v>
      </c>
      <c r="P134" s="51"/>
      <c r="Q134" s="52"/>
      <c r="R134" s="58">
        <v>6913208</v>
      </c>
      <c r="S134" s="17">
        <v>920.8</v>
      </c>
      <c r="T134" s="101"/>
      <c r="U134" s="35"/>
      <c r="V134" s="36"/>
      <c r="W134" s="43">
        <f t="shared" si="30"/>
        <v>7407582</v>
      </c>
      <c r="X134" s="44">
        <f t="shared" si="31"/>
        <v>2549.5099999999998</v>
      </c>
      <c r="Y134" s="51"/>
      <c r="Z134" s="52"/>
      <c r="AA134" s="58">
        <f t="shared" si="32"/>
        <v>10336254</v>
      </c>
      <c r="AB134" s="17">
        <f t="shared" si="33"/>
        <v>5964.0599999999995</v>
      </c>
      <c r="AC134" s="101"/>
      <c r="AD134" s="359">
        <f t="shared" si="37"/>
        <v>45150875</v>
      </c>
      <c r="AE134" s="435">
        <f t="shared" si="38"/>
        <v>13338.9</v>
      </c>
    </row>
    <row r="135" spans="1:31" hidden="1" outlineLevel="1">
      <c r="A135" s="114">
        <v>43226</v>
      </c>
      <c r="B135" s="115">
        <f t="shared" si="34"/>
        <v>5</v>
      </c>
      <c r="C135" s="35"/>
      <c r="D135" s="36"/>
      <c r="E135" s="43">
        <v>22819950</v>
      </c>
      <c r="F135" s="44">
        <v>5761.83</v>
      </c>
      <c r="G135" s="51"/>
      <c r="H135" s="52"/>
      <c r="I135" s="58">
        <v>15547650</v>
      </c>
      <c r="J135" s="17">
        <v>6369.72</v>
      </c>
      <c r="K135" s="101"/>
      <c r="L135" s="35"/>
      <c r="M135" s="36"/>
      <c r="N135" s="43">
        <v>15446233</v>
      </c>
      <c r="O135" s="44">
        <v>3084.18</v>
      </c>
      <c r="P135" s="51"/>
      <c r="Q135" s="52"/>
      <c r="R135" s="58">
        <v>5637621</v>
      </c>
      <c r="S135" s="17">
        <v>778.59</v>
      </c>
      <c r="T135" s="101"/>
      <c r="U135" s="35"/>
      <c r="V135" s="36"/>
      <c r="W135" s="43">
        <f t="shared" si="30"/>
        <v>7373717</v>
      </c>
      <c r="X135" s="44">
        <f t="shared" si="31"/>
        <v>2677.65</v>
      </c>
      <c r="Y135" s="51"/>
      <c r="Z135" s="52"/>
      <c r="AA135" s="58">
        <f t="shared" si="32"/>
        <v>9910029</v>
      </c>
      <c r="AB135" s="17">
        <f t="shared" si="33"/>
        <v>5591.13</v>
      </c>
      <c r="AC135" s="101"/>
      <c r="AD135" s="359">
        <f t="shared" si="37"/>
        <v>38367600</v>
      </c>
      <c r="AE135" s="435">
        <f t="shared" si="38"/>
        <v>12131.55</v>
      </c>
    </row>
    <row r="136" spans="1:31" hidden="1" outlineLevel="1">
      <c r="A136" s="114">
        <v>43227</v>
      </c>
      <c r="B136" s="115">
        <f t="shared" si="34"/>
        <v>5</v>
      </c>
      <c r="C136" s="35"/>
      <c r="D136" s="36"/>
      <c r="E136" s="43">
        <v>20403072</v>
      </c>
      <c r="F136" s="44">
        <v>5710.88</v>
      </c>
      <c r="G136" s="51"/>
      <c r="H136" s="52"/>
      <c r="I136" s="58">
        <v>15697044</v>
      </c>
      <c r="J136" s="17">
        <v>7799.41</v>
      </c>
      <c r="K136" s="101"/>
      <c r="L136" s="35"/>
      <c r="M136" s="36"/>
      <c r="N136" s="43">
        <v>14862402</v>
      </c>
      <c r="O136" s="44">
        <v>3511.36</v>
      </c>
      <c r="P136" s="51"/>
      <c r="Q136" s="52"/>
      <c r="R136" s="58">
        <v>5017453</v>
      </c>
      <c r="S136" s="17">
        <v>806.73</v>
      </c>
      <c r="T136" s="101"/>
      <c r="U136" s="35"/>
      <c r="V136" s="36"/>
      <c r="W136" s="43">
        <f t="shared" si="30"/>
        <v>5540670</v>
      </c>
      <c r="X136" s="44">
        <f t="shared" si="31"/>
        <v>2199.52</v>
      </c>
      <c r="Y136" s="51"/>
      <c r="Z136" s="52"/>
      <c r="AA136" s="58">
        <f t="shared" si="32"/>
        <v>10679591</v>
      </c>
      <c r="AB136" s="17">
        <f t="shared" si="33"/>
        <v>6992.68</v>
      </c>
      <c r="AC136" s="101"/>
      <c r="AD136" s="359">
        <f t="shared" si="37"/>
        <v>36100116</v>
      </c>
      <c r="AE136" s="435">
        <f t="shared" si="38"/>
        <v>13510.29</v>
      </c>
    </row>
    <row r="137" spans="1:31" hidden="1" outlineLevel="1">
      <c r="A137" s="114">
        <v>43228</v>
      </c>
      <c r="B137" s="115">
        <f t="shared" si="34"/>
        <v>5</v>
      </c>
      <c r="C137" s="35"/>
      <c r="D137" s="36"/>
      <c r="E137" s="43">
        <v>21493689</v>
      </c>
      <c r="F137" s="44">
        <v>5857.72</v>
      </c>
      <c r="G137" s="51"/>
      <c r="H137" s="52"/>
      <c r="I137" s="58">
        <v>17494092</v>
      </c>
      <c r="J137" s="17">
        <v>8270.9500000000007</v>
      </c>
      <c r="K137" s="101"/>
      <c r="L137" s="35"/>
      <c r="M137" s="36"/>
      <c r="N137" s="43">
        <v>16013922</v>
      </c>
      <c r="O137" s="44">
        <v>3617.49</v>
      </c>
      <c r="P137" s="51"/>
      <c r="Q137" s="52"/>
      <c r="R137" s="58">
        <v>5185654</v>
      </c>
      <c r="S137" s="17">
        <v>782.41</v>
      </c>
      <c r="T137" s="101"/>
      <c r="U137" s="35"/>
      <c r="V137" s="36"/>
      <c r="W137" s="43">
        <f t="shared" si="30"/>
        <v>5479767</v>
      </c>
      <c r="X137" s="44">
        <f t="shared" si="31"/>
        <v>2240.2300000000005</v>
      </c>
      <c r="Y137" s="51"/>
      <c r="Z137" s="52"/>
      <c r="AA137" s="58">
        <f t="shared" si="32"/>
        <v>12308438</v>
      </c>
      <c r="AB137" s="17">
        <f t="shared" si="33"/>
        <v>7488.5400000000009</v>
      </c>
      <c r="AC137" s="101"/>
      <c r="AD137" s="359">
        <f t="shared" si="37"/>
        <v>38987781</v>
      </c>
      <c r="AE137" s="435">
        <f t="shared" si="38"/>
        <v>14128.670000000002</v>
      </c>
    </row>
    <row r="138" spans="1:31" hidden="1" outlineLevel="1">
      <c r="A138" s="114">
        <v>43229</v>
      </c>
      <c r="B138" s="115">
        <f t="shared" si="34"/>
        <v>5</v>
      </c>
      <c r="C138" s="35"/>
      <c r="D138" s="36"/>
      <c r="E138" s="43">
        <v>21598372</v>
      </c>
      <c r="F138" s="44">
        <v>5541.48</v>
      </c>
      <c r="G138" s="51"/>
      <c r="H138" s="52"/>
      <c r="I138" s="58">
        <v>17851428</v>
      </c>
      <c r="J138" s="17">
        <v>8200.1</v>
      </c>
      <c r="K138" s="101"/>
      <c r="L138" s="35"/>
      <c r="M138" s="36"/>
      <c r="N138" s="43">
        <v>16127221</v>
      </c>
      <c r="O138" s="44">
        <v>3503.13</v>
      </c>
      <c r="P138" s="51"/>
      <c r="Q138" s="52"/>
      <c r="R138" s="58">
        <v>5337721</v>
      </c>
      <c r="S138" s="17">
        <v>806.03</v>
      </c>
      <c r="T138" s="101"/>
      <c r="U138" s="35"/>
      <c r="V138" s="36"/>
      <c r="W138" s="43">
        <f t="shared" si="30"/>
        <v>5471151</v>
      </c>
      <c r="X138" s="44">
        <f t="shared" si="31"/>
        <v>2038.3499999999995</v>
      </c>
      <c r="Y138" s="51"/>
      <c r="Z138" s="52"/>
      <c r="AA138" s="58">
        <f t="shared" si="32"/>
        <v>12513707</v>
      </c>
      <c r="AB138" s="17">
        <f t="shared" si="33"/>
        <v>7394.0700000000006</v>
      </c>
      <c r="AC138" s="101"/>
      <c r="AD138" s="359">
        <f t="shared" si="37"/>
        <v>39449800</v>
      </c>
      <c r="AE138" s="435">
        <f t="shared" si="38"/>
        <v>13741.58</v>
      </c>
    </row>
    <row r="139" spans="1:31" hidden="1" outlineLevel="1">
      <c r="A139" s="114">
        <v>43230</v>
      </c>
      <c r="B139" s="115">
        <f t="shared" si="34"/>
        <v>5</v>
      </c>
      <c r="C139" s="35"/>
      <c r="D139" s="36"/>
      <c r="E139" s="43">
        <v>21383389</v>
      </c>
      <c r="F139" s="44">
        <v>5338.54</v>
      </c>
      <c r="G139" s="51"/>
      <c r="H139" s="52"/>
      <c r="I139" s="58">
        <v>16774848</v>
      </c>
      <c r="J139" s="17">
        <v>6861.78</v>
      </c>
      <c r="K139" s="101"/>
      <c r="L139" s="35"/>
      <c r="M139" s="36"/>
      <c r="N139" s="43">
        <v>16302614</v>
      </c>
      <c r="O139" s="44">
        <v>3440.53</v>
      </c>
      <c r="P139" s="51"/>
      <c r="Q139" s="52"/>
      <c r="R139" s="58">
        <v>5348488</v>
      </c>
      <c r="S139" s="17">
        <v>807.01</v>
      </c>
      <c r="T139" s="101"/>
      <c r="U139" s="35"/>
      <c r="V139" s="36"/>
      <c r="W139" s="43">
        <f t="shared" ref="W139:W204" si="40">E139-N139</f>
        <v>5080775</v>
      </c>
      <c r="X139" s="44">
        <f t="shared" ref="X139:X204" si="41">F139-O139</f>
        <v>1898.0099999999998</v>
      </c>
      <c r="Y139" s="51"/>
      <c r="Z139" s="52"/>
      <c r="AA139" s="58">
        <f t="shared" ref="AA139:AA204" si="42">I139-R139</f>
        <v>11426360</v>
      </c>
      <c r="AB139" s="17">
        <f t="shared" ref="AB139:AB204" si="43">J139-S139</f>
        <v>6054.7699999999995</v>
      </c>
      <c r="AC139" s="101"/>
      <c r="AD139" s="359">
        <f t="shared" si="37"/>
        <v>38158237</v>
      </c>
      <c r="AE139" s="435">
        <f t="shared" si="38"/>
        <v>12200.32</v>
      </c>
    </row>
    <row r="140" spans="1:31" hidden="1" outlineLevel="1">
      <c r="A140" s="114">
        <v>43231</v>
      </c>
      <c r="B140" s="115">
        <f t="shared" si="34"/>
        <v>5</v>
      </c>
      <c r="C140" s="35"/>
      <c r="D140" s="36"/>
      <c r="E140" s="43">
        <v>25025748</v>
      </c>
      <c r="F140" s="44">
        <v>5738.86</v>
      </c>
      <c r="G140" s="51"/>
      <c r="H140" s="52"/>
      <c r="I140" s="58">
        <v>15723754</v>
      </c>
      <c r="J140" s="17">
        <v>6520.78</v>
      </c>
      <c r="K140" s="101"/>
      <c r="L140" s="35"/>
      <c r="M140" s="36"/>
      <c r="N140" s="43">
        <v>19862398</v>
      </c>
      <c r="O140" s="44">
        <v>3796.92</v>
      </c>
      <c r="P140" s="51"/>
      <c r="Q140" s="52"/>
      <c r="R140" s="58">
        <v>5393364</v>
      </c>
      <c r="S140" s="17">
        <v>685.61</v>
      </c>
      <c r="T140" s="101"/>
      <c r="U140" s="35"/>
      <c r="V140" s="36"/>
      <c r="W140" s="43">
        <f t="shared" si="40"/>
        <v>5163350</v>
      </c>
      <c r="X140" s="44">
        <f t="shared" si="41"/>
        <v>1941.9399999999996</v>
      </c>
      <c r="Y140" s="51"/>
      <c r="Z140" s="52"/>
      <c r="AA140" s="58">
        <f t="shared" si="42"/>
        <v>10330390</v>
      </c>
      <c r="AB140" s="17">
        <f t="shared" si="43"/>
        <v>5835.17</v>
      </c>
      <c r="AC140" s="101"/>
      <c r="AD140" s="359">
        <f t="shared" si="37"/>
        <v>40749502</v>
      </c>
      <c r="AE140" s="435">
        <f t="shared" si="38"/>
        <v>12259.64</v>
      </c>
    </row>
    <row r="141" spans="1:31" hidden="1" outlineLevel="1">
      <c r="A141" s="114">
        <v>43232</v>
      </c>
      <c r="B141" s="115">
        <f t="shared" si="34"/>
        <v>5</v>
      </c>
      <c r="C141" s="35"/>
      <c r="D141" s="36"/>
      <c r="E141" s="43">
        <v>26922901</v>
      </c>
      <c r="F141" s="44">
        <v>6038.92</v>
      </c>
      <c r="G141" s="51"/>
      <c r="H141" s="52"/>
      <c r="I141" s="58">
        <v>15383435</v>
      </c>
      <c r="J141" s="17">
        <v>6063.71</v>
      </c>
      <c r="K141" s="101"/>
      <c r="L141" s="35"/>
      <c r="M141" s="36"/>
      <c r="N141" s="43">
        <v>20658588</v>
      </c>
      <c r="O141" s="44">
        <v>3664.42</v>
      </c>
      <c r="P141" s="51"/>
      <c r="Q141" s="52"/>
      <c r="R141" s="58">
        <v>5622595</v>
      </c>
      <c r="S141" s="17">
        <v>664.65</v>
      </c>
      <c r="T141" s="101"/>
      <c r="U141" s="35"/>
      <c r="V141" s="36"/>
      <c r="W141" s="43">
        <f t="shared" si="40"/>
        <v>6264313</v>
      </c>
      <c r="X141" s="44">
        <f t="shared" si="41"/>
        <v>2374.5</v>
      </c>
      <c r="Y141" s="51"/>
      <c r="Z141" s="52"/>
      <c r="AA141" s="58">
        <f t="shared" si="42"/>
        <v>9760840</v>
      </c>
      <c r="AB141" s="17">
        <f t="shared" si="43"/>
        <v>5399.06</v>
      </c>
      <c r="AC141" s="101"/>
      <c r="AD141" s="359">
        <f t="shared" si="37"/>
        <v>42306336</v>
      </c>
      <c r="AE141" s="435">
        <f t="shared" si="38"/>
        <v>12102.630000000001</v>
      </c>
    </row>
    <row r="142" spans="1:31" hidden="1" outlineLevel="1">
      <c r="A142" s="114">
        <v>43233</v>
      </c>
      <c r="B142" s="115">
        <f t="shared" si="34"/>
        <v>5</v>
      </c>
      <c r="C142" s="35"/>
      <c r="D142" s="36"/>
      <c r="E142" s="43">
        <v>21880071</v>
      </c>
      <c r="F142" s="44">
        <v>5378.72</v>
      </c>
      <c r="G142" s="51"/>
      <c r="H142" s="52"/>
      <c r="I142" s="58">
        <v>16757881</v>
      </c>
      <c r="J142" s="17">
        <v>7879.12</v>
      </c>
      <c r="K142" s="101"/>
      <c r="L142" s="35"/>
      <c r="M142" s="36"/>
      <c r="N142" s="43">
        <v>15243367</v>
      </c>
      <c r="O142" s="44">
        <v>2781.92</v>
      </c>
      <c r="P142" s="51"/>
      <c r="Q142" s="52"/>
      <c r="R142" s="58">
        <v>5351356</v>
      </c>
      <c r="S142" s="17">
        <v>681.89</v>
      </c>
      <c r="T142" s="101"/>
      <c r="U142" s="35"/>
      <c r="V142" s="36"/>
      <c r="W142" s="43">
        <f t="shared" si="40"/>
        <v>6636704</v>
      </c>
      <c r="X142" s="44">
        <f t="shared" si="41"/>
        <v>2596.8000000000002</v>
      </c>
      <c r="Y142" s="51"/>
      <c r="Z142" s="52"/>
      <c r="AA142" s="58">
        <f t="shared" si="42"/>
        <v>11406525</v>
      </c>
      <c r="AB142" s="17">
        <f t="shared" si="43"/>
        <v>7197.23</v>
      </c>
      <c r="AC142" s="101"/>
      <c r="AD142" s="359">
        <f t="shared" si="37"/>
        <v>38637952</v>
      </c>
      <c r="AE142" s="435">
        <f t="shared" si="38"/>
        <v>13257.84</v>
      </c>
    </row>
    <row r="143" spans="1:31" hidden="1" outlineLevel="1">
      <c r="A143" s="114">
        <v>43234</v>
      </c>
      <c r="B143" s="115">
        <f t="shared" si="34"/>
        <v>5</v>
      </c>
      <c r="C143" s="35"/>
      <c r="D143" s="36"/>
      <c r="E143" s="43">
        <v>22969040</v>
      </c>
      <c r="F143" s="44">
        <v>6431.16</v>
      </c>
      <c r="G143" s="51"/>
      <c r="H143" s="52"/>
      <c r="I143" s="58">
        <v>15138297</v>
      </c>
      <c r="J143" s="17">
        <v>7387.57</v>
      </c>
      <c r="K143" s="101"/>
      <c r="L143" s="35"/>
      <c r="M143" s="36"/>
      <c r="N143" s="43">
        <v>15198561</v>
      </c>
      <c r="O143" s="44">
        <v>3079.39</v>
      </c>
      <c r="P143" s="51"/>
      <c r="Q143" s="52"/>
      <c r="R143" s="58">
        <v>5230144</v>
      </c>
      <c r="S143" s="17">
        <v>756.62</v>
      </c>
      <c r="T143" s="101"/>
      <c r="U143" s="35"/>
      <c r="V143" s="36"/>
      <c r="W143" s="43">
        <f t="shared" si="40"/>
        <v>7770479</v>
      </c>
      <c r="X143" s="44">
        <f t="shared" si="41"/>
        <v>3351.77</v>
      </c>
      <c r="Y143" s="51"/>
      <c r="Z143" s="52"/>
      <c r="AA143" s="58">
        <f t="shared" si="42"/>
        <v>9908153</v>
      </c>
      <c r="AB143" s="17">
        <f t="shared" si="43"/>
        <v>6630.95</v>
      </c>
      <c r="AC143" s="101"/>
      <c r="AD143" s="359">
        <f t="shared" si="37"/>
        <v>38107337</v>
      </c>
      <c r="AE143" s="435">
        <f t="shared" si="38"/>
        <v>13818.73</v>
      </c>
    </row>
    <row r="144" spans="1:31" hidden="1" outlineLevel="1">
      <c r="A144" s="114">
        <v>43235</v>
      </c>
      <c r="B144" s="115">
        <f t="shared" si="34"/>
        <v>5</v>
      </c>
      <c r="C144" s="35"/>
      <c r="D144" s="36"/>
      <c r="E144" s="43">
        <v>30766970</v>
      </c>
      <c r="F144" s="44">
        <v>7048.04</v>
      </c>
      <c r="G144" s="51"/>
      <c r="H144" s="52"/>
      <c r="I144" s="58">
        <v>12675762</v>
      </c>
      <c r="J144" s="17">
        <v>3857.39</v>
      </c>
      <c r="K144" s="101"/>
      <c r="L144" s="35"/>
      <c r="M144" s="36"/>
      <c r="N144" s="43">
        <v>16755711</v>
      </c>
      <c r="O144" s="44">
        <v>3083.29</v>
      </c>
      <c r="P144" s="51"/>
      <c r="Q144" s="52"/>
      <c r="R144" s="58">
        <v>5204587</v>
      </c>
      <c r="S144" s="17">
        <v>693.93</v>
      </c>
      <c r="T144" s="101"/>
      <c r="U144" s="35"/>
      <c r="V144" s="36"/>
      <c r="W144" s="43">
        <f t="shared" si="40"/>
        <v>14011259</v>
      </c>
      <c r="X144" s="44">
        <f t="shared" si="41"/>
        <v>3964.75</v>
      </c>
      <c r="Y144" s="51"/>
      <c r="Z144" s="52"/>
      <c r="AA144" s="58">
        <f t="shared" si="42"/>
        <v>7471175</v>
      </c>
      <c r="AB144" s="17">
        <f t="shared" si="43"/>
        <v>3163.46</v>
      </c>
      <c r="AC144" s="101"/>
      <c r="AD144" s="359">
        <f t="shared" si="37"/>
        <v>43442732</v>
      </c>
      <c r="AE144" s="435">
        <f t="shared" si="38"/>
        <v>10905.43</v>
      </c>
    </row>
    <row r="145" spans="1:31" hidden="1" outlineLevel="1">
      <c r="A145" s="114">
        <v>43236</v>
      </c>
      <c r="B145" s="115">
        <f t="shared" si="34"/>
        <v>5</v>
      </c>
      <c r="C145" s="35"/>
      <c r="D145" s="36"/>
      <c r="E145" s="43">
        <v>28440727</v>
      </c>
      <c r="F145" s="44">
        <v>7707.85</v>
      </c>
      <c r="G145" s="51"/>
      <c r="H145" s="52"/>
      <c r="I145" s="58">
        <v>11847053</v>
      </c>
      <c r="J145" s="17">
        <v>5143.8500000000004</v>
      </c>
      <c r="K145" s="101"/>
      <c r="L145" s="35"/>
      <c r="M145" s="36"/>
      <c r="N145" s="43">
        <v>17936811</v>
      </c>
      <c r="O145" s="44">
        <v>3489</v>
      </c>
      <c r="P145" s="51"/>
      <c r="Q145" s="52"/>
      <c r="R145" s="58">
        <v>5117668</v>
      </c>
      <c r="S145" s="17">
        <v>743.4</v>
      </c>
      <c r="T145" s="101"/>
      <c r="U145" s="35"/>
      <c r="V145" s="36"/>
      <c r="W145" s="43">
        <f t="shared" si="40"/>
        <v>10503916</v>
      </c>
      <c r="X145" s="44">
        <f t="shared" si="41"/>
        <v>4218.8500000000004</v>
      </c>
      <c r="Y145" s="51"/>
      <c r="Z145" s="52"/>
      <c r="AA145" s="58">
        <f t="shared" si="42"/>
        <v>6729385</v>
      </c>
      <c r="AB145" s="17">
        <f t="shared" si="43"/>
        <v>4400.4500000000007</v>
      </c>
      <c r="AC145" s="101"/>
      <c r="AD145" s="359">
        <f t="shared" si="37"/>
        <v>40287780</v>
      </c>
      <c r="AE145" s="435">
        <f t="shared" si="38"/>
        <v>12851.7</v>
      </c>
    </row>
    <row r="146" spans="1:31" hidden="1" outlineLevel="1">
      <c r="A146" s="114">
        <v>43237</v>
      </c>
      <c r="B146" s="115">
        <f t="shared" si="34"/>
        <v>5</v>
      </c>
      <c r="C146" s="35"/>
      <c r="D146" s="36"/>
      <c r="E146" s="43">
        <v>27067078</v>
      </c>
      <c r="F146" s="44">
        <v>6601.37</v>
      </c>
      <c r="G146" s="51"/>
      <c r="H146" s="52"/>
      <c r="I146" s="58">
        <v>10980105</v>
      </c>
      <c r="J146" s="17">
        <v>4135.49</v>
      </c>
      <c r="K146" s="101"/>
      <c r="L146" s="35"/>
      <c r="M146" s="36"/>
      <c r="N146" s="43">
        <v>19151446</v>
      </c>
      <c r="O146" s="44">
        <v>3495.95</v>
      </c>
      <c r="P146" s="51"/>
      <c r="Q146" s="52"/>
      <c r="R146" s="58">
        <v>4729252</v>
      </c>
      <c r="S146" s="17">
        <v>651.88</v>
      </c>
      <c r="T146" s="101"/>
      <c r="U146" s="35"/>
      <c r="V146" s="36"/>
      <c r="W146" s="43">
        <f t="shared" si="40"/>
        <v>7915632</v>
      </c>
      <c r="X146" s="44">
        <f t="shared" si="41"/>
        <v>3105.42</v>
      </c>
      <c r="Y146" s="51"/>
      <c r="Z146" s="52"/>
      <c r="AA146" s="58">
        <f t="shared" si="42"/>
        <v>6250853</v>
      </c>
      <c r="AB146" s="17">
        <f t="shared" si="43"/>
        <v>3483.6099999999997</v>
      </c>
      <c r="AC146" s="101"/>
      <c r="AD146" s="359">
        <f t="shared" si="37"/>
        <v>38047183</v>
      </c>
      <c r="AE146" s="435">
        <f t="shared" si="38"/>
        <v>10736.86</v>
      </c>
    </row>
    <row r="147" spans="1:31" hidden="1" outlineLevel="1">
      <c r="A147" s="114">
        <v>43238</v>
      </c>
      <c r="B147" s="115">
        <f t="shared" si="34"/>
        <v>5</v>
      </c>
      <c r="C147" s="35"/>
      <c r="D147" s="36"/>
      <c r="E147" s="43">
        <v>29349841</v>
      </c>
      <c r="F147" s="44">
        <v>6767.74</v>
      </c>
      <c r="G147" s="51"/>
      <c r="H147" s="52"/>
      <c r="I147" s="58">
        <v>12086936</v>
      </c>
      <c r="J147" s="17">
        <v>5100.26</v>
      </c>
      <c r="K147" s="101"/>
      <c r="L147" s="35"/>
      <c r="M147" s="36"/>
      <c r="N147" s="43">
        <v>21863744</v>
      </c>
      <c r="O147" s="44">
        <v>3817.04</v>
      </c>
      <c r="P147" s="51"/>
      <c r="Q147" s="52"/>
      <c r="R147" s="58">
        <v>4909664</v>
      </c>
      <c r="S147" s="17">
        <v>670.95</v>
      </c>
      <c r="T147" s="101"/>
      <c r="U147" s="35"/>
      <c r="V147" s="36"/>
      <c r="W147" s="43">
        <f t="shared" si="40"/>
        <v>7486097</v>
      </c>
      <c r="X147" s="44">
        <f t="shared" si="41"/>
        <v>2950.7</v>
      </c>
      <c r="Y147" s="51"/>
      <c r="Z147" s="52"/>
      <c r="AA147" s="58">
        <f t="shared" si="42"/>
        <v>7177272</v>
      </c>
      <c r="AB147" s="17">
        <f t="shared" si="43"/>
        <v>4429.3100000000004</v>
      </c>
      <c r="AC147" s="101"/>
      <c r="AD147" s="359">
        <f t="shared" si="37"/>
        <v>41436777</v>
      </c>
      <c r="AE147" s="435">
        <f t="shared" si="38"/>
        <v>11868</v>
      </c>
    </row>
    <row r="148" spans="1:31" hidden="1" outlineLevel="1">
      <c r="A148" s="114">
        <v>43239</v>
      </c>
      <c r="B148" s="115">
        <f t="shared" si="34"/>
        <v>5</v>
      </c>
      <c r="C148" s="35"/>
      <c r="D148" s="36"/>
      <c r="E148" s="43">
        <v>29766840</v>
      </c>
      <c r="F148" s="44">
        <v>6898.39</v>
      </c>
      <c r="G148" s="51"/>
      <c r="H148" s="52"/>
      <c r="I148" s="58">
        <v>14177910</v>
      </c>
      <c r="J148" s="17">
        <v>6150.73</v>
      </c>
      <c r="K148" s="101"/>
      <c r="L148" s="35"/>
      <c r="M148" s="36"/>
      <c r="N148" s="43">
        <v>22399539</v>
      </c>
      <c r="O148" s="44">
        <v>4000.66</v>
      </c>
      <c r="P148" s="51"/>
      <c r="Q148" s="52"/>
      <c r="R148" s="58">
        <v>4792503</v>
      </c>
      <c r="S148" s="17">
        <v>645.54</v>
      </c>
      <c r="T148" s="101"/>
      <c r="U148" s="35"/>
      <c r="V148" s="36"/>
      <c r="W148" s="43">
        <f t="shared" si="40"/>
        <v>7367301</v>
      </c>
      <c r="X148" s="44">
        <f t="shared" si="41"/>
        <v>2897.7300000000005</v>
      </c>
      <c r="Y148" s="51"/>
      <c r="Z148" s="52"/>
      <c r="AA148" s="58">
        <f t="shared" si="42"/>
        <v>9385407</v>
      </c>
      <c r="AB148" s="17">
        <f t="shared" si="43"/>
        <v>5505.19</v>
      </c>
      <c r="AC148" s="101"/>
      <c r="AD148" s="359">
        <f t="shared" si="37"/>
        <v>43944750</v>
      </c>
      <c r="AE148" s="435">
        <f t="shared" si="38"/>
        <v>13049.119999999999</v>
      </c>
    </row>
    <row r="149" spans="1:31" hidden="1" outlineLevel="1">
      <c r="A149" s="114">
        <v>43240</v>
      </c>
      <c r="B149" s="115">
        <f t="shared" si="34"/>
        <v>5</v>
      </c>
      <c r="C149" s="35"/>
      <c r="D149" s="36"/>
      <c r="E149" s="43">
        <v>26109945</v>
      </c>
      <c r="F149" s="44">
        <v>6829.38</v>
      </c>
      <c r="G149" s="51"/>
      <c r="H149" s="52"/>
      <c r="I149" s="58">
        <v>12304505</v>
      </c>
      <c r="J149" s="17">
        <v>5304.38</v>
      </c>
      <c r="K149" s="101"/>
      <c r="L149" s="35"/>
      <c r="M149" s="36"/>
      <c r="N149" s="43">
        <v>18387285</v>
      </c>
      <c r="O149" s="44">
        <v>4025.63</v>
      </c>
      <c r="P149" s="51"/>
      <c r="Q149" s="52"/>
      <c r="R149" s="58">
        <v>4507071</v>
      </c>
      <c r="S149" s="17">
        <v>582.70000000000005</v>
      </c>
      <c r="T149" s="101"/>
      <c r="U149" s="35"/>
      <c r="V149" s="36"/>
      <c r="W149" s="43">
        <f t="shared" si="40"/>
        <v>7722660</v>
      </c>
      <c r="X149" s="44">
        <f t="shared" si="41"/>
        <v>2803.75</v>
      </c>
      <c r="Y149" s="51"/>
      <c r="Z149" s="52"/>
      <c r="AA149" s="58">
        <f t="shared" si="42"/>
        <v>7797434</v>
      </c>
      <c r="AB149" s="17">
        <f t="shared" si="43"/>
        <v>4721.68</v>
      </c>
      <c r="AC149" s="101"/>
      <c r="AD149" s="359">
        <f t="shared" si="37"/>
        <v>38414450</v>
      </c>
      <c r="AE149" s="435">
        <f t="shared" si="38"/>
        <v>12133.76</v>
      </c>
    </row>
    <row r="150" spans="1:31" hidden="1" outlineLevel="1">
      <c r="A150" s="114">
        <v>43241</v>
      </c>
      <c r="B150" s="115">
        <f t="shared" si="34"/>
        <v>5</v>
      </c>
      <c r="C150" s="35"/>
      <c r="D150" s="36"/>
      <c r="E150" s="43">
        <v>25659625</v>
      </c>
      <c r="F150" s="44">
        <v>7239.86</v>
      </c>
      <c r="G150" s="51"/>
      <c r="H150" s="52"/>
      <c r="I150" s="58">
        <v>10131757</v>
      </c>
      <c r="J150" s="17">
        <v>4957.29</v>
      </c>
      <c r="K150" s="101"/>
      <c r="L150" s="35"/>
      <c r="M150" s="36"/>
      <c r="N150" s="43">
        <v>18049608</v>
      </c>
      <c r="O150" s="44">
        <v>4224.7</v>
      </c>
      <c r="P150" s="51"/>
      <c r="Q150" s="52"/>
      <c r="R150" s="58">
        <v>4385246</v>
      </c>
      <c r="S150" s="17">
        <v>727.13</v>
      </c>
      <c r="T150" s="101"/>
      <c r="U150" s="35"/>
      <c r="V150" s="36"/>
      <c r="W150" s="43">
        <f t="shared" si="40"/>
        <v>7610017</v>
      </c>
      <c r="X150" s="44">
        <f t="shared" si="41"/>
        <v>3015.16</v>
      </c>
      <c r="Y150" s="51"/>
      <c r="Z150" s="52"/>
      <c r="AA150" s="58">
        <f t="shared" si="42"/>
        <v>5746511</v>
      </c>
      <c r="AB150" s="17">
        <f t="shared" si="43"/>
        <v>4230.16</v>
      </c>
      <c r="AC150" s="101"/>
      <c r="AD150" s="359">
        <f t="shared" si="37"/>
        <v>35791382</v>
      </c>
      <c r="AE150" s="435">
        <f t="shared" si="38"/>
        <v>12197.15</v>
      </c>
    </row>
    <row r="151" spans="1:31" hidden="1" outlineLevel="1">
      <c r="A151" s="114">
        <v>43242</v>
      </c>
      <c r="B151" s="115">
        <f t="shared" si="34"/>
        <v>5</v>
      </c>
      <c r="C151" s="35"/>
      <c r="D151" s="36"/>
      <c r="E151" s="43">
        <v>26205896</v>
      </c>
      <c r="F151" s="44">
        <v>7398.26</v>
      </c>
      <c r="G151" s="51"/>
      <c r="H151" s="52"/>
      <c r="I151" s="58">
        <v>9498038</v>
      </c>
      <c r="J151" s="17">
        <v>4744.18</v>
      </c>
      <c r="K151" s="101"/>
      <c r="L151" s="35"/>
      <c r="M151" s="36"/>
      <c r="N151" s="43">
        <v>18679555</v>
      </c>
      <c r="O151" s="44">
        <v>4378.6400000000003</v>
      </c>
      <c r="P151" s="51"/>
      <c r="Q151" s="52"/>
      <c r="R151" s="58">
        <v>4481674</v>
      </c>
      <c r="S151" s="17">
        <v>734.47</v>
      </c>
      <c r="T151" s="101"/>
      <c r="U151" s="35"/>
      <c r="V151" s="36"/>
      <c r="W151" s="43">
        <f t="shared" si="40"/>
        <v>7526341</v>
      </c>
      <c r="X151" s="44">
        <f t="shared" si="41"/>
        <v>3019.62</v>
      </c>
      <c r="Y151" s="51"/>
      <c r="Z151" s="52"/>
      <c r="AA151" s="58">
        <f t="shared" si="42"/>
        <v>5016364</v>
      </c>
      <c r="AB151" s="17">
        <f t="shared" si="43"/>
        <v>4009.71</v>
      </c>
      <c r="AC151" s="101"/>
      <c r="AD151" s="359">
        <f t="shared" si="37"/>
        <v>35703934</v>
      </c>
      <c r="AE151" s="435">
        <f t="shared" si="38"/>
        <v>12142.44</v>
      </c>
    </row>
    <row r="152" spans="1:31" hidden="1" outlineLevel="1">
      <c r="A152" s="114">
        <v>43243</v>
      </c>
      <c r="B152" s="115">
        <f t="shared" si="34"/>
        <v>5</v>
      </c>
      <c r="C152" s="35"/>
      <c r="D152" s="36"/>
      <c r="E152" s="43">
        <v>26123982</v>
      </c>
      <c r="F152" s="44">
        <v>7023.92</v>
      </c>
      <c r="G152" s="51"/>
      <c r="H152" s="52"/>
      <c r="I152" s="58">
        <v>9561561</v>
      </c>
      <c r="J152" s="17">
        <v>5176.8500000000004</v>
      </c>
      <c r="K152" s="101"/>
      <c r="L152" s="35"/>
      <c r="M152" s="36"/>
      <c r="N152" s="43">
        <v>18984138</v>
      </c>
      <c r="O152" s="44">
        <v>4105.88</v>
      </c>
      <c r="P152" s="51"/>
      <c r="Q152" s="52"/>
      <c r="R152" s="58">
        <v>4505415</v>
      </c>
      <c r="S152" s="17">
        <v>715.79</v>
      </c>
      <c r="T152" s="101"/>
      <c r="U152" s="35"/>
      <c r="V152" s="36"/>
      <c r="W152" s="43">
        <f t="shared" si="40"/>
        <v>7139844</v>
      </c>
      <c r="X152" s="44">
        <f t="shared" si="41"/>
        <v>2918.04</v>
      </c>
      <c r="Y152" s="51"/>
      <c r="Z152" s="52"/>
      <c r="AA152" s="58">
        <f t="shared" si="42"/>
        <v>5056146</v>
      </c>
      <c r="AB152" s="17">
        <f t="shared" si="43"/>
        <v>4461.0600000000004</v>
      </c>
      <c r="AC152" s="101"/>
      <c r="AD152" s="359">
        <f t="shared" si="37"/>
        <v>35685543</v>
      </c>
      <c r="AE152" s="435">
        <f t="shared" si="38"/>
        <v>12200.77</v>
      </c>
    </row>
    <row r="153" spans="1:31" hidden="1" outlineLevel="1">
      <c r="A153" s="114">
        <v>43244</v>
      </c>
      <c r="B153" s="115">
        <f t="shared" si="34"/>
        <v>5</v>
      </c>
      <c r="C153" s="35"/>
      <c r="D153" s="36"/>
      <c r="E153" s="43">
        <v>25212571</v>
      </c>
      <c r="F153" s="44">
        <v>8208.9699999999993</v>
      </c>
      <c r="G153" s="51"/>
      <c r="H153" s="52"/>
      <c r="I153" s="58">
        <v>9789183</v>
      </c>
      <c r="J153" s="17">
        <v>5571.41</v>
      </c>
      <c r="K153" s="101"/>
      <c r="L153" s="35"/>
      <c r="M153" s="36"/>
      <c r="N153" s="43">
        <v>19556134</v>
      </c>
      <c r="O153" s="44">
        <v>5790.72</v>
      </c>
      <c r="P153" s="51"/>
      <c r="Q153" s="52"/>
      <c r="R153" s="58">
        <v>4414516</v>
      </c>
      <c r="S153" s="17">
        <v>904.31</v>
      </c>
      <c r="T153" s="101"/>
      <c r="U153" s="35"/>
      <c r="V153" s="36"/>
      <c r="W153" s="43">
        <f t="shared" si="40"/>
        <v>5656437</v>
      </c>
      <c r="X153" s="44">
        <f t="shared" si="41"/>
        <v>2418.2499999999991</v>
      </c>
      <c r="Y153" s="51"/>
      <c r="Z153" s="52"/>
      <c r="AA153" s="58">
        <f t="shared" si="42"/>
        <v>5374667</v>
      </c>
      <c r="AB153" s="17">
        <f t="shared" si="43"/>
        <v>4667.1000000000004</v>
      </c>
      <c r="AC153" s="101"/>
      <c r="AD153" s="359">
        <f t="shared" si="37"/>
        <v>35001754</v>
      </c>
      <c r="AE153" s="435">
        <f t="shared" si="38"/>
        <v>13780.38</v>
      </c>
    </row>
    <row r="154" spans="1:31" hidden="1" outlineLevel="1">
      <c r="A154" s="114">
        <v>43245</v>
      </c>
      <c r="B154" s="115">
        <f t="shared" si="34"/>
        <v>5</v>
      </c>
      <c r="C154" s="35"/>
      <c r="D154" s="36"/>
      <c r="E154" s="43">
        <v>26621018</v>
      </c>
      <c r="F154" s="44">
        <v>6990.37</v>
      </c>
      <c r="G154" s="51"/>
      <c r="H154" s="52"/>
      <c r="I154" s="58">
        <v>10298219</v>
      </c>
      <c r="J154" s="17">
        <v>5506.67</v>
      </c>
      <c r="K154" s="101"/>
      <c r="L154" s="35"/>
      <c r="M154" s="36"/>
      <c r="N154" s="43">
        <v>20847265</v>
      </c>
      <c r="O154" s="44">
        <v>4547.97</v>
      </c>
      <c r="P154" s="51"/>
      <c r="Q154" s="52"/>
      <c r="R154" s="58">
        <v>4456939</v>
      </c>
      <c r="S154" s="17">
        <v>704.22</v>
      </c>
      <c r="T154" s="101"/>
      <c r="U154" s="35"/>
      <c r="V154" s="36"/>
      <c r="W154" s="43">
        <f t="shared" si="40"/>
        <v>5773753</v>
      </c>
      <c r="X154" s="44">
        <f t="shared" si="41"/>
        <v>2442.3999999999996</v>
      </c>
      <c r="Y154" s="51"/>
      <c r="Z154" s="52"/>
      <c r="AA154" s="58">
        <f t="shared" si="42"/>
        <v>5841280</v>
      </c>
      <c r="AB154" s="17">
        <f t="shared" si="43"/>
        <v>4802.45</v>
      </c>
      <c r="AC154" s="101"/>
      <c r="AD154" s="359">
        <f t="shared" si="37"/>
        <v>36919237</v>
      </c>
      <c r="AE154" s="435">
        <f t="shared" si="38"/>
        <v>12497.04</v>
      </c>
    </row>
    <row r="155" spans="1:31" hidden="1" outlineLevel="1">
      <c r="A155" s="114">
        <v>43246</v>
      </c>
      <c r="B155" s="115">
        <f t="shared" si="34"/>
        <v>5</v>
      </c>
      <c r="C155" s="35"/>
      <c r="D155" s="36"/>
      <c r="E155" s="43">
        <v>28458581</v>
      </c>
      <c r="F155" s="44">
        <v>7764.26</v>
      </c>
      <c r="G155" s="51"/>
      <c r="H155" s="52"/>
      <c r="I155" s="58">
        <v>10808074</v>
      </c>
      <c r="J155" s="17">
        <v>5194.51</v>
      </c>
      <c r="K155" s="101"/>
      <c r="L155" s="35"/>
      <c r="M155" s="36"/>
      <c r="N155" s="43">
        <v>22061284</v>
      </c>
      <c r="O155" s="44">
        <v>5168.84</v>
      </c>
      <c r="P155" s="51"/>
      <c r="Q155" s="52"/>
      <c r="R155" s="58">
        <v>4586114</v>
      </c>
      <c r="S155" s="17">
        <v>710.09</v>
      </c>
      <c r="T155" s="101"/>
      <c r="U155" s="35"/>
      <c r="V155" s="36"/>
      <c r="W155" s="43">
        <f t="shared" si="40"/>
        <v>6397297</v>
      </c>
      <c r="X155" s="44">
        <f t="shared" si="41"/>
        <v>2595.42</v>
      </c>
      <c r="Y155" s="51"/>
      <c r="Z155" s="52"/>
      <c r="AA155" s="58">
        <f t="shared" si="42"/>
        <v>6221960</v>
      </c>
      <c r="AB155" s="17">
        <f t="shared" si="43"/>
        <v>4484.42</v>
      </c>
      <c r="AC155" s="101"/>
      <c r="AD155" s="359">
        <f t="shared" si="37"/>
        <v>39266655</v>
      </c>
      <c r="AE155" s="435">
        <f t="shared" si="38"/>
        <v>12958.77</v>
      </c>
    </row>
    <row r="156" spans="1:31" hidden="1" outlineLevel="1">
      <c r="A156" s="114">
        <v>43247</v>
      </c>
      <c r="B156" s="115">
        <f t="shared" si="34"/>
        <v>5</v>
      </c>
      <c r="C156" s="35"/>
      <c r="D156" s="36"/>
      <c r="E156" s="43">
        <v>27292966</v>
      </c>
      <c r="F156" s="44">
        <v>7337.7</v>
      </c>
      <c r="G156" s="51"/>
      <c r="H156" s="52"/>
      <c r="I156" s="58">
        <v>9008983</v>
      </c>
      <c r="J156" s="17">
        <v>3781</v>
      </c>
      <c r="K156" s="101"/>
      <c r="L156" s="35"/>
      <c r="M156" s="36"/>
      <c r="N156" s="43">
        <v>20526780</v>
      </c>
      <c r="O156" s="44">
        <v>4652.03</v>
      </c>
      <c r="P156" s="51"/>
      <c r="Q156" s="52"/>
      <c r="R156" s="58">
        <v>4551727</v>
      </c>
      <c r="S156" s="17">
        <v>646.82000000000005</v>
      </c>
      <c r="T156" s="101"/>
      <c r="U156" s="35"/>
      <c r="V156" s="36"/>
      <c r="W156" s="43">
        <f t="shared" si="40"/>
        <v>6766186</v>
      </c>
      <c r="X156" s="44">
        <f t="shared" si="41"/>
        <v>2685.67</v>
      </c>
      <c r="Y156" s="51"/>
      <c r="Z156" s="52"/>
      <c r="AA156" s="58">
        <f t="shared" si="42"/>
        <v>4457256</v>
      </c>
      <c r="AB156" s="17">
        <f t="shared" si="43"/>
        <v>3134.18</v>
      </c>
      <c r="AC156" s="101"/>
      <c r="AD156" s="359">
        <f t="shared" si="37"/>
        <v>36301949</v>
      </c>
      <c r="AE156" s="435">
        <f t="shared" si="38"/>
        <v>11118.7</v>
      </c>
    </row>
    <row r="157" spans="1:31" hidden="1" outlineLevel="1">
      <c r="A157" s="114">
        <v>43248</v>
      </c>
      <c r="B157" s="115">
        <f t="shared" si="34"/>
        <v>5</v>
      </c>
      <c r="C157" s="35"/>
      <c r="D157" s="36"/>
      <c r="E157" s="43">
        <v>28857007</v>
      </c>
      <c r="F157" s="44">
        <v>7941.03</v>
      </c>
      <c r="G157" s="51"/>
      <c r="H157" s="52"/>
      <c r="I157" s="58">
        <v>8263240</v>
      </c>
      <c r="J157" s="17">
        <v>3205.07</v>
      </c>
      <c r="K157" s="101"/>
      <c r="L157" s="35"/>
      <c r="M157" s="36"/>
      <c r="N157" s="43">
        <v>20946713</v>
      </c>
      <c r="O157" s="44">
        <v>4571.3100000000004</v>
      </c>
      <c r="P157" s="51"/>
      <c r="Q157" s="52"/>
      <c r="R157" s="58">
        <v>4744748</v>
      </c>
      <c r="S157" s="17">
        <v>685.43</v>
      </c>
      <c r="T157" s="101"/>
      <c r="U157" s="35"/>
      <c r="V157" s="36"/>
      <c r="W157" s="43">
        <f t="shared" si="40"/>
        <v>7910294</v>
      </c>
      <c r="X157" s="44">
        <f t="shared" si="41"/>
        <v>3369.7199999999993</v>
      </c>
      <c r="Y157" s="51"/>
      <c r="Z157" s="52"/>
      <c r="AA157" s="58">
        <f t="shared" si="42"/>
        <v>3518492</v>
      </c>
      <c r="AB157" s="17">
        <f t="shared" si="43"/>
        <v>2519.6400000000003</v>
      </c>
      <c r="AC157" s="101"/>
      <c r="AD157" s="359">
        <f t="shared" si="37"/>
        <v>37120247</v>
      </c>
      <c r="AE157" s="435">
        <f t="shared" si="38"/>
        <v>11146.1</v>
      </c>
    </row>
    <row r="158" spans="1:31" hidden="1" outlineLevel="1">
      <c r="A158" s="114">
        <v>43249</v>
      </c>
      <c r="B158" s="115">
        <f t="shared" si="34"/>
        <v>5</v>
      </c>
      <c r="C158" s="35"/>
      <c r="D158" s="36"/>
      <c r="E158" s="43">
        <v>29613524</v>
      </c>
      <c r="F158" s="44">
        <v>7969.37</v>
      </c>
      <c r="G158" s="51"/>
      <c r="H158" s="52"/>
      <c r="I158" s="58">
        <v>8632228</v>
      </c>
      <c r="J158" s="17">
        <v>3155.55</v>
      </c>
      <c r="K158" s="101"/>
      <c r="L158" s="35"/>
      <c r="M158" s="36"/>
      <c r="N158" s="43">
        <v>21473488</v>
      </c>
      <c r="O158" s="44">
        <v>4357.38</v>
      </c>
      <c r="P158" s="51"/>
      <c r="Q158" s="52"/>
      <c r="R158" s="58">
        <v>5242899</v>
      </c>
      <c r="S158" s="17">
        <v>703.91</v>
      </c>
      <c r="T158" s="101"/>
      <c r="U158" s="35"/>
      <c r="V158" s="36"/>
      <c r="W158" s="43">
        <f t="shared" si="40"/>
        <v>8140036</v>
      </c>
      <c r="X158" s="44">
        <f t="shared" si="41"/>
        <v>3611.99</v>
      </c>
      <c r="Y158" s="51"/>
      <c r="Z158" s="52"/>
      <c r="AA158" s="58">
        <f t="shared" si="42"/>
        <v>3389329</v>
      </c>
      <c r="AB158" s="17">
        <f t="shared" si="43"/>
        <v>2451.6400000000003</v>
      </c>
      <c r="AC158" s="101"/>
      <c r="AD158" s="359">
        <f t="shared" si="37"/>
        <v>38245752</v>
      </c>
      <c r="AE158" s="435">
        <f t="shared" si="38"/>
        <v>11124.92</v>
      </c>
    </row>
    <row r="159" spans="1:31" hidden="1" outlineLevel="1">
      <c r="A159" s="114">
        <v>43250</v>
      </c>
      <c r="B159" s="115">
        <f t="shared" ref="B159:B225" si="44">MONTH(A159)</f>
        <v>5</v>
      </c>
      <c r="C159" s="35"/>
      <c r="D159" s="36"/>
      <c r="E159" s="43">
        <v>29499019</v>
      </c>
      <c r="F159" s="44">
        <v>7786.16</v>
      </c>
      <c r="G159" s="51"/>
      <c r="H159" s="52"/>
      <c r="I159" s="58">
        <v>8648503</v>
      </c>
      <c r="J159" s="17">
        <v>3341.76</v>
      </c>
      <c r="K159" s="101"/>
      <c r="L159" s="35"/>
      <c r="M159" s="36"/>
      <c r="N159" s="43">
        <v>21874637</v>
      </c>
      <c r="O159" s="44">
        <v>4387.57</v>
      </c>
      <c r="P159" s="51"/>
      <c r="Q159" s="52"/>
      <c r="R159" s="58">
        <v>4916192</v>
      </c>
      <c r="S159" s="17">
        <v>645.87</v>
      </c>
      <c r="T159" s="101"/>
      <c r="U159" s="35"/>
      <c r="V159" s="36"/>
      <c r="W159" s="43">
        <f t="shared" si="40"/>
        <v>7624382</v>
      </c>
      <c r="X159" s="44">
        <f t="shared" si="41"/>
        <v>3398.59</v>
      </c>
      <c r="Y159" s="51"/>
      <c r="Z159" s="52"/>
      <c r="AA159" s="58">
        <f t="shared" si="42"/>
        <v>3732311</v>
      </c>
      <c r="AB159" s="17">
        <f t="shared" si="43"/>
        <v>2695.8900000000003</v>
      </c>
      <c r="AC159" s="101"/>
      <c r="AD159" s="359">
        <f t="shared" si="37"/>
        <v>38147522</v>
      </c>
      <c r="AE159" s="435">
        <f t="shared" si="38"/>
        <v>11127.92</v>
      </c>
    </row>
    <row r="160" spans="1:31" hidden="1" outlineLevel="1">
      <c r="A160" s="114">
        <v>43251</v>
      </c>
      <c r="B160" s="115">
        <f t="shared" si="44"/>
        <v>5</v>
      </c>
      <c r="C160" s="35"/>
      <c r="D160" s="36"/>
      <c r="E160" s="43">
        <v>29282256</v>
      </c>
      <c r="F160" s="44">
        <v>7067.06</v>
      </c>
      <c r="G160" s="51"/>
      <c r="H160" s="52"/>
      <c r="I160" s="58">
        <v>7782925</v>
      </c>
      <c r="J160" s="17">
        <v>2704.98</v>
      </c>
      <c r="K160" s="101"/>
      <c r="L160" s="35"/>
      <c r="M160" s="36"/>
      <c r="N160" s="43">
        <v>22001361</v>
      </c>
      <c r="O160" s="44">
        <v>3910.85</v>
      </c>
      <c r="P160" s="51"/>
      <c r="Q160" s="52"/>
      <c r="R160" s="58">
        <v>4873501</v>
      </c>
      <c r="S160" s="17">
        <v>604.37</v>
      </c>
      <c r="T160" s="101"/>
      <c r="U160" s="35"/>
      <c r="V160" s="36"/>
      <c r="W160" s="43">
        <f t="shared" si="40"/>
        <v>7280895</v>
      </c>
      <c r="X160" s="44">
        <f t="shared" si="41"/>
        <v>3156.2100000000005</v>
      </c>
      <c r="Y160" s="51"/>
      <c r="Z160" s="52"/>
      <c r="AA160" s="58">
        <f t="shared" si="42"/>
        <v>2909424</v>
      </c>
      <c r="AB160" s="17">
        <f t="shared" si="43"/>
        <v>2100.61</v>
      </c>
      <c r="AC160" s="101"/>
      <c r="AD160" s="359">
        <f t="shared" si="37"/>
        <v>37065181</v>
      </c>
      <c r="AE160" s="435">
        <f t="shared" si="38"/>
        <v>9772.0400000000009</v>
      </c>
    </row>
    <row r="161" spans="1:31" collapsed="1">
      <c r="A161" s="104"/>
      <c r="B161" s="104" t="s">
        <v>19</v>
      </c>
      <c r="C161" s="105"/>
      <c r="D161" s="106"/>
      <c r="E161" s="107">
        <f t="shared" ref="D161:AB161" si="45">SUBTOTAL(9,E162:E191)</f>
        <v>913021074</v>
      </c>
      <c r="F161" s="108">
        <f t="shared" si="45"/>
        <v>232102.97999999998</v>
      </c>
      <c r="G161" s="109"/>
      <c r="H161" s="110"/>
      <c r="I161" s="111">
        <f t="shared" si="45"/>
        <v>164515860</v>
      </c>
      <c r="J161" s="14">
        <f t="shared" si="45"/>
        <v>51696.229999999996</v>
      </c>
      <c r="K161" s="103"/>
      <c r="L161" s="105"/>
      <c r="M161" s="106"/>
      <c r="N161" s="107">
        <f t="shared" si="45"/>
        <v>684471205</v>
      </c>
      <c r="O161" s="108">
        <f t="shared" si="45"/>
        <v>123175.16000000003</v>
      </c>
      <c r="P161" s="109"/>
      <c r="Q161" s="110"/>
      <c r="R161" s="111">
        <f t="shared" si="45"/>
        <v>122963683</v>
      </c>
      <c r="S161" s="14">
        <f t="shared" si="45"/>
        <v>15439.14</v>
      </c>
      <c r="T161" s="103"/>
      <c r="U161" s="105"/>
      <c r="V161" s="106"/>
      <c r="W161" s="107">
        <f t="shared" si="45"/>
        <v>228549869</v>
      </c>
      <c r="X161" s="108">
        <f t="shared" si="45"/>
        <v>108927.82</v>
      </c>
      <c r="Y161" s="109"/>
      <c r="Z161" s="110"/>
      <c r="AA161" s="111">
        <f t="shared" si="45"/>
        <v>41552177</v>
      </c>
      <c r="AB161" s="14">
        <f t="shared" si="45"/>
        <v>36257.089999999997</v>
      </c>
      <c r="AC161" s="103"/>
      <c r="AD161" s="359"/>
      <c r="AE161" s="435"/>
    </row>
    <row r="162" spans="1:31" hidden="1" outlineLevel="1">
      <c r="A162" s="97">
        <v>43252</v>
      </c>
      <c r="B162" s="98">
        <f t="shared" si="44"/>
        <v>6</v>
      </c>
      <c r="C162" s="35"/>
      <c r="D162" s="36"/>
      <c r="E162" s="43">
        <v>28769811</v>
      </c>
      <c r="F162" s="44">
        <v>6189.73</v>
      </c>
      <c r="G162" s="51"/>
      <c r="H162" s="52"/>
      <c r="I162" s="58">
        <v>7099209</v>
      </c>
      <c r="J162" s="17">
        <v>2059.4899999999998</v>
      </c>
      <c r="K162" s="101"/>
      <c r="L162" s="35"/>
      <c r="M162" s="36"/>
      <c r="N162" s="43">
        <v>21704448</v>
      </c>
      <c r="O162" s="44">
        <v>3384.88</v>
      </c>
      <c r="P162" s="51"/>
      <c r="Q162" s="52"/>
      <c r="R162" s="58">
        <v>4756819</v>
      </c>
      <c r="S162" s="17">
        <v>489.92</v>
      </c>
      <c r="T162" s="101"/>
      <c r="U162" s="35"/>
      <c r="V162" s="36"/>
      <c r="W162" s="43">
        <f t="shared" si="40"/>
        <v>7065363</v>
      </c>
      <c r="X162" s="44">
        <f t="shared" si="41"/>
        <v>2804.8499999999995</v>
      </c>
      <c r="Y162" s="51"/>
      <c r="Z162" s="52"/>
      <c r="AA162" s="58">
        <f t="shared" si="42"/>
        <v>2342390</v>
      </c>
      <c r="AB162" s="17">
        <f t="shared" si="43"/>
        <v>1569.5699999999997</v>
      </c>
      <c r="AC162" s="101"/>
      <c r="AD162" s="359">
        <f t="shared" ref="AD162:AD225" si="46">SUM(C162,E162,G162,I162)</f>
        <v>35869020</v>
      </c>
      <c r="AE162" s="435">
        <f t="shared" ref="AE162:AE225" si="47">SUM(D162,F162,H162,J162)</f>
        <v>8249.2199999999993</v>
      </c>
    </row>
    <row r="163" spans="1:31" hidden="1" outlineLevel="1">
      <c r="A163" s="97">
        <v>43253</v>
      </c>
      <c r="B163" s="98">
        <f t="shared" si="44"/>
        <v>6</v>
      </c>
      <c r="C163" s="35"/>
      <c r="D163" s="36"/>
      <c r="E163" s="43">
        <v>31681965</v>
      </c>
      <c r="F163" s="44">
        <v>6575.76</v>
      </c>
      <c r="G163" s="51"/>
      <c r="H163" s="52"/>
      <c r="I163" s="58">
        <v>7403631</v>
      </c>
      <c r="J163" s="17">
        <v>2066.64</v>
      </c>
      <c r="K163" s="101"/>
      <c r="L163" s="35"/>
      <c r="M163" s="36"/>
      <c r="N163" s="43">
        <v>23292037</v>
      </c>
      <c r="O163" s="44">
        <v>3408.27</v>
      </c>
      <c r="P163" s="51"/>
      <c r="Q163" s="52"/>
      <c r="R163" s="58">
        <v>4803004</v>
      </c>
      <c r="S163" s="17">
        <v>445.78</v>
      </c>
      <c r="T163" s="101"/>
      <c r="U163" s="35"/>
      <c r="V163" s="36"/>
      <c r="W163" s="43">
        <f t="shared" si="40"/>
        <v>8389928</v>
      </c>
      <c r="X163" s="44">
        <f t="shared" si="41"/>
        <v>3167.4900000000002</v>
      </c>
      <c r="Y163" s="51"/>
      <c r="Z163" s="52"/>
      <c r="AA163" s="58">
        <f t="shared" si="42"/>
        <v>2600627</v>
      </c>
      <c r="AB163" s="17">
        <f t="shared" si="43"/>
        <v>1620.86</v>
      </c>
      <c r="AC163" s="101"/>
      <c r="AD163" s="359">
        <f t="shared" si="46"/>
        <v>39085596</v>
      </c>
      <c r="AE163" s="435">
        <f t="shared" si="47"/>
        <v>8642.4</v>
      </c>
    </row>
    <row r="164" spans="1:31" hidden="1" outlineLevel="1">
      <c r="A164" s="97">
        <v>43254</v>
      </c>
      <c r="B164" s="98">
        <f t="shared" si="44"/>
        <v>6</v>
      </c>
      <c r="C164" s="35"/>
      <c r="D164" s="36"/>
      <c r="E164" s="43">
        <v>31207648</v>
      </c>
      <c r="F164" s="44">
        <v>6881.87</v>
      </c>
      <c r="G164" s="51"/>
      <c r="H164" s="52"/>
      <c r="I164" s="58">
        <v>7922198</v>
      </c>
      <c r="J164" s="17">
        <v>2442.4899999999998</v>
      </c>
      <c r="K164" s="101"/>
      <c r="L164" s="35"/>
      <c r="M164" s="36"/>
      <c r="N164" s="43">
        <v>22360413</v>
      </c>
      <c r="O164" s="44">
        <v>3486.83</v>
      </c>
      <c r="P164" s="51"/>
      <c r="Q164" s="52"/>
      <c r="R164" s="58">
        <v>4619677</v>
      </c>
      <c r="S164" s="17">
        <v>435.26</v>
      </c>
      <c r="T164" s="101"/>
      <c r="U164" s="35"/>
      <c r="V164" s="36"/>
      <c r="W164" s="43">
        <f t="shared" si="40"/>
        <v>8847235</v>
      </c>
      <c r="X164" s="44">
        <f t="shared" si="41"/>
        <v>3395.04</v>
      </c>
      <c r="Y164" s="51"/>
      <c r="Z164" s="52"/>
      <c r="AA164" s="58">
        <f t="shared" si="42"/>
        <v>3302521</v>
      </c>
      <c r="AB164" s="17">
        <f t="shared" si="43"/>
        <v>2007.2299999999998</v>
      </c>
      <c r="AC164" s="101"/>
      <c r="AD164" s="359">
        <f t="shared" si="46"/>
        <v>39129846</v>
      </c>
      <c r="AE164" s="435">
        <f t="shared" si="47"/>
        <v>9324.36</v>
      </c>
    </row>
    <row r="165" spans="1:31" hidden="1" outlineLevel="1">
      <c r="A165" s="97">
        <v>43255</v>
      </c>
      <c r="B165" s="98">
        <f t="shared" si="44"/>
        <v>6</v>
      </c>
      <c r="C165" s="35"/>
      <c r="D165" s="36"/>
      <c r="E165" s="43">
        <v>30066386</v>
      </c>
      <c r="F165" s="44">
        <v>6967.9</v>
      </c>
      <c r="G165" s="51"/>
      <c r="H165" s="52"/>
      <c r="I165" s="58">
        <v>8490882</v>
      </c>
      <c r="J165" s="17">
        <v>3321.38</v>
      </c>
      <c r="K165" s="101"/>
      <c r="L165" s="35"/>
      <c r="M165" s="36"/>
      <c r="N165" s="43">
        <v>21350421</v>
      </c>
      <c r="O165" s="44">
        <v>3472.48</v>
      </c>
      <c r="P165" s="51"/>
      <c r="Q165" s="52"/>
      <c r="R165" s="58">
        <v>4781310</v>
      </c>
      <c r="S165" s="17">
        <v>507.83</v>
      </c>
      <c r="T165" s="101"/>
      <c r="U165" s="35"/>
      <c r="V165" s="36"/>
      <c r="W165" s="43">
        <f t="shared" si="40"/>
        <v>8715965</v>
      </c>
      <c r="X165" s="44">
        <f t="shared" si="41"/>
        <v>3495.4199999999996</v>
      </c>
      <c r="Y165" s="51"/>
      <c r="Z165" s="52"/>
      <c r="AA165" s="58">
        <f t="shared" si="42"/>
        <v>3709572</v>
      </c>
      <c r="AB165" s="17">
        <f t="shared" si="43"/>
        <v>2813.55</v>
      </c>
      <c r="AC165" s="101"/>
      <c r="AD165" s="359">
        <f t="shared" si="46"/>
        <v>38557268</v>
      </c>
      <c r="AE165" s="435">
        <f t="shared" si="47"/>
        <v>10289.279999999999</v>
      </c>
    </row>
    <row r="166" spans="1:31" hidden="1" outlineLevel="1">
      <c r="A166" s="97">
        <v>43256</v>
      </c>
      <c r="B166" s="98">
        <f t="shared" si="44"/>
        <v>6</v>
      </c>
      <c r="C166" s="35"/>
      <c r="D166" s="36"/>
      <c r="E166" s="43">
        <v>31051018</v>
      </c>
      <c r="F166" s="44">
        <v>7961.76</v>
      </c>
      <c r="G166" s="51"/>
      <c r="H166" s="52"/>
      <c r="I166" s="58">
        <v>7036583</v>
      </c>
      <c r="J166" s="17">
        <v>2397.0300000000002</v>
      </c>
      <c r="K166" s="101"/>
      <c r="L166" s="35"/>
      <c r="M166" s="36"/>
      <c r="N166" s="43">
        <v>21443498</v>
      </c>
      <c r="O166" s="44">
        <v>3900.01</v>
      </c>
      <c r="P166" s="51"/>
      <c r="Q166" s="52"/>
      <c r="R166" s="58">
        <v>4514674</v>
      </c>
      <c r="S166" s="17">
        <v>533.44000000000005</v>
      </c>
      <c r="T166" s="101"/>
      <c r="U166" s="35"/>
      <c r="V166" s="36"/>
      <c r="W166" s="43">
        <f t="shared" si="40"/>
        <v>9607520</v>
      </c>
      <c r="X166" s="44">
        <f t="shared" si="41"/>
        <v>4061.75</v>
      </c>
      <c r="Y166" s="51"/>
      <c r="Z166" s="52"/>
      <c r="AA166" s="58">
        <f t="shared" si="42"/>
        <v>2521909</v>
      </c>
      <c r="AB166" s="17">
        <f t="shared" si="43"/>
        <v>1863.5900000000001</v>
      </c>
      <c r="AC166" s="101"/>
      <c r="AD166" s="359">
        <f t="shared" si="46"/>
        <v>38087601</v>
      </c>
      <c r="AE166" s="435">
        <f t="shared" si="47"/>
        <v>10358.790000000001</v>
      </c>
    </row>
    <row r="167" spans="1:31" hidden="1" outlineLevel="1">
      <c r="A167" s="97">
        <v>43257</v>
      </c>
      <c r="B167" s="98">
        <f t="shared" si="44"/>
        <v>6</v>
      </c>
      <c r="C167" s="35"/>
      <c r="D167" s="36"/>
      <c r="E167" s="43">
        <v>30509052</v>
      </c>
      <c r="F167" s="44">
        <v>7716.35</v>
      </c>
      <c r="G167" s="51"/>
      <c r="H167" s="52"/>
      <c r="I167" s="58">
        <v>5323525</v>
      </c>
      <c r="J167" s="17">
        <v>1402.86</v>
      </c>
      <c r="K167" s="101"/>
      <c r="L167" s="35"/>
      <c r="M167" s="36"/>
      <c r="N167" s="43">
        <v>21242372</v>
      </c>
      <c r="O167" s="44">
        <v>3902.43</v>
      </c>
      <c r="P167" s="51"/>
      <c r="Q167" s="52"/>
      <c r="R167" s="58">
        <v>4298254</v>
      </c>
      <c r="S167" s="17">
        <v>550.9</v>
      </c>
      <c r="T167" s="101"/>
      <c r="U167" s="35"/>
      <c r="V167" s="36"/>
      <c r="W167" s="43">
        <f t="shared" si="40"/>
        <v>9266680</v>
      </c>
      <c r="X167" s="44">
        <f t="shared" si="41"/>
        <v>3813.9200000000005</v>
      </c>
      <c r="Y167" s="51"/>
      <c r="Z167" s="52"/>
      <c r="AA167" s="58">
        <f t="shared" si="42"/>
        <v>1025271</v>
      </c>
      <c r="AB167" s="17">
        <f t="shared" si="43"/>
        <v>851.95999999999992</v>
      </c>
      <c r="AC167" s="101"/>
      <c r="AD167" s="359">
        <f t="shared" si="46"/>
        <v>35832577</v>
      </c>
      <c r="AE167" s="435">
        <f t="shared" si="47"/>
        <v>9119.2100000000009</v>
      </c>
    </row>
    <row r="168" spans="1:31" hidden="1" outlineLevel="1">
      <c r="A168" s="97">
        <v>43258</v>
      </c>
      <c r="B168" s="98">
        <f t="shared" si="44"/>
        <v>6</v>
      </c>
      <c r="C168" s="35"/>
      <c r="D168" s="36"/>
      <c r="E168" s="43">
        <v>27886930</v>
      </c>
      <c r="F168" s="44">
        <v>6585.95</v>
      </c>
      <c r="G168" s="51"/>
      <c r="H168" s="52"/>
      <c r="I168" s="58">
        <v>5476604</v>
      </c>
      <c r="J168" s="17">
        <v>1674.79</v>
      </c>
      <c r="K168" s="101"/>
      <c r="L168" s="35"/>
      <c r="M168" s="36"/>
      <c r="N168" s="43">
        <v>21079360</v>
      </c>
      <c r="O168" s="44">
        <v>3793.08</v>
      </c>
      <c r="P168" s="51"/>
      <c r="Q168" s="52"/>
      <c r="R168" s="58">
        <v>4221328</v>
      </c>
      <c r="S168" s="17">
        <v>509.39</v>
      </c>
      <c r="T168" s="101"/>
      <c r="U168" s="35"/>
      <c r="V168" s="36"/>
      <c r="W168" s="43">
        <f t="shared" si="40"/>
        <v>6807570</v>
      </c>
      <c r="X168" s="44">
        <f t="shared" si="41"/>
        <v>2792.87</v>
      </c>
      <c r="Y168" s="51"/>
      <c r="Z168" s="52"/>
      <c r="AA168" s="58">
        <f t="shared" si="42"/>
        <v>1255276</v>
      </c>
      <c r="AB168" s="17">
        <f t="shared" si="43"/>
        <v>1165.4000000000001</v>
      </c>
      <c r="AC168" s="101"/>
      <c r="AD168" s="359">
        <f t="shared" si="46"/>
        <v>33363534</v>
      </c>
      <c r="AE168" s="435">
        <f t="shared" si="47"/>
        <v>8260.74</v>
      </c>
    </row>
    <row r="169" spans="1:31" hidden="1" outlineLevel="1">
      <c r="A169" s="97">
        <v>43259</v>
      </c>
      <c r="B169" s="98">
        <f t="shared" si="44"/>
        <v>6</v>
      </c>
      <c r="C169" s="35"/>
      <c r="D169" s="36"/>
      <c r="E169" s="43">
        <v>29501578</v>
      </c>
      <c r="F169" s="44">
        <v>6967.58</v>
      </c>
      <c r="G169" s="51"/>
      <c r="H169" s="52"/>
      <c r="I169" s="58">
        <v>6871333</v>
      </c>
      <c r="J169" s="17">
        <v>3105.84</v>
      </c>
      <c r="K169" s="101"/>
      <c r="L169" s="35"/>
      <c r="M169" s="36"/>
      <c r="N169" s="43">
        <v>23073293</v>
      </c>
      <c r="O169" s="44">
        <v>4165.58</v>
      </c>
      <c r="P169" s="51"/>
      <c r="Q169" s="52"/>
      <c r="R169" s="58">
        <v>4318661</v>
      </c>
      <c r="S169" s="17">
        <v>555.4</v>
      </c>
      <c r="T169" s="101"/>
      <c r="U169" s="35"/>
      <c r="V169" s="36"/>
      <c r="W169" s="43">
        <f t="shared" si="40"/>
        <v>6428285</v>
      </c>
      <c r="X169" s="44">
        <f t="shared" si="41"/>
        <v>2802</v>
      </c>
      <c r="Y169" s="51"/>
      <c r="Z169" s="52"/>
      <c r="AA169" s="58">
        <f t="shared" si="42"/>
        <v>2552672</v>
      </c>
      <c r="AB169" s="17">
        <f t="shared" si="43"/>
        <v>2550.44</v>
      </c>
      <c r="AC169" s="101"/>
      <c r="AD169" s="359">
        <f t="shared" si="46"/>
        <v>36372911</v>
      </c>
      <c r="AE169" s="435">
        <f t="shared" si="47"/>
        <v>10073.42</v>
      </c>
    </row>
    <row r="170" spans="1:31" hidden="1" outlineLevel="1">
      <c r="A170" s="97">
        <v>43260</v>
      </c>
      <c r="B170" s="98">
        <f t="shared" si="44"/>
        <v>6</v>
      </c>
      <c r="C170" s="35"/>
      <c r="D170" s="36"/>
      <c r="E170" s="43">
        <v>31006245</v>
      </c>
      <c r="F170" s="44">
        <v>7187.82</v>
      </c>
      <c r="G170" s="51"/>
      <c r="H170" s="52"/>
      <c r="I170" s="58">
        <v>7348752</v>
      </c>
      <c r="J170" s="17">
        <v>3026.3</v>
      </c>
      <c r="K170" s="101"/>
      <c r="L170" s="35"/>
      <c r="M170" s="36"/>
      <c r="N170" s="43">
        <v>24066660</v>
      </c>
      <c r="O170" s="44">
        <v>4042</v>
      </c>
      <c r="P170" s="51"/>
      <c r="Q170" s="52"/>
      <c r="R170" s="58">
        <v>4498169</v>
      </c>
      <c r="S170" s="17">
        <v>545.77</v>
      </c>
      <c r="T170" s="101"/>
      <c r="U170" s="35"/>
      <c r="V170" s="36"/>
      <c r="W170" s="43">
        <f t="shared" si="40"/>
        <v>6939585</v>
      </c>
      <c r="X170" s="44">
        <f t="shared" si="41"/>
        <v>3145.8199999999997</v>
      </c>
      <c r="Y170" s="51"/>
      <c r="Z170" s="52"/>
      <c r="AA170" s="58">
        <f t="shared" si="42"/>
        <v>2850583</v>
      </c>
      <c r="AB170" s="17">
        <f t="shared" si="43"/>
        <v>2480.5300000000002</v>
      </c>
      <c r="AC170" s="101"/>
      <c r="AD170" s="359">
        <f t="shared" si="46"/>
        <v>38354997</v>
      </c>
      <c r="AE170" s="435">
        <f t="shared" si="47"/>
        <v>10214.119999999999</v>
      </c>
    </row>
    <row r="171" spans="1:31" hidden="1" outlineLevel="1">
      <c r="A171" s="97">
        <v>43261</v>
      </c>
      <c r="B171" s="98">
        <f t="shared" si="44"/>
        <v>6</v>
      </c>
      <c r="C171" s="35"/>
      <c r="D171" s="36"/>
      <c r="E171" s="43">
        <v>30116685</v>
      </c>
      <c r="F171" s="44">
        <v>7362.64</v>
      </c>
      <c r="G171" s="51"/>
      <c r="H171" s="52"/>
      <c r="I171" s="58">
        <v>6168131</v>
      </c>
      <c r="J171" s="17">
        <v>2162.7600000000002</v>
      </c>
      <c r="K171" s="101"/>
      <c r="L171" s="35"/>
      <c r="M171" s="36"/>
      <c r="N171" s="43">
        <v>22720406</v>
      </c>
      <c r="O171" s="44">
        <v>4058.05</v>
      </c>
      <c r="P171" s="51"/>
      <c r="Q171" s="52"/>
      <c r="R171" s="58">
        <v>4153341</v>
      </c>
      <c r="S171" s="17">
        <v>527.59</v>
      </c>
      <c r="T171" s="101"/>
      <c r="U171" s="35"/>
      <c r="V171" s="36"/>
      <c r="W171" s="43">
        <f t="shared" si="40"/>
        <v>7396279</v>
      </c>
      <c r="X171" s="44">
        <f t="shared" si="41"/>
        <v>3304.59</v>
      </c>
      <c r="Y171" s="51"/>
      <c r="Z171" s="52"/>
      <c r="AA171" s="58">
        <f t="shared" si="42"/>
        <v>2014790</v>
      </c>
      <c r="AB171" s="17">
        <f t="shared" si="43"/>
        <v>1635.17</v>
      </c>
      <c r="AC171" s="101"/>
      <c r="AD171" s="359">
        <f t="shared" si="46"/>
        <v>36284816</v>
      </c>
      <c r="AE171" s="435">
        <f t="shared" si="47"/>
        <v>9525.4000000000015</v>
      </c>
    </row>
    <row r="172" spans="1:31" hidden="1" outlineLevel="1">
      <c r="A172" s="97">
        <v>43262</v>
      </c>
      <c r="B172" s="98">
        <f t="shared" si="44"/>
        <v>6</v>
      </c>
      <c r="C172" s="35"/>
      <c r="D172" s="36"/>
      <c r="E172" s="43">
        <v>29505277</v>
      </c>
      <c r="F172" s="44">
        <v>7365.04</v>
      </c>
      <c r="G172" s="51"/>
      <c r="H172" s="52"/>
      <c r="I172" s="58">
        <v>5503362</v>
      </c>
      <c r="J172" s="17">
        <v>1790.35</v>
      </c>
      <c r="K172" s="101"/>
      <c r="L172" s="35"/>
      <c r="M172" s="36"/>
      <c r="N172" s="43">
        <v>21786274</v>
      </c>
      <c r="O172" s="44">
        <v>3941.29</v>
      </c>
      <c r="P172" s="51"/>
      <c r="Q172" s="52"/>
      <c r="R172" s="58">
        <v>4137721</v>
      </c>
      <c r="S172" s="17">
        <v>553.47</v>
      </c>
      <c r="T172" s="101"/>
      <c r="U172" s="35"/>
      <c r="V172" s="36"/>
      <c r="W172" s="43">
        <f t="shared" si="40"/>
        <v>7719003</v>
      </c>
      <c r="X172" s="44">
        <f t="shared" si="41"/>
        <v>3423.75</v>
      </c>
      <c r="Y172" s="51"/>
      <c r="Z172" s="52"/>
      <c r="AA172" s="58">
        <f t="shared" si="42"/>
        <v>1365641</v>
      </c>
      <c r="AB172" s="17">
        <f t="shared" si="43"/>
        <v>1236.8799999999999</v>
      </c>
      <c r="AC172" s="101"/>
      <c r="AD172" s="359">
        <f t="shared" si="46"/>
        <v>35008639</v>
      </c>
      <c r="AE172" s="435">
        <f t="shared" si="47"/>
        <v>9155.39</v>
      </c>
    </row>
    <row r="173" spans="1:31" hidden="1" outlineLevel="1">
      <c r="A173" s="97">
        <v>43263</v>
      </c>
      <c r="B173" s="98">
        <f t="shared" si="44"/>
        <v>6</v>
      </c>
      <c r="C173" s="35"/>
      <c r="D173" s="36"/>
      <c r="E173" s="43">
        <v>30418114</v>
      </c>
      <c r="F173" s="44">
        <v>8394.68</v>
      </c>
      <c r="G173" s="51"/>
      <c r="H173" s="52"/>
      <c r="I173" s="58">
        <v>5626013</v>
      </c>
      <c r="J173" s="17">
        <v>1714.02</v>
      </c>
      <c r="K173" s="101"/>
      <c r="L173" s="35"/>
      <c r="M173" s="36"/>
      <c r="N173" s="43">
        <v>22400348</v>
      </c>
      <c r="O173" s="44">
        <v>4230.42</v>
      </c>
      <c r="P173" s="51"/>
      <c r="Q173" s="52"/>
      <c r="R173" s="58">
        <v>4313716</v>
      </c>
      <c r="S173" s="17">
        <v>600.28</v>
      </c>
      <c r="T173" s="101"/>
      <c r="U173" s="35"/>
      <c r="V173" s="36"/>
      <c r="W173" s="43">
        <f t="shared" si="40"/>
        <v>8017766</v>
      </c>
      <c r="X173" s="44">
        <f t="shared" si="41"/>
        <v>4164.26</v>
      </c>
      <c r="Y173" s="51"/>
      <c r="Z173" s="52"/>
      <c r="AA173" s="58">
        <f t="shared" si="42"/>
        <v>1312297</v>
      </c>
      <c r="AB173" s="17">
        <f t="shared" si="43"/>
        <v>1113.74</v>
      </c>
      <c r="AC173" s="101"/>
      <c r="AD173" s="359">
        <f t="shared" si="46"/>
        <v>36044127</v>
      </c>
      <c r="AE173" s="435">
        <f t="shared" si="47"/>
        <v>10108.700000000001</v>
      </c>
    </row>
    <row r="174" spans="1:31" hidden="1" outlineLevel="1">
      <c r="A174" s="97">
        <v>43264</v>
      </c>
      <c r="B174" s="98">
        <f t="shared" si="44"/>
        <v>6</v>
      </c>
      <c r="C174" s="35"/>
      <c r="D174" s="36"/>
      <c r="E174" s="43">
        <v>31574127</v>
      </c>
      <c r="F174" s="44">
        <v>8275.52</v>
      </c>
      <c r="G174" s="51"/>
      <c r="H174" s="52"/>
      <c r="I174" s="58">
        <v>5382943</v>
      </c>
      <c r="J174" s="17">
        <v>1772.19</v>
      </c>
      <c r="K174" s="101"/>
      <c r="L174" s="35"/>
      <c r="M174" s="36"/>
      <c r="N174" s="43">
        <v>24160590</v>
      </c>
      <c r="O174" s="44">
        <v>4346.8900000000003</v>
      </c>
      <c r="P174" s="51"/>
      <c r="Q174" s="52"/>
      <c r="R174" s="58">
        <v>4293220</v>
      </c>
      <c r="S174" s="17">
        <v>634.01</v>
      </c>
      <c r="T174" s="101"/>
      <c r="U174" s="35"/>
      <c r="V174" s="36"/>
      <c r="W174" s="43">
        <f t="shared" si="40"/>
        <v>7413537</v>
      </c>
      <c r="X174" s="44">
        <f t="shared" si="41"/>
        <v>3928.63</v>
      </c>
      <c r="Y174" s="51"/>
      <c r="Z174" s="52"/>
      <c r="AA174" s="58">
        <f t="shared" si="42"/>
        <v>1089723</v>
      </c>
      <c r="AB174" s="17">
        <f t="shared" si="43"/>
        <v>1138.18</v>
      </c>
      <c r="AC174" s="101"/>
      <c r="AD174" s="359">
        <f t="shared" si="46"/>
        <v>36957070</v>
      </c>
      <c r="AE174" s="435">
        <f t="shared" si="47"/>
        <v>10047.710000000001</v>
      </c>
    </row>
    <row r="175" spans="1:31" hidden="1" outlineLevel="1">
      <c r="A175" s="97">
        <v>43265</v>
      </c>
      <c r="B175" s="98">
        <f t="shared" si="44"/>
        <v>6</v>
      </c>
      <c r="C175" s="35"/>
      <c r="D175" s="36"/>
      <c r="E175" s="43">
        <v>30466581</v>
      </c>
      <c r="F175" s="44">
        <v>7802.34</v>
      </c>
      <c r="G175" s="51"/>
      <c r="H175" s="52"/>
      <c r="I175" s="58">
        <v>5182047</v>
      </c>
      <c r="J175" s="17">
        <v>1721.86</v>
      </c>
      <c r="K175" s="101"/>
      <c r="L175" s="35"/>
      <c r="M175" s="36"/>
      <c r="N175" s="43">
        <v>23928020</v>
      </c>
      <c r="O175" s="44">
        <v>4314.09</v>
      </c>
      <c r="P175" s="51"/>
      <c r="Q175" s="52"/>
      <c r="R175" s="58">
        <v>4250358</v>
      </c>
      <c r="S175" s="17">
        <v>650.64</v>
      </c>
      <c r="T175" s="101"/>
      <c r="U175" s="35"/>
      <c r="V175" s="36"/>
      <c r="W175" s="43">
        <f t="shared" si="40"/>
        <v>6538561</v>
      </c>
      <c r="X175" s="44">
        <f t="shared" si="41"/>
        <v>3488.25</v>
      </c>
      <c r="Y175" s="51"/>
      <c r="Z175" s="52"/>
      <c r="AA175" s="58">
        <f t="shared" si="42"/>
        <v>931689</v>
      </c>
      <c r="AB175" s="17">
        <f t="shared" si="43"/>
        <v>1071.2199999999998</v>
      </c>
      <c r="AC175" s="101"/>
      <c r="AD175" s="359">
        <f t="shared" si="46"/>
        <v>35648628</v>
      </c>
      <c r="AE175" s="435">
        <f t="shared" si="47"/>
        <v>9524.2000000000007</v>
      </c>
    </row>
    <row r="176" spans="1:31" hidden="1" outlineLevel="1">
      <c r="A176" s="97">
        <v>43266</v>
      </c>
      <c r="B176" s="98">
        <f t="shared" si="44"/>
        <v>6</v>
      </c>
      <c r="C176" s="35"/>
      <c r="D176" s="36"/>
      <c r="E176" s="43">
        <v>30648777</v>
      </c>
      <c r="F176" s="44">
        <v>7529.42</v>
      </c>
      <c r="G176" s="51"/>
      <c r="H176" s="52"/>
      <c r="I176" s="58">
        <v>5157184</v>
      </c>
      <c r="J176" s="17">
        <v>1829.22</v>
      </c>
      <c r="K176" s="101"/>
      <c r="L176" s="35"/>
      <c r="M176" s="36"/>
      <c r="N176" s="43">
        <v>24630869</v>
      </c>
      <c r="O176" s="44">
        <v>4307.01</v>
      </c>
      <c r="P176" s="51"/>
      <c r="Q176" s="52"/>
      <c r="R176" s="58">
        <v>4074813</v>
      </c>
      <c r="S176" s="17">
        <v>597.35</v>
      </c>
      <c r="T176" s="101"/>
      <c r="U176" s="35"/>
      <c r="V176" s="36"/>
      <c r="W176" s="43">
        <f t="shared" si="40"/>
        <v>6017908</v>
      </c>
      <c r="X176" s="44">
        <f t="shared" si="41"/>
        <v>3222.41</v>
      </c>
      <c r="Y176" s="51"/>
      <c r="Z176" s="52"/>
      <c r="AA176" s="58">
        <f t="shared" si="42"/>
        <v>1082371</v>
      </c>
      <c r="AB176" s="17">
        <f t="shared" si="43"/>
        <v>1231.8699999999999</v>
      </c>
      <c r="AC176" s="101"/>
      <c r="AD176" s="359">
        <f t="shared" si="46"/>
        <v>35805961</v>
      </c>
      <c r="AE176" s="435">
        <f t="shared" si="47"/>
        <v>9358.64</v>
      </c>
    </row>
    <row r="177" spans="1:31" hidden="1" outlineLevel="1">
      <c r="A177" s="97">
        <v>43267</v>
      </c>
      <c r="B177" s="98">
        <f t="shared" si="44"/>
        <v>6</v>
      </c>
      <c r="C177" s="35"/>
      <c r="D177" s="36"/>
      <c r="E177" s="43">
        <v>32374446</v>
      </c>
      <c r="F177" s="44">
        <v>7680.74</v>
      </c>
      <c r="G177" s="51"/>
      <c r="H177" s="52"/>
      <c r="I177" s="58">
        <v>5445500</v>
      </c>
      <c r="J177" s="17">
        <v>1874.41</v>
      </c>
      <c r="K177" s="101"/>
      <c r="L177" s="35"/>
      <c r="M177" s="36"/>
      <c r="N177" s="43">
        <v>25534539</v>
      </c>
      <c r="O177" s="44">
        <v>4345.6499999999996</v>
      </c>
      <c r="P177" s="51"/>
      <c r="Q177" s="52"/>
      <c r="R177" s="58">
        <v>4261662</v>
      </c>
      <c r="S177" s="17">
        <v>565.36</v>
      </c>
      <c r="T177" s="101"/>
      <c r="U177" s="35"/>
      <c r="V177" s="36"/>
      <c r="W177" s="43">
        <f t="shared" si="40"/>
        <v>6839907</v>
      </c>
      <c r="X177" s="44">
        <f t="shared" si="41"/>
        <v>3335.09</v>
      </c>
      <c r="Y177" s="51"/>
      <c r="Z177" s="52"/>
      <c r="AA177" s="58">
        <f t="shared" si="42"/>
        <v>1183838</v>
      </c>
      <c r="AB177" s="17">
        <f t="shared" si="43"/>
        <v>1309.0500000000002</v>
      </c>
      <c r="AC177" s="101"/>
      <c r="AD177" s="359">
        <f t="shared" si="46"/>
        <v>37819946</v>
      </c>
      <c r="AE177" s="435">
        <f t="shared" si="47"/>
        <v>9555.15</v>
      </c>
    </row>
    <row r="178" spans="1:31" hidden="1" outlineLevel="1">
      <c r="A178" s="97">
        <v>43268</v>
      </c>
      <c r="B178" s="98">
        <f t="shared" si="44"/>
        <v>6</v>
      </c>
      <c r="C178" s="35"/>
      <c r="D178" s="36"/>
      <c r="E178" s="43">
        <v>32478191</v>
      </c>
      <c r="F178" s="44">
        <v>8630.68</v>
      </c>
      <c r="G178" s="51"/>
      <c r="H178" s="52"/>
      <c r="I178" s="58">
        <v>5745145</v>
      </c>
      <c r="J178" s="17">
        <v>1812.79</v>
      </c>
      <c r="K178" s="101"/>
      <c r="L178" s="35"/>
      <c r="M178" s="36"/>
      <c r="N178" s="43">
        <v>24323975</v>
      </c>
      <c r="O178" s="44">
        <v>4404.91</v>
      </c>
      <c r="P178" s="51"/>
      <c r="Q178" s="52"/>
      <c r="R178" s="58">
        <v>4519856</v>
      </c>
      <c r="S178" s="17">
        <v>566.26</v>
      </c>
      <c r="T178" s="101"/>
      <c r="U178" s="35"/>
      <c r="V178" s="36"/>
      <c r="W178" s="43">
        <f t="shared" si="40"/>
        <v>8154216</v>
      </c>
      <c r="X178" s="44">
        <f t="shared" si="41"/>
        <v>4225.7700000000004</v>
      </c>
      <c r="Y178" s="51"/>
      <c r="Z178" s="52"/>
      <c r="AA178" s="58">
        <f t="shared" si="42"/>
        <v>1225289</v>
      </c>
      <c r="AB178" s="17">
        <f t="shared" si="43"/>
        <v>1246.53</v>
      </c>
      <c r="AC178" s="101"/>
      <c r="AD178" s="359">
        <f t="shared" si="46"/>
        <v>38223336</v>
      </c>
      <c r="AE178" s="435">
        <f t="shared" si="47"/>
        <v>10443.470000000001</v>
      </c>
    </row>
    <row r="179" spans="1:31" hidden="1" outlineLevel="1">
      <c r="A179" s="97">
        <v>43269</v>
      </c>
      <c r="B179" s="98">
        <f t="shared" si="44"/>
        <v>6</v>
      </c>
      <c r="C179" s="35"/>
      <c r="D179" s="36"/>
      <c r="E179" s="43">
        <v>30956498</v>
      </c>
      <c r="F179" s="44">
        <v>8994.42</v>
      </c>
      <c r="G179" s="51"/>
      <c r="H179" s="52"/>
      <c r="I179" s="58">
        <v>5597351</v>
      </c>
      <c r="J179" s="17">
        <v>1669.57</v>
      </c>
      <c r="K179" s="101"/>
      <c r="L179" s="35"/>
      <c r="M179" s="36"/>
      <c r="N179" s="43">
        <v>22320782</v>
      </c>
      <c r="O179" s="44">
        <v>4355.91</v>
      </c>
      <c r="P179" s="51"/>
      <c r="Q179" s="52"/>
      <c r="R179" s="58">
        <v>4464378</v>
      </c>
      <c r="S179" s="17">
        <v>570.11</v>
      </c>
      <c r="T179" s="101"/>
      <c r="U179" s="35"/>
      <c r="V179" s="36"/>
      <c r="W179" s="43">
        <f t="shared" si="40"/>
        <v>8635716</v>
      </c>
      <c r="X179" s="44">
        <f t="shared" si="41"/>
        <v>4638.51</v>
      </c>
      <c r="Y179" s="51"/>
      <c r="Z179" s="52"/>
      <c r="AA179" s="58">
        <f t="shared" si="42"/>
        <v>1132973</v>
      </c>
      <c r="AB179" s="17">
        <f t="shared" si="43"/>
        <v>1099.46</v>
      </c>
      <c r="AC179" s="101"/>
      <c r="AD179" s="359">
        <f t="shared" si="46"/>
        <v>36553849</v>
      </c>
      <c r="AE179" s="435">
        <f t="shared" si="47"/>
        <v>10663.99</v>
      </c>
    </row>
    <row r="180" spans="1:31" hidden="1" outlineLevel="1">
      <c r="A180" s="97">
        <v>43270</v>
      </c>
      <c r="B180" s="98">
        <f t="shared" si="44"/>
        <v>6</v>
      </c>
      <c r="C180" s="35"/>
      <c r="D180" s="36"/>
      <c r="E180" s="43">
        <v>33259550</v>
      </c>
      <c r="F180" s="44">
        <v>10465.73</v>
      </c>
      <c r="G180" s="51"/>
      <c r="H180" s="52"/>
      <c r="I180" s="58">
        <v>4736896</v>
      </c>
      <c r="J180" s="17">
        <v>1496.25</v>
      </c>
      <c r="K180" s="101"/>
      <c r="L180" s="35"/>
      <c r="M180" s="36"/>
      <c r="N180" s="43">
        <v>21978855</v>
      </c>
      <c r="O180" s="44">
        <v>4282.91</v>
      </c>
      <c r="P180" s="51"/>
      <c r="Q180" s="52"/>
      <c r="R180" s="58">
        <v>3786867</v>
      </c>
      <c r="S180" s="17">
        <v>551.17999999999995</v>
      </c>
      <c r="T180" s="101"/>
      <c r="U180" s="35"/>
      <c r="V180" s="36"/>
      <c r="W180" s="43">
        <f t="shared" si="40"/>
        <v>11280695</v>
      </c>
      <c r="X180" s="44">
        <f t="shared" si="41"/>
        <v>6182.82</v>
      </c>
      <c r="Y180" s="51"/>
      <c r="Z180" s="52"/>
      <c r="AA180" s="58">
        <f t="shared" si="42"/>
        <v>950029</v>
      </c>
      <c r="AB180" s="17">
        <f t="shared" si="43"/>
        <v>945.07</v>
      </c>
      <c r="AC180" s="101"/>
      <c r="AD180" s="359">
        <f t="shared" si="46"/>
        <v>37996446</v>
      </c>
      <c r="AE180" s="435">
        <f t="shared" si="47"/>
        <v>11961.98</v>
      </c>
    </row>
    <row r="181" spans="1:31" hidden="1" outlineLevel="1">
      <c r="A181" s="97">
        <v>43271</v>
      </c>
      <c r="B181" s="98">
        <f t="shared" si="44"/>
        <v>6</v>
      </c>
      <c r="C181" s="35"/>
      <c r="D181" s="36"/>
      <c r="E181" s="43">
        <v>33527716</v>
      </c>
      <c r="F181" s="44">
        <v>11165.15</v>
      </c>
      <c r="G181" s="51"/>
      <c r="H181" s="52"/>
      <c r="I181" s="58">
        <v>4136031</v>
      </c>
      <c r="J181" s="17">
        <v>1398.32</v>
      </c>
      <c r="K181" s="101"/>
      <c r="L181" s="35"/>
      <c r="M181" s="36"/>
      <c r="N181" s="43">
        <v>22033594</v>
      </c>
      <c r="O181" s="44">
        <v>4871.7</v>
      </c>
      <c r="P181" s="51"/>
      <c r="Q181" s="52"/>
      <c r="R181" s="58">
        <v>3341259</v>
      </c>
      <c r="S181" s="17">
        <v>566.97</v>
      </c>
      <c r="T181" s="101"/>
      <c r="U181" s="35"/>
      <c r="V181" s="36"/>
      <c r="W181" s="43">
        <f t="shared" si="40"/>
        <v>11494122</v>
      </c>
      <c r="X181" s="44">
        <f t="shared" si="41"/>
        <v>6293.45</v>
      </c>
      <c r="Y181" s="51"/>
      <c r="Z181" s="52"/>
      <c r="AA181" s="58">
        <f t="shared" si="42"/>
        <v>794772</v>
      </c>
      <c r="AB181" s="17">
        <f t="shared" si="43"/>
        <v>831.34999999999991</v>
      </c>
      <c r="AC181" s="101"/>
      <c r="AD181" s="359">
        <f t="shared" si="46"/>
        <v>37663747</v>
      </c>
      <c r="AE181" s="435">
        <f t="shared" si="47"/>
        <v>12563.47</v>
      </c>
    </row>
    <row r="182" spans="1:31" hidden="1" outlineLevel="1">
      <c r="A182" s="97">
        <v>43272</v>
      </c>
      <c r="B182" s="98">
        <f t="shared" si="44"/>
        <v>6</v>
      </c>
      <c r="C182" s="35"/>
      <c r="D182" s="36"/>
      <c r="E182" s="43">
        <v>32187663</v>
      </c>
      <c r="F182" s="44">
        <v>9567.7199999999993</v>
      </c>
      <c r="G182" s="51"/>
      <c r="H182" s="52"/>
      <c r="I182" s="58">
        <v>4165112</v>
      </c>
      <c r="J182" s="17">
        <v>1354.59</v>
      </c>
      <c r="K182" s="101"/>
      <c r="L182" s="35"/>
      <c r="M182" s="36"/>
      <c r="N182" s="43">
        <v>22281454</v>
      </c>
      <c r="O182" s="44">
        <v>4393.29</v>
      </c>
      <c r="P182" s="51"/>
      <c r="Q182" s="52"/>
      <c r="R182" s="58">
        <v>3418107</v>
      </c>
      <c r="S182" s="17">
        <v>524.99</v>
      </c>
      <c r="T182" s="101"/>
      <c r="U182" s="35"/>
      <c r="V182" s="36"/>
      <c r="W182" s="43">
        <f t="shared" si="40"/>
        <v>9906209</v>
      </c>
      <c r="X182" s="44">
        <f t="shared" si="41"/>
        <v>5174.4299999999994</v>
      </c>
      <c r="Y182" s="51"/>
      <c r="Z182" s="52"/>
      <c r="AA182" s="58">
        <f t="shared" si="42"/>
        <v>747005</v>
      </c>
      <c r="AB182" s="17">
        <f t="shared" si="43"/>
        <v>829.59999999999991</v>
      </c>
      <c r="AC182" s="101"/>
      <c r="AD182" s="359">
        <f t="shared" si="46"/>
        <v>36352775</v>
      </c>
      <c r="AE182" s="435">
        <f t="shared" si="47"/>
        <v>10922.31</v>
      </c>
    </row>
    <row r="183" spans="1:31" hidden="1" outlineLevel="1">
      <c r="A183" s="97">
        <v>43273</v>
      </c>
      <c r="B183" s="98">
        <f t="shared" si="44"/>
        <v>6</v>
      </c>
      <c r="C183" s="35"/>
      <c r="D183" s="36"/>
      <c r="E183" s="43">
        <v>31072152</v>
      </c>
      <c r="F183" s="44">
        <v>8749.0499999999993</v>
      </c>
      <c r="G183" s="51"/>
      <c r="H183" s="52"/>
      <c r="I183" s="58">
        <v>3890416</v>
      </c>
      <c r="J183" s="17">
        <v>1051.83</v>
      </c>
      <c r="K183" s="101"/>
      <c r="L183" s="35"/>
      <c r="M183" s="36"/>
      <c r="N183" s="43">
        <v>22475072</v>
      </c>
      <c r="O183" s="44">
        <v>4477.8599999999997</v>
      </c>
      <c r="P183" s="51"/>
      <c r="Q183" s="52"/>
      <c r="R183" s="58">
        <v>3252027</v>
      </c>
      <c r="S183" s="17">
        <v>438.87</v>
      </c>
      <c r="T183" s="101"/>
      <c r="U183" s="35"/>
      <c r="V183" s="36"/>
      <c r="W183" s="43">
        <f t="shared" si="40"/>
        <v>8597080</v>
      </c>
      <c r="X183" s="44">
        <f t="shared" si="41"/>
        <v>4271.1899999999996</v>
      </c>
      <c r="Y183" s="51"/>
      <c r="Z183" s="52"/>
      <c r="AA183" s="58">
        <f t="shared" si="42"/>
        <v>638389</v>
      </c>
      <c r="AB183" s="17">
        <f t="shared" si="43"/>
        <v>612.95999999999992</v>
      </c>
      <c r="AC183" s="101"/>
      <c r="AD183" s="359">
        <f t="shared" si="46"/>
        <v>34962568</v>
      </c>
      <c r="AE183" s="435">
        <f t="shared" si="47"/>
        <v>9800.8799999999992</v>
      </c>
    </row>
    <row r="184" spans="1:31" hidden="1" outlineLevel="1">
      <c r="A184" s="97">
        <v>43274</v>
      </c>
      <c r="B184" s="98">
        <f t="shared" si="44"/>
        <v>6</v>
      </c>
      <c r="C184" s="35"/>
      <c r="D184" s="36"/>
      <c r="E184" s="43">
        <v>30020274</v>
      </c>
      <c r="F184" s="44">
        <v>7679.84</v>
      </c>
      <c r="G184" s="51"/>
      <c r="H184" s="52"/>
      <c r="I184" s="58">
        <v>4956386</v>
      </c>
      <c r="J184" s="17">
        <v>1615.17</v>
      </c>
      <c r="K184" s="101"/>
      <c r="L184" s="35"/>
      <c r="M184" s="36"/>
      <c r="N184" s="43">
        <v>23464713</v>
      </c>
      <c r="O184" s="44">
        <v>4494.7700000000004</v>
      </c>
      <c r="P184" s="51"/>
      <c r="Q184" s="52"/>
      <c r="R184" s="58">
        <v>3482113</v>
      </c>
      <c r="S184" s="17">
        <v>419.23</v>
      </c>
      <c r="T184" s="101"/>
      <c r="U184" s="35"/>
      <c r="V184" s="36"/>
      <c r="W184" s="43">
        <f t="shared" si="40"/>
        <v>6555561</v>
      </c>
      <c r="X184" s="44">
        <f t="shared" si="41"/>
        <v>3185.0699999999997</v>
      </c>
      <c r="Y184" s="51"/>
      <c r="Z184" s="52"/>
      <c r="AA184" s="58">
        <f t="shared" si="42"/>
        <v>1474273</v>
      </c>
      <c r="AB184" s="17">
        <f t="shared" si="43"/>
        <v>1195.94</v>
      </c>
      <c r="AC184" s="101"/>
      <c r="AD184" s="359">
        <f t="shared" si="46"/>
        <v>34976660</v>
      </c>
      <c r="AE184" s="435">
        <f t="shared" si="47"/>
        <v>9295.01</v>
      </c>
    </row>
    <row r="185" spans="1:31" hidden="1" outlineLevel="1">
      <c r="A185" s="97">
        <v>43275</v>
      </c>
      <c r="B185" s="98">
        <f t="shared" si="44"/>
        <v>6</v>
      </c>
      <c r="C185" s="35"/>
      <c r="D185" s="36"/>
      <c r="E185" s="43">
        <v>27543780</v>
      </c>
      <c r="F185" s="44">
        <v>7071.12</v>
      </c>
      <c r="G185" s="51"/>
      <c r="H185" s="52"/>
      <c r="I185" s="58">
        <v>4137307</v>
      </c>
      <c r="J185" s="17">
        <v>991.76</v>
      </c>
      <c r="K185" s="101"/>
      <c r="L185" s="35"/>
      <c r="M185" s="36"/>
      <c r="N185" s="43">
        <v>21767652</v>
      </c>
      <c r="O185" s="44">
        <v>4301.18</v>
      </c>
      <c r="P185" s="51"/>
      <c r="Q185" s="52"/>
      <c r="R185" s="58">
        <v>3438645</v>
      </c>
      <c r="S185" s="17">
        <v>393.63</v>
      </c>
      <c r="T185" s="101"/>
      <c r="U185" s="35"/>
      <c r="V185" s="36"/>
      <c r="W185" s="43">
        <f t="shared" si="40"/>
        <v>5776128</v>
      </c>
      <c r="X185" s="44">
        <f t="shared" si="41"/>
        <v>2769.9399999999996</v>
      </c>
      <c r="Y185" s="51"/>
      <c r="Z185" s="52"/>
      <c r="AA185" s="58">
        <f t="shared" si="42"/>
        <v>698662</v>
      </c>
      <c r="AB185" s="17">
        <f t="shared" si="43"/>
        <v>598.13</v>
      </c>
      <c r="AC185" s="101"/>
      <c r="AD185" s="359">
        <f t="shared" si="46"/>
        <v>31681087</v>
      </c>
      <c r="AE185" s="435">
        <f t="shared" si="47"/>
        <v>8062.88</v>
      </c>
    </row>
    <row r="186" spans="1:31" hidden="1" outlineLevel="1">
      <c r="A186" s="97">
        <v>43276</v>
      </c>
      <c r="B186" s="98">
        <f t="shared" si="44"/>
        <v>6</v>
      </c>
      <c r="C186" s="35"/>
      <c r="D186" s="36"/>
      <c r="E186" s="43">
        <v>26048903</v>
      </c>
      <c r="F186" s="44">
        <v>6741.11</v>
      </c>
      <c r="G186" s="51"/>
      <c r="H186" s="52"/>
      <c r="I186" s="58">
        <v>3725988</v>
      </c>
      <c r="J186" s="17">
        <v>920.47</v>
      </c>
      <c r="K186" s="101"/>
      <c r="L186" s="35"/>
      <c r="M186" s="36"/>
      <c r="N186" s="43">
        <v>20880950</v>
      </c>
      <c r="O186" s="44">
        <v>4226.1099999999997</v>
      </c>
      <c r="P186" s="51"/>
      <c r="Q186" s="52"/>
      <c r="R186" s="58">
        <v>3352900</v>
      </c>
      <c r="S186" s="17">
        <v>420.94</v>
      </c>
      <c r="T186" s="101"/>
      <c r="U186" s="35"/>
      <c r="V186" s="36"/>
      <c r="W186" s="43">
        <f t="shared" si="40"/>
        <v>5167953</v>
      </c>
      <c r="X186" s="44">
        <f t="shared" si="41"/>
        <v>2515</v>
      </c>
      <c r="Y186" s="51"/>
      <c r="Z186" s="52"/>
      <c r="AA186" s="58">
        <f t="shared" si="42"/>
        <v>373088</v>
      </c>
      <c r="AB186" s="17">
        <f t="shared" si="43"/>
        <v>499.53000000000003</v>
      </c>
      <c r="AC186" s="101"/>
      <c r="AD186" s="359">
        <f t="shared" si="46"/>
        <v>29774891</v>
      </c>
      <c r="AE186" s="435">
        <f t="shared" si="47"/>
        <v>7661.58</v>
      </c>
    </row>
    <row r="187" spans="1:31" hidden="1" outlineLevel="1">
      <c r="A187" s="97">
        <v>43277</v>
      </c>
      <c r="B187" s="98">
        <f t="shared" si="44"/>
        <v>6</v>
      </c>
      <c r="C187" s="35"/>
      <c r="D187" s="36"/>
      <c r="E187" s="43">
        <v>27630397</v>
      </c>
      <c r="F187" s="44">
        <v>6791.58</v>
      </c>
      <c r="G187" s="51"/>
      <c r="H187" s="52"/>
      <c r="I187" s="58">
        <v>3962360</v>
      </c>
      <c r="J187" s="17">
        <v>964.31</v>
      </c>
      <c r="K187" s="101"/>
      <c r="L187" s="35"/>
      <c r="M187" s="36"/>
      <c r="N187" s="43">
        <v>22074738</v>
      </c>
      <c r="O187" s="44">
        <v>4062.66</v>
      </c>
      <c r="P187" s="51"/>
      <c r="Q187" s="52"/>
      <c r="R187" s="58">
        <v>3547427</v>
      </c>
      <c r="S187" s="17">
        <v>435.05</v>
      </c>
      <c r="T187" s="101"/>
      <c r="U187" s="35"/>
      <c r="V187" s="36"/>
      <c r="W187" s="43">
        <f t="shared" si="40"/>
        <v>5555659</v>
      </c>
      <c r="X187" s="44">
        <f t="shared" si="41"/>
        <v>2728.92</v>
      </c>
      <c r="Y187" s="51"/>
      <c r="Z187" s="52"/>
      <c r="AA187" s="58">
        <f t="shared" si="42"/>
        <v>414933</v>
      </c>
      <c r="AB187" s="17">
        <f t="shared" si="43"/>
        <v>529.26</v>
      </c>
      <c r="AC187" s="101"/>
      <c r="AD187" s="359">
        <f t="shared" si="46"/>
        <v>31592757</v>
      </c>
      <c r="AE187" s="435">
        <f t="shared" si="47"/>
        <v>7755.8899999999994</v>
      </c>
    </row>
    <row r="188" spans="1:31" hidden="1" outlineLevel="1">
      <c r="A188" s="97">
        <v>43278</v>
      </c>
      <c r="B188" s="98">
        <f t="shared" si="44"/>
        <v>6</v>
      </c>
      <c r="C188" s="35"/>
      <c r="D188" s="36"/>
      <c r="E188" s="43">
        <v>29154056</v>
      </c>
      <c r="F188" s="44">
        <v>7240.57</v>
      </c>
      <c r="G188" s="51"/>
      <c r="H188" s="52"/>
      <c r="I188" s="58">
        <v>4202094</v>
      </c>
      <c r="J188" s="17">
        <v>1076.51</v>
      </c>
      <c r="K188" s="101"/>
      <c r="L188" s="35"/>
      <c r="M188" s="36"/>
      <c r="N188" s="43">
        <v>23414291</v>
      </c>
      <c r="O188" s="44">
        <v>4432.24</v>
      </c>
      <c r="P188" s="51"/>
      <c r="Q188" s="52"/>
      <c r="R188" s="58">
        <v>3753943</v>
      </c>
      <c r="S188" s="17">
        <v>501</v>
      </c>
      <c r="T188" s="101"/>
      <c r="U188" s="35"/>
      <c r="V188" s="36"/>
      <c r="W188" s="43">
        <f t="shared" si="40"/>
        <v>5739765</v>
      </c>
      <c r="X188" s="44">
        <f t="shared" si="41"/>
        <v>2808.33</v>
      </c>
      <c r="Y188" s="51"/>
      <c r="Z188" s="52"/>
      <c r="AA188" s="58">
        <f t="shared" si="42"/>
        <v>448151</v>
      </c>
      <c r="AB188" s="17">
        <f t="shared" si="43"/>
        <v>575.51</v>
      </c>
      <c r="AC188" s="101"/>
      <c r="AD188" s="359">
        <f t="shared" si="46"/>
        <v>33356150</v>
      </c>
      <c r="AE188" s="435">
        <f t="shared" si="47"/>
        <v>8317.08</v>
      </c>
    </row>
    <row r="189" spans="1:31" hidden="1" outlineLevel="1">
      <c r="A189" s="97">
        <v>43279</v>
      </c>
      <c r="B189" s="98">
        <f t="shared" si="44"/>
        <v>6</v>
      </c>
      <c r="C189" s="35"/>
      <c r="D189" s="36"/>
      <c r="E189" s="43">
        <v>29833992</v>
      </c>
      <c r="F189" s="44">
        <v>7157.89</v>
      </c>
      <c r="G189" s="51"/>
      <c r="H189" s="52"/>
      <c r="I189" s="58">
        <v>4585953</v>
      </c>
      <c r="J189" s="17">
        <v>1133.0899999999999</v>
      </c>
      <c r="K189" s="101"/>
      <c r="L189" s="35"/>
      <c r="M189" s="36"/>
      <c r="N189" s="43">
        <v>23923387</v>
      </c>
      <c r="O189" s="44">
        <v>4262.37</v>
      </c>
      <c r="P189" s="51"/>
      <c r="Q189" s="52"/>
      <c r="R189" s="58">
        <v>4109449</v>
      </c>
      <c r="S189" s="17">
        <v>525.79999999999995</v>
      </c>
      <c r="T189" s="101"/>
      <c r="U189" s="35"/>
      <c r="V189" s="36"/>
      <c r="W189" s="43">
        <f t="shared" si="40"/>
        <v>5910605</v>
      </c>
      <c r="X189" s="44">
        <f t="shared" si="41"/>
        <v>2895.5200000000004</v>
      </c>
      <c r="Y189" s="51"/>
      <c r="Z189" s="52"/>
      <c r="AA189" s="58">
        <f t="shared" si="42"/>
        <v>476504</v>
      </c>
      <c r="AB189" s="17">
        <f t="shared" si="43"/>
        <v>607.29</v>
      </c>
      <c r="AC189" s="101"/>
      <c r="AD189" s="359">
        <f t="shared" si="46"/>
        <v>34419945</v>
      </c>
      <c r="AE189" s="435">
        <f t="shared" si="47"/>
        <v>8290.98</v>
      </c>
    </row>
    <row r="190" spans="1:31" hidden="1" outlineLevel="1">
      <c r="A190" s="97">
        <v>43280</v>
      </c>
      <c r="B190" s="98">
        <f t="shared" si="44"/>
        <v>6</v>
      </c>
      <c r="C190" s="35"/>
      <c r="D190" s="36"/>
      <c r="E190" s="43">
        <v>31073293</v>
      </c>
      <c r="F190" s="44">
        <v>7583.31</v>
      </c>
      <c r="G190" s="51"/>
      <c r="H190" s="52"/>
      <c r="I190" s="58">
        <v>4622537</v>
      </c>
      <c r="J190" s="17">
        <v>1035.45</v>
      </c>
      <c r="K190" s="101"/>
      <c r="L190" s="35"/>
      <c r="M190" s="36"/>
      <c r="N190" s="43">
        <v>24142655</v>
      </c>
      <c r="O190" s="44">
        <v>3943.33</v>
      </c>
      <c r="P190" s="51"/>
      <c r="Q190" s="52"/>
      <c r="R190" s="58">
        <v>4118036</v>
      </c>
      <c r="S190" s="17">
        <v>466.56</v>
      </c>
      <c r="T190" s="101"/>
      <c r="U190" s="35"/>
      <c r="V190" s="36"/>
      <c r="W190" s="43">
        <f t="shared" si="40"/>
        <v>6930638</v>
      </c>
      <c r="X190" s="44">
        <f t="shared" si="41"/>
        <v>3639.9800000000005</v>
      </c>
      <c r="Y190" s="51"/>
      <c r="Z190" s="52"/>
      <c r="AA190" s="58">
        <f t="shared" si="42"/>
        <v>504501</v>
      </c>
      <c r="AB190" s="17">
        <f t="shared" si="43"/>
        <v>568.8900000000001</v>
      </c>
      <c r="AC190" s="101"/>
      <c r="AD190" s="359">
        <f t="shared" si="46"/>
        <v>35695830</v>
      </c>
      <c r="AE190" s="435">
        <f t="shared" si="47"/>
        <v>8618.76</v>
      </c>
    </row>
    <row r="191" spans="1:31" hidden="1" outlineLevel="1">
      <c r="A191" s="97">
        <v>43281</v>
      </c>
      <c r="B191" s="98">
        <f t="shared" si="44"/>
        <v>6</v>
      </c>
      <c r="C191" s="35"/>
      <c r="D191" s="36"/>
      <c r="E191" s="43">
        <v>31449969</v>
      </c>
      <c r="F191" s="44">
        <v>6819.71</v>
      </c>
      <c r="G191" s="51"/>
      <c r="H191" s="52"/>
      <c r="I191" s="58">
        <v>4614387</v>
      </c>
      <c r="J191" s="17">
        <v>814.49</v>
      </c>
      <c r="K191" s="101"/>
      <c r="L191" s="35"/>
      <c r="M191" s="36"/>
      <c r="N191" s="43">
        <v>24615539</v>
      </c>
      <c r="O191" s="44">
        <v>3566.96</v>
      </c>
      <c r="P191" s="51"/>
      <c r="Q191" s="52"/>
      <c r="R191" s="58">
        <v>4081949</v>
      </c>
      <c r="S191" s="17">
        <v>356.16</v>
      </c>
      <c r="T191" s="101"/>
      <c r="U191" s="35"/>
      <c r="V191" s="36"/>
      <c r="W191" s="43">
        <f t="shared" si="40"/>
        <v>6834430</v>
      </c>
      <c r="X191" s="44">
        <f t="shared" si="41"/>
        <v>3252.75</v>
      </c>
      <c r="Y191" s="51"/>
      <c r="Z191" s="52"/>
      <c r="AA191" s="58">
        <f t="shared" si="42"/>
        <v>532438</v>
      </c>
      <c r="AB191" s="17">
        <f t="shared" si="43"/>
        <v>458.33</v>
      </c>
      <c r="AC191" s="101"/>
      <c r="AD191" s="359">
        <f t="shared" si="46"/>
        <v>36064356</v>
      </c>
      <c r="AE191" s="435">
        <f t="shared" si="47"/>
        <v>7634.2</v>
      </c>
    </row>
    <row r="192" spans="1:31" collapsed="1">
      <c r="A192" s="104"/>
      <c r="B192" s="104" t="s">
        <v>20</v>
      </c>
      <c r="C192" s="105"/>
      <c r="D192" s="106"/>
      <c r="E192" s="107">
        <f t="shared" ref="D192:AB192" si="48">SUBTOTAL(9,E193:E223)</f>
        <v>907602165</v>
      </c>
      <c r="F192" s="108">
        <f t="shared" si="48"/>
        <v>204887.84000000003</v>
      </c>
      <c r="G192" s="109"/>
      <c r="H192" s="110"/>
      <c r="I192" s="111">
        <f t="shared" si="48"/>
        <v>214738755</v>
      </c>
      <c r="J192" s="14">
        <f t="shared" si="48"/>
        <v>40203.839999999997</v>
      </c>
      <c r="K192" s="103"/>
      <c r="L192" s="105"/>
      <c r="M192" s="106"/>
      <c r="N192" s="107">
        <f t="shared" si="48"/>
        <v>680408129</v>
      </c>
      <c r="O192" s="108">
        <f t="shared" si="48"/>
        <v>121549.84</v>
      </c>
      <c r="P192" s="109"/>
      <c r="Q192" s="110"/>
      <c r="R192" s="111">
        <f t="shared" si="48"/>
        <v>153441957</v>
      </c>
      <c r="S192" s="14">
        <f t="shared" si="48"/>
        <v>14448.869999999999</v>
      </c>
      <c r="T192" s="103"/>
      <c r="U192" s="105"/>
      <c r="V192" s="106"/>
      <c r="W192" s="107">
        <f t="shared" si="48"/>
        <v>227194036</v>
      </c>
      <c r="X192" s="108">
        <f t="shared" si="48"/>
        <v>83338</v>
      </c>
      <c r="Y192" s="109"/>
      <c r="Z192" s="110"/>
      <c r="AA192" s="111">
        <f t="shared" si="48"/>
        <v>61296798</v>
      </c>
      <c r="AB192" s="14">
        <f t="shared" si="48"/>
        <v>25754.969999999994</v>
      </c>
      <c r="AC192" s="103"/>
      <c r="AD192" s="359"/>
      <c r="AE192" s="435"/>
    </row>
    <row r="193" spans="1:31" hidden="1" outlineLevel="1">
      <c r="A193" s="114">
        <v>43282</v>
      </c>
      <c r="B193" s="115">
        <f t="shared" si="44"/>
        <v>7</v>
      </c>
      <c r="C193" s="35"/>
      <c r="D193" s="36"/>
      <c r="E193" s="43">
        <v>29328974</v>
      </c>
      <c r="F193" s="44">
        <v>5365.99</v>
      </c>
      <c r="G193" s="51"/>
      <c r="H193" s="52"/>
      <c r="I193" s="58">
        <v>4550922</v>
      </c>
      <c r="J193" s="17">
        <v>684.14</v>
      </c>
      <c r="K193" s="101"/>
      <c r="L193" s="35"/>
      <c r="M193" s="36"/>
      <c r="N193" s="43">
        <v>22996161</v>
      </c>
      <c r="O193" s="44">
        <v>3034.96</v>
      </c>
      <c r="P193" s="51"/>
      <c r="Q193" s="52"/>
      <c r="R193" s="58">
        <v>4024256</v>
      </c>
      <c r="S193" s="17">
        <v>299.8</v>
      </c>
      <c r="T193" s="101"/>
      <c r="U193" s="35"/>
      <c r="V193" s="36"/>
      <c r="W193" s="43">
        <f t="shared" si="40"/>
        <v>6332813</v>
      </c>
      <c r="X193" s="44">
        <f t="shared" si="41"/>
        <v>2331.0299999999997</v>
      </c>
      <c r="Y193" s="51"/>
      <c r="Z193" s="52"/>
      <c r="AA193" s="58">
        <f t="shared" si="42"/>
        <v>526666</v>
      </c>
      <c r="AB193" s="17">
        <f t="shared" si="43"/>
        <v>384.34</v>
      </c>
      <c r="AC193" s="101"/>
      <c r="AD193" s="359">
        <f t="shared" si="46"/>
        <v>33879896</v>
      </c>
      <c r="AE193" s="435">
        <f t="shared" si="47"/>
        <v>6050.13</v>
      </c>
    </row>
    <row r="194" spans="1:31" hidden="1" outlineLevel="1">
      <c r="A194" s="114">
        <v>43283</v>
      </c>
      <c r="B194" s="115">
        <f t="shared" si="44"/>
        <v>7</v>
      </c>
      <c r="C194" s="35"/>
      <c r="D194" s="36"/>
      <c r="E194" s="43">
        <v>29412073</v>
      </c>
      <c r="F194" s="44">
        <v>6223.45</v>
      </c>
      <c r="G194" s="51"/>
      <c r="H194" s="52"/>
      <c r="I194" s="58">
        <v>4485715</v>
      </c>
      <c r="J194" s="17">
        <v>754.02</v>
      </c>
      <c r="K194" s="101"/>
      <c r="L194" s="35"/>
      <c r="M194" s="36"/>
      <c r="N194" s="43">
        <v>22648602</v>
      </c>
      <c r="O194" s="44">
        <v>3531.83</v>
      </c>
      <c r="P194" s="51"/>
      <c r="Q194" s="52"/>
      <c r="R194" s="58">
        <v>3908366</v>
      </c>
      <c r="S194" s="17">
        <v>326.61</v>
      </c>
      <c r="T194" s="101"/>
      <c r="U194" s="35"/>
      <c r="V194" s="36"/>
      <c r="W194" s="43">
        <f t="shared" si="40"/>
        <v>6763471</v>
      </c>
      <c r="X194" s="44">
        <f t="shared" si="41"/>
        <v>2691.62</v>
      </c>
      <c r="Y194" s="51"/>
      <c r="Z194" s="52"/>
      <c r="AA194" s="58">
        <f t="shared" si="42"/>
        <v>577349</v>
      </c>
      <c r="AB194" s="17">
        <f t="shared" si="43"/>
        <v>427.40999999999997</v>
      </c>
      <c r="AC194" s="101"/>
      <c r="AD194" s="359">
        <f t="shared" si="46"/>
        <v>33897788</v>
      </c>
      <c r="AE194" s="435">
        <f t="shared" si="47"/>
        <v>6977.4699999999993</v>
      </c>
    </row>
    <row r="195" spans="1:31" hidden="1" outlineLevel="1">
      <c r="A195" s="114">
        <v>43284</v>
      </c>
      <c r="B195" s="115">
        <f t="shared" si="44"/>
        <v>7</v>
      </c>
      <c r="C195" s="35"/>
      <c r="D195" s="36"/>
      <c r="E195" s="43">
        <v>30214765</v>
      </c>
      <c r="F195" s="44">
        <v>6580.42</v>
      </c>
      <c r="G195" s="51"/>
      <c r="H195" s="52"/>
      <c r="I195" s="58">
        <v>4643326</v>
      </c>
      <c r="J195" s="17">
        <v>866.63</v>
      </c>
      <c r="K195" s="101"/>
      <c r="L195" s="35"/>
      <c r="M195" s="36"/>
      <c r="N195" s="43">
        <v>22789987</v>
      </c>
      <c r="O195" s="44">
        <v>3616.66</v>
      </c>
      <c r="P195" s="51"/>
      <c r="Q195" s="52"/>
      <c r="R195" s="58">
        <v>3891069</v>
      </c>
      <c r="S195" s="17">
        <v>332.67</v>
      </c>
      <c r="T195" s="101"/>
      <c r="U195" s="35"/>
      <c r="V195" s="36"/>
      <c r="W195" s="43">
        <f t="shared" si="40"/>
        <v>7424778</v>
      </c>
      <c r="X195" s="44">
        <f t="shared" si="41"/>
        <v>2963.76</v>
      </c>
      <c r="Y195" s="51"/>
      <c r="Z195" s="52"/>
      <c r="AA195" s="58">
        <f t="shared" si="42"/>
        <v>752257</v>
      </c>
      <c r="AB195" s="17">
        <f t="shared" si="43"/>
        <v>533.96</v>
      </c>
      <c r="AC195" s="101"/>
      <c r="AD195" s="359">
        <f t="shared" si="46"/>
        <v>34858091</v>
      </c>
      <c r="AE195" s="435">
        <f t="shared" si="47"/>
        <v>7447.05</v>
      </c>
    </row>
    <row r="196" spans="1:31" hidden="1" outlineLevel="1">
      <c r="A196" s="114">
        <v>43285</v>
      </c>
      <c r="B196" s="115">
        <f t="shared" si="44"/>
        <v>7</v>
      </c>
      <c r="C196" s="35"/>
      <c r="D196" s="36"/>
      <c r="E196" s="43">
        <v>29701938</v>
      </c>
      <c r="F196" s="44">
        <v>6480.36</v>
      </c>
      <c r="G196" s="51"/>
      <c r="H196" s="52"/>
      <c r="I196" s="58">
        <v>5109850</v>
      </c>
      <c r="J196" s="17">
        <v>984.97</v>
      </c>
      <c r="K196" s="101"/>
      <c r="L196" s="35"/>
      <c r="M196" s="36"/>
      <c r="N196" s="43">
        <v>23279853</v>
      </c>
      <c r="O196" s="44">
        <v>4046.31</v>
      </c>
      <c r="P196" s="51"/>
      <c r="Q196" s="52"/>
      <c r="R196" s="58">
        <v>4179490</v>
      </c>
      <c r="S196" s="17">
        <v>356.3</v>
      </c>
      <c r="T196" s="101"/>
      <c r="U196" s="35"/>
      <c r="V196" s="36"/>
      <c r="W196" s="43">
        <f t="shared" si="40"/>
        <v>6422085</v>
      </c>
      <c r="X196" s="44">
        <f t="shared" si="41"/>
        <v>2434.0499999999997</v>
      </c>
      <c r="Y196" s="51"/>
      <c r="Z196" s="52"/>
      <c r="AA196" s="58">
        <f t="shared" si="42"/>
        <v>930360</v>
      </c>
      <c r="AB196" s="17">
        <f t="shared" si="43"/>
        <v>628.67000000000007</v>
      </c>
      <c r="AC196" s="101"/>
      <c r="AD196" s="359">
        <f t="shared" si="46"/>
        <v>34811788</v>
      </c>
      <c r="AE196" s="435">
        <f t="shared" si="47"/>
        <v>7465.33</v>
      </c>
    </row>
    <row r="197" spans="1:31" hidden="1" outlineLevel="1">
      <c r="A197" s="114">
        <v>43286</v>
      </c>
      <c r="B197" s="115">
        <f t="shared" si="44"/>
        <v>7</v>
      </c>
      <c r="C197" s="35"/>
      <c r="D197" s="36"/>
      <c r="E197" s="43">
        <v>29047437</v>
      </c>
      <c r="F197" s="44">
        <v>5963.04</v>
      </c>
      <c r="G197" s="51"/>
      <c r="H197" s="52"/>
      <c r="I197" s="58">
        <v>7035679</v>
      </c>
      <c r="J197" s="17">
        <v>1649.26</v>
      </c>
      <c r="K197" s="101"/>
      <c r="L197" s="35"/>
      <c r="M197" s="36"/>
      <c r="N197" s="43">
        <v>22824575</v>
      </c>
      <c r="O197" s="44">
        <v>3766.33</v>
      </c>
      <c r="P197" s="51"/>
      <c r="Q197" s="52"/>
      <c r="R197" s="58">
        <v>4411694</v>
      </c>
      <c r="S197" s="17">
        <v>413.31</v>
      </c>
      <c r="T197" s="101"/>
      <c r="U197" s="35"/>
      <c r="V197" s="36"/>
      <c r="W197" s="43">
        <f t="shared" si="40"/>
        <v>6222862</v>
      </c>
      <c r="X197" s="44">
        <f t="shared" si="41"/>
        <v>2196.71</v>
      </c>
      <c r="Y197" s="51"/>
      <c r="Z197" s="52"/>
      <c r="AA197" s="58">
        <f t="shared" si="42"/>
        <v>2623985</v>
      </c>
      <c r="AB197" s="17">
        <f t="shared" si="43"/>
        <v>1235.95</v>
      </c>
      <c r="AC197" s="101"/>
      <c r="AD197" s="359">
        <f t="shared" si="46"/>
        <v>36083116</v>
      </c>
      <c r="AE197" s="435">
        <f t="shared" si="47"/>
        <v>7612.3</v>
      </c>
    </row>
    <row r="198" spans="1:31" hidden="1" outlineLevel="1">
      <c r="A198" s="114">
        <v>43287</v>
      </c>
      <c r="B198" s="115">
        <f t="shared" si="44"/>
        <v>7</v>
      </c>
      <c r="C198" s="35"/>
      <c r="D198" s="36"/>
      <c r="E198" s="43">
        <v>29885391</v>
      </c>
      <c r="F198" s="44">
        <v>6676.87</v>
      </c>
      <c r="G198" s="51"/>
      <c r="H198" s="52"/>
      <c r="I198" s="58">
        <v>7027120</v>
      </c>
      <c r="J198" s="17">
        <v>1660.78</v>
      </c>
      <c r="K198" s="101"/>
      <c r="L198" s="35"/>
      <c r="M198" s="36"/>
      <c r="N198" s="43">
        <v>23101979</v>
      </c>
      <c r="O198" s="44">
        <v>4152.04</v>
      </c>
      <c r="P198" s="51"/>
      <c r="Q198" s="52"/>
      <c r="R198" s="58">
        <v>4372028</v>
      </c>
      <c r="S198" s="17">
        <v>411.31</v>
      </c>
      <c r="T198" s="101"/>
      <c r="U198" s="35"/>
      <c r="V198" s="36"/>
      <c r="W198" s="43">
        <f t="shared" si="40"/>
        <v>6783412</v>
      </c>
      <c r="X198" s="44">
        <f t="shared" si="41"/>
        <v>2524.83</v>
      </c>
      <c r="Y198" s="51"/>
      <c r="Z198" s="52"/>
      <c r="AA198" s="58">
        <f t="shared" si="42"/>
        <v>2655092</v>
      </c>
      <c r="AB198" s="17">
        <f t="shared" si="43"/>
        <v>1249.47</v>
      </c>
      <c r="AC198" s="101"/>
      <c r="AD198" s="359">
        <f t="shared" si="46"/>
        <v>36912511</v>
      </c>
      <c r="AE198" s="435">
        <f t="shared" si="47"/>
        <v>8337.65</v>
      </c>
    </row>
    <row r="199" spans="1:31" hidden="1" outlineLevel="1">
      <c r="A199" s="114">
        <v>43288</v>
      </c>
      <c r="B199" s="115">
        <f t="shared" si="44"/>
        <v>7</v>
      </c>
      <c r="C199" s="35"/>
      <c r="D199" s="36"/>
      <c r="E199" s="43">
        <v>30328428</v>
      </c>
      <c r="F199" s="44">
        <v>6551.68</v>
      </c>
      <c r="G199" s="51"/>
      <c r="H199" s="52"/>
      <c r="I199" s="58">
        <v>6633752</v>
      </c>
      <c r="J199" s="17">
        <v>1439.07</v>
      </c>
      <c r="K199" s="101"/>
      <c r="L199" s="35"/>
      <c r="M199" s="36"/>
      <c r="N199" s="43">
        <v>23023021</v>
      </c>
      <c r="O199" s="44">
        <v>3942.97</v>
      </c>
      <c r="P199" s="51"/>
      <c r="Q199" s="52"/>
      <c r="R199" s="58">
        <v>4694917</v>
      </c>
      <c r="S199" s="17">
        <v>425.44</v>
      </c>
      <c r="T199" s="101"/>
      <c r="U199" s="35"/>
      <c r="V199" s="36"/>
      <c r="W199" s="43">
        <f t="shared" si="40"/>
        <v>7305407</v>
      </c>
      <c r="X199" s="44">
        <f t="shared" si="41"/>
        <v>2608.7100000000005</v>
      </c>
      <c r="Y199" s="51"/>
      <c r="Z199" s="52"/>
      <c r="AA199" s="58">
        <f t="shared" si="42"/>
        <v>1938835</v>
      </c>
      <c r="AB199" s="17">
        <f t="shared" si="43"/>
        <v>1013.6299999999999</v>
      </c>
      <c r="AC199" s="101"/>
      <c r="AD199" s="359">
        <f t="shared" si="46"/>
        <v>36962180</v>
      </c>
      <c r="AE199" s="435">
        <f t="shared" si="47"/>
        <v>7990.75</v>
      </c>
    </row>
    <row r="200" spans="1:31" hidden="1" outlineLevel="1">
      <c r="A200" s="114">
        <v>43289</v>
      </c>
      <c r="B200" s="115">
        <f t="shared" si="44"/>
        <v>7</v>
      </c>
      <c r="C200" s="35"/>
      <c r="D200" s="36"/>
      <c r="E200" s="43">
        <v>29476751</v>
      </c>
      <c r="F200" s="44">
        <v>6393.1</v>
      </c>
      <c r="G200" s="51"/>
      <c r="H200" s="52"/>
      <c r="I200" s="58">
        <v>6635570</v>
      </c>
      <c r="J200" s="17">
        <v>1278.77</v>
      </c>
      <c r="K200" s="101"/>
      <c r="L200" s="35"/>
      <c r="M200" s="36"/>
      <c r="N200" s="43">
        <v>22011982</v>
      </c>
      <c r="O200" s="44">
        <v>3763.07</v>
      </c>
      <c r="P200" s="51"/>
      <c r="Q200" s="52"/>
      <c r="R200" s="58">
        <v>5043450</v>
      </c>
      <c r="S200" s="17">
        <v>419.6</v>
      </c>
      <c r="T200" s="101"/>
      <c r="U200" s="35"/>
      <c r="V200" s="36"/>
      <c r="W200" s="43">
        <f t="shared" si="40"/>
        <v>7464769</v>
      </c>
      <c r="X200" s="44">
        <f t="shared" si="41"/>
        <v>2630.03</v>
      </c>
      <c r="Y200" s="51"/>
      <c r="Z200" s="52"/>
      <c r="AA200" s="58">
        <f t="shared" si="42"/>
        <v>1592120</v>
      </c>
      <c r="AB200" s="17">
        <f t="shared" si="43"/>
        <v>859.17</v>
      </c>
      <c r="AC200" s="101"/>
      <c r="AD200" s="359">
        <f t="shared" si="46"/>
        <v>36112321</v>
      </c>
      <c r="AE200" s="435">
        <f t="shared" si="47"/>
        <v>7671.8700000000008</v>
      </c>
    </row>
    <row r="201" spans="1:31" hidden="1" outlineLevel="1">
      <c r="A201" s="114">
        <v>43290</v>
      </c>
      <c r="B201" s="115">
        <f t="shared" si="44"/>
        <v>7</v>
      </c>
      <c r="C201" s="35"/>
      <c r="D201" s="36"/>
      <c r="E201" s="43">
        <v>29200359</v>
      </c>
      <c r="F201" s="44">
        <v>6668.89</v>
      </c>
      <c r="G201" s="51"/>
      <c r="H201" s="52"/>
      <c r="I201" s="58">
        <v>6671344</v>
      </c>
      <c r="J201" s="17">
        <v>1330.52</v>
      </c>
      <c r="K201" s="101"/>
      <c r="L201" s="35"/>
      <c r="M201" s="36"/>
      <c r="N201" s="43">
        <v>22099287</v>
      </c>
      <c r="O201" s="44">
        <v>4064.88</v>
      </c>
      <c r="P201" s="51"/>
      <c r="Q201" s="52"/>
      <c r="R201" s="58">
        <v>5160573</v>
      </c>
      <c r="S201" s="17">
        <v>489.67</v>
      </c>
      <c r="T201" s="101"/>
      <c r="U201" s="35"/>
      <c r="V201" s="36"/>
      <c r="W201" s="43">
        <f t="shared" si="40"/>
        <v>7101072</v>
      </c>
      <c r="X201" s="44">
        <f t="shared" si="41"/>
        <v>2604.0100000000002</v>
      </c>
      <c r="Y201" s="51"/>
      <c r="Z201" s="52"/>
      <c r="AA201" s="58">
        <f t="shared" si="42"/>
        <v>1510771</v>
      </c>
      <c r="AB201" s="17">
        <f t="shared" si="43"/>
        <v>840.84999999999991</v>
      </c>
      <c r="AC201" s="101"/>
      <c r="AD201" s="359">
        <f t="shared" si="46"/>
        <v>35871703</v>
      </c>
      <c r="AE201" s="435">
        <f t="shared" si="47"/>
        <v>7999.41</v>
      </c>
    </row>
    <row r="202" spans="1:31" hidden="1" outlineLevel="1">
      <c r="A202" s="114">
        <v>43291</v>
      </c>
      <c r="B202" s="115">
        <f t="shared" si="44"/>
        <v>7</v>
      </c>
      <c r="C202" s="35"/>
      <c r="D202" s="36"/>
      <c r="E202" s="43">
        <v>28331687</v>
      </c>
      <c r="F202" s="44">
        <v>7626.88</v>
      </c>
      <c r="G202" s="51"/>
      <c r="H202" s="52"/>
      <c r="I202" s="58">
        <v>6923180</v>
      </c>
      <c r="J202" s="17">
        <v>1458.21</v>
      </c>
      <c r="K202" s="101"/>
      <c r="L202" s="35"/>
      <c r="M202" s="36"/>
      <c r="N202" s="43">
        <v>21107070</v>
      </c>
      <c r="O202" s="44">
        <v>4841.71</v>
      </c>
      <c r="P202" s="51"/>
      <c r="Q202" s="52"/>
      <c r="R202" s="58">
        <v>5365483</v>
      </c>
      <c r="S202" s="17">
        <v>585.55999999999995</v>
      </c>
      <c r="T202" s="101"/>
      <c r="U202" s="35"/>
      <c r="V202" s="36"/>
      <c r="W202" s="43">
        <f t="shared" si="40"/>
        <v>7224617</v>
      </c>
      <c r="X202" s="44">
        <f t="shared" si="41"/>
        <v>2785.17</v>
      </c>
      <c r="Y202" s="51"/>
      <c r="Z202" s="52"/>
      <c r="AA202" s="58">
        <f t="shared" si="42"/>
        <v>1557697</v>
      </c>
      <c r="AB202" s="17">
        <f t="shared" si="43"/>
        <v>872.65000000000009</v>
      </c>
      <c r="AC202" s="101"/>
      <c r="AD202" s="359">
        <f t="shared" si="46"/>
        <v>35254867</v>
      </c>
      <c r="AE202" s="435">
        <f t="shared" si="47"/>
        <v>9085.09</v>
      </c>
    </row>
    <row r="203" spans="1:31" hidden="1" outlineLevel="1">
      <c r="A203" s="114">
        <v>43292</v>
      </c>
      <c r="B203" s="115">
        <f t="shared" si="44"/>
        <v>7</v>
      </c>
      <c r="C203" s="35"/>
      <c r="D203" s="36"/>
      <c r="E203" s="43">
        <v>32201334</v>
      </c>
      <c r="F203" s="44">
        <v>7715.4</v>
      </c>
      <c r="G203" s="51"/>
      <c r="H203" s="52"/>
      <c r="I203" s="58">
        <v>6956360</v>
      </c>
      <c r="J203" s="17">
        <v>1479.33</v>
      </c>
      <c r="K203" s="101"/>
      <c r="L203" s="35"/>
      <c r="M203" s="36"/>
      <c r="N203" s="43">
        <v>24243683</v>
      </c>
      <c r="O203" s="44">
        <v>4482.41</v>
      </c>
      <c r="P203" s="51"/>
      <c r="Q203" s="52"/>
      <c r="R203" s="58">
        <v>5345901</v>
      </c>
      <c r="S203" s="17">
        <v>602.91</v>
      </c>
      <c r="T203" s="101"/>
      <c r="U203" s="35"/>
      <c r="V203" s="36"/>
      <c r="W203" s="43">
        <f t="shared" si="40"/>
        <v>7957651</v>
      </c>
      <c r="X203" s="44">
        <f t="shared" si="41"/>
        <v>3232.99</v>
      </c>
      <c r="Y203" s="51"/>
      <c r="Z203" s="52"/>
      <c r="AA203" s="58">
        <f t="shared" si="42"/>
        <v>1610459</v>
      </c>
      <c r="AB203" s="17">
        <f t="shared" si="43"/>
        <v>876.42</v>
      </c>
      <c r="AC203" s="101"/>
      <c r="AD203" s="359">
        <f t="shared" si="46"/>
        <v>39157694</v>
      </c>
      <c r="AE203" s="435">
        <f t="shared" si="47"/>
        <v>9194.73</v>
      </c>
    </row>
    <row r="204" spans="1:31" hidden="1" outlineLevel="1">
      <c r="A204" s="114">
        <v>43293</v>
      </c>
      <c r="B204" s="115">
        <f t="shared" si="44"/>
        <v>7</v>
      </c>
      <c r="C204" s="35"/>
      <c r="D204" s="36"/>
      <c r="E204" s="43">
        <v>30233414</v>
      </c>
      <c r="F204" s="44">
        <v>6997.81</v>
      </c>
      <c r="G204" s="51"/>
      <c r="H204" s="52"/>
      <c r="I204" s="58">
        <v>6899984</v>
      </c>
      <c r="J204" s="17">
        <v>1365.62</v>
      </c>
      <c r="K204" s="101"/>
      <c r="L204" s="35"/>
      <c r="M204" s="36"/>
      <c r="N204" s="43">
        <v>22491337</v>
      </c>
      <c r="O204" s="44">
        <v>4042.88</v>
      </c>
      <c r="P204" s="51"/>
      <c r="Q204" s="52"/>
      <c r="R204" s="58">
        <v>5105112</v>
      </c>
      <c r="S204" s="17">
        <v>493.6</v>
      </c>
      <c r="T204" s="101"/>
      <c r="U204" s="35"/>
      <c r="V204" s="36"/>
      <c r="W204" s="43">
        <f t="shared" si="40"/>
        <v>7742077</v>
      </c>
      <c r="X204" s="44">
        <f t="shared" si="41"/>
        <v>2954.9300000000003</v>
      </c>
      <c r="Y204" s="51"/>
      <c r="Z204" s="52"/>
      <c r="AA204" s="58">
        <f t="shared" si="42"/>
        <v>1794872</v>
      </c>
      <c r="AB204" s="17">
        <f t="shared" si="43"/>
        <v>872.01999999999987</v>
      </c>
      <c r="AC204" s="101"/>
      <c r="AD204" s="359">
        <f t="shared" si="46"/>
        <v>37133398</v>
      </c>
      <c r="AE204" s="435">
        <f t="shared" si="47"/>
        <v>8363.43</v>
      </c>
    </row>
    <row r="205" spans="1:31" hidden="1" outlineLevel="1">
      <c r="A205" s="114">
        <v>43294</v>
      </c>
      <c r="B205" s="115">
        <f t="shared" si="44"/>
        <v>7</v>
      </c>
      <c r="C205" s="35"/>
      <c r="D205" s="36"/>
      <c r="E205" s="43">
        <v>29535332</v>
      </c>
      <c r="F205" s="44">
        <v>6360.31</v>
      </c>
      <c r="G205" s="51"/>
      <c r="H205" s="52"/>
      <c r="I205" s="58">
        <v>7633142</v>
      </c>
      <c r="J205" s="17">
        <v>1485.8</v>
      </c>
      <c r="K205" s="101"/>
      <c r="L205" s="35"/>
      <c r="M205" s="36"/>
      <c r="N205" s="43">
        <v>22913445</v>
      </c>
      <c r="O205" s="44">
        <v>4009.73</v>
      </c>
      <c r="P205" s="51"/>
      <c r="Q205" s="52"/>
      <c r="R205" s="58">
        <v>5233041</v>
      </c>
      <c r="S205" s="17">
        <v>501.04</v>
      </c>
      <c r="T205" s="101"/>
      <c r="U205" s="35"/>
      <c r="V205" s="36"/>
      <c r="W205" s="43">
        <f t="shared" ref="W205:W270" si="49">E205-N205</f>
        <v>6621887</v>
      </c>
      <c r="X205" s="44">
        <f t="shared" ref="X205:X270" si="50">F205-O205</f>
        <v>2350.5800000000004</v>
      </c>
      <c r="Y205" s="51"/>
      <c r="Z205" s="52"/>
      <c r="AA205" s="58">
        <f t="shared" ref="AA205:AA270" si="51">I205-R205</f>
        <v>2400101</v>
      </c>
      <c r="AB205" s="17">
        <f t="shared" ref="AB205:AB270" si="52">J205-S205</f>
        <v>984.76</v>
      </c>
      <c r="AC205" s="101"/>
      <c r="AD205" s="359">
        <f t="shared" si="46"/>
        <v>37168474</v>
      </c>
      <c r="AE205" s="435">
        <f t="shared" si="47"/>
        <v>7846.1100000000006</v>
      </c>
    </row>
    <row r="206" spans="1:31" hidden="1" outlineLevel="1">
      <c r="A206" s="114">
        <v>43295</v>
      </c>
      <c r="B206" s="115">
        <f t="shared" si="44"/>
        <v>7</v>
      </c>
      <c r="C206" s="35"/>
      <c r="D206" s="36"/>
      <c r="E206" s="43">
        <v>30204541</v>
      </c>
      <c r="F206" s="44">
        <v>6545.99</v>
      </c>
      <c r="G206" s="51"/>
      <c r="H206" s="52"/>
      <c r="I206" s="58">
        <v>7927688</v>
      </c>
      <c r="J206" s="17">
        <v>1485.95</v>
      </c>
      <c r="K206" s="101"/>
      <c r="L206" s="35"/>
      <c r="M206" s="36"/>
      <c r="N206" s="43">
        <v>23772589</v>
      </c>
      <c r="O206" s="44">
        <v>4331.16</v>
      </c>
      <c r="P206" s="51"/>
      <c r="Q206" s="52"/>
      <c r="R206" s="58">
        <v>5326565</v>
      </c>
      <c r="S206" s="17">
        <v>520.85</v>
      </c>
      <c r="T206" s="101"/>
      <c r="U206" s="35"/>
      <c r="V206" s="36"/>
      <c r="W206" s="43">
        <f t="shared" si="49"/>
        <v>6431952</v>
      </c>
      <c r="X206" s="44">
        <f t="shared" si="50"/>
        <v>2214.83</v>
      </c>
      <c r="Y206" s="51"/>
      <c r="Z206" s="52"/>
      <c r="AA206" s="58">
        <f t="shared" si="51"/>
        <v>2601123</v>
      </c>
      <c r="AB206" s="17">
        <f t="shared" si="52"/>
        <v>965.1</v>
      </c>
      <c r="AC206" s="101"/>
      <c r="AD206" s="359">
        <f t="shared" si="46"/>
        <v>38132229</v>
      </c>
      <c r="AE206" s="435">
        <f t="shared" si="47"/>
        <v>8031.94</v>
      </c>
    </row>
    <row r="207" spans="1:31" hidden="1" outlineLevel="1">
      <c r="A207" s="114">
        <v>43296</v>
      </c>
      <c r="B207" s="115">
        <f t="shared" si="44"/>
        <v>7</v>
      </c>
      <c r="C207" s="35"/>
      <c r="D207" s="36"/>
      <c r="E207" s="43">
        <v>29837964</v>
      </c>
      <c r="F207" s="44">
        <v>6696.66</v>
      </c>
      <c r="G207" s="51"/>
      <c r="H207" s="52"/>
      <c r="I207" s="58">
        <v>8826128</v>
      </c>
      <c r="J207" s="17">
        <v>1507.52</v>
      </c>
      <c r="K207" s="101"/>
      <c r="L207" s="35"/>
      <c r="M207" s="36"/>
      <c r="N207" s="43">
        <v>22210409</v>
      </c>
      <c r="O207" s="44">
        <v>3966.7</v>
      </c>
      <c r="P207" s="51"/>
      <c r="Q207" s="52"/>
      <c r="R207" s="58">
        <v>5551960</v>
      </c>
      <c r="S207" s="17">
        <v>475.16</v>
      </c>
      <c r="T207" s="101"/>
      <c r="U207" s="35"/>
      <c r="V207" s="36"/>
      <c r="W207" s="43">
        <f t="shared" si="49"/>
        <v>7627555</v>
      </c>
      <c r="X207" s="44">
        <f t="shared" si="50"/>
        <v>2729.96</v>
      </c>
      <c r="Y207" s="51"/>
      <c r="Z207" s="52"/>
      <c r="AA207" s="58">
        <f t="shared" si="51"/>
        <v>3274168</v>
      </c>
      <c r="AB207" s="17">
        <f t="shared" si="52"/>
        <v>1032.3599999999999</v>
      </c>
      <c r="AC207" s="101"/>
      <c r="AD207" s="359">
        <f t="shared" si="46"/>
        <v>38664092</v>
      </c>
      <c r="AE207" s="435">
        <f t="shared" si="47"/>
        <v>8204.18</v>
      </c>
    </row>
    <row r="208" spans="1:31" hidden="1" outlineLevel="1">
      <c r="A208" s="114">
        <v>43297</v>
      </c>
      <c r="B208" s="115">
        <f t="shared" si="44"/>
        <v>7</v>
      </c>
      <c r="C208" s="35"/>
      <c r="D208" s="36"/>
      <c r="E208" s="43">
        <v>30097162</v>
      </c>
      <c r="F208" s="44">
        <v>6989.88</v>
      </c>
      <c r="G208" s="51"/>
      <c r="H208" s="52"/>
      <c r="I208" s="58">
        <v>8339268</v>
      </c>
      <c r="J208" s="17">
        <v>1491.11</v>
      </c>
      <c r="K208" s="101"/>
      <c r="L208" s="35"/>
      <c r="M208" s="36"/>
      <c r="N208" s="43">
        <v>22077165</v>
      </c>
      <c r="O208" s="44">
        <v>4148.1099999999997</v>
      </c>
      <c r="P208" s="51"/>
      <c r="Q208" s="52"/>
      <c r="R208" s="58">
        <v>5562146</v>
      </c>
      <c r="S208" s="17">
        <v>487.76</v>
      </c>
      <c r="T208" s="101"/>
      <c r="U208" s="35"/>
      <c r="V208" s="36"/>
      <c r="W208" s="43">
        <f t="shared" si="49"/>
        <v>8019997</v>
      </c>
      <c r="X208" s="44">
        <f t="shared" si="50"/>
        <v>2841.7700000000004</v>
      </c>
      <c r="Y208" s="51"/>
      <c r="Z208" s="52"/>
      <c r="AA208" s="58">
        <f t="shared" si="51"/>
        <v>2777122</v>
      </c>
      <c r="AB208" s="17">
        <f t="shared" si="52"/>
        <v>1003.3499999999999</v>
      </c>
      <c r="AC208" s="101"/>
      <c r="AD208" s="359">
        <f t="shared" si="46"/>
        <v>38436430</v>
      </c>
      <c r="AE208" s="435">
        <f t="shared" si="47"/>
        <v>8480.99</v>
      </c>
    </row>
    <row r="209" spans="1:31" hidden="1" outlineLevel="1">
      <c r="A209" s="114">
        <v>43298</v>
      </c>
      <c r="B209" s="115">
        <f t="shared" si="44"/>
        <v>7</v>
      </c>
      <c r="C209" s="35"/>
      <c r="D209" s="36"/>
      <c r="E209" s="43">
        <v>30925401</v>
      </c>
      <c r="F209" s="44">
        <v>7429.06</v>
      </c>
      <c r="G209" s="51"/>
      <c r="H209" s="52"/>
      <c r="I209" s="58">
        <v>8688912</v>
      </c>
      <c r="J209" s="17">
        <v>1616.73</v>
      </c>
      <c r="K209" s="101"/>
      <c r="L209" s="35"/>
      <c r="M209" s="36"/>
      <c r="N209" s="43">
        <v>21958340</v>
      </c>
      <c r="O209" s="44">
        <v>4373.13</v>
      </c>
      <c r="P209" s="51"/>
      <c r="Q209" s="52"/>
      <c r="R209" s="58">
        <v>5760869</v>
      </c>
      <c r="S209" s="17">
        <v>519.36</v>
      </c>
      <c r="T209" s="101"/>
      <c r="U209" s="35"/>
      <c r="V209" s="36"/>
      <c r="W209" s="43">
        <f t="shared" si="49"/>
        <v>8967061</v>
      </c>
      <c r="X209" s="44">
        <f t="shared" si="50"/>
        <v>3055.9300000000003</v>
      </c>
      <c r="Y209" s="51"/>
      <c r="Z209" s="52"/>
      <c r="AA209" s="58">
        <f t="shared" si="51"/>
        <v>2928043</v>
      </c>
      <c r="AB209" s="17">
        <f t="shared" si="52"/>
        <v>1097.3699999999999</v>
      </c>
      <c r="AC209" s="101"/>
      <c r="AD209" s="359">
        <f t="shared" si="46"/>
        <v>39614313</v>
      </c>
      <c r="AE209" s="435">
        <f t="shared" si="47"/>
        <v>9045.7900000000009</v>
      </c>
    </row>
    <row r="210" spans="1:31" hidden="1" outlineLevel="1">
      <c r="A210" s="114">
        <v>43299</v>
      </c>
      <c r="B210" s="115">
        <f t="shared" si="44"/>
        <v>7</v>
      </c>
      <c r="C210" s="35"/>
      <c r="D210" s="36"/>
      <c r="E210" s="43">
        <v>31701783</v>
      </c>
      <c r="F210" s="44">
        <v>7672.5</v>
      </c>
      <c r="G210" s="51"/>
      <c r="H210" s="52"/>
      <c r="I210" s="58">
        <v>9395115</v>
      </c>
      <c r="J210" s="17">
        <v>1615.09</v>
      </c>
      <c r="K210" s="101"/>
      <c r="L210" s="35"/>
      <c r="M210" s="36"/>
      <c r="N210" s="43">
        <v>21911720</v>
      </c>
      <c r="O210" s="44">
        <v>4290.34</v>
      </c>
      <c r="P210" s="51"/>
      <c r="Q210" s="52"/>
      <c r="R210" s="58">
        <v>5972219</v>
      </c>
      <c r="S210" s="17">
        <v>514.85</v>
      </c>
      <c r="T210" s="101"/>
      <c r="U210" s="35"/>
      <c r="V210" s="36"/>
      <c r="W210" s="43">
        <f t="shared" si="49"/>
        <v>9790063</v>
      </c>
      <c r="X210" s="44">
        <f t="shared" si="50"/>
        <v>3382.16</v>
      </c>
      <c r="Y210" s="51"/>
      <c r="Z210" s="52"/>
      <c r="AA210" s="58">
        <f t="shared" si="51"/>
        <v>3422896</v>
      </c>
      <c r="AB210" s="17">
        <f t="shared" si="52"/>
        <v>1100.2399999999998</v>
      </c>
      <c r="AC210" s="101"/>
      <c r="AD210" s="359">
        <f t="shared" si="46"/>
        <v>41096898</v>
      </c>
      <c r="AE210" s="435">
        <f t="shared" si="47"/>
        <v>9287.59</v>
      </c>
    </row>
    <row r="211" spans="1:31" hidden="1" outlineLevel="1">
      <c r="A211" s="114">
        <v>43300</v>
      </c>
      <c r="B211" s="115">
        <f t="shared" si="44"/>
        <v>7</v>
      </c>
      <c r="C211" s="35"/>
      <c r="D211" s="36"/>
      <c r="E211" s="43">
        <v>31002239</v>
      </c>
      <c r="F211" s="44">
        <v>6951.73</v>
      </c>
      <c r="G211" s="51"/>
      <c r="H211" s="52"/>
      <c r="I211" s="58">
        <v>9307637</v>
      </c>
      <c r="J211" s="17">
        <v>1441.5</v>
      </c>
      <c r="K211" s="101"/>
      <c r="L211" s="35"/>
      <c r="M211" s="36"/>
      <c r="N211" s="43">
        <v>22147871</v>
      </c>
      <c r="O211" s="44">
        <v>4006.63</v>
      </c>
      <c r="P211" s="51"/>
      <c r="Q211" s="52"/>
      <c r="R211" s="58">
        <v>6287731</v>
      </c>
      <c r="S211" s="17">
        <v>495.3</v>
      </c>
      <c r="T211" s="101"/>
      <c r="U211" s="35"/>
      <c r="V211" s="36"/>
      <c r="W211" s="43">
        <f t="shared" si="49"/>
        <v>8854368</v>
      </c>
      <c r="X211" s="44">
        <f t="shared" si="50"/>
        <v>2945.0999999999995</v>
      </c>
      <c r="Y211" s="51"/>
      <c r="Z211" s="52"/>
      <c r="AA211" s="58">
        <f t="shared" si="51"/>
        <v>3019906</v>
      </c>
      <c r="AB211" s="17">
        <f t="shared" si="52"/>
        <v>946.2</v>
      </c>
      <c r="AC211" s="101"/>
      <c r="AD211" s="359">
        <f t="shared" si="46"/>
        <v>40309876</v>
      </c>
      <c r="AE211" s="435">
        <f t="shared" si="47"/>
        <v>8393.23</v>
      </c>
    </row>
    <row r="212" spans="1:31" hidden="1" outlineLevel="1">
      <c r="A212" s="114">
        <v>43301</v>
      </c>
      <c r="B212" s="115">
        <f t="shared" si="44"/>
        <v>7</v>
      </c>
      <c r="C212" s="35"/>
      <c r="D212" s="36"/>
      <c r="E212" s="43">
        <v>31548085</v>
      </c>
      <c r="F212" s="44">
        <v>7440.8</v>
      </c>
      <c r="G212" s="51"/>
      <c r="H212" s="52"/>
      <c r="I212" s="58">
        <v>7706621</v>
      </c>
      <c r="J212" s="17">
        <v>1280.5899999999999</v>
      </c>
      <c r="K212" s="101"/>
      <c r="L212" s="35"/>
      <c r="M212" s="36"/>
      <c r="N212" s="43">
        <v>22382031</v>
      </c>
      <c r="O212" s="44">
        <v>4028.18</v>
      </c>
      <c r="P212" s="51"/>
      <c r="Q212" s="52"/>
      <c r="R212" s="58">
        <v>5350421</v>
      </c>
      <c r="S212" s="17">
        <v>452.22</v>
      </c>
      <c r="T212" s="101"/>
      <c r="U212" s="35"/>
      <c r="V212" s="36"/>
      <c r="W212" s="43">
        <f t="shared" si="49"/>
        <v>9166054</v>
      </c>
      <c r="X212" s="44">
        <f t="shared" si="50"/>
        <v>3412.6200000000003</v>
      </c>
      <c r="Y212" s="51"/>
      <c r="Z212" s="52"/>
      <c r="AA212" s="58">
        <f t="shared" si="51"/>
        <v>2356200</v>
      </c>
      <c r="AB212" s="17">
        <f t="shared" si="52"/>
        <v>828.36999999999989</v>
      </c>
      <c r="AC212" s="101"/>
      <c r="AD212" s="359">
        <f t="shared" si="46"/>
        <v>39254706</v>
      </c>
      <c r="AE212" s="435">
        <f t="shared" si="47"/>
        <v>8721.39</v>
      </c>
    </row>
    <row r="213" spans="1:31" hidden="1" outlineLevel="1">
      <c r="A213" s="114">
        <v>43302</v>
      </c>
      <c r="B213" s="115">
        <f t="shared" si="44"/>
        <v>7</v>
      </c>
      <c r="C213" s="35"/>
      <c r="D213" s="36"/>
      <c r="E213" s="43">
        <v>29524180</v>
      </c>
      <c r="F213" s="44">
        <v>6933.34</v>
      </c>
      <c r="G213" s="51"/>
      <c r="H213" s="52"/>
      <c r="I213" s="58">
        <v>7259396</v>
      </c>
      <c r="J213" s="17">
        <v>1254.95</v>
      </c>
      <c r="K213" s="101"/>
      <c r="L213" s="35"/>
      <c r="M213" s="36"/>
      <c r="N213" s="43">
        <v>21722908</v>
      </c>
      <c r="O213" s="44">
        <v>3937.55</v>
      </c>
      <c r="P213" s="51"/>
      <c r="Q213" s="52"/>
      <c r="R213" s="58">
        <v>5035416</v>
      </c>
      <c r="S213" s="17">
        <v>432.23</v>
      </c>
      <c r="T213" s="101"/>
      <c r="U213" s="35"/>
      <c r="V213" s="36"/>
      <c r="W213" s="43">
        <f t="shared" si="49"/>
        <v>7801272</v>
      </c>
      <c r="X213" s="44">
        <f t="shared" si="50"/>
        <v>2995.79</v>
      </c>
      <c r="Y213" s="51"/>
      <c r="Z213" s="52"/>
      <c r="AA213" s="58">
        <f t="shared" si="51"/>
        <v>2223980</v>
      </c>
      <c r="AB213" s="17">
        <f t="shared" si="52"/>
        <v>822.72</v>
      </c>
      <c r="AC213" s="101"/>
      <c r="AD213" s="359">
        <f t="shared" si="46"/>
        <v>36783576</v>
      </c>
      <c r="AE213" s="435">
        <f t="shared" si="47"/>
        <v>8188.29</v>
      </c>
    </row>
    <row r="214" spans="1:31" hidden="1" outlineLevel="1">
      <c r="A214" s="114">
        <v>43303</v>
      </c>
      <c r="B214" s="115">
        <f t="shared" si="44"/>
        <v>7</v>
      </c>
      <c r="C214" s="35"/>
      <c r="D214" s="36"/>
      <c r="E214" s="43">
        <v>26593216</v>
      </c>
      <c r="F214" s="44">
        <v>6136.91</v>
      </c>
      <c r="G214" s="51"/>
      <c r="H214" s="52"/>
      <c r="I214" s="58">
        <v>6710259</v>
      </c>
      <c r="J214" s="17">
        <v>1140.94</v>
      </c>
      <c r="K214" s="101"/>
      <c r="L214" s="35"/>
      <c r="M214" s="36"/>
      <c r="N214" s="43">
        <v>19796771</v>
      </c>
      <c r="O214" s="44">
        <v>3636.68</v>
      </c>
      <c r="P214" s="51"/>
      <c r="Q214" s="52"/>
      <c r="R214" s="58">
        <v>4766511</v>
      </c>
      <c r="S214" s="17">
        <v>398.96</v>
      </c>
      <c r="T214" s="101"/>
      <c r="U214" s="35"/>
      <c r="V214" s="36"/>
      <c r="W214" s="43">
        <f t="shared" si="49"/>
        <v>6796445</v>
      </c>
      <c r="X214" s="44">
        <f t="shared" si="50"/>
        <v>2500.23</v>
      </c>
      <c r="Y214" s="51"/>
      <c r="Z214" s="52"/>
      <c r="AA214" s="58">
        <f t="shared" si="51"/>
        <v>1943748</v>
      </c>
      <c r="AB214" s="17">
        <f t="shared" si="52"/>
        <v>741.98</v>
      </c>
      <c r="AC214" s="101"/>
      <c r="AD214" s="359">
        <f t="shared" si="46"/>
        <v>33303475</v>
      </c>
      <c r="AE214" s="435">
        <f t="shared" si="47"/>
        <v>7277.85</v>
      </c>
    </row>
    <row r="215" spans="1:31" hidden="1" outlineLevel="1">
      <c r="A215" s="114">
        <v>43304</v>
      </c>
      <c r="B215" s="115">
        <f t="shared" si="44"/>
        <v>7</v>
      </c>
      <c r="C215" s="35"/>
      <c r="D215" s="36"/>
      <c r="E215" s="43">
        <v>25649018</v>
      </c>
      <c r="F215" s="44">
        <v>5795.7</v>
      </c>
      <c r="G215" s="51"/>
      <c r="H215" s="52"/>
      <c r="I215" s="58">
        <v>6606082</v>
      </c>
      <c r="J215" s="17">
        <v>1192.69</v>
      </c>
      <c r="K215" s="101"/>
      <c r="L215" s="35"/>
      <c r="M215" s="36"/>
      <c r="N215" s="43">
        <v>19931720</v>
      </c>
      <c r="O215" s="44">
        <v>3620.76</v>
      </c>
      <c r="P215" s="51"/>
      <c r="Q215" s="52"/>
      <c r="R215" s="58">
        <v>4824866</v>
      </c>
      <c r="S215" s="17">
        <v>427.69</v>
      </c>
      <c r="T215" s="101"/>
      <c r="U215" s="35"/>
      <c r="V215" s="36"/>
      <c r="W215" s="43">
        <f t="shared" si="49"/>
        <v>5717298</v>
      </c>
      <c r="X215" s="44">
        <f t="shared" si="50"/>
        <v>2174.9399999999996</v>
      </c>
      <c r="Y215" s="51"/>
      <c r="Z215" s="52"/>
      <c r="AA215" s="58">
        <f t="shared" si="51"/>
        <v>1781216</v>
      </c>
      <c r="AB215" s="17">
        <f t="shared" si="52"/>
        <v>765</v>
      </c>
      <c r="AC215" s="101"/>
      <c r="AD215" s="359">
        <f t="shared" si="46"/>
        <v>32255100</v>
      </c>
      <c r="AE215" s="435">
        <f t="shared" si="47"/>
        <v>6988.3899999999994</v>
      </c>
    </row>
    <row r="216" spans="1:31" hidden="1" outlineLevel="1">
      <c r="A216" s="114">
        <v>43305</v>
      </c>
      <c r="B216" s="115">
        <f t="shared" si="44"/>
        <v>7</v>
      </c>
      <c r="C216" s="35"/>
      <c r="D216" s="36"/>
      <c r="E216" s="43">
        <v>25545972</v>
      </c>
      <c r="F216" s="44">
        <v>5621.71</v>
      </c>
      <c r="G216" s="51"/>
      <c r="H216" s="52"/>
      <c r="I216" s="58">
        <v>6752402</v>
      </c>
      <c r="J216" s="17">
        <v>1256.26</v>
      </c>
      <c r="K216" s="101"/>
      <c r="L216" s="35"/>
      <c r="M216" s="36"/>
      <c r="N216" s="43">
        <v>19867940</v>
      </c>
      <c r="O216" s="44">
        <v>3545.55</v>
      </c>
      <c r="P216" s="51"/>
      <c r="Q216" s="52"/>
      <c r="R216" s="58">
        <v>5074718</v>
      </c>
      <c r="S216" s="17">
        <v>507.68</v>
      </c>
      <c r="T216" s="101"/>
      <c r="U216" s="35"/>
      <c r="V216" s="36"/>
      <c r="W216" s="43">
        <f t="shared" si="49"/>
        <v>5678032</v>
      </c>
      <c r="X216" s="44">
        <f t="shared" si="50"/>
        <v>2076.16</v>
      </c>
      <c r="Y216" s="51"/>
      <c r="Z216" s="52"/>
      <c r="AA216" s="58">
        <f t="shared" si="51"/>
        <v>1677684</v>
      </c>
      <c r="AB216" s="17">
        <f t="shared" si="52"/>
        <v>748.57999999999993</v>
      </c>
      <c r="AC216" s="101"/>
      <c r="AD216" s="359">
        <f t="shared" si="46"/>
        <v>32298374</v>
      </c>
      <c r="AE216" s="435">
        <f t="shared" si="47"/>
        <v>6877.97</v>
      </c>
    </row>
    <row r="217" spans="1:31" hidden="1" outlineLevel="1">
      <c r="A217" s="114">
        <v>43306</v>
      </c>
      <c r="B217" s="115">
        <f t="shared" si="44"/>
        <v>7</v>
      </c>
      <c r="C217" s="35"/>
      <c r="D217" s="36"/>
      <c r="E217" s="43">
        <v>26699675</v>
      </c>
      <c r="F217" s="44">
        <v>5917.07</v>
      </c>
      <c r="G217" s="51"/>
      <c r="H217" s="52"/>
      <c r="I217" s="58">
        <v>6496121</v>
      </c>
      <c r="J217" s="17">
        <v>1176.1400000000001</v>
      </c>
      <c r="K217" s="101"/>
      <c r="L217" s="35"/>
      <c r="M217" s="36"/>
      <c r="N217" s="43">
        <v>20470881</v>
      </c>
      <c r="O217" s="44">
        <v>3868.58</v>
      </c>
      <c r="P217" s="51"/>
      <c r="Q217" s="52"/>
      <c r="R217" s="58">
        <v>5037336</v>
      </c>
      <c r="S217" s="17">
        <v>532.5</v>
      </c>
      <c r="T217" s="101"/>
      <c r="U217" s="35"/>
      <c r="V217" s="36"/>
      <c r="W217" s="43">
        <f t="shared" si="49"/>
        <v>6228794</v>
      </c>
      <c r="X217" s="44">
        <f t="shared" si="50"/>
        <v>2048.4899999999998</v>
      </c>
      <c r="Y217" s="51"/>
      <c r="Z217" s="52"/>
      <c r="AA217" s="58">
        <f t="shared" si="51"/>
        <v>1458785</v>
      </c>
      <c r="AB217" s="17">
        <f t="shared" si="52"/>
        <v>643.6400000000001</v>
      </c>
      <c r="AC217" s="101"/>
      <c r="AD217" s="359">
        <f t="shared" si="46"/>
        <v>33195796</v>
      </c>
      <c r="AE217" s="435">
        <f t="shared" si="47"/>
        <v>7093.21</v>
      </c>
    </row>
    <row r="218" spans="1:31" hidden="1" outlineLevel="1">
      <c r="A218" s="114">
        <v>43307</v>
      </c>
      <c r="B218" s="115">
        <f t="shared" si="44"/>
        <v>7</v>
      </c>
      <c r="C218" s="35"/>
      <c r="D218" s="36"/>
      <c r="E218" s="43">
        <v>26595747</v>
      </c>
      <c r="F218" s="44">
        <v>6076.4</v>
      </c>
      <c r="G218" s="51"/>
      <c r="H218" s="52"/>
      <c r="I218" s="58">
        <v>6537823</v>
      </c>
      <c r="J218" s="17">
        <v>1273.78</v>
      </c>
      <c r="K218" s="101"/>
      <c r="L218" s="35"/>
      <c r="M218" s="36"/>
      <c r="N218" s="43">
        <v>20809834</v>
      </c>
      <c r="O218" s="44">
        <v>4028.59</v>
      </c>
      <c r="P218" s="51"/>
      <c r="Q218" s="52"/>
      <c r="R218" s="58">
        <v>4887522</v>
      </c>
      <c r="S218" s="17">
        <v>603.66</v>
      </c>
      <c r="T218" s="101"/>
      <c r="U218" s="35"/>
      <c r="V218" s="36"/>
      <c r="W218" s="43">
        <f t="shared" si="49"/>
        <v>5785913</v>
      </c>
      <c r="X218" s="44">
        <f t="shared" si="50"/>
        <v>2047.8099999999995</v>
      </c>
      <c r="Y218" s="51"/>
      <c r="Z218" s="52"/>
      <c r="AA218" s="58">
        <f t="shared" si="51"/>
        <v>1650301</v>
      </c>
      <c r="AB218" s="17">
        <f t="shared" si="52"/>
        <v>670.12</v>
      </c>
      <c r="AC218" s="101"/>
      <c r="AD218" s="359">
        <f t="shared" si="46"/>
        <v>33133570</v>
      </c>
      <c r="AE218" s="435">
        <f t="shared" si="47"/>
        <v>7350.1799999999994</v>
      </c>
    </row>
    <row r="219" spans="1:31" hidden="1" outlineLevel="1">
      <c r="A219" s="114">
        <v>43308</v>
      </c>
      <c r="B219" s="115">
        <f t="shared" si="44"/>
        <v>7</v>
      </c>
      <c r="C219" s="35"/>
      <c r="D219" s="36"/>
      <c r="E219" s="43">
        <v>27957369</v>
      </c>
      <c r="F219" s="44">
        <v>6125.44</v>
      </c>
      <c r="G219" s="51"/>
      <c r="H219" s="52"/>
      <c r="I219" s="58">
        <v>6972038</v>
      </c>
      <c r="J219" s="17">
        <v>1258.1600000000001</v>
      </c>
      <c r="K219" s="101"/>
      <c r="L219" s="35"/>
      <c r="M219" s="36"/>
      <c r="N219" s="43">
        <v>21285895</v>
      </c>
      <c r="O219" s="44">
        <v>3861.85</v>
      </c>
      <c r="P219" s="51"/>
      <c r="Q219" s="52"/>
      <c r="R219" s="58">
        <v>5087099</v>
      </c>
      <c r="S219" s="17">
        <v>538.04</v>
      </c>
      <c r="T219" s="101"/>
      <c r="U219" s="35"/>
      <c r="V219" s="36"/>
      <c r="W219" s="43">
        <f t="shared" si="49"/>
        <v>6671474</v>
      </c>
      <c r="X219" s="44">
        <f t="shared" si="50"/>
        <v>2263.5899999999997</v>
      </c>
      <c r="Y219" s="51"/>
      <c r="Z219" s="52"/>
      <c r="AA219" s="58">
        <f t="shared" si="51"/>
        <v>1884939</v>
      </c>
      <c r="AB219" s="17">
        <f t="shared" si="52"/>
        <v>720.12000000000012</v>
      </c>
      <c r="AC219" s="101"/>
      <c r="AD219" s="359">
        <f t="shared" si="46"/>
        <v>34929407</v>
      </c>
      <c r="AE219" s="435">
        <f t="shared" si="47"/>
        <v>7383.5999999999995</v>
      </c>
    </row>
    <row r="220" spans="1:31" hidden="1" outlineLevel="1">
      <c r="A220" s="114">
        <v>43309</v>
      </c>
      <c r="B220" s="115">
        <f t="shared" si="44"/>
        <v>7</v>
      </c>
      <c r="C220" s="35"/>
      <c r="D220" s="36"/>
      <c r="E220" s="43">
        <v>29593054</v>
      </c>
      <c r="F220" s="44">
        <v>6236.78</v>
      </c>
      <c r="G220" s="51"/>
      <c r="H220" s="52"/>
      <c r="I220" s="58">
        <v>7057905</v>
      </c>
      <c r="J220" s="17">
        <v>1195.8599999999999</v>
      </c>
      <c r="K220" s="101"/>
      <c r="L220" s="35"/>
      <c r="M220" s="36"/>
      <c r="N220" s="43">
        <v>21526493</v>
      </c>
      <c r="O220" s="44">
        <v>3737.63</v>
      </c>
      <c r="P220" s="51"/>
      <c r="Q220" s="52"/>
      <c r="R220" s="58">
        <v>5080231</v>
      </c>
      <c r="S220" s="17">
        <v>507.04</v>
      </c>
      <c r="T220" s="101"/>
      <c r="U220" s="35"/>
      <c r="V220" s="36"/>
      <c r="W220" s="43">
        <f t="shared" si="49"/>
        <v>8066561</v>
      </c>
      <c r="X220" s="44">
        <f t="shared" si="50"/>
        <v>2499.1499999999996</v>
      </c>
      <c r="Y220" s="51"/>
      <c r="Z220" s="52"/>
      <c r="AA220" s="58">
        <f t="shared" si="51"/>
        <v>1977674</v>
      </c>
      <c r="AB220" s="17">
        <f t="shared" si="52"/>
        <v>688.81999999999994</v>
      </c>
      <c r="AC220" s="101"/>
      <c r="AD220" s="359">
        <f t="shared" si="46"/>
        <v>36650959</v>
      </c>
      <c r="AE220" s="435">
        <f t="shared" si="47"/>
        <v>7432.6399999999994</v>
      </c>
    </row>
    <row r="221" spans="1:31" hidden="1" outlineLevel="1">
      <c r="A221" s="114">
        <v>43310</v>
      </c>
      <c r="B221" s="115">
        <f t="shared" si="44"/>
        <v>7</v>
      </c>
      <c r="C221" s="35"/>
      <c r="D221" s="36"/>
      <c r="E221" s="43">
        <v>28003575</v>
      </c>
      <c r="F221" s="44">
        <v>5888.31</v>
      </c>
      <c r="G221" s="51"/>
      <c r="H221" s="52"/>
      <c r="I221" s="58">
        <v>6575864</v>
      </c>
      <c r="J221" s="17">
        <v>1098.97</v>
      </c>
      <c r="K221" s="101"/>
      <c r="L221" s="35"/>
      <c r="M221" s="36"/>
      <c r="N221" s="43">
        <v>20634489</v>
      </c>
      <c r="O221" s="44">
        <v>3410</v>
      </c>
      <c r="P221" s="51"/>
      <c r="Q221" s="52"/>
      <c r="R221" s="58">
        <v>4664026</v>
      </c>
      <c r="S221" s="17">
        <v>465.96</v>
      </c>
      <c r="T221" s="101"/>
      <c r="U221" s="35"/>
      <c r="V221" s="36"/>
      <c r="W221" s="43">
        <f t="shared" si="49"/>
        <v>7369086</v>
      </c>
      <c r="X221" s="44">
        <f t="shared" si="50"/>
        <v>2478.3100000000004</v>
      </c>
      <c r="Y221" s="51"/>
      <c r="Z221" s="52"/>
      <c r="AA221" s="58">
        <f t="shared" si="51"/>
        <v>1911838</v>
      </c>
      <c r="AB221" s="17">
        <f t="shared" si="52"/>
        <v>633.01</v>
      </c>
      <c r="AC221" s="101"/>
      <c r="AD221" s="359">
        <f t="shared" si="46"/>
        <v>34579439</v>
      </c>
      <c r="AE221" s="435">
        <f t="shared" si="47"/>
        <v>6987.2800000000007</v>
      </c>
    </row>
    <row r="222" spans="1:31" hidden="1" outlineLevel="1">
      <c r="A222" s="114">
        <v>43311</v>
      </c>
      <c r="B222" s="115">
        <f t="shared" si="44"/>
        <v>7</v>
      </c>
      <c r="C222" s="35"/>
      <c r="D222" s="36"/>
      <c r="E222" s="43">
        <v>28900002</v>
      </c>
      <c r="F222" s="44">
        <v>6569.6</v>
      </c>
      <c r="G222" s="51"/>
      <c r="H222" s="52"/>
      <c r="I222" s="58">
        <v>6321809</v>
      </c>
      <c r="J222" s="17">
        <v>1281.99</v>
      </c>
      <c r="K222" s="101"/>
      <c r="L222" s="35"/>
      <c r="M222" s="36"/>
      <c r="N222" s="43">
        <v>21230017</v>
      </c>
      <c r="O222" s="44">
        <v>3912.83</v>
      </c>
      <c r="P222" s="51"/>
      <c r="Q222" s="52"/>
      <c r="R222" s="58">
        <v>4282600</v>
      </c>
      <c r="S222" s="17">
        <v>486.94</v>
      </c>
      <c r="T222" s="101"/>
      <c r="U222" s="35"/>
      <c r="V222" s="36"/>
      <c r="W222" s="43">
        <f t="shared" si="49"/>
        <v>7669985</v>
      </c>
      <c r="X222" s="44">
        <f t="shared" si="50"/>
        <v>2656.7700000000004</v>
      </c>
      <c r="Y222" s="51"/>
      <c r="Z222" s="52"/>
      <c r="AA222" s="58">
        <f t="shared" si="51"/>
        <v>2039209</v>
      </c>
      <c r="AB222" s="17">
        <f t="shared" si="52"/>
        <v>795.05</v>
      </c>
      <c r="AC222" s="101"/>
      <c r="AD222" s="359">
        <f t="shared" si="46"/>
        <v>35221811</v>
      </c>
      <c r="AE222" s="435">
        <f t="shared" si="47"/>
        <v>7851.59</v>
      </c>
    </row>
    <row r="223" spans="1:31" hidden="1" outlineLevel="1">
      <c r="A223" s="114">
        <v>43312</v>
      </c>
      <c r="B223" s="115">
        <f t="shared" si="44"/>
        <v>7</v>
      </c>
      <c r="C223" s="35"/>
      <c r="D223" s="36"/>
      <c r="E223" s="43">
        <v>30325299</v>
      </c>
      <c r="F223" s="44">
        <v>8255.76</v>
      </c>
      <c r="G223" s="51"/>
      <c r="H223" s="52"/>
      <c r="I223" s="58">
        <v>6051743</v>
      </c>
      <c r="J223" s="17">
        <v>1198.49</v>
      </c>
      <c r="K223" s="101"/>
      <c r="L223" s="35"/>
      <c r="M223" s="36"/>
      <c r="N223" s="43">
        <v>21140074</v>
      </c>
      <c r="O223" s="44">
        <v>3549.79</v>
      </c>
      <c r="P223" s="51"/>
      <c r="Q223" s="52"/>
      <c r="R223" s="58">
        <v>4154341</v>
      </c>
      <c r="S223" s="17">
        <v>424.85</v>
      </c>
      <c r="T223" s="101"/>
      <c r="U223" s="35"/>
      <c r="V223" s="36"/>
      <c r="W223" s="43">
        <f t="shared" si="49"/>
        <v>9185225</v>
      </c>
      <c r="X223" s="44">
        <f t="shared" si="50"/>
        <v>4705.97</v>
      </c>
      <c r="Y223" s="51"/>
      <c r="Z223" s="52"/>
      <c r="AA223" s="58">
        <f t="shared" si="51"/>
        <v>1897402</v>
      </c>
      <c r="AB223" s="17">
        <f t="shared" si="52"/>
        <v>773.64</v>
      </c>
      <c r="AC223" s="101"/>
      <c r="AD223" s="359">
        <f t="shared" si="46"/>
        <v>36377042</v>
      </c>
      <c r="AE223" s="435">
        <f t="shared" si="47"/>
        <v>9454.25</v>
      </c>
    </row>
    <row r="224" spans="1:31" collapsed="1">
      <c r="A224" s="104"/>
      <c r="B224" s="104" t="s">
        <v>21</v>
      </c>
      <c r="C224" s="105"/>
      <c r="D224" s="106"/>
      <c r="E224" s="107">
        <f t="shared" ref="E224" si="53">SUBTOTAL(9,E225:E255)</f>
        <v>810832920</v>
      </c>
      <c r="F224" s="108">
        <f t="shared" ref="F224" si="54">SUBTOTAL(9,F225:F255)</f>
        <v>233306.64100001781</v>
      </c>
      <c r="G224" s="109"/>
      <c r="H224" s="110"/>
      <c r="I224" s="111">
        <f t="shared" ref="I224" si="55">SUBTOTAL(9,I225:I255)</f>
        <v>192008896</v>
      </c>
      <c r="J224" s="14">
        <f t="shared" ref="J224" si="56">SUBTOTAL(9,J225:J255)</f>
        <v>42278.220999997204</v>
      </c>
      <c r="K224" s="103"/>
      <c r="L224" s="105"/>
      <c r="M224" s="106"/>
      <c r="N224" s="107">
        <f t="shared" ref="N224" si="57">SUBTOTAL(9,N225:N255)</f>
        <v>618827481</v>
      </c>
      <c r="O224" s="108">
        <f t="shared" ref="O224" si="58">SUBTOTAL(9,O225:O255)</f>
        <v>151945.83000000729</v>
      </c>
      <c r="P224" s="109"/>
      <c r="Q224" s="110"/>
      <c r="R224" s="111">
        <f t="shared" ref="R224" si="59">SUBTOTAL(9,R225:R255)</f>
        <v>125940833</v>
      </c>
      <c r="S224" s="14">
        <f t="shared" ref="S224" si="60">SUBTOTAL(9,S225:S255)</f>
        <v>13653.256999999603</v>
      </c>
      <c r="T224" s="103"/>
      <c r="U224" s="105"/>
      <c r="V224" s="106"/>
      <c r="W224" s="107">
        <f t="shared" ref="W224" si="61">SUBTOTAL(9,W225:W255)</f>
        <v>192005439</v>
      </c>
      <c r="X224" s="108">
        <f t="shared" ref="X224" si="62">SUBTOTAL(9,X225:X255)</f>
        <v>81360.811000010523</v>
      </c>
      <c r="Y224" s="109"/>
      <c r="Z224" s="110"/>
      <c r="AA224" s="111">
        <f t="shared" ref="AA224" si="63">SUBTOTAL(9,AA225:AA255)</f>
        <v>66068063</v>
      </c>
      <c r="AB224" s="14">
        <f t="shared" ref="AB224" si="64">SUBTOTAL(9,AB225:AB255)</f>
        <v>28624.963999997599</v>
      </c>
      <c r="AC224" s="103"/>
      <c r="AD224" s="359"/>
      <c r="AE224" s="435"/>
    </row>
    <row r="225" spans="1:31" hidden="1" outlineLevel="1">
      <c r="A225" s="97">
        <v>43313</v>
      </c>
      <c r="B225" s="98">
        <f t="shared" si="44"/>
        <v>8</v>
      </c>
      <c r="C225" s="35"/>
      <c r="D225" s="36"/>
      <c r="E225" s="43">
        <v>30347827</v>
      </c>
      <c r="F225" s="44">
        <v>9281.2000000000007</v>
      </c>
      <c r="G225" s="51"/>
      <c r="H225" s="52"/>
      <c r="I225" s="58">
        <v>5901222</v>
      </c>
      <c r="J225" s="17">
        <v>1210.83</v>
      </c>
      <c r="K225" s="101"/>
      <c r="L225" s="35"/>
      <c r="M225" s="36"/>
      <c r="N225" s="43">
        <v>20265691</v>
      </c>
      <c r="O225" s="44">
        <v>3979.07</v>
      </c>
      <c r="P225" s="51"/>
      <c r="Q225" s="52"/>
      <c r="R225" s="58">
        <v>4185939</v>
      </c>
      <c r="S225" s="17">
        <v>479.18</v>
      </c>
      <c r="T225" s="101"/>
      <c r="U225" s="35"/>
      <c r="V225" s="36"/>
      <c r="W225" s="43">
        <f t="shared" si="49"/>
        <v>10082136</v>
      </c>
      <c r="X225" s="44">
        <f t="shared" si="50"/>
        <v>5302.130000000001</v>
      </c>
      <c r="Y225" s="51"/>
      <c r="Z225" s="52"/>
      <c r="AA225" s="58">
        <f t="shared" si="51"/>
        <v>1715283</v>
      </c>
      <c r="AB225" s="17">
        <f t="shared" si="52"/>
        <v>731.64999999999986</v>
      </c>
      <c r="AC225" s="101"/>
      <c r="AD225" s="359">
        <f t="shared" si="46"/>
        <v>36249049</v>
      </c>
      <c r="AE225" s="435">
        <f t="shared" si="47"/>
        <v>10492.03</v>
      </c>
    </row>
    <row r="226" spans="1:31" hidden="1" outlineLevel="1">
      <c r="A226" s="97">
        <v>43314</v>
      </c>
      <c r="B226" s="98">
        <f t="shared" ref="B226:B291" si="65">MONTH(A226)</f>
        <v>8</v>
      </c>
      <c r="C226" s="35"/>
      <c r="D226" s="36"/>
      <c r="E226" s="43">
        <v>28863418</v>
      </c>
      <c r="F226" s="44">
        <v>7313.13</v>
      </c>
      <c r="G226" s="51"/>
      <c r="H226" s="52"/>
      <c r="I226" s="58">
        <v>5828943</v>
      </c>
      <c r="J226" s="17">
        <v>1146.71</v>
      </c>
      <c r="K226" s="101"/>
      <c r="L226" s="35"/>
      <c r="M226" s="36"/>
      <c r="N226" s="43">
        <v>20690818</v>
      </c>
      <c r="O226" s="44">
        <v>3275.16</v>
      </c>
      <c r="P226" s="51"/>
      <c r="Q226" s="52"/>
      <c r="R226" s="58">
        <v>4037083</v>
      </c>
      <c r="S226" s="17">
        <v>417.48</v>
      </c>
      <c r="T226" s="101"/>
      <c r="U226" s="35"/>
      <c r="V226" s="36"/>
      <c r="W226" s="43">
        <f t="shared" si="49"/>
        <v>8172600</v>
      </c>
      <c r="X226" s="44">
        <f t="shared" si="50"/>
        <v>4037.9700000000003</v>
      </c>
      <c r="Y226" s="51"/>
      <c r="Z226" s="52"/>
      <c r="AA226" s="58">
        <f t="shared" si="51"/>
        <v>1791860</v>
      </c>
      <c r="AB226" s="17">
        <f t="shared" si="52"/>
        <v>729.23</v>
      </c>
      <c r="AC226" s="101"/>
      <c r="AD226" s="359">
        <f t="shared" ref="AD226:AD289" si="66">SUM(C226,E226,G226,I226)</f>
        <v>34692361</v>
      </c>
      <c r="AE226" s="435">
        <f t="shared" ref="AE226:AE289" si="67">SUM(D226,F226,H226,J226)</f>
        <v>8459.84</v>
      </c>
    </row>
    <row r="227" spans="1:31" hidden="1" outlineLevel="1">
      <c r="A227" s="97">
        <v>43315</v>
      </c>
      <c r="B227" s="98">
        <f t="shared" si="65"/>
        <v>8</v>
      </c>
      <c r="C227" s="35"/>
      <c r="D227" s="36"/>
      <c r="E227" s="43">
        <v>25805774</v>
      </c>
      <c r="F227" s="44">
        <v>5179.91</v>
      </c>
      <c r="G227" s="51"/>
      <c r="H227" s="52"/>
      <c r="I227" s="58">
        <v>5656453</v>
      </c>
      <c r="J227" s="17">
        <v>1157.18</v>
      </c>
      <c r="K227" s="101"/>
      <c r="L227" s="35"/>
      <c r="M227" s="36"/>
      <c r="N227" s="43">
        <v>21514186</v>
      </c>
      <c r="O227" s="44">
        <v>3320.71</v>
      </c>
      <c r="P227" s="51"/>
      <c r="Q227" s="52"/>
      <c r="R227" s="58">
        <v>4000477</v>
      </c>
      <c r="S227" s="17">
        <v>385.7</v>
      </c>
      <c r="T227" s="101"/>
      <c r="U227" s="35"/>
      <c r="V227" s="36"/>
      <c r="W227" s="43">
        <f t="shared" si="49"/>
        <v>4291588</v>
      </c>
      <c r="X227" s="44">
        <f t="shared" si="50"/>
        <v>1859.1999999999998</v>
      </c>
      <c r="Y227" s="51"/>
      <c r="Z227" s="52"/>
      <c r="AA227" s="58">
        <f t="shared" si="51"/>
        <v>1655976</v>
      </c>
      <c r="AB227" s="17">
        <f t="shared" si="52"/>
        <v>771.48</v>
      </c>
      <c r="AC227" s="101"/>
      <c r="AD227" s="359">
        <f t="shared" si="66"/>
        <v>31462227</v>
      </c>
      <c r="AE227" s="435">
        <f t="shared" si="67"/>
        <v>6337.09</v>
      </c>
    </row>
    <row r="228" spans="1:31" hidden="1" outlineLevel="1">
      <c r="A228" s="97">
        <v>43316</v>
      </c>
      <c r="B228" s="98">
        <f t="shared" si="65"/>
        <v>8</v>
      </c>
      <c r="C228" s="35"/>
      <c r="D228" s="36"/>
      <c r="E228" s="43">
        <v>26129298</v>
      </c>
      <c r="F228" s="44">
        <v>4892.08</v>
      </c>
      <c r="G228" s="51"/>
      <c r="H228" s="52"/>
      <c r="I228" s="58">
        <v>6083146</v>
      </c>
      <c r="J228" s="17">
        <v>1181.02</v>
      </c>
      <c r="K228" s="101"/>
      <c r="L228" s="35"/>
      <c r="M228" s="36"/>
      <c r="N228" s="43">
        <v>22083106</v>
      </c>
      <c r="O228" s="44">
        <v>3236.24</v>
      </c>
      <c r="P228" s="51"/>
      <c r="Q228" s="52"/>
      <c r="R228" s="58">
        <v>4370976</v>
      </c>
      <c r="S228" s="17">
        <v>359.31</v>
      </c>
      <c r="T228" s="101"/>
      <c r="U228" s="35"/>
      <c r="V228" s="36"/>
      <c r="W228" s="43">
        <f t="shared" si="49"/>
        <v>4046192</v>
      </c>
      <c r="X228" s="44">
        <f t="shared" si="50"/>
        <v>1655.8400000000001</v>
      </c>
      <c r="Y228" s="51"/>
      <c r="Z228" s="52"/>
      <c r="AA228" s="58">
        <f t="shared" si="51"/>
        <v>1712170</v>
      </c>
      <c r="AB228" s="17">
        <f t="shared" si="52"/>
        <v>821.71</v>
      </c>
      <c r="AC228" s="101"/>
      <c r="AD228" s="359">
        <f t="shared" si="66"/>
        <v>32212444</v>
      </c>
      <c r="AE228" s="435">
        <f t="shared" si="67"/>
        <v>6073.1</v>
      </c>
    </row>
    <row r="229" spans="1:31" hidden="1" outlineLevel="1">
      <c r="A229" s="97">
        <v>43317</v>
      </c>
      <c r="B229" s="98">
        <f t="shared" si="65"/>
        <v>8</v>
      </c>
      <c r="C229" s="35"/>
      <c r="D229" s="36"/>
      <c r="E229" s="43">
        <v>24961584</v>
      </c>
      <c r="F229" s="44">
        <v>4790.1400000000003</v>
      </c>
      <c r="G229" s="51"/>
      <c r="H229" s="52"/>
      <c r="I229" s="58">
        <v>5709424</v>
      </c>
      <c r="J229" s="17">
        <v>1093.05</v>
      </c>
      <c r="K229" s="101"/>
      <c r="L229" s="35"/>
      <c r="M229" s="36"/>
      <c r="N229" s="43">
        <v>20819741</v>
      </c>
      <c r="O229" s="44">
        <v>3145.56</v>
      </c>
      <c r="P229" s="51"/>
      <c r="Q229" s="52"/>
      <c r="R229" s="58">
        <v>4328055</v>
      </c>
      <c r="S229" s="17">
        <v>356.48</v>
      </c>
      <c r="T229" s="101"/>
      <c r="U229" s="35"/>
      <c r="V229" s="36"/>
      <c r="W229" s="43">
        <f t="shared" si="49"/>
        <v>4141843</v>
      </c>
      <c r="X229" s="44">
        <f t="shared" si="50"/>
        <v>1644.5800000000004</v>
      </c>
      <c r="Y229" s="51"/>
      <c r="Z229" s="52"/>
      <c r="AA229" s="58">
        <f t="shared" si="51"/>
        <v>1381369</v>
      </c>
      <c r="AB229" s="17">
        <f t="shared" si="52"/>
        <v>736.56999999999994</v>
      </c>
      <c r="AC229" s="101"/>
      <c r="AD229" s="359">
        <f t="shared" si="66"/>
        <v>30671008</v>
      </c>
      <c r="AE229" s="435">
        <f t="shared" si="67"/>
        <v>5883.1900000000005</v>
      </c>
    </row>
    <row r="230" spans="1:31" hidden="1" outlineLevel="1">
      <c r="A230" s="97">
        <v>43318</v>
      </c>
      <c r="B230" s="98">
        <f t="shared" si="65"/>
        <v>8</v>
      </c>
      <c r="C230" s="35"/>
      <c r="D230" s="36"/>
      <c r="E230" s="43">
        <v>24224679</v>
      </c>
      <c r="F230" s="44">
        <v>5430.54</v>
      </c>
      <c r="G230" s="51"/>
      <c r="H230" s="52"/>
      <c r="I230" s="58">
        <v>5401926</v>
      </c>
      <c r="J230" s="17">
        <v>1252.07</v>
      </c>
      <c r="K230" s="101"/>
      <c r="L230" s="35"/>
      <c r="M230" s="36"/>
      <c r="N230" s="43">
        <v>20072776</v>
      </c>
      <c r="O230" s="44">
        <v>3762.05</v>
      </c>
      <c r="P230" s="51"/>
      <c r="Q230" s="52"/>
      <c r="R230" s="58">
        <v>4114971</v>
      </c>
      <c r="S230" s="17">
        <v>454.9</v>
      </c>
      <c r="T230" s="101"/>
      <c r="U230" s="35"/>
      <c r="V230" s="36"/>
      <c r="W230" s="43">
        <f t="shared" si="49"/>
        <v>4151903</v>
      </c>
      <c r="X230" s="44">
        <f t="shared" si="50"/>
        <v>1668.4899999999998</v>
      </c>
      <c r="Y230" s="51"/>
      <c r="Z230" s="52"/>
      <c r="AA230" s="58">
        <f t="shared" si="51"/>
        <v>1286955</v>
      </c>
      <c r="AB230" s="17">
        <f t="shared" si="52"/>
        <v>797.17</v>
      </c>
      <c r="AC230" s="101"/>
      <c r="AD230" s="359">
        <f t="shared" si="66"/>
        <v>29626605</v>
      </c>
      <c r="AE230" s="435">
        <f t="shared" si="67"/>
        <v>6682.61</v>
      </c>
    </row>
    <row r="231" spans="1:31" hidden="1" outlineLevel="1">
      <c r="A231" s="97">
        <v>43319</v>
      </c>
      <c r="B231" s="98">
        <f t="shared" si="65"/>
        <v>8</v>
      </c>
      <c r="C231" s="35"/>
      <c r="D231" s="36"/>
      <c r="E231" s="43">
        <v>24627178</v>
      </c>
      <c r="F231" s="44">
        <v>5544.98</v>
      </c>
      <c r="G231" s="51"/>
      <c r="H231" s="52"/>
      <c r="I231" s="58">
        <v>5039857</v>
      </c>
      <c r="J231" s="17">
        <v>1124.22</v>
      </c>
      <c r="K231" s="101"/>
      <c r="L231" s="35"/>
      <c r="M231" s="36"/>
      <c r="N231" s="43">
        <v>20107441</v>
      </c>
      <c r="O231" s="44">
        <v>3737.13</v>
      </c>
      <c r="P231" s="51"/>
      <c r="Q231" s="52"/>
      <c r="R231" s="58">
        <v>3804432</v>
      </c>
      <c r="S231" s="17">
        <v>407.46</v>
      </c>
      <c r="T231" s="101"/>
      <c r="U231" s="35"/>
      <c r="V231" s="36"/>
      <c r="W231" s="43">
        <f t="shared" si="49"/>
        <v>4519737</v>
      </c>
      <c r="X231" s="44">
        <f t="shared" si="50"/>
        <v>1807.8499999999995</v>
      </c>
      <c r="Y231" s="51"/>
      <c r="Z231" s="52"/>
      <c r="AA231" s="58">
        <f t="shared" si="51"/>
        <v>1235425</v>
      </c>
      <c r="AB231" s="17">
        <f t="shared" si="52"/>
        <v>716.76</v>
      </c>
      <c r="AC231" s="101"/>
      <c r="AD231" s="359">
        <f t="shared" si="66"/>
        <v>29667035</v>
      </c>
      <c r="AE231" s="435">
        <f t="shared" si="67"/>
        <v>6669.2</v>
      </c>
    </row>
    <row r="232" spans="1:31" hidden="1" outlineLevel="1">
      <c r="A232" s="97">
        <v>43320</v>
      </c>
      <c r="B232" s="98">
        <f t="shared" si="65"/>
        <v>8</v>
      </c>
      <c r="C232" s="35"/>
      <c r="D232" s="36"/>
      <c r="E232" s="43">
        <v>25133537</v>
      </c>
      <c r="F232" s="44">
        <v>6136.19</v>
      </c>
      <c r="G232" s="51"/>
      <c r="H232" s="52"/>
      <c r="I232" s="58">
        <v>5285894</v>
      </c>
      <c r="J232" s="17">
        <v>1230.58</v>
      </c>
      <c r="K232" s="101"/>
      <c r="L232" s="35"/>
      <c r="M232" s="36"/>
      <c r="N232" s="43">
        <v>20393266</v>
      </c>
      <c r="O232" s="44">
        <v>4171.54</v>
      </c>
      <c r="P232" s="51"/>
      <c r="Q232" s="52"/>
      <c r="R232" s="58">
        <v>4128282</v>
      </c>
      <c r="S232" s="17">
        <v>448.35</v>
      </c>
      <c r="T232" s="101"/>
      <c r="U232" s="35"/>
      <c r="V232" s="36"/>
      <c r="W232" s="43">
        <f t="shared" si="49"/>
        <v>4740271</v>
      </c>
      <c r="X232" s="44">
        <f t="shared" si="50"/>
        <v>1964.6499999999996</v>
      </c>
      <c r="Y232" s="51"/>
      <c r="Z232" s="52"/>
      <c r="AA232" s="58">
        <f t="shared" si="51"/>
        <v>1157612</v>
      </c>
      <c r="AB232" s="17">
        <f t="shared" si="52"/>
        <v>782.2299999999999</v>
      </c>
      <c r="AC232" s="101"/>
      <c r="AD232" s="359">
        <f t="shared" si="66"/>
        <v>30419431</v>
      </c>
      <c r="AE232" s="435">
        <f t="shared" si="67"/>
        <v>7366.7699999999995</v>
      </c>
    </row>
    <row r="233" spans="1:31" hidden="1" outlineLevel="1">
      <c r="A233" s="97">
        <v>43321</v>
      </c>
      <c r="B233" s="98">
        <f t="shared" si="65"/>
        <v>8</v>
      </c>
      <c r="C233" s="35"/>
      <c r="D233" s="36"/>
      <c r="E233" s="43">
        <v>24903038</v>
      </c>
      <c r="F233" s="44">
        <v>6938.71</v>
      </c>
      <c r="G233" s="51"/>
      <c r="H233" s="52"/>
      <c r="I233" s="58">
        <v>5073691</v>
      </c>
      <c r="J233" s="17">
        <v>1208.81</v>
      </c>
      <c r="K233" s="101"/>
      <c r="L233" s="35"/>
      <c r="M233" s="36"/>
      <c r="N233" s="43">
        <v>20247526</v>
      </c>
      <c r="O233" s="44">
        <v>5029.3100000000004</v>
      </c>
      <c r="P233" s="51"/>
      <c r="Q233" s="52"/>
      <c r="R233" s="58">
        <v>3954273</v>
      </c>
      <c r="S233" s="17">
        <v>457.26</v>
      </c>
      <c r="T233" s="101"/>
      <c r="U233" s="35"/>
      <c r="V233" s="36"/>
      <c r="W233" s="43">
        <f t="shared" si="49"/>
        <v>4655512</v>
      </c>
      <c r="X233" s="44">
        <f t="shared" si="50"/>
        <v>1909.3999999999996</v>
      </c>
      <c r="Y233" s="51"/>
      <c r="Z233" s="52"/>
      <c r="AA233" s="58">
        <f t="shared" si="51"/>
        <v>1119418</v>
      </c>
      <c r="AB233" s="17">
        <f t="shared" si="52"/>
        <v>751.55</v>
      </c>
      <c r="AC233" s="101"/>
      <c r="AD233" s="359">
        <f t="shared" si="66"/>
        <v>29976729</v>
      </c>
      <c r="AE233" s="435">
        <f t="shared" si="67"/>
        <v>8147.52</v>
      </c>
    </row>
    <row r="234" spans="1:31" hidden="1" outlineLevel="1">
      <c r="A234" s="97">
        <v>43322</v>
      </c>
      <c r="B234" s="98">
        <f t="shared" si="65"/>
        <v>8</v>
      </c>
      <c r="C234" s="35"/>
      <c r="D234" s="36"/>
      <c r="E234" s="43">
        <v>26964598</v>
      </c>
      <c r="F234" s="44">
        <v>37690.21</v>
      </c>
      <c r="G234" s="51"/>
      <c r="H234" s="52"/>
      <c r="I234" s="58">
        <v>5589469</v>
      </c>
      <c r="J234" s="17">
        <v>3272.05</v>
      </c>
      <c r="K234" s="101"/>
      <c r="L234" s="35"/>
      <c r="M234" s="36"/>
      <c r="N234" s="43">
        <v>21561027</v>
      </c>
      <c r="O234" s="44">
        <v>35524.639999999999</v>
      </c>
      <c r="P234" s="51"/>
      <c r="Q234" s="52"/>
      <c r="R234" s="58">
        <v>4379937</v>
      </c>
      <c r="S234" s="17">
        <v>2384.7199999999998</v>
      </c>
      <c r="T234" s="101"/>
      <c r="U234" s="35"/>
      <c r="V234" s="36"/>
      <c r="W234" s="43">
        <f t="shared" si="49"/>
        <v>5403571</v>
      </c>
      <c r="X234" s="44">
        <f t="shared" si="50"/>
        <v>2165.5699999999997</v>
      </c>
      <c r="Y234" s="51"/>
      <c r="Z234" s="52"/>
      <c r="AA234" s="58">
        <f t="shared" si="51"/>
        <v>1209532</v>
      </c>
      <c r="AB234" s="17">
        <f t="shared" si="52"/>
        <v>887.33000000000038</v>
      </c>
      <c r="AC234" s="101"/>
      <c r="AD234" s="359">
        <f t="shared" si="66"/>
        <v>32554067</v>
      </c>
      <c r="AE234" s="435">
        <f t="shared" si="67"/>
        <v>40962.26</v>
      </c>
    </row>
    <row r="235" spans="1:31" hidden="1" outlineLevel="1">
      <c r="A235" s="97">
        <v>43323</v>
      </c>
      <c r="B235" s="98">
        <f t="shared" si="65"/>
        <v>8</v>
      </c>
      <c r="C235" s="35"/>
      <c r="D235" s="36"/>
      <c r="E235" s="43">
        <v>27157610</v>
      </c>
      <c r="F235" s="44">
        <v>8667.8760000011243</v>
      </c>
      <c r="G235" s="51"/>
      <c r="H235" s="52"/>
      <c r="I235" s="58">
        <v>5900706</v>
      </c>
      <c r="J235" s="17">
        <v>1407.6159999998458</v>
      </c>
      <c r="K235" s="101"/>
      <c r="L235" s="35"/>
      <c r="M235" s="36"/>
      <c r="N235" s="43">
        <v>21110436</v>
      </c>
      <c r="O235" s="44">
        <v>6388.602000000511</v>
      </c>
      <c r="P235" s="51"/>
      <c r="Q235" s="52"/>
      <c r="R235" s="58">
        <v>4426591</v>
      </c>
      <c r="S235" s="17">
        <v>534.71399999995333</v>
      </c>
      <c r="T235" s="101"/>
      <c r="U235" s="35"/>
      <c r="V235" s="36"/>
      <c r="W235" s="43">
        <f t="shared" si="49"/>
        <v>6047174</v>
      </c>
      <c r="X235" s="44">
        <f t="shared" si="50"/>
        <v>2279.2740000006133</v>
      </c>
      <c r="Y235" s="51"/>
      <c r="Z235" s="52"/>
      <c r="AA235" s="58">
        <f t="shared" si="51"/>
        <v>1474115</v>
      </c>
      <c r="AB235" s="17">
        <f t="shared" si="52"/>
        <v>872.9019999998925</v>
      </c>
      <c r="AC235" s="101"/>
      <c r="AD235" s="359">
        <f t="shared" si="66"/>
        <v>33058316</v>
      </c>
      <c r="AE235" s="435">
        <f t="shared" si="67"/>
        <v>10075.49200000097</v>
      </c>
    </row>
    <row r="236" spans="1:31" hidden="1" outlineLevel="1">
      <c r="A236" s="97">
        <v>43324</v>
      </c>
      <c r="B236" s="98">
        <f t="shared" si="65"/>
        <v>8</v>
      </c>
      <c r="C236" s="35"/>
      <c r="D236" s="36"/>
      <c r="E236" s="43">
        <v>26063495</v>
      </c>
      <c r="F236" s="44">
        <v>6043.984000000879</v>
      </c>
      <c r="G236" s="51"/>
      <c r="H236" s="52"/>
      <c r="I236" s="58">
        <v>6139867</v>
      </c>
      <c r="J236" s="17">
        <v>1231.7639999998717</v>
      </c>
      <c r="K236" s="101"/>
      <c r="L236" s="35"/>
      <c r="M236" s="36"/>
      <c r="N236" s="43">
        <v>19468549</v>
      </c>
      <c r="O236" s="44">
        <v>3645.6090000002923</v>
      </c>
      <c r="P236" s="51"/>
      <c r="Q236" s="52"/>
      <c r="R236" s="58">
        <v>4585737</v>
      </c>
      <c r="S236" s="17">
        <v>424.53499999996802</v>
      </c>
      <c r="T236" s="101"/>
      <c r="U236" s="35"/>
      <c r="V236" s="36"/>
      <c r="W236" s="43">
        <f t="shared" si="49"/>
        <v>6594946</v>
      </c>
      <c r="X236" s="44">
        <f t="shared" si="50"/>
        <v>2398.3750000005866</v>
      </c>
      <c r="Y236" s="51"/>
      <c r="Z236" s="52"/>
      <c r="AA236" s="58">
        <f t="shared" si="51"/>
        <v>1554130</v>
      </c>
      <c r="AB236" s="17">
        <f t="shared" si="52"/>
        <v>807.22899999990364</v>
      </c>
      <c r="AC236" s="101"/>
      <c r="AD236" s="359">
        <f t="shared" si="66"/>
        <v>32203362</v>
      </c>
      <c r="AE236" s="435">
        <f t="shared" si="67"/>
        <v>7275.7480000007508</v>
      </c>
    </row>
    <row r="237" spans="1:31" hidden="1" outlineLevel="1">
      <c r="A237" s="97">
        <v>43325</v>
      </c>
      <c r="B237" s="98">
        <f t="shared" si="65"/>
        <v>8</v>
      </c>
      <c r="C237" s="35"/>
      <c r="D237" s="36"/>
      <c r="E237" s="43">
        <v>25862460</v>
      </c>
      <c r="F237" s="44">
        <v>6771.1950000009438</v>
      </c>
      <c r="G237" s="51"/>
      <c r="H237" s="52"/>
      <c r="I237" s="58">
        <v>5470444</v>
      </c>
      <c r="J237" s="17">
        <v>1238.4819999998563</v>
      </c>
      <c r="K237" s="101"/>
      <c r="L237" s="35"/>
      <c r="M237" s="36"/>
      <c r="N237" s="43">
        <v>19190018</v>
      </c>
      <c r="O237" s="44">
        <v>4239.7810000003892</v>
      </c>
      <c r="P237" s="51"/>
      <c r="Q237" s="52"/>
      <c r="R237" s="58">
        <v>4119533</v>
      </c>
      <c r="S237" s="17">
        <v>536.16599999995492</v>
      </c>
      <c r="T237" s="101"/>
      <c r="U237" s="35"/>
      <c r="V237" s="36"/>
      <c r="W237" s="43">
        <f t="shared" si="49"/>
        <v>6672442</v>
      </c>
      <c r="X237" s="44">
        <f t="shared" si="50"/>
        <v>2531.4140000005546</v>
      </c>
      <c r="Y237" s="51"/>
      <c r="Z237" s="52"/>
      <c r="AA237" s="58">
        <f t="shared" si="51"/>
        <v>1350911</v>
      </c>
      <c r="AB237" s="17">
        <f t="shared" si="52"/>
        <v>702.31599999990135</v>
      </c>
      <c r="AC237" s="101"/>
      <c r="AD237" s="359">
        <f t="shared" si="66"/>
        <v>31332904</v>
      </c>
      <c r="AE237" s="435">
        <f t="shared" si="67"/>
        <v>8009.6770000008</v>
      </c>
    </row>
    <row r="238" spans="1:31" hidden="1" outlineLevel="1">
      <c r="A238" s="97">
        <v>43326</v>
      </c>
      <c r="B238" s="98">
        <f t="shared" si="65"/>
        <v>8</v>
      </c>
      <c r="C238" s="35"/>
      <c r="D238" s="36"/>
      <c r="E238" s="43">
        <v>25617353</v>
      </c>
      <c r="F238" s="44">
        <v>6020.8210000008594</v>
      </c>
      <c r="G238" s="51"/>
      <c r="H238" s="52"/>
      <c r="I238" s="58">
        <v>5789402</v>
      </c>
      <c r="J238" s="17">
        <v>1125.1969999998685</v>
      </c>
      <c r="K238" s="101"/>
      <c r="L238" s="35"/>
      <c r="M238" s="36"/>
      <c r="N238" s="43">
        <v>19447641</v>
      </c>
      <c r="O238" s="44">
        <v>3717.9070000002844</v>
      </c>
      <c r="P238" s="51"/>
      <c r="Q238" s="52"/>
      <c r="R238" s="58">
        <v>4367705</v>
      </c>
      <c r="S238" s="17">
        <v>429.63799999997042</v>
      </c>
      <c r="T238" s="101"/>
      <c r="U238" s="35"/>
      <c r="V238" s="36"/>
      <c r="W238" s="43">
        <f t="shared" si="49"/>
        <v>6169712</v>
      </c>
      <c r="X238" s="44">
        <f t="shared" si="50"/>
        <v>2302.914000000575</v>
      </c>
      <c r="Y238" s="51"/>
      <c r="Z238" s="52"/>
      <c r="AA238" s="58">
        <f t="shared" si="51"/>
        <v>1421697</v>
      </c>
      <c r="AB238" s="17">
        <f t="shared" si="52"/>
        <v>695.55899999989811</v>
      </c>
      <c r="AC238" s="101"/>
      <c r="AD238" s="359">
        <f t="shared" si="66"/>
        <v>31406755</v>
      </c>
      <c r="AE238" s="435">
        <f t="shared" si="67"/>
        <v>7146.0180000007276</v>
      </c>
    </row>
    <row r="239" spans="1:31" hidden="1" outlineLevel="1">
      <c r="A239" s="97">
        <v>43327</v>
      </c>
      <c r="B239" s="98">
        <f t="shared" si="65"/>
        <v>8</v>
      </c>
      <c r="C239" s="35"/>
      <c r="D239" s="36"/>
      <c r="E239" s="43">
        <v>25280988</v>
      </c>
      <c r="F239" s="44">
        <v>6533.5190000009961</v>
      </c>
      <c r="G239" s="51"/>
      <c r="H239" s="52"/>
      <c r="I239" s="58">
        <v>5781751</v>
      </c>
      <c r="J239" s="17">
        <v>1275.0959999998531</v>
      </c>
      <c r="K239" s="101"/>
      <c r="L239" s="35"/>
      <c r="M239" s="36"/>
      <c r="N239" s="43">
        <v>19455770</v>
      </c>
      <c r="O239" s="44">
        <v>4347.7130000004126</v>
      </c>
      <c r="P239" s="51"/>
      <c r="Q239" s="52"/>
      <c r="R239" s="58">
        <v>4428535</v>
      </c>
      <c r="S239" s="17">
        <v>524.93999999995276</v>
      </c>
      <c r="T239" s="101"/>
      <c r="U239" s="35"/>
      <c r="V239" s="36"/>
      <c r="W239" s="43">
        <f t="shared" si="49"/>
        <v>5825218</v>
      </c>
      <c r="X239" s="44">
        <f t="shared" si="50"/>
        <v>2185.8060000005835</v>
      </c>
      <c r="Y239" s="51"/>
      <c r="Z239" s="52"/>
      <c r="AA239" s="58">
        <f t="shared" si="51"/>
        <v>1353216</v>
      </c>
      <c r="AB239" s="17">
        <f t="shared" si="52"/>
        <v>750.15599999990036</v>
      </c>
      <c r="AC239" s="101"/>
      <c r="AD239" s="359">
        <f t="shared" si="66"/>
        <v>31062739</v>
      </c>
      <c r="AE239" s="435">
        <f t="shared" si="67"/>
        <v>7808.6150000008492</v>
      </c>
    </row>
    <row r="240" spans="1:31" hidden="1" outlineLevel="1">
      <c r="A240" s="97">
        <v>43328</v>
      </c>
      <c r="B240" s="98">
        <f t="shared" si="65"/>
        <v>8</v>
      </c>
      <c r="C240" s="35"/>
      <c r="D240" s="36"/>
      <c r="E240" s="43">
        <v>24566472</v>
      </c>
      <c r="F240" s="44">
        <v>5740.3550000001205</v>
      </c>
      <c r="G240" s="51"/>
      <c r="H240" s="52"/>
      <c r="I240" s="58">
        <v>6712229</v>
      </c>
      <c r="J240" s="17">
        <v>1530.6849999998585</v>
      </c>
      <c r="K240" s="101"/>
      <c r="L240" s="35"/>
      <c r="M240" s="36"/>
      <c r="N240" s="43">
        <v>19176118</v>
      </c>
      <c r="O240" s="44">
        <v>3711.9300000002872</v>
      </c>
      <c r="P240" s="51"/>
      <c r="Q240" s="52"/>
      <c r="R240" s="58">
        <v>4624862</v>
      </c>
      <c r="S240" s="17">
        <v>501.51699999996634</v>
      </c>
      <c r="T240" s="101"/>
      <c r="U240" s="35"/>
      <c r="V240" s="36"/>
      <c r="W240" s="43">
        <f t="shared" si="49"/>
        <v>5390354</v>
      </c>
      <c r="X240" s="44">
        <f t="shared" si="50"/>
        <v>2028.4249999998333</v>
      </c>
      <c r="Y240" s="51"/>
      <c r="Z240" s="52"/>
      <c r="AA240" s="58">
        <f t="shared" si="51"/>
        <v>2087367</v>
      </c>
      <c r="AB240" s="17">
        <f t="shared" si="52"/>
        <v>1029.1679999998921</v>
      </c>
      <c r="AC240" s="101"/>
      <c r="AD240" s="359">
        <f t="shared" si="66"/>
        <v>31278701</v>
      </c>
      <c r="AE240" s="435">
        <f t="shared" si="67"/>
        <v>7271.039999999979</v>
      </c>
    </row>
    <row r="241" spans="1:31" hidden="1" outlineLevel="1">
      <c r="A241" s="97">
        <v>43329</v>
      </c>
      <c r="B241" s="98">
        <f t="shared" si="65"/>
        <v>8</v>
      </c>
      <c r="C241" s="35"/>
      <c r="D241" s="36"/>
      <c r="E241" s="43">
        <v>26601869</v>
      </c>
      <c r="F241" s="44">
        <v>5827.7690000001312</v>
      </c>
      <c r="G241" s="51"/>
      <c r="H241" s="52"/>
      <c r="I241" s="58">
        <v>10566186</v>
      </c>
      <c r="J241" s="17">
        <v>2300.302999999747</v>
      </c>
      <c r="K241" s="101"/>
      <c r="L241" s="35"/>
      <c r="M241" s="36"/>
      <c r="N241" s="43">
        <v>21451074</v>
      </c>
      <c r="O241" s="44">
        <v>3758.2780000002845</v>
      </c>
      <c r="P241" s="51"/>
      <c r="Q241" s="52"/>
      <c r="R241" s="58">
        <v>5377322</v>
      </c>
      <c r="S241" s="17">
        <v>616.41199999994683</v>
      </c>
      <c r="T241" s="101"/>
      <c r="U241" s="35"/>
      <c r="V241" s="36"/>
      <c r="W241" s="43">
        <f t="shared" si="49"/>
        <v>5150795</v>
      </c>
      <c r="X241" s="44">
        <f t="shared" si="50"/>
        <v>2069.4909999998467</v>
      </c>
      <c r="Y241" s="51"/>
      <c r="Z241" s="52"/>
      <c r="AA241" s="58">
        <f t="shared" si="51"/>
        <v>5188864</v>
      </c>
      <c r="AB241" s="17">
        <f t="shared" si="52"/>
        <v>1683.8909999998002</v>
      </c>
      <c r="AC241" s="101"/>
      <c r="AD241" s="359">
        <f t="shared" si="66"/>
        <v>37168055</v>
      </c>
      <c r="AE241" s="435">
        <f t="shared" si="67"/>
        <v>8128.0719999998782</v>
      </c>
    </row>
    <row r="242" spans="1:31" hidden="1" outlineLevel="1">
      <c r="A242" s="97">
        <v>43330</v>
      </c>
      <c r="B242" s="98">
        <f t="shared" si="65"/>
        <v>8</v>
      </c>
      <c r="C242" s="35"/>
      <c r="D242" s="36"/>
      <c r="E242" s="43">
        <v>31200671</v>
      </c>
      <c r="F242" s="44">
        <v>6401.349000001007</v>
      </c>
      <c r="G242" s="51"/>
      <c r="H242" s="52"/>
      <c r="I242" s="58">
        <v>8382217</v>
      </c>
      <c r="J242" s="17">
        <v>1763.7859999998068</v>
      </c>
      <c r="K242" s="101"/>
      <c r="L242" s="35"/>
      <c r="M242" s="36"/>
      <c r="N242" s="43">
        <v>25362967</v>
      </c>
      <c r="O242" s="44">
        <v>4110.4750000004096</v>
      </c>
      <c r="P242" s="51"/>
      <c r="Q242" s="52"/>
      <c r="R242" s="58">
        <v>5145115</v>
      </c>
      <c r="S242" s="17">
        <v>599.09299999994698</v>
      </c>
      <c r="T242" s="101"/>
      <c r="U242" s="35"/>
      <c r="V242" s="36"/>
      <c r="W242" s="43">
        <f t="shared" si="49"/>
        <v>5837704</v>
      </c>
      <c r="X242" s="44">
        <f t="shared" si="50"/>
        <v>2290.8740000005973</v>
      </c>
      <c r="Y242" s="51"/>
      <c r="Z242" s="52"/>
      <c r="AA242" s="58">
        <f t="shared" si="51"/>
        <v>3237102</v>
      </c>
      <c r="AB242" s="17">
        <f t="shared" si="52"/>
        <v>1164.6929999998597</v>
      </c>
      <c r="AC242" s="101"/>
      <c r="AD242" s="359">
        <f t="shared" si="66"/>
        <v>39582888</v>
      </c>
      <c r="AE242" s="435">
        <f t="shared" si="67"/>
        <v>8165.1350000008133</v>
      </c>
    </row>
    <row r="243" spans="1:31" hidden="1" outlineLevel="1">
      <c r="A243" s="97">
        <v>43331</v>
      </c>
      <c r="B243" s="98">
        <f t="shared" si="65"/>
        <v>8</v>
      </c>
      <c r="C243" s="35"/>
      <c r="D243" s="36"/>
      <c r="E243" s="43">
        <v>29377579</v>
      </c>
      <c r="F243" s="44">
        <v>6354.3860000009254</v>
      </c>
      <c r="G243" s="51"/>
      <c r="H243" s="52"/>
      <c r="I243" s="58">
        <v>7617705</v>
      </c>
      <c r="J243" s="17">
        <v>1385.8979999998278</v>
      </c>
      <c r="K243" s="101"/>
      <c r="L243" s="35"/>
      <c r="M243" s="36"/>
      <c r="N243" s="43">
        <v>22780387</v>
      </c>
      <c r="O243" s="44">
        <v>3730.5580000002965</v>
      </c>
      <c r="P243" s="51"/>
      <c r="Q243" s="52"/>
      <c r="R243" s="58">
        <v>5692957</v>
      </c>
      <c r="S243" s="17">
        <v>562.7359999999444</v>
      </c>
      <c r="T243" s="101"/>
      <c r="U243" s="35"/>
      <c r="V243" s="36"/>
      <c r="W243" s="43">
        <f t="shared" si="49"/>
        <v>6597192</v>
      </c>
      <c r="X243" s="44">
        <f t="shared" si="50"/>
        <v>2623.8280000006289</v>
      </c>
      <c r="Y243" s="51"/>
      <c r="Z243" s="52"/>
      <c r="AA243" s="58">
        <f t="shared" si="51"/>
        <v>1924748</v>
      </c>
      <c r="AB243" s="17">
        <f t="shared" si="52"/>
        <v>823.16199999988339</v>
      </c>
      <c r="AC243" s="101"/>
      <c r="AD243" s="359">
        <f t="shared" si="66"/>
        <v>36995284</v>
      </c>
      <c r="AE243" s="435">
        <f t="shared" si="67"/>
        <v>7740.2840000007527</v>
      </c>
    </row>
    <row r="244" spans="1:31" hidden="1" outlineLevel="1">
      <c r="A244" s="97">
        <v>43332</v>
      </c>
      <c r="B244" s="98">
        <f t="shared" si="65"/>
        <v>8</v>
      </c>
      <c r="C244" s="35"/>
      <c r="D244" s="36"/>
      <c r="E244" s="43">
        <v>27440980</v>
      </c>
      <c r="F244" s="44">
        <v>7240.7230000009004</v>
      </c>
      <c r="G244" s="51"/>
      <c r="H244" s="52"/>
      <c r="I244" s="58">
        <v>5220176</v>
      </c>
      <c r="J244" s="17">
        <v>942.01099999996336</v>
      </c>
      <c r="K244" s="101"/>
      <c r="L244" s="35"/>
      <c r="M244" s="36"/>
      <c r="N244" s="43">
        <v>19066082</v>
      </c>
      <c r="O244" s="44">
        <v>3872.2020000002735</v>
      </c>
      <c r="P244" s="51"/>
      <c r="Q244" s="52"/>
      <c r="R244" s="58">
        <v>3829748</v>
      </c>
      <c r="S244" s="17">
        <v>378.73299999999387</v>
      </c>
      <c r="T244" s="101"/>
      <c r="U244" s="35"/>
      <c r="V244" s="36"/>
      <c r="W244" s="43">
        <f t="shared" si="49"/>
        <v>8374898</v>
      </c>
      <c r="X244" s="44">
        <f t="shared" si="50"/>
        <v>3368.5210000006268</v>
      </c>
      <c r="Y244" s="51"/>
      <c r="Z244" s="52"/>
      <c r="AA244" s="58">
        <f t="shared" si="51"/>
        <v>1390428</v>
      </c>
      <c r="AB244" s="17">
        <f t="shared" si="52"/>
        <v>563.27799999996955</v>
      </c>
      <c r="AC244" s="101"/>
      <c r="AD244" s="359">
        <f t="shared" si="66"/>
        <v>32661156</v>
      </c>
      <c r="AE244" s="435">
        <f t="shared" si="67"/>
        <v>8182.7340000008635</v>
      </c>
    </row>
    <row r="245" spans="1:31" hidden="1" outlineLevel="1">
      <c r="A245" s="97">
        <v>43333</v>
      </c>
      <c r="B245" s="98">
        <f t="shared" si="65"/>
        <v>8</v>
      </c>
      <c r="C245" s="35"/>
      <c r="D245" s="36"/>
      <c r="E245" s="43">
        <v>29090872</v>
      </c>
      <c r="F245" s="44">
        <v>7736.9620000009581</v>
      </c>
      <c r="G245" s="51"/>
      <c r="H245" s="52"/>
      <c r="I245" s="58">
        <v>5046188</v>
      </c>
      <c r="J245" s="17">
        <v>679.21399999995219</v>
      </c>
      <c r="K245" s="101"/>
      <c r="L245" s="35"/>
      <c r="M245" s="36"/>
      <c r="N245" s="43">
        <v>18864291</v>
      </c>
      <c r="O245" s="44">
        <v>3572.2240000002957</v>
      </c>
      <c r="P245" s="51"/>
      <c r="Q245" s="52"/>
      <c r="R245" s="58">
        <v>3357941</v>
      </c>
      <c r="S245" s="17">
        <v>187.10700000000338</v>
      </c>
      <c r="T245" s="101"/>
      <c r="U245" s="35"/>
      <c r="V245" s="36"/>
      <c r="W245" s="43">
        <f t="shared" si="49"/>
        <v>10226581</v>
      </c>
      <c r="X245" s="44">
        <f t="shared" si="50"/>
        <v>4164.7380000006624</v>
      </c>
      <c r="Y245" s="51"/>
      <c r="Z245" s="52"/>
      <c r="AA245" s="58">
        <f t="shared" si="51"/>
        <v>1688247</v>
      </c>
      <c r="AB245" s="17">
        <f t="shared" si="52"/>
        <v>492.10699999994881</v>
      </c>
      <c r="AC245" s="101"/>
      <c r="AD245" s="359">
        <f t="shared" si="66"/>
        <v>34137060</v>
      </c>
      <c r="AE245" s="435">
        <f t="shared" si="67"/>
        <v>8416.1760000009108</v>
      </c>
    </row>
    <row r="246" spans="1:31" hidden="1" outlineLevel="1">
      <c r="A246" s="97">
        <v>43334</v>
      </c>
      <c r="B246" s="98">
        <f t="shared" si="65"/>
        <v>8</v>
      </c>
      <c r="C246" s="35"/>
      <c r="D246" s="36"/>
      <c r="E246" s="43">
        <v>28772509</v>
      </c>
      <c r="F246" s="44">
        <v>7644.0380000008699</v>
      </c>
      <c r="G246" s="51"/>
      <c r="H246" s="52"/>
      <c r="I246" s="58">
        <v>4990686</v>
      </c>
      <c r="J246" s="17">
        <v>979.59799999991969</v>
      </c>
      <c r="K246" s="101"/>
      <c r="L246" s="35"/>
      <c r="M246" s="36"/>
      <c r="N246" s="43">
        <v>19298704</v>
      </c>
      <c r="O246" s="44">
        <v>3676.187000000295</v>
      </c>
      <c r="P246" s="51"/>
      <c r="Q246" s="52"/>
      <c r="R246" s="58">
        <v>3142581</v>
      </c>
      <c r="S246" s="17">
        <v>180.95900000000347</v>
      </c>
      <c r="T246" s="101"/>
      <c r="U246" s="35"/>
      <c r="V246" s="36"/>
      <c r="W246" s="43">
        <f t="shared" si="49"/>
        <v>9473805</v>
      </c>
      <c r="X246" s="44">
        <f t="shared" si="50"/>
        <v>3967.8510000005749</v>
      </c>
      <c r="Y246" s="51"/>
      <c r="Z246" s="52"/>
      <c r="AA246" s="58">
        <f t="shared" si="51"/>
        <v>1848105</v>
      </c>
      <c r="AB246" s="17">
        <f t="shared" si="52"/>
        <v>798.63899999991622</v>
      </c>
      <c r="AC246" s="101"/>
      <c r="AD246" s="359">
        <f t="shared" si="66"/>
        <v>33763195</v>
      </c>
      <c r="AE246" s="435">
        <f t="shared" si="67"/>
        <v>8623.6360000007899</v>
      </c>
    </row>
    <row r="247" spans="1:31" hidden="1" outlineLevel="1">
      <c r="A247" s="97">
        <v>43335</v>
      </c>
      <c r="B247" s="98">
        <f t="shared" si="65"/>
        <v>8</v>
      </c>
      <c r="C247" s="35"/>
      <c r="D247" s="36"/>
      <c r="E247" s="43">
        <v>27956456</v>
      </c>
      <c r="F247" s="44">
        <v>8048.0100000010607</v>
      </c>
      <c r="G247" s="51"/>
      <c r="H247" s="52"/>
      <c r="I247" s="58">
        <v>6881201</v>
      </c>
      <c r="J247" s="17">
        <v>1035.4719999999161</v>
      </c>
      <c r="K247" s="101"/>
      <c r="L247" s="35"/>
      <c r="M247" s="36"/>
      <c r="N247" s="43">
        <v>19630068</v>
      </c>
      <c r="O247" s="44">
        <v>4434.7200000004532</v>
      </c>
      <c r="P247" s="51"/>
      <c r="Q247" s="52"/>
      <c r="R247" s="58">
        <v>4879808</v>
      </c>
      <c r="S247" s="17">
        <v>229.34200000000169</v>
      </c>
      <c r="T247" s="101"/>
      <c r="U247" s="35"/>
      <c r="V247" s="36"/>
      <c r="W247" s="43">
        <f t="shared" si="49"/>
        <v>8326388</v>
      </c>
      <c r="X247" s="44">
        <f t="shared" si="50"/>
        <v>3613.2900000006075</v>
      </c>
      <c r="Y247" s="51"/>
      <c r="Z247" s="52"/>
      <c r="AA247" s="58">
        <f t="shared" si="51"/>
        <v>2001393</v>
      </c>
      <c r="AB247" s="17">
        <f t="shared" si="52"/>
        <v>806.12999999991439</v>
      </c>
      <c r="AC247" s="101"/>
      <c r="AD247" s="359">
        <f t="shared" si="66"/>
        <v>34837657</v>
      </c>
      <c r="AE247" s="435">
        <f t="shared" si="67"/>
        <v>9083.4820000009768</v>
      </c>
    </row>
    <row r="248" spans="1:31" hidden="1" outlineLevel="1">
      <c r="A248" s="97">
        <v>43336</v>
      </c>
      <c r="B248" s="98">
        <f t="shared" si="65"/>
        <v>8</v>
      </c>
      <c r="C248" s="35"/>
      <c r="D248" s="36"/>
      <c r="E248" s="43">
        <v>28019925</v>
      </c>
      <c r="F248" s="44">
        <v>7381.8920000010803</v>
      </c>
      <c r="G248" s="51"/>
      <c r="H248" s="52"/>
      <c r="I248" s="58">
        <v>6573581</v>
      </c>
      <c r="J248" s="17">
        <v>1444.3819999998354</v>
      </c>
      <c r="K248" s="101"/>
      <c r="L248" s="35"/>
      <c r="M248" s="36"/>
      <c r="N248" s="43">
        <v>21057162</v>
      </c>
      <c r="O248" s="44">
        <v>4240.6830000004629</v>
      </c>
      <c r="P248" s="51"/>
      <c r="Q248" s="52"/>
      <c r="R248" s="58">
        <v>3271310</v>
      </c>
      <c r="S248" s="17">
        <v>220.4450000000023</v>
      </c>
      <c r="T248" s="101"/>
      <c r="U248" s="35"/>
      <c r="V248" s="36"/>
      <c r="W248" s="43">
        <f t="shared" si="49"/>
        <v>6962763</v>
      </c>
      <c r="X248" s="44">
        <f t="shared" si="50"/>
        <v>3141.2090000006174</v>
      </c>
      <c r="Y248" s="51"/>
      <c r="Z248" s="52"/>
      <c r="AA248" s="58">
        <f t="shared" si="51"/>
        <v>3302271</v>
      </c>
      <c r="AB248" s="17">
        <f t="shared" si="52"/>
        <v>1223.9369999998332</v>
      </c>
      <c r="AC248" s="101"/>
      <c r="AD248" s="359">
        <f t="shared" si="66"/>
        <v>34593506</v>
      </c>
      <c r="AE248" s="435">
        <f t="shared" si="67"/>
        <v>8826.2740000009162</v>
      </c>
    </row>
    <row r="249" spans="1:31" hidden="1" outlineLevel="1">
      <c r="A249" s="97">
        <v>43337</v>
      </c>
      <c r="B249" s="98">
        <f t="shared" si="65"/>
        <v>8</v>
      </c>
      <c r="C249" s="35"/>
      <c r="D249" s="36"/>
      <c r="E249" s="43">
        <v>27232984</v>
      </c>
      <c r="F249" s="44">
        <v>7168.9470000011179</v>
      </c>
      <c r="G249" s="51"/>
      <c r="H249" s="52"/>
      <c r="I249" s="58">
        <v>8759207</v>
      </c>
      <c r="J249" s="17">
        <v>2303.3259999998022</v>
      </c>
      <c r="K249" s="101"/>
      <c r="L249" s="35"/>
      <c r="M249" s="36"/>
      <c r="N249" s="43">
        <v>20631255</v>
      </c>
      <c r="O249" s="44">
        <v>4381.5910000004615</v>
      </c>
      <c r="P249" s="51"/>
      <c r="Q249" s="52"/>
      <c r="R249" s="58">
        <v>3553710</v>
      </c>
      <c r="S249" s="17">
        <v>272.88999999997549</v>
      </c>
      <c r="T249" s="101"/>
      <c r="U249" s="35"/>
      <c r="V249" s="36"/>
      <c r="W249" s="43">
        <f t="shared" si="49"/>
        <v>6601729</v>
      </c>
      <c r="X249" s="44">
        <f t="shared" si="50"/>
        <v>2787.3560000006564</v>
      </c>
      <c r="Y249" s="51"/>
      <c r="Z249" s="52"/>
      <c r="AA249" s="58">
        <f t="shared" si="51"/>
        <v>5205497</v>
      </c>
      <c r="AB249" s="17">
        <f t="shared" si="52"/>
        <v>2030.4359999998267</v>
      </c>
      <c r="AC249" s="101"/>
      <c r="AD249" s="359">
        <f t="shared" si="66"/>
        <v>35992191</v>
      </c>
      <c r="AE249" s="435">
        <f t="shared" si="67"/>
        <v>9472.2730000009196</v>
      </c>
    </row>
    <row r="250" spans="1:31" hidden="1" outlineLevel="1">
      <c r="A250" s="97">
        <v>43338</v>
      </c>
      <c r="B250" s="98">
        <f t="shared" si="65"/>
        <v>8</v>
      </c>
      <c r="C250" s="35"/>
      <c r="D250" s="36"/>
      <c r="E250" s="43">
        <v>24528425</v>
      </c>
      <c r="F250" s="44">
        <v>6135.2340000009544</v>
      </c>
      <c r="G250" s="51"/>
      <c r="H250" s="52"/>
      <c r="I250" s="58">
        <v>7686641</v>
      </c>
      <c r="J250" s="17">
        <v>1851.4929999998349</v>
      </c>
      <c r="K250" s="101"/>
      <c r="L250" s="35"/>
      <c r="M250" s="36"/>
      <c r="N250" s="43">
        <v>18109697</v>
      </c>
      <c r="O250" s="44">
        <v>3623.1970000003375</v>
      </c>
      <c r="P250" s="51"/>
      <c r="Q250" s="52"/>
      <c r="R250" s="58">
        <v>3340773</v>
      </c>
      <c r="S250" s="17">
        <v>226.43200000000289</v>
      </c>
      <c r="T250" s="101"/>
      <c r="U250" s="35"/>
      <c r="V250" s="36"/>
      <c r="W250" s="43">
        <f t="shared" si="49"/>
        <v>6418728</v>
      </c>
      <c r="X250" s="44">
        <f t="shared" si="50"/>
        <v>2512.0370000006169</v>
      </c>
      <c r="Y250" s="51"/>
      <c r="Z250" s="52"/>
      <c r="AA250" s="58">
        <f t="shared" si="51"/>
        <v>4345868</v>
      </c>
      <c r="AB250" s="17">
        <f t="shared" si="52"/>
        <v>1625.0609999998319</v>
      </c>
      <c r="AC250" s="101"/>
      <c r="AD250" s="359">
        <f t="shared" si="66"/>
        <v>32215066</v>
      </c>
      <c r="AE250" s="435">
        <f t="shared" si="67"/>
        <v>7986.7270000007893</v>
      </c>
    </row>
    <row r="251" spans="1:31" hidden="1" outlineLevel="1">
      <c r="A251" s="97">
        <v>43339</v>
      </c>
      <c r="B251" s="98">
        <f t="shared" si="65"/>
        <v>8</v>
      </c>
      <c r="C251" s="35"/>
      <c r="D251" s="36"/>
      <c r="E251" s="43">
        <v>22024786</v>
      </c>
      <c r="F251" s="44">
        <v>5915.3260000002701</v>
      </c>
      <c r="G251" s="51"/>
      <c r="H251" s="52"/>
      <c r="I251" s="58">
        <v>5297155</v>
      </c>
      <c r="J251" s="17">
        <v>1090.2199999999109</v>
      </c>
      <c r="K251" s="101"/>
      <c r="L251" s="35"/>
      <c r="M251" s="36"/>
      <c r="N251" s="43">
        <v>17257890</v>
      </c>
      <c r="O251" s="44">
        <v>3789.1920000003342</v>
      </c>
      <c r="P251" s="51"/>
      <c r="Q251" s="52"/>
      <c r="R251" s="58">
        <v>2675134</v>
      </c>
      <c r="S251" s="17">
        <v>206.19400000000229</v>
      </c>
      <c r="T251" s="101"/>
      <c r="U251" s="35"/>
      <c r="V251" s="36"/>
      <c r="W251" s="43">
        <f t="shared" si="49"/>
        <v>4766896</v>
      </c>
      <c r="X251" s="44">
        <f t="shared" si="50"/>
        <v>2126.1339999999359</v>
      </c>
      <c r="Y251" s="51"/>
      <c r="Z251" s="52"/>
      <c r="AA251" s="58">
        <f t="shared" si="51"/>
        <v>2622021</v>
      </c>
      <c r="AB251" s="17">
        <f t="shared" si="52"/>
        <v>884.02599999990866</v>
      </c>
      <c r="AC251" s="101"/>
      <c r="AD251" s="359">
        <f t="shared" si="66"/>
        <v>27321941</v>
      </c>
      <c r="AE251" s="435">
        <f t="shared" si="67"/>
        <v>7005.5460000001813</v>
      </c>
    </row>
    <row r="252" spans="1:31" hidden="1" outlineLevel="1">
      <c r="A252" s="97">
        <v>43340</v>
      </c>
      <c r="B252" s="98">
        <f t="shared" si="65"/>
        <v>8</v>
      </c>
      <c r="C252" s="35"/>
      <c r="D252" s="36"/>
      <c r="E252" s="43">
        <v>22590677</v>
      </c>
      <c r="F252" s="44">
        <v>6494.4870000009323</v>
      </c>
      <c r="G252" s="51"/>
      <c r="H252" s="52"/>
      <c r="I252" s="58">
        <v>5569528</v>
      </c>
      <c r="J252" s="17">
        <v>1008.6639999999094</v>
      </c>
      <c r="K252" s="101"/>
      <c r="L252" s="35"/>
      <c r="M252" s="36"/>
      <c r="N252" s="43">
        <v>17021335</v>
      </c>
      <c r="O252" s="44">
        <v>3798.6830000003142</v>
      </c>
      <c r="P252" s="51"/>
      <c r="Q252" s="52"/>
      <c r="R252" s="58">
        <v>3562994</v>
      </c>
      <c r="S252" s="17">
        <v>236.57200000000182</v>
      </c>
      <c r="T252" s="101"/>
      <c r="U252" s="35"/>
      <c r="V252" s="36"/>
      <c r="W252" s="43">
        <f t="shared" si="49"/>
        <v>5569342</v>
      </c>
      <c r="X252" s="44">
        <f t="shared" si="50"/>
        <v>2695.8040000006181</v>
      </c>
      <c r="Y252" s="51"/>
      <c r="Z252" s="52"/>
      <c r="AA252" s="58">
        <f t="shared" si="51"/>
        <v>2006534</v>
      </c>
      <c r="AB252" s="17">
        <f t="shared" si="52"/>
        <v>772.09199999990756</v>
      </c>
      <c r="AC252" s="101"/>
      <c r="AD252" s="359">
        <f t="shared" si="66"/>
        <v>28160205</v>
      </c>
      <c r="AE252" s="435">
        <f t="shared" si="67"/>
        <v>7503.151000000842</v>
      </c>
    </row>
    <row r="253" spans="1:31" hidden="1" outlineLevel="1">
      <c r="A253" s="97">
        <v>43341</v>
      </c>
      <c r="B253" s="98">
        <f t="shared" si="65"/>
        <v>8</v>
      </c>
      <c r="C253" s="35"/>
      <c r="D253" s="36"/>
      <c r="E253" s="43">
        <v>22342333</v>
      </c>
      <c r="F253" s="44">
        <v>6041.9240000009113</v>
      </c>
      <c r="G253" s="51"/>
      <c r="H253" s="52"/>
      <c r="I253" s="58">
        <v>4960544</v>
      </c>
      <c r="J253" s="17">
        <v>1062.4729999999204</v>
      </c>
      <c r="K253" s="101"/>
      <c r="L253" s="35"/>
      <c r="M253" s="36"/>
      <c r="N253" s="43">
        <v>16422676</v>
      </c>
      <c r="O253" s="44">
        <v>3183.1690000003236</v>
      </c>
      <c r="P253" s="51"/>
      <c r="Q253" s="52"/>
      <c r="R253" s="58">
        <v>3121062</v>
      </c>
      <c r="S253" s="17">
        <v>193.72100000000287</v>
      </c>
      <c r="T253" s="101"/>
      <c r="U253" s="35"/>
      <c r="V253" s="36"/>
      <c r="W253" s="43">
        <f t="shared" si="49"/>
        <v>5919657</v>
      </c>
      <c r="X253" s="44">
        <f t="shared" si="50"/>
        <v>2858.7550000005876</v>
      </c>
      <c r="Y253" s="51"/>
      <c r="Z253" s="52"/>
      <c r="AA253" s="58">
        <f t="shared" si="51"/>
        <v>1839482</v>
      </c>
      <c r="AB253" s="17">
        <f t="shared" si="52"/>
        <v>868.75199999991753</v>
      </c>
      <c r="AC253" s="101"/>
      <c r="AD253" s="359">
        <f t="shared" si="66"/>
        <v>27302877</v>
      </c>
      <c r="AE253" s="435">
        <f t="shared" si="67"/>
        <v>7104.3970000008321</v>
      </c>
    </row>
    <row r="254" spans="1:31" hidden="1" outlineLevel="1">
      <c r="A254" s="97">
        <v>43342</v>
      </c>
      <c r="B254" s="98">
        <f t="shared" si="65"/>
        <v>8</v>
      </c>
      <c r="C254" s="35"/>
      <c r="D254" s="36"/>
      <c r="E254" s="43">
        <v>22447582</v>
      </c>
      <c r="F254" s="44">
        <v>6170.1860000009237</v>
      </c>
      <c r="G254" s="51"/>
      <c r="H254" s="52"/>
      <c r="I254" s="58">
        <v>6323463</v>
      </c>
      <c r="J254" s="17">
        <v>1026.9919999999015</v>
      </c>
      <c r="K254" s="101"/>
      <c r="L254" s="35"/>
      <c r="M254" s="36"/>
      <c r="N254" s="43">
        <v>16664275</v>
      </c>
      <c r="O254" s="44">
        <v>3299.833000000287</v>
      </c>
      <c r="P254" s="51"/>
      <c r="Q254" s="52"/>
      <c r="R254" s="58">
        <v>3444032</v>
      </c>
      <c r="S254" s="17">
        <v>209.9730000000022</v>
      </c>
      <c r="T254" s="101"/>
      <c r="U254" s="35"/>
      <c r="V254" s="36"/>
      <c r="W254" s="43">
        <f t="shared" si="49"/>
        <v>5783307</v>
      </c>
      <c r="X254" s="44">
        <f t="shared" si="50"/>
        <v>2870.3530000006367</v>
      </c>
      <c r="Y254" s="51"/>
      <c r="Z254" s="52"/>
      <c r="AA254" s="58">
        <f t="shared" si="51"/>
        <v>2879431</v>
      </c>
      <c r="AB254" s="17">
        <f t="shared" si="52"/>
        <v>817.01899999989928</v>
      </c>
      <c r="AC254" s="101"/>
      <c r="AD254" s="359">
        <f t="shared" si="66"/>
        <v>28771045</v>
      </c>
      <c r="AE254" s="435">
        <f t="shared" si="67"/>
        <v>7197.1780000008257</v>
      </c>
    </row>
    <row r="255" spans="1:31" hidden="1" outlineLevel="1">
      <c r="A255" s="97">
        <v>43343</v>
      </c>
      <c r="B255" s="98">
        <f t="shared" si="65"/>
        <v>8</v>
      </c>
      <c r="C255" s="35"/>
      <c r="D255" s="36"/>
      <c r="E255" s="43">
        <v>24695963</v>
      </c>
      <c r="F255" s="44">
        <v>5770.5680000008742</v>
      </c>
      <c r="G255" s="51"/>
      <c r="H255" s="52"/>
      <c r="I255" s="58">
        <v>6769994</v>
      </c>
      <c r="J255" s="17">
        <v>1719.028999999804</v>
      </c>
      <c r="K255" s="101"/>
      <c r="L255" s="35"/>
      <c r="M255" s="36"/>
      <c r="N255" s="43">
        <v>19605508</v>
      </c>
      <c r="O255" s="44">
        <v>3241.8860000003147</v>
      </c>
      <c r="P255" s="51"/>
      <c r="Q255" s="52"/>
      <c r="R255" s="58">
        <v>3688958</v>
      </c>
      <c r="S255" s="17">
        <v>230.29800000000358</v>
      </c>
      <c r="T255" s="101"/>
      <c r="U255" s="35"/>
      <c r="V255" s="36"/>
      <c r="W255" s="43">
        <f t="shared" si="49"/>
        <v>5090455</v>
      </c>
      <c r="X255" s="44">
        <f t="shared" si="50"/>
        <v>2528.6820000005596</v>
      </c>
      <c r="Y255" s="51"/>
      <c r="Z255" s="52"/>
      <c r="AA255" s="58">
        <f t="shared" si="51"/>
        <v>3081036</v>
      </c>
      <c r="AB255" s="17">
        <f t="shared" si="52"/>
        <v>1488.7309999998004</v>
      </c>
      <c r="AC255" s="101"/>
      <c r="AD255" s="359">
        <f t="shared" si="66"/>
        <v>31465957</v>
      </c>
      <c r="AE255" s="435">
        <f t="shared" si="67"/>
        <v>7489.5970000006782</v>
      </c>
    </row>
    <row r="256" spans="1:31" collapsed="1">
      <c r="A256" s="104"/>
      <c r="B256" s="104" t="s">
        <v>22</v>
      </c>
      <c r="C256" s="105"/>
      <c r="D256" s="106"/>
      <c r="E256" s="107">
        <f t="shared" ref="D256:AB256" si="68">SUBTOTAL(9,E257:E286)</f>
        <v>0</v>
      </c>
      <c r="F256" s="108">
        <f t="shared" si="68"/>
        <v>0</v>
      </c>
      <c r="G256" s="109"/>
      <c r="H256" s="110"/>
      <c r="I256" s="111">
        <f t="shared" si="68"/>
        <v>0</v>
      </c>
      <c r="J256" s="14">
        <f t="shared" si="68"/>
        <v>0</v>
      </c>
      <c r="K256" s="103"/>
      <c r="L256" s="105"/>
      <c r="M256" s="106"/>
      <c r="N256" s="107">
        <f t="shared" si="68"/>
        <v>0</v>
      </c>
      <c r="O256" s="108">
        <f t="shared" si="68"/>
        <v>0</v>
      </c>
      <c r="P256" s="109"/>
      <c r="Q256" s="110"/>
      <c r="R256" s="111">
        <f t="shared" si="68"/>
        <v>0</v>
      </c>
      <c r="S256" s="14">
        <f t="shared" si="68"/>
        <v>0</v>
      </c>
      <c r="T256" s="103"/>
      <c r="U256" s="105"/>
      <c r="V256" s="106"/>
      <c r="W256" s="107">
        <f t="shared" si="68"/>
        <v>0</v>
      </c>
      <c r="X256" s="108">
        <f t="shared" si="68"/>
        <v>0</v>
      </c>
      <c r="Y256" s="109"/>
      <c r="Z256" s="110"/>
      <c r="AA256" s="111">
        <f t="shared" si="68"/>
        <v>0</v>
      </c>
      <c r="AB256" s="14">
        <f t="shared" si="68"/>
        <v>0</v>
      </c>
      <c r="AC256" s="103"/>
      <c r="AD256" s="359"/>
      <c r="AE256" s="435"/>
    </row>
    <row r="257" spans="1:31" hidden="1" outlineLevel="1">
      <c r="A257" s="114">
        <v>43344</v>
      </c>
      <c r="B257" s="115">
        <f t="shared" si="65"/>
        <v>9</v>
      </c>
      <c r="C257" s="35"/>
      <c r="D257" s="36"/>
      <c r="E257" s="43"/>
      <c r="F257" s="44"/>
      <c r="G257" s="51"/>
      <c r="H257" s="52"/>
      <c r="I257" s="58"/>
      <c r="J257" s="17"/>
      <c r="K257" s="101"/>
      <c r="L257" s="35"/>
      <c r="M257" s="36"/>
      <c r="N257" s="43"/>
      <c r="O257" s="44"/>
      <c r="P257" s="51"/>
      <c r="Q257" s="52"/>
      <c r="R257" s="58"/>
      <c r="S257" s="17"/>
      <c r="T257" s="101"/>
      <c r="U257" s="35"/>
      <c r="V257" s="36"/>
      <c r="W257" s="43">
        <f t="shared" si="49"/>
        <v>0</v>
      </c>
      <c r="X257" s="44">
        <f t="shared" si="50"/>
        <v>0</v>
      </c>
      <c r="Y257" s="51"/>
      <c r="Z257" s="52"/>
      <c r="AA257" s="58">
        <f t="shared" si="51"/>
        <v>0</v>
      </c>
      <c r="AB257" s="17">
        <f t="shared" si="52"/>
        <v>0</v>
      </c>
      <c r="AC257" s="101"/>
      <c r="AD257" s="359">
        <f t="shared" si="66"/>
        <v>0</v>
      </c>
      <c r="AE257" s="435">
        <f t="shared" si="67"/>
        <v>0</v>
      </c>
    </row>
    <row r="258" spans="1:31" hidden="1" outlineLevel="1">
      <c r="A258" s="114">
        <v>43345</v>
      </c>
      <c r="B258" s="115">
        <f t="shared" si="65"/>
        <v>9</v>
      </c>
      <c r="C258" s="35"/>
      <c r="D258" s="36"/>
      <c r="E258" s="43"/>
      <c r="F258" s="44"/>
      <c r="G258" s="51"/>
      <c r="H258" s="52"/>
      <c r="I258" s="58"/>
      <c r="J258" s="17"/>
      <c r="K258" s="101"/>
      <c r="L258" s="35"/>
      <c r="M258" s="36"/>
      <c r="N258" s="43"/>
      <c r="O258" s="44"/>
      <c r="P258" s="51"/>
      <c r="Q258" s="52"/>
      <c r="R258" s="58"/>
      <c r="S258" s="17"/>
      <c r="T258" s="101"/>
      <c r="U258" s="35"/>
      <c r="V258" s="36"/>
      <c r="W258" s="43">
        <f t="shared" si="49"/>
        <v>0</v>
      </c>
      <c r="X258" s="44">
        <f t="shared" si="50"/>
        <v>0</v>
      </c>
      <c r="Y258" s="51"/>
      <c r="Z258" s="52"/>
      <c r="AA258" s="58">
        <f t="shared" si="51"/>
        <v>0</v>
      </c>
      <c r="AB258" s="17">
        <f t="shared" si="52"/>
        <v>0</v>
      </c>
      <c r="AC258" s="101"/>
      <c r="AD258" s="359">
        <f t="shared" si="66"/>
        <v>0</v>
      </c>
      <c r="AE258" s="435">
        <f t="shared" si="67"/>
        <v>0</v>
      </c>
    </row>
    <row r="259" spans="1:31" hidden="1" outlineLevel="1">
      <c r="A259" s="114">
        <v>43346</v>
      </c>
      <c r="B259" s="115">
        <f t="shared" si="65"/>
        <v>9</v>
      </c>
      <c r="C259" s="35"/>
      <c r="D259" s="36"/>
      <c r="E259" s="43"/>
      <c r="F259" s="44"/>
      <c r="G259" s="51"/>
      <c r="H259" s="52"/>
      <c r="I259" s="58"/>
      <c r="J259" s="17"/>
      <c r="K259" s="101"/>
      <c r="L259" s="35"/>
      <c r="M259" s="36"/>
      <c r="N259" s="43"/>
      <c r="O259" s="44"/>
      <c r="P259" s="51"/>
      <c r="Q259" s="52"/>
      <c r="R259" s="58"/>
      <c r="S259" s="17"/>
      <c r="T259" s="101"/>
      <c r="U259" s="35"/>
      <c r="V259" s="36"/>
      <c r="W259" s="43">
        <f t="shared" si="49"/>
        <v>0</v>
      </c>
      <c r="X259" s="44">
        <f t="shared" si="50"/>
        <v>0</v>
      </c>
      <c r="Y259" s="51"/>
      <c r="Z259" s="52"/>
      <c r="AA259" s="58">
        <f t="shared" si="51"/>
        <v>0</v>
      </c>
      <c r="AB259" s="17">
        <f t="shared" si="52"/>
        <v>0</v>
      </c>
      <c r="AC259" s="101"/>
      <c r="AD259" s="359">
        <f t="shared" si="66"/>
        <v>0</v>
      </c>
      <c r="AE259" s="435">
        <f t="shared" si="67"/>
        <v>0</v>
      </c>
    </row>
    <row r="260" spans="1:31" hidden="1" outlineLevel="1">
      <c r="A260" s="114">
        <v>43347</v>
      </c>
      <c r="B260" s="115">
        <f t="shared" si="65"/>
        <v>9</v>
      </c>
      <c r="C260" s="35"/>
      <c r="D260" s="36"/>
      <c r="E260" s="43"/>
      <c r="F260" s="44"/>
      <c r="G260" s="51"/>
      <c r="H260" s="52"/>
      <c r="I260" s="58"/>
      <c r="J260" s="17"/>
      <c r="K260" s="101"/>
      <c r="L260" s="35"/>
      <c r="M260" s="36"/>
      <c r="N260" s="43"/>
      <c r="O260" s="44"/>
      <c r="P260" s="51"/>
      <c r="Q260" s="52"/>
      <c r="R260" s="58"/>
      <c r="S260" s="17"/>
      <c r="T260" s="101"/>
      <c r="U260" s="35"/>
      <c r="V260" s="36"/>
      <c r="W260" s="43">
        <f t="shared" si="49"/>
        <v>0</v>
      </c>
      <c r="X260" s="44">
        <f t="shared" si="50"/>
        <v>0</v>
      </c>
      <c r="Y260" s="51"/>
      <c r="Z260" s="52"/>
      <c r="AA260" s="58">
        <f t="shared" si="51"/>
        <v>0</v>
      </c>
      <c r="AB260" s="17">
        <f t="shared" si="52"/>
        <v>0</v>
      </c>
      <c r="AC260" s="101"/>
      <c r="AD260" s="359">
        <f t="shared" si="66"/>
        <v>0</v>
      </c>
      <c r="AE260" s="435">
        <f t="shared" si="67"/>
        <v>0</v>
      </c>
    </row>
    <row r="261" spans="1:31" hidden="1" outlineLevel="1">
      <c r="A261" s="114">
        <v>43348</v>
      </c>
      <c r="B261" s="115">
        <f t="shared" si="65"/>
        <v>9</v>
      </c>
      <c r="C261" s="35"/>
      <c r="D261" s="36"/>
      <c r="E261" s="43"/>
      <c r="F261" s="44"/>
      <c r="G261" s="51"/>
      <c r="H261" s="52"/>
      <c r="I261" s="58"/>
      <c r="J261" s="17"/>
      <c r="K261" s="101"/>
      <c r="L261" s="35"/>
      <c r="M261" s="36"/>
      <c r="N261" s="43"/>
      <c r="O261" s="44"/>
      <c r="P261" s="51"/>
      <c r="Q261" s="52"/>
      <c r="R261" s="58"/>
      <c r="S261" s="17"/>
      <c r="T261" s="101"/>
      <c r="U261" s="35"/>
      <c r="V261" s="36"/>
      <c r="W261" s="43">
        <f t="shared" si="49"/>
        <v>0</v>
      </c>
      <c r="X261" s="44">
        <f t="shared" si="50"/>
        <v>0</v>
      </c>
      <c r="Y261" s="51"/>
      <c r="Z261" s="52"/>
      <c r="AA261" s="58">
        <f t="shared" si="51"/>
        <v>0</v>
      </c>
      <c r="AB261" s="17">
        <f t="shared" si="52"/>
        <v>0</v>
      </c>
      <c r="AC261" s="101"/>
      <c r="AD261" s="359">
        <f t="shared" si="66"/>
        <v>0</v>
      </c>
      <c r="AE261" s="435">
        <f t="shared" si="67"/>
        <v>0</v>
      </c>
    </row>
    <row r="262" spans="1:31" hidden="1" outlineLevel="1">
      <c r="A262" s="114">
        <v>43349</v>
      </c>
      <c r="B262" s="115">
        <f t="shared" si="65"/>
        <v>9</v>
      </c>
      <c r="C262" s="35"/>
      <c r="D262" s="36"/>
      <c r="E262" s="43"/>
      <c r="F262" s="44"/>
      <c r="G262" s="51"/>
      <c r="H262" s="52"/>
      <c r="I262" s="58"/>
      <c r="J262" s="17"/>
      <c r="K262" s="101"/>
      <c r="L262" s="35"/>
      <c r="M262" s="36"/>
      <c r="N262" s="43"/>
      <c r="O262" s="44"/>
      <c r="P262" s="51"/>
      <c r="Q262" s="52"/>
      <c r="R262" s="58"/>
      <c r="S262" s="17"/>
      <c r="T262" s="101"/>
      <c r="U262" s="35"/>
      <c r="V262" s="36"/>
      <c r="W262" s="43">
        <f t="shared" si="49"/>
        <v>0</v>
      </c>
      <c r="X262" s="44">
        <f t="shared" si="50"/>
        <v>0</v>
      </c>
      <c r="Y262" s="51"/>
      <c r="Z262" s="52"/>
      <c r="AA262" s="58">
        <f t="shared" si="51"/>
        <v>0</v>
      </c>
      <c r="AB262" s="17">
        <f t="shared" si="52"/>
        <v>0</v>
      </c>
      <c r="AC262" s="101"/>
      <c r="AD262" s="359">
        <f t="shared" si="66"/>
        <v>0</v>
      </c>
      <c r="AE262" s="435">
        <f t="shared" si="67"/>
        <v>0</v>
      </c>
    </row>
    <row r="263" spans="1:31" hidden="1" outlineLevel="1">
      <c r="A263" s="114">
        <v>43350</v>
      </c>
      <c r="B263" s="115">
        <f t="shared" si="65"/>
        <v>9</v>
      </c>
      <c r="C263" s="35"/>
      <c r="D263" s="36"/>
      <c r="E263" s="43"/>
      <c r="F263" s="44"/>
      <c r="G263" s="51"/>
      <c r="H263" s="52"/>
      <c r="I263" s="58"/>
      <c r="J263" s="17"/>
      <c r="K263" s="101"/>
      <c r="L263" s="35"/>
      <c r="M263" s="36"/>
      <c r="N263" s="43"/>
      <c r="O263" s="44"/>
      <c r="P263" s="51"/>
      <c r="Q263" s="52"/>
      <c r="R263" s="58"/>
      <c r="S263" s="17"/>
      <c r="T263" s="101"/>
      <c r="U263" s="35"/>
      <c r="V263" s="36"/>
      <c r="W263" s="43">
        <f t="shared" si="49"/>
        <v>0</v>
      </c>
      <c r="X263" s="44">
        <f t="shared" si="50"/>
        <v>0</v>
      </c>
      <c r="Y263" s="51"/>
      <c r="Z263" s="52"/>
      <c r="AA263" s="58">
        <f t="shared" si="51"/>
        <v>0</v>
      </c>
      <c r="AB263" s="17">
        <f t="shared" si="52"/>
        <v>0</v>
      </c>
      <c r="AC263" s="101"/>
      <c r="AD263" s="359">
        <f t="shared" si="66"/>
        <v>0</v>
      </c>
      <c r="AE263" s="435">
        <f t="shared" si="67"/>
        <v>0</v>
      </c>
    </row>
    <row r="264" spans="1:31" hidden="1" outlineLevel="1">
      <c r="A264" s="114">
        <v>43351</v>
      </c>
      <c r="B264" s="115">
        <f t="shared" si="65"/>
        <v>9</v>
      </c>
      <c r="C264" s="35"/>
      <c r="D264" s="36"/>
      <c r="E264" s="43"/>
      <c r="F264" s="44"/>
      <c r="G264" s="51"/>
      <c r="H264" s="52"/>
      <c r="I264" s="58"/>
      <c r="J264" s="17"/>
      <c r="K264" s="101"/>
      <c r="L264" s="35"/>
      <c r="M264" s="36"/>
      <c r="N264" s="43"/>
      <c r="O264" s="44"/>
      <c r="P264" s="51"/>
      <c r="Q264" s="52"/>
      <c r="R264" s="58"/>
      <c r="S264" s="17"/>
      <c r="T264" s="101"/>
      <c r="U264" s="35"/>
      <c r="V264" s="36"/>
      <c r="W264" s="43">
        <f t="shared" si="49"/>
        <v>0</v>
      </c>
      <c r="X264" s="44">
        <f t="shared" si="50"/>
        <v>0</v>
      </c>
      <c r="Y264" s="51"/>
      <c r="Z264" s="52"/>
      <c r="AA264" s="58">
        <f t="shared" si="51"/>
        <v>0</v>
      </c>
      <c r="AB264" s="17">
        <f t="shared" si="52"/>
        <v>0</v>
      </c>
      <c r="AC264" s="101"/>
      <c r="AD264" s="359">
        <f t="shared" si="66"/>
        <v>0</v>
      </c>
      <c r="AE264" s="435">
        <f t="shared" si="67"/>
        <v>0</v>
      </c>
    </row>
    <row r="265" spans="1:31" hidden="1" outlineLevel="1">
      <c r="A265" s="114">
        <v>43352</v>
      </c>
      <c r="B265" s="115">
        <f t="shared" si="65"/>
        <v>9</v>
      </c>
      <c r="C265" s="35"/>
      <c r="D265" s="36"/>
      <c r="E265" s="43"/>
      <c r="F265" s="44"/>
      <c r="G265" s="51"/>
      <c r="H265" s="52"/>
      <c r="I265" s="58"/>
      <c r="J265" s="17"/>
      <c r="K265" s="101"/>
      <c r="L265" s="35"/>
      <c r="M265" s="36"/>
      <c r="N265" s="43"/>
      <c r="O265" s="44"/>
      <c r="P265" s="51"/>
      <c r="Q265" s="52"/>
      <c r="R265" s="58"/>
      <c r="S265" s="17"/>
      <c r="T265" s="101"/>
      <c r="U265" s="35"/>
      <c r="V265" s="36"/>
      <c r="W265" s="43">
        <f t="shared" si="49"/>
        <v>0</v>
      </c>
      <c r="X265" s="44">
        <f t="shared" si="50"/>
        <v>0</v>
      </c>
      <c r="Y265" s="51"/>
      <c r="Z265" s="52"/>
      <c r="AA265" s="58">
        <f t="shared" si="51"/>
        <v>0</v>
      </c>
      <c r="AB265" s="17">
        <f t="shared" si="52"/>
        <v>0</v>
      </c>
      <c r="AC265" s="101"/>
      <c r="AD265" s="359">
        <f t="shared" si="66"/>
        <v>0</v>
      </c>
      <c r="AE265" s="435">
        <f t="shared" si="67"/>
        <v>0</v>
      </c>
    </row>
    <row r="266" spans="1:31" hidden="1" outlineLevel="1">
      <c r="A266" s="114">
        <v>43353</v>
      </c>
      <c r="B266" s="115">
        <f t="shared" si="65"/>
        <v>9</v>
      </c>
      <c r="C266" s="35"/>
      <c r="D266" s="36"/>
      <c r="E266" s="43"/>
      <c r="F266" s="44"/>
      <c r="G266" s="51"/>
      <c r="H266" s="52"/>
      <c r="I266" s="58"/>
      <c r="J266" s="17"/>
      <c r="K266" s="101"/>
      <c r="L266" s="35"/>
      <c r="M266" s="36"/>
      <c r="N266" s="43"/>
      <c r="O266" s="44"/>
      <c r="P266" s="51"/>
      <c r="Q266" s="52"/>
      <c r="R266" s="58"/>
      <c r="S266" s="17"/>
      <c r="T266" s="101"/>
      <c r="U266" s="35"/>
      <c r="V266" s="36"/>
      <c r="W266" s="43">
        <f t="shared" si="49"/>
        <v>0</v>
      </c>
      <c r="X266" s="44">
        <f t="shared" si="50"/>
        <v>0</v>
      </c>
      <c r="Y266" s="51"/>
      <c r="Z266" s="52"/>
      <c r="AA266" s="58">
        <f t="shared" si="51"/>
        <v>0</v>
      </c>
      <c r="AB266" s="17">
        <f t="shared" si="52"/>
        <v>0</v>
      </c>
      <c r="AC266" s="101"/>
      <c r="AD266" s="359">
        <f t="shared" si="66"/>
        <v>0</v>
      </c>
      <c r="AE266" s="435">
        <f t="shared" si="67"/>
        <v>0</v>
      </c>
    </row>
    <row r="267" spans="1:31" hidden="1" outlineLevel="1">
      <c r="A267" s="114">
        <v>43354</v>
      </c>
      <c r="B267" s="115">
        <f t="shared" si="65"/>
        <v>9</v>
      </c>
      <c r="C267" s="35"/>
      <c r="D267" s="36"/>
      <c r="E267" s="43"/>
      <c r="F267" s="44"/>
      <c r="G267" s="51"/>
      <c r="H267" s="52"/>
      <c r="I267" s="58"/>
      <c r="J267" s="17"/>
      <c r="K267" s="101"/>
      <c r="L267" s="35"/>
      <c r="M267" s="36"/>
      <c r="N267" s="43"/>
      <c r="O267" s="44"/>
      <c r="P267" s="51"/>
      <c r="Q267" s="52"/>
      <c r="R267" s="58"/>
      <c r="S267" s="17"/>
      <c r="T267" s="101"/>
      <c r="U267" s="35"/>
      <c r="V267" s="36"/>
      <c r="W267" s="43">
        <f t="shared" si="49"/>
        <v>0</v>
      </c>
      <c r="X267" s="44">
        <f t="shared" si="50"/>
        <v>0</v>
      </c>
      <c r="Y267" s="51"/>
      <c r="Z267" s="52"/>
      <c r="AA267" s="58">
        <f t="shared" si="51"/>
        <v>0</v>
      </c>
      <c r="AB267" s="17">
        <f t="shared" si="52"/>
        <v>0</v>
      </c>
      <c r="AC267" s="101"/>
      <c r="AD267" s="359">
        <f t="shared" si="66"/>
        <v>0</v>
      </c>
      <c r="AE267" s="435">
        <f t="shared" si="67"/>
        <v>0</v>
      </c>
    </row>
    <row r="268" spans="1:31" hidden="1" outlineLevel="1">
      <c r="A268" s="114">
        <v>43355</v>
      </c>
      <c r="B268" s="115">
        <f t="shared" si="65"/>
        <v>9</v>
      </c>
      <c r="C268" s="35"/>
      <c r="D268" s="36"/>
      <c r="E268" s="43"/>
      <c r="F268" s="44"/>
      <c r="G268" s="51"/>
      <c r="H268" s="52"/>
      <c r="I268" s="58"/>
      <c r="J268" s="17"/>
      <c r="K268" s="101"/>
      <c r="L268" s="35"/>
      <c r="M268" s="36"/>
      <c r="N268" s="43"/>
      <c r="O268" s="44"/>
      <c r="P268" s="51"/>
      <c r="Q268" s="52"/>
      <c r="R268" s="58"/>
      <c r="S268" s="17"/>
      <c r="T268" s="101"/>
      <c r="U268" s="35"/>
      <c r="V268" s="36"/>
      <c r="W268" s="43">
        <f t="shared" si="49"/>
        <v>0</v>
      </c>
      <c r="X268" s="44">
        <f t="shared" si="50"/>
        <v>0</v>
      </c>
      <c r="Y268" s="51"/>
      <c r="Z268" s="52"/>
      <c r="AA268" s="58">
        <f t="shared" si="51"/>
        <v>0</v>
      </c>
      <c r="AB268" s="17">
        <f t="shared" si="52"/>
        <v>0</v>
      </c>
      <c r="AC268" s="101"/>
      <c r="AD268" s="359">
        <f t="shared" si="66"/>
        <v>0</v>
      </c>
      <c r="AE268" s="435">
        <f t="shared" si="67"/>
        <v>0</v>
      </c>
    </row>
    <row r="269" spans="1:31" hidden="1" outlineLevel="1">
      <c r="A269" s="114">
        <v>43356</v>
      </c>
      <c r="B269" s="115">
        <f t="shared" si="65"/>
        <v>9</v>
      </c>
      <c r="C269" s="35"/>
      <c r="D269" s="36"/>
      <c r="E269" s="43"/>
      <c r="F269" s="44"/>
      <c r="G269" s="51"/>
      <c r="H269" s="52"/>
      <c r="I269" s="58"/>
      <c r="J269" s="17"/>
      <c r="K269" s="101"/>
      <c r="L269" s="35"/>
      <c r="M269" s="36"/>
      <c r="N269" s="43"/>
      <c r="O269" s="44"/>
      <c r="P269" s="51"/>
      <c r="Q269" s="52"/>
      <c r="R269" s="58"/>
      <c r="S269" s="17"/>
      <c r="T269" s="101"/>
      <c r="U269" s="35"/>
      <c r="V269" s="36"/>
      <c r="W269" s="43">
        <f t="shared" si="49"/>
        <v>0</v>
      </c>
      <c r="X269" s="44">
        <f t="shared" si="50"/>
        <v>0</v>
      </c>
      <c r="Y269" s="51"/>
      <c r="Z269" s="52"/>
      <c r="AA269" s="58">
        <f t="shared" si="51"/>
        <v>0</v>
      </c>
      <c r="AB269" s="17">
        <f t="shared" si="52"/>
        <v>0</v>
      </c>
      <c r="AC269" s="101"/>
      <c r="AD269" s="359">
        <f t="shared" si="66"/>
        <v>0</v>
      </c>
      <c r="AE269" s="435">
        <f t="shared" si="67"/>
        <v>0</v>
      </c>
    </row>
    <row r="270" spans="1:31" hidden="1" outlineLevel="1">
      <c r="A270" s="114">
        <v>43357</v>
      </c>
      <c r="B270" s="115">
        <f t="shared" si="65"/>
        <v>9</v>
      </c>
      <c r="C270" s="35"/>
      <c r="D270" s="36"/>
      <c r="E270" s="43"/>
      <c r="F270" s="44"/>
      <c r="G270" s="51"/>
      <c r="H270" s="52"/>
      <c r="I270" s="58"/>
      <c r="J270" s="17"/>
      <c r="K270" s="101"/>
      <c r="L270" s="35"/>
      <c r="M270" s="36"/>
      <c r="N270" s="43"/>
      <c r="O270" s="44"/>
      <c r="P270" s="51"/>
      <c r="Q270" s="52"/>
      <c r="R270" s="58"/>
      <c r="S270" s="17"/>
      <c r="T270" s="101"/>
      <c r="U270" s="35"/>
      <c r="V270" s="36"/>
      <c r="W270" s="43">
        <f t="shared" si="49"/>
        <v>0</v>
      </c>
      <c r="X270" s="44">
        <f t="shared" si="50"/>
        <v>0</v>
      </c>
      <c r="Y270" s="51"/>
      <c r="Z270" s="52"/>
      <c r="AA270" s="58">
        <f t="shared" si="51"/>
        <v>0</v>
      </c>
      <c r="AB270" s="17">
        <f t="shared" si="52"/>
        <v>0</v>
      </c>
      <c r="AC270" s="101"/>
      <c r="AD270" s="359">
        <f t="shared" si="66"/>
        <v>0</v>
      </c>
      <c r="AE270" s="435">
        <f t="shared" si="67"/>
        <v>0</v>
      </c>
    </row>
    <row r="271" spans="1:31" hidden="1" outlineLevel="1">
      <c r="A271" s="114">
        <v>43358</v>
      </c>
      <c r="B271" s="115">
        <f t="shared" si="65"/>
        <v>9</v>
      </c>
      <c r="C271" s="35"/>
      <c r="D271" s="36"/>
      <c r="E271" s="43"/>
      <c r="F271" s="44"/>
      <c r="G271" s="51"/>
      <c r="H271" s="52"/>
      <c r="I271" s="58"/>
      <c r="J271" s="17"/>
      <c r="K271" s="101"/>
      <c r="L271" s="35"/>
      <c r="M271" s="36"/>
      <c r="N271" s="43"/>
      <c r="O271" s="44"/>
      <c r="P271" s="51"/>
      <c r="Q271" s="52"/>
      <c r="R271" s="58"/>
      <c r="S271" s="17"/>
      <c r="T271" s="101"/>
      <c r="U271" s="35"/>
      <c r="V271" s="36"/>
      <c r="W271" s="43">
        <f t="shared" ref="W271:W336" si="69">E271-N271</f>
        <v>0</v>
      </c>
      <c r="X271" s="44">
        <f t="shared" ref="X271:X336" si="70">F271-O271</f>
        <v>0</v>
      </c>
      <c r="Y271" s="51"/>
      <c r="Z271" s="52"/>
      <c r="AA271" s="58">
        <f t="shared" ref="AA271:AA336" si="71">I271-R271</f>
        <v>0</v>
      </c>
      <c r="AB271" s="17">
        <f t="shared" ref="AB271:AB336" si="72">J271-S271</f>
        <v>0</v>
      </c>
      <c r="AC271" s="101"/>
      <c r="AD271" s="359">
        <f t="shared" si="66"/>
        <v>0</v>
      </c>
      <c r="AE271" s="435">
        <f t="shared" si="67"/>
        <v>0</v>
      </c>
    </row>
    <row r="272" spans="1:31" hidden="1" outlineLevel="1">
      <c r="A272" s="114">
        <v>43359</v>
      </c>
      <c r="B272" s="115">
        <f t="shared" si="65"/>
        <v>9</v>
      </c>
      <c r="C272" s="35"/>
      <c r="D272" s="36"/>
      <c r="E272" s="43"/>
      <c r="F272" s="44"/>
      <c r="G272" s="51"/>
      <c r="H272" s="52"/>
      <c r="I272" s="58"/>
      <c r="J272" s="17"/>
      <c r="K272" s="101"/>
      <c r="L272" s="35"/>
      <c r="M272" s="36"/>
      <c r="N272" s="43"/>
      <c r="O272" s="44"/>
      <c r="P272" s="51"/>
      <c r="Q272" s="52"/>
      <c r="R272" s="58"/>
      <c r="S272" s="17"/>
      <c r="T272" s="101"/>
      <c r="U272" s="35"/>
      <c r="V272" s="36"/>
      <c r="W272" s="43">
        <f t="shared" si="69"/>
        <v>0</v>
      </c>
      <c r="X272" s="44">
        <f t="shared" si="70"/>
        <v>0</v>
      </c>
      <c r="Y272" s="51"/>
      <c r="Z272" s="52"/>
      <c r="AA272" s="58">
        <f t="shared" si="71"/>
        <v>0</v>
      </c>
      <c r="AB272" s="17">
        <f t="shared" si="72"/>
        <v>0</v>
      </c>
      <c r="AC272" s="101"/>
      <c r="AD272" s="359">
        <f t="shared" si="66"/>
        <v>0</v>
      </c>
      <c r="AE272" s="435">
        <f t="shared" si="67"/>
        <v>0</v>
      </c>
    </row>
    <row r="273" spans="1:31" hidden="1" outlineLevel="1">
      <c r="A273" s="114">
        <v>43360</v>
      </c>
      <c r="B273" s="115">
        <f t="shared" si="65"/>
        <v>9</v>
      </c>
      <c r="C273" s="35"/>
      <c r="D273" s="36"/>
      <c r="E273" s="43"/>
      <c r="F273" s="44"/>
      <c r="G273" s="51"/>
      <c r="H273" s="52"/>
      <c r="I273" s="58"/>
      <c r="J273" s="17"/>
      <c r="K273" s="101"/>
      <c r="L273" s="35"/>
      <c r="M273" s="36"/>
      <c r="N273" s="43"/>
      <c r="O273" s="44"/>
      <c r="P273" s="51"/>
      <c r="Q273" s="52"/>
      <c r="R273" s="58"/>
      <c r="S273" s="17"/>
      <c r="T273" s="101"/>
      <c r="U273" s="35"/>
      <c r="V273" s="36"/>
      <c r="W273" s="43">
        <f t="shared" si="69"/>
        <v>0</v>
      </c>
      <c r="X273" s="44">
        <f t="shared" si="70"/>
        <v>0</v>
      </c>
      <c r="Y273" s="51"/>
      <c r="Z273" s="52"/>
      <c r="AA273" s="58">
        <f t="shared" si="71"/>
        <v>0</v>
      </c>
      <c r="AB273" s="17">
        <f t="shared" si="72"/>
        <v>0</v>
      </c>
      <c r="AC273" s="101"/>
      <c r="AD273" s="359">
        <f t="shared" si="66"/>
        <v>0</v>
      </c>
      <c r="AE273" s="435">
        <f t="shared" si="67"/>
        <v>0</v>
      </c>
    </row>
    <row r="274" spans="1:31" hidden="1" outlineLevel="1">
      <c r="A274" s="114">
        <v>43361</v>
      </c>
      <c r="B274" s="115">
        <f t="shared" si="65"/>
        <v>9</v>
      </c>
      <c r="C274" s="35"/>
      <c r="D274" s="36"/>
      <c r="E274" s="43"/>
      <c r="F274" s="44"/>
      <c r="G274" s="51"/>
      <c r="H274" s="52"/>
      <c r="I274" s="58"/>
      <c r="J274" s="17"/>
      <c r="K274" s="101"/>
      <c r="L274" s="35"/>
      <c r="M274" s="36"/>
      <c r="N274" s="43"/>
      <c r="O274" s="44"/>
      <c r="P274" s="51"/>
      <c r="Q274" s="52"/>
      <c r="R274" s="58"/>
      <c r="S274" s="17"/>
      <c r="T274" s="101"/>
      <c r="U274" s="35"/>
      <c r="V274" s="36"/>
      <c r="W274" s="43">
        <f t="shared" si="69"/>
        <v>0</v>
      </c>
      <c r="X274" s="44">
        <f t="shared" si="70"/>
        <v>0</v>
      </c>
      <c r="Y274" s="51"/>
      <c r="Z274" s="52"/>
      <c r="AA274" s="58">
        <f t="shared" si="71"/>
        <v>0</v>
      </c>
      <c r="AB274" s="17">
        <f t="shared" si="72"/>
        <v>0</v>
      </c>
      <c r="AC274" s="101"/>
      <c r="AD274" s="359">
        <f t="shared" si="66"/>
        <v>0</v>
      </c>
      <c r="AE274" s="435">
        <f t="shared" si="67"/>
        <v>0</v>
      </c>
    </row>
    <row r="275" spans="1:31" hidden="1" outlineLevel="1">
      <c r="A275" s="114">
        <v>43362</v>
      </c>
      <c r="B275" s="115">
        <f t="shared" si="65"/>
        <v>9</v>
      </c>
      <c r="C275" s="35"/>
      <c r="D275" s="36"/>
      <c r="E275" s="43"/>
      <c r="F275" s="44"/>
      <c r="G275" s="51"/>
      <c r="H275" s="52"/>
      <c r="I275" s="58"/>
      <c r="J275" s="17"/>
      <c r="K275" s="101"/>
      <c r="L275" s="35"/>
      <c r="M275" s="36"/>
      <c r="N275" s="43"/>
      <c r="O275" s="44"/>
      <c r="P275" s="51"/>
      <c r="Q275" s="52"/>
      <c r="R275" s="58"/>
      <c r="S275" s="17"/>
      <c r="T275" s="101"/>
      <c r="U275" s="35"/>
      <c r="V275" s="36"/>
      <c r="W275" s="43">
        <f t="shared" si="69"/>
        <v>0</v>
      </c>
      <c r="X275" s="44">
        <f t="shared" si="70"/>
        <v>0</v>
      </c>
      <c r="Y275" s="51"/>
      <c r="Z275" s="52"/>
      <c r="AA275" s="58">
        <f t="shared" si="71"/>
        <v>0</v>
      </c>
      <c r="AB275" s="17">
        <f t="shared" si="72"/>
        <v>0</v>
      </c>
      <c r="AC275" s="101"/>
      <c r="AD275" s="359">
        <f t="shared" si="66"/>
        <v>0</v>
      </c>
      <c r="AE275" s="435">
        <f t="shared" si="67"/>
        <v>0</v>
      </c>
    </row>
    <row r="276" spans="1:31" hidden="1" outlineLevel="1">
      <c r="A276" s="114">
        <v>43363</v>
      </c>
      <c r="B276" s="115">
        <f t="shared" si="65"/>
        <v>9</v>
      </c>
      <c r="C276" s="35"/>
      <c r="D276" s="36"/>
      <c r="E276" s="43"/>
      <c r="F276" s="44"/>
      <c r="G276" s="51"/>
      <c r="H276" s="52"/>
      <c r="I276" s="58"/>
      <c r="J276" s="17"/>
      <c r="K276" s="101"/>
      <c r="L276" s="35"/>
      <c r="M276" s="36"/>
      <c r="N276" s="43"/>
      <c r="O276" s="44"/>
      <c r="P276" s="51"/>
      <c r="Q276" s="52"/>
      <c r="R276" s="58"/>
      <c r="S276" s="17"/>
      <c r="T276" s="101"/>
      <c r="U276" s="35"/>
      <c r="V276" s="36"/>
      <c r="W276" s="43">
        <f t="shared" si="69"/>
        <v>0</v>
      </c>
      <c r="X276" s="44">
        <f t="shared" si="70"/>
        <v>0</v>
      </c>
      <c r="Y276" s="51"/>
      <c r="Z276" s="52"/>
      <c r="AA276" s="58">
        <f t="shared" si="71"/>
        <v>0</v>
      </c>
      <c r="AB276" s="17">
        <f t="shared" si="72"/>
        <v>0</v>
      </c>
      <c r="AC276" s="101"/>
      <c r="AD276" s="359">
        <f t="shared" si="66"/>
        <v>0</v>
      </c>
      <c r="AE276" s="435">
        <f t="shared" si="67"/>
        <v>0</v>
      </c>
    </row>
    <row r="277" spans="1:31" hidden="1" outlineLevel="1">
      <c r="A277" s="114">
        <v>43364</v>
      </c>
      <c r="B277" s="115">
        <f t="shared" si="65"/>
        <v>9</v>
      </c>
      <c r="C277" s="35"/>
      <c r="D277" s="36"/>
      <c r="E277" s="43"/>
      <c r="F277" s="44"/>
      <c r="G277" s="51"/>
      <c r="H277" s="52"/>
      <c r="I277" s="58"/>
      <c r="J277" s="17"/>
      <c r="K277" s="101"/>
      <c r="L277" s="35"/>
      <c r="M277" s="36"/>
      <c r="N277" s="43"/>
      <c r="O277" s="44"/>
      <c r="P277" s="51"/>
      <c r="Q277" s="52"/>
      <c r="R277" s="58"/>
      <c r="S277" s="17"/>
      <c r="T277" s="101"/>
      <c r="U277" s="35"/>
      <c r="V277" s="36"/>
      <c r="W277" s="43">
        <f t="shared" si="69"/>
        <v>0</v>
      </c>
      <c r="X277" s="44">
        <f t="shared" si="70"/>
        <v>0</v>
      </c>
      <c r="Y277" s="51"/>
      <c r="Z277" s="52"/>
      <c r="AA277" s="58">
        <f t="shared" si="71"/>
        <v>0</v>
      </c>
      <c r="AB277" s="17">
        <f t="shared" si="72"/>
        <v>0</v>
      </c>
      <c r="AC277" s="101"/>
      <c r="AD277" s="359">
        <f t="shared" si="66"/>
        <v>0</v>
      </c>
      <c r="AE277" s="435">
        <f t="shared" si="67"/>
        <v>0</v>
      </c>
    </row>
    <row r="278" spans="1:31" hidden="1" outlineLevel="1">
      <c r="A278" s="114">
        <v>43365</v>
      </c>
      <c r="B278" s="115">
        <f t="shared" si="65"/>
        <v>9</v>
      </c>
      <c r="C278" s="35"/>
      <c r="D278" s="36"/>
      <c r="E278" s="43"/>
      <c r="F278" s="44"/>
      <c r="G278" s="51"/>
      <c r="H278" s="52"/>
      <c r="I278" s="58"/>
      <c r="J278" s="17"/>
      <c r="K278" s="101"/>
      <c r="L278" s="35"/>
      <c r="M278" s="36"/>
      <c r="N278" s="43"/>
      <c r="O278" s="44"/>
      <c r="P278" s="51"/>
      <c r="Q278" s="52"/>
      <c r="R278" s="58"/>
      <c r="S278" s="17"/>
      <c r="T278" s="101"/>
      <c r="U278" s="35"/>
      <c r="V278" s="36"/>
      <c r="W278" s="43">
        <f t="shared" si="69"/>
        <v>0</v>
      </c>
      <c r="X278" s="44">
        <f t="shared" si="70"/>
        <v>0</v>
      </c>
      <c r="Y278" s="51"/>
      <c r="Z278" s="52"/>
      <c r="AA278" s="58">
        <f t="shared" si="71"/>
        <v>0</v>
      </c>
      <c r="AB278" s="17">
        <f t="shared" si="72"/>
        <v>0</v>
      </c>
      <c r="AC278" s="101"/>
      <c r="AD278" s="359">
        <f t="shared" si="66"/>
        <v>0</v>
      </c>
      <c r="AE278" s="435">
        <f t="shared" si="67"/>
        <v>0</v>
      </c>
    </row>
    <row r="279" spans="1:31" hidden="1" outlineLevel="1">
      <c r="A279" s="114">
        <v>43366</v>
      </c>
      <c r="B279" s="115">
        <f t="shared" si="65"/>
        <v>9</v>
      </c>
      <c r="C279" s="35"/>
      <c r="D279" s="36"/>
      <c r="E279" s="43"/>
      <c r="F279" s="44"/>
      <c r="G279" s="51"/>
      <c r="H279" s="52"/>
      <c r="I279" s="58"/>
      <c r="J279" s="17"/>
      <c r="K279" s="101"/>
      <c r="L279" s="35"/>
      <c r="M279" s="36"/>
      <c r="N279" s="43"/>
      <c r="O279" s="44"/>
      <c r="P279" s="51"/>
      <c r="Q279" s="52"/>
      <c r="R279" s="58"/>
      <c r="S279" s="17"/>
      <c r="T279" s="101"/>
      <c r="U279" s="35"/>
      <c r="V279" s="36"/>
      <c r="W279" s="43">
        <f t="shared" si="69"/>
        <v>0</v>
      </c>
      <c r="X279" s="44">
        <f t="shared" si="70"/>
        <v>0</v>
      </c>
      <c r="Y279" s="51"/>
      <c r="Z279" s="52"/>
      <c r="AA279" s="58">
        <f t="shared" si="71"/>
        <v>0</v>
      </c>
      <c r="AB279" s="17">
        <f t="shared" si="72"/>
        <v>0</v>
      </c>
      <c r="AC279" s="101"/>
      <c r="AD279" s="359">
        <f t="shared" si="66"/>
        <v>0</v>
      </c>
      <c r="AE279" s="435">
        <f t="shared" si="67"/>
        <v>0</v>
      </c>
    </row>
    <row r="280" spans="1:31" hidden="1" outlineLevel="1">
      <c r="A280" s="114">
        <v>43367</v>
      </c>
      <c r="B280" s="115">
        <f t="shared" si="65"/>
        <v>9</v>
      </c>
      <c r="C280" s="35"/>
      <c r="D280" s="36"/>
      <c r="E280" s="43"/>
      <c r="F280" s="44"/>
      <c r="G280" s="51"/>
      <c r="H280" s="52"/>
      <c r="I280" s="58"/>
      <c r="J280" s="17"/>
      <c r="K280" s="101"/>
      <c r="L280" s="35"/>
      <c r="M280" s="36"/>
      <c r="N280" s="43"/>
      <c r="O280" s="44"/>
      <c r="P280" s="51"/>
      <c r="Q280" s="52"/>
      <c r="R280" s="58"/>
      <c r="S280" s="17"/>
      <c r="T280" s="101"/>
      <c r="U280" s="35"/>
      <c r="V280" s="36"/>
      <c r="W280" s="43">
        <f t="shared" si="69"/>
        <v>0</v>
      </c>
      <c r="X280" s="44">
        <f t="shared" si="70"/>
        <v>0</v>
      </c>
      <c r="Y280" s="51"/>
      <c r="Z280" s="52"/>
      <c r="AA280" s="58">
        <f t="shared" si="71"/>
        <v>0</v>
      </c>
      <c r="AB280" s="17">
        <f t="shared" si="72"/>
        <v>0</v>
      </c>
      <c r="AC280" s="101"/>
      <c r="AD280" s="359">
        <f t="shared" si="66"/>
        <v>0</v>
      </c>
      <c r="AE280" s="435">
        <f t="shared" si="67"/>
        <v>0</v>
      </c>
    </row>
    <row r="281" spans="1:31" hidden="1" outlineLevel="1">
      <c r="A281" s="114">
        <v>43368</v>
      </c>
      <c r="B281" s="115">
        <f t="shared" si="65"/>
        <v>9</v>
      </c>
      <c r="C281" s="35"/>
      <c r="D281" s="36"/>
      <c r="E281" s="43"/>
      <c r="F281" s="44"/>
      <c r="G281" s="51"/>
      <c r="H281" s="52"/>
      <c r="I281" s="58"/>
      <c r="J281" s="17"/>
      <c r="K281" s="101"/>
      <c r="L281" s="35"/>
      <c r="M281" s="36"/>
      <c r="N281" s="43"/>
      <c r="O281" s="44"/>
      <c r="P281" s="51"/>
      <c r="Q281" s="52"/>
      <c r="R281" s="58"/>
      <c r="S281" s="17"/>
      <c r="T281" s="101"/>
      <c r="U281" s="35"/>
      <c r="V281" s="36"/>
      <c r="W281" s="43">
        <f t="shared" si="69"/>
        <v>0</v>
      </c>
      <c r="X281" s="44">
        <f t="shared" si="70"/>
        <v>0</v>
      </c>
      <c r="Y281" s="51"/>
      <c r="Z281" s="52"/>
      <c r="AA281" s="58">
        <f t="shared" si="71"/>
        <v>0</v>
      </c>
      <c r="AB281" s="17">
        <f t="shared" si="72"/>
        <v>0</v>
      </c>
      <c r="AC281" s="101"/>
      <c r="AD281" s="359">
        <f t="shared" si="66"/>
        <v>0</v>
      </c>
      <c r="AE281" s="435">
        <f t="shared" si="67"/>
        <v>0</v>
      </c>
    </row>
    <row r="282" spans="1:31" hidden="1" outlineLevel="1">
      <c r="A282" s="114">
        <v>43369</v>
      </c>
      <c r="B282" s="115">
        <f t="shared" si="65"/>
        <v>9</v>
      </c>
      <c r="C282" s="35"/>
      <c r="D282" s="36"/>
      <c r="E282" s="43"/>
      <c r="F282" s="44"/>
      <c r="G282" s="51"/>
      <c r="H282" s="52"/>
      <c r="I282" s="58"/>
      <c r="J282" s="17"/>
      <c r="K282" s="101"/>
      <c r="L282" s="35"/>
      <c r="M282" s="36"/>
      <c r="N282" s="43"/>
      <c r="O282" s="44"/>
      <c r="P282" s="51"/>
      <c r="Q282" s="52"/>
      <c r="R282" s="58"/>
      <c r="S282" s="17"/>
      <c r="T282" s="101"/>
      <c r="U282" s="35"/>
      <c r="V282" s="36"/>
      <c r="W282" s="43">
        <f t="shared" si="69"/>
        <v>0</v>
      </c>
      <c r="X282" s="44">
        <f t="shared" si="70"/>
        <v>0</v>
      </c>
      <c r="Y282" s="51"/>
      <c r="Z282" s="52"/>
      <c r="AA282" s="58">
        <f t="shared" si="71"/>
        <v>0</v>
      </c>
      <c r="AB282" s="17">
        <f t="shared" si="72"/>
        <v>0</v>
      </c>
      <c r="AC282" s="101"/>
      <c r="AD282" s="359">
        <f t="shared" si="66"/>
        <v>0</v>
      </c>
      <c r="AE282" s="435">
        <f t="shared" si="67"/>
        <v>0</v>
      </c>
    </row>
    <row r="283" spans="1:31" hidden="1" outlineLevel="1">
      <c r="A283" s="114">
        <v>43370</v>
      </c>
      <c r="B283" s="115">
        <f t="shared" si="65"/>
        <v>9</v>
      </c>
      <c r="C283" s="35"/>
      <c r="D283" s="36"/>
      <c r="E283" s="43"/>
      <c r="F283" s="44"/>
      <c r="G283" s="51"/>
      <c r="H283" s="52"/>
      <c r="I283" s="58"/>
      <c r="J283" s="17"/>
      <c r="K283" s="101"/>
      <c r="L283" s="35"/>
      <c r="M283" s="36"/>
      <c r="N283" s="43"/>
      <c r="O283" s="44"/>
      <c r="P283" s="51"/>
      <c r="Q283" s="52"/>
      <c r="R283" s="58"/>
      <c r="S283" s="17"/>
      <c r="T283" s="101"/>
      <c r="U283" s="35"/>
      <c r="V283" s="36"/>
      <c r="W283" s="43">
        <f t="shared" si="69"/>
        <v>0</v>
      </c>
      <c r="X283" s="44">
        <f t="shared" si="70"/>
        <v>0</v>
      </c>
      <c r="Y283" s="51"/>
      <c r="Z283" s="52"/>
      <c r="AA283" s="58">
        <f t="shared" si="71"/>
        <v>0</v>
      </c>
      <c r="AB283" s="17">
        <f t="shared" si="72"/>
        <v>0</v>
      </c>
      <c r="AC283" s="101"/>
      <c r="AD283" s="359">
        <f t="shared" si="66"/>
        <v>0</v>
      </c>
      <c r="AE283" s="435">
        <f t="shared" si="67"/>
        <v>0</v>
      </c>
    </row>
    <row r="284" spans="1:31" hidden="1" outlineLevel="1">
      <c r="A284" s="114">
        <v>43371</v>
      </c>
      <c r="B284" s="115">
        <f t="shared" si="65"/>
        <v>9</v>
      </c>
      <c r="C284" s="35"/>
      <c r="D284" s="36"/>
      <c r="E284" s="43"/>
      <c r="F284" s="44"/>
      <c r="G284" s="51"/>
      <c r="H284" s="52"/>
      <c r="I284" s="58"/>
      <c r="J284" s="17"/>
      <c r="K284" s="101"/>
      <c r="L284" s="35"/>
      <c r="M284" s="36"/>
      <c r="N284" s="43"/>
      <c r="O284" s="44"/>
      <c r="P284" s="51"/>
      <c r="Q284" s="52"/>
      <c r="R284" s="58"/>
      <c r="S284" s="17"/>
      <c r="T284" s="101"/>
      <c r="U284" s="35"/>
      <c r="V284" s="36"/>
      <c r="W284" s="43">
        <f t="shared" si="69"/>
        <v>0</v>
      </c>
      <c r="X284" s="44">
        <f t="shared" si="70"/>
        <v>0</v>
      </c>
      <c r="Y284" s="51"/>
      <c r="Z284" s="52"/>
      <c r="AA284" s="58">
        <f t="shared" si="71"/>
        <v>0</v>
      </c>
      <c r="AB284" s="17">
        <f t="shared" si="72"/>
        <v>0</v>
      </c>
      <c r="AC284" s="101"/>
      <c r="AD284" s="359">
        <f t="shared" si="66"/>
        <v>0</v>
      </c>
      <c r="AE284" s="435">
        <f t="shared" si="67"/>
        <v>0</v>
      </c>
    </row>
    <row r="285" spans="1:31" hidden="1" outlineLevel="1">
      <c r="A285" s="114">
        <v>43372</v>
      </c>
      <c r="B285" s="115">
        <f t="shared" si="65"/>
        <v>9</v>
      </c>
      <c r="C285" s="35"/>
      <c r="D285" s="36"/>
      <c r="E285" s="43"/>
      <c r="F285" s="44"/>
      <c r="G285" s="51"/>
      <c r="H285" s="52"/>
      <c r="I285" s="58"/>
      <c r="J285" s="17"/>
      <c r="K285" s="101"/>
      <c r="L285" s="35"/>
      <c r="M285" s="36"/>
      <c r="N285" s="43"/>
      <c r="O285" s="44"/>
      <c r="P285" s="51"/>
      <c r="Q285" s="52"/>
      <c r="R285" s="58"/>
      <c r="S285" s="17"/>
      <c r="T285" s="101"/>
      <c r="U285" s="35"/>
      <c r="V285" s="36"/>
      <c r="W285" s="43">
        <f t="shared" si="69"/>
        <v>0</v>
      </c>
      <c r="X285" s="44">
        <f t="shared" si="70"/>
        <v>0</v>
      </c>
      <c r="Y285" s="51"/>
      <c r="Z285" s="52"/>
      <c r="AA285" s="58">
        <f t="shared" si="71"/>
        <v>0</v>
      </c>
      <c r="AB285" s="17">
        <f t="shared" si="72"/>
        <v>0</v>
      </c>
      <c r="AC285" s="101"/>
      <c r="AD285" s="359">
        <f t="shared" si="66"/>
        <v>0</v>
      </c>
      <c r="AE285" s="435">
        <f t="shared" si="67"/>
        <v>0</v>
      </c>
    </row>
    <row r="286" spans="1:31" hidden="1" outlineLevel="1">
      <c r="A286" s="114">
        <v>43373</v>
      </c>
      <c r="B286" s="115">
        <f t="shared" si="65"/>
        <v>9</v>
      </c>
      <c r="C286" s="35"/>
      <c r="D286" s="36"/>
      <c r="E286" s="43"/>
      <c r="F286" s="44"/>
      <c r="G286" s="51"/>
      <c r="H286" s="52"/>
      <c r="I286" s="58"/>
      <c r="J286" s="17"/>
      <c r="K286" s="101"/>
      <c r="L286" s="35"/>
      <c r="M286" s="36"/>
      <c r="N286" s="43"/>
      <c r="O286" s="44"/>
      <c r="P286" s="51"/>
      <c r="Q286" s="52"/>
      <c r="R286" s="58"/>
      <c r="S286" s="17"/>
      <c r="T286" s="101"/>
      <c r="U286" s="35"/>
      <c r="V286" s="36"/>
      <c r="W286" s="43">
        <f t="shared" si="69"/>
        <v>0</v>
      </c>
      <c r="X286" s="44">
        <f t="shared" si="70"/>
        <v>0</v>
      </c>
      <c r="Y286" s="51"/>
      <c r="Z286" s="52"/>
      <c r="AA286" s="58">
        <f t="shared" si="71"/>
        <v>0</v>
      </c>
      <c r="AB286" s="17">
        <f t="shared" si="72"/>
        <v>0</v>
      </c>
      <c r="AC286" s="101"/>
      <c r="AD286" s="359">
        <f t="shared" si="66"/>
        <v>0</v>
      </c>
      <c r="AE286" s="435">
        <f t="shared" si="67"/>
        <v>0</v>
      </c>
    </row>
    <row r="287" spans="1:31" collapsed="1">
      <c r="A287" s="104"/>
      <c r="B287" s="104" t="s">
        <v>23</v>
      </c>
      <c r="C287" s="105"/>
      <c r="D287" s="106"/>
      <c r="E287" s="107">
        <f t="shared" ref="D287:AB287" si="73">SUBTOTAL(9,E288:E318)</f>
        <v>0</v>
      </c>
      <c r="F287" s="108">
        <f t="shared" si="73"/>
        <v>0</v>
      </c>
      <c r="G287" s="109"/>
      <c r="H287" s="110"/>
      <c r="I287" s="111">
        <f t="shared" si="73"/>
        <v>0</v>
      </c>
      <c r="J287" s="14">
        <f t="shared" si="73"/>
        <v>0</v>
      </c>
      <c r="K287" s="103"/>
      <c r="L287" s="105"/>
      <c r="M287" s="106"/>
      <c r="N287" s="107">
        <f t="shared" si="73"/>
        <v>0</v>
      </c>
      <c r="O287" s="108">
        <f t="shared" si="73"/>
        <v>0</v>
      </c>
      <c r="P287" s="109"/>
      <c r="Q287" s="110"/>
      <c r="R287" s="111">
        <f t="shared" si="73"/>
        <v>0</v>
      </c>
      <c r="S287" s="14">
        <f t="shared" si="73"/>
        <v>0</v>
      </c>
      <c r="T287" s="103"/>
      <c r="U287" s="105"/>
      <c r="V287" s="106"/>
      <c r="W287" s="107">
        <f t="shared" si="73"/>
        <v>0</v>
      </c>
      <c r="X287" s="108">
        <f t="shared" si="73"/>
        <v>0</v>
      </c>
      <c r="Y287" s="109"/>
      <c r="Z287" s="110"/>
      <c r="AA287" s="111">
        <f t="shared" si="73"/>
        <v>0</v>
      </c>
      <c r="AB287" s="14">
        <f t="shared" si="73"/>
        <v>0</v>
      </c>
      <c r="AC287" s="103"/>
      <c r="AD287" s="359"/>
      <c r="AE287" s="435"/>
    </row>
    <row r="288" spans="1:31" hidden="1" outlineLevel="1">
      <c r="A288" s="97">
        <v>43374</v>
      </c>
      <c r="B288" s="98">
        <f t="shared" si="65"/>
        <v>10</v>
      </c>
      <c r="C288" s="35"/>
      <c r="D288" s="36"/>
      <c r="E288" s="43"/>
      <c r="F288" s="44"/>
      <c r="G288" s="51"/>
      <c r="H288" s="52"/>
      <c r="I288" s="58"/>
      <c r="J288" s="17"/>
      <c r="K288" s="101"/>
      <c r="L288" s="35"/>
      <c r="M288" s="36"/>
      <c r="N288" s="43"/>
      <c r="O288" s="44"/>
      <c r="P288" s="51"/>
      <c r="Q288" s="52"/>
      <c r="R288" s="58"/>
      <c r="S288" s="17"/>
      <c r="T288" s="101"/>
      <c r="U288" s="35"/>
      <c r="V288" s="36"/>
      <c r="W288" s="43">
        <f t="shared" si="69"/>
        <v>0</v>
      </c>
      <c r="X288" s="44">
        <f t="shared" si="70"/>
        <v>0</v>
      </c>
      <c r="Y288" s="51"/>
      <c r="Z288" s="52"/>
      <c r="AA288" s="58">
        <f t="shared" si="71"/>
        <v>0</v>
      </c>
      <c r="AB288" s="17">
        <f t="shared" si="72"/>
        <v>0</v>
      </c>
      <c r="AC288" s="101"/>
      <c r="AD288" s="359">
        <f t="shared" si="66"/>
        <v>0</v>
      </c>
      <c r="AE288" s="435">
        <f t="shared" si="67"/>
        <v>0</v>
      </c>
    </row>
    <row r="289" spans="1:31" hidden="1" outlineLevel="1">
      <c r="A289" s="97">
        <v>43375</v>
      </c>
      <c r="B289" s="98">
        <f t="shared" si="65"/>
        <v>10</v>
      </c>
      <c r="C289" s="35"/>
      <c r="D289" s="36"/>
      <c r="E289" s="43"/>
      <c r="F289" s="44"/>
      <c r="G289" s="51"/>
      <c r="H289" s="52"/>
      <c r="I289" s="58"/>
      <c r="J289" s="17"/>
      <c r="K289" s="101"/>
      <c r="L289" s="35"/>
      <c r="M289" s="36"/>
      <c r="N289" s="43"/>
      <c r="O289" s="44"/>
      <c r="P289" s="51"/>
      <c r="Q289" s="52"/>
      <c r="R289" s="58"/>
      <c r="S289" s="17"/>
      <c r="T289" s="101"/>
      <c r="U289" s="35"/>
      <c r="V289" s="36"/>
      <c r="W289" s="43">
        <f t="shared" si="69"/>
        <v>0</v>
      </c>
      <c r="X289" s="44">
        <f t="shared" si="70"/>
        <v>0</v>
      </c>
      <c r="Y289" s="51"/>
      <c r="Z289" s="52"/>
      <c r="AA289" s="58">
        <f t="shared" si="71"/>
        <v>0</v>
      </c>
      <c r="AB289" s="17">
        <f t="shared" si="72"/>
        <v>0</v>
      </c>
      <c r="AC289" s="101"/>
      <c r="AD289" s="359">
        <f t="shared" si="66"/>
        <v>0</v>
      </c>
      <c r="AE289" s="435">
        <f t="shared" si="67"/>
        <v>0</v>
      </c>
    </row>
    <row r="290" spans="1:31" hidden="1" outlineLevel="1">
      <c r="A290" s="97">
        <v>43376</v>
      </c>
      <c r="B290" s="98">
        <f t="shared" si="65"/>
        <v>10</v>
      </c>
      <c r="C290" s="35"/>
      <c r="D290" s="36"/>
      <c r="E290" s="43"/>
      <c r="F290" s="44"/>
      <c r="G290" s="51"/>
      <c r="H290" s="52"/>
      <c r="I290" s="58"/>
      <c r="J290" s="17"/>
      <c r="K290" s="101"/>
      <c r="L290" s="35"/>
      <c r="M290" s="36"/>
      <c r="N290" s="43"/>
      <c r="O290" s="44"/>
      <c r="P290" s="51"/>
      <c r="Q290" s="52"/>
      <c r="R290" s="58"/>
      <c r="S290" s="17"/>
      <c r="T290" s="101"/>
      <c r="U290" s="35"/>
      <c r="V290" s="36"/>
      <c r="W290" s="43">
        <f t="shared" si="69"/>
        <v>0</v>
      </c>
      <c r="X290" s="44">
        <f t="shared" si="70"/>
        <v>0</v>
      </c>
      <c r="Y290" s="51"/>
      <c r="Z290" s="52"/>
      <c r="AA290" s="58">
        <f t="shared" si="71"/>
        <v>0</v>
      </c>
      <c r="AB290" s="17">
        <f t="shared" si="72"/>
        <v>0</v>
      </c>
      <c r="AC290" s="101"/>
      <c r="AD290" s="359">
        <f t="shared" ref="AD290:AD349" si="74">SUM(C290,E290,G290,I290)</f>
        <v>0</v>
      </c>
      <c r="AE290" s="435">
        <f t="shared" ref="AE290:AE349" si="75">SUM(D290,F290,H290,J290)</f>
        <v>0</v>
      </c>
    </row>
    <row r="291" spans="1:31" hidden="1" outlineLevel="1">
      <c r="A291" s="97">
        <v>43377</v>
      </c>
      <c r="B291" s="98">
        <f t="shared" si="65"/>
        <v>10</v>
      </c>
      <c r="C291" s="35"/>
      <c r="D291" s="36"/>
      <c r="E291" s="43"/>
      <c r="F291" s="44"/>
      <c r="G291" s="51"/>
      <c r="H291" s="52"/>
      <c r="I291" s="58"/>
      <c r="J291" s="17"/>
      <c r="K291" s="101"/>
      <c r="L291" s="35"/>
      <c r="M291" s="36"/>
      <c r="N291" s="43"/>
      <c r="O291" s="44"/>
      <c r="P291" s="51"/>
      <c r="Q291" s="52"/>
      <c r="R291" s="58"/>
      <c r="S291" s="17"/>
      <c r="T291" s="101"/>
      <c r="U291" s="35"/>
      <c r="V291" s="36"/>
      <c r="W291" s="43">
        <f t="shared" si="69"/>
        <v>0</v>
      </c>
      <c r="X291" s="44">
        <f t="shared" si="70"/>
        <v>0</v>
      </c>
      <c r="Y291" s="51"/>
      <c r="Z291" s="52"/>
      <c r="AA291" s="58">
        <f t="shared" si="71"/>
        <v>0</v>
      </c>
      <c r="AB291" s="17">
        <f t="shared" si="72"/>
        <v>0</v>
      </c>
      <c r="AC291" s="101"/>
      <c r="AD291" s="359">
        <f t="shared" si="74"/>
        <v>0</v>
      </c>
      <c r="AE291" s="435">
        <f t="shared" si="75"/>
        <v>0</v>
      </c>
    </row>
    <row r="292" spans="1:31" hidden="1" outlineLevel="1">
      <c r="A292" s="97">
        <v>43378</v>
      </c>
      <c r="B292" s="98">
        <f t="shared" ref="B292:B357" si="76">MONTH(A292)</f>
        <v>10</v>
      </c>
      <c r="C292" s="35"/>
      <c r="D292" s="36"/>
      <c r="E292" s="43"/>
      <c r="F292" s="44"/>
      <c r="G292" s="51"/>
      <c r="H292" s="52"/>
      <c r="I292" s="58"/>
      <c r="J292" s="17"/>
      <c r="K292" s="101"/>
      <c r="L292" s="35"/>
      <c r="M292" s="36"/>
      <c r="N292" s="43"/>
      <c r="O292" s="44"/>
      <c r="P292" s="51"/>
      <c r="Q292" s="52"/>
      <c r="R292" s="58"/>
      <c r="S292" s="17"/>
      <c r="T292" s="101"/>
      <c r="U292" s="35"/>
      <c r="V292" s="36"/>
      <c r="W292" s="43">
        <f t="shared" si="69"/>
        <v>0</v>
      </c>
      <c r="X292" s="44">
        <f t="shared" si="70"/>
        <v>0</v>
      </c>
      <c r="Y292" s="51"/>
      <c r="Z292" s="52"/>
      <c r="AA292" s="58">
        <f t="shared" si="71"/>
        <v>0</v>
      </c>
      <c r="AB292" s="17">
        <f t="shared" si="72"/>
        <v>0</v>
      </c>
      <c r="AC292" s="101"/>
      <c r="AD292" s="359">
        <f t="shared" si="74"/>
        <v>0</v>
      </c>
      <c r="AE292" s="435">
        <f t="shared" si="75"/>
        <v>0</v>
      </c>
    </row>
    <row r="293" spans="1:31" hidden="1" outlineLevel="1">
      <c r="A293" s="97">
        <v>43379</v>
      </c>
      <c r="B293" s="98">
        <f t="shared" si="76"/>
        <v>10</v>
      </c>
      <c r="C293" s="35"/>
      <c r="D293" s="36"/>
      <c r="E293" s="43"/>
      <c r="F293" s="44"/>
      <c r="G293" s="51"/>
      <c r="H293" s="52"/>
      <c r="I293" s="58"/>
      <c r="J293" s="17"/>
      <c r="K293" s="101"/>
      <c r="L293" s="35"/>
      <c r="M293" s="36"/>
      <c r="N293" s="43"/>
      <c r="O293" s="44"/>
      <c r="P293" s="51"/>
      <c r="Q293" s="52"/>
      <c r="R293" s="58"/>
      <c r="S293" s="17"/>
      <c r="T293" s="101"/>
      <c r="U293" s="35"/>
      <c r="V293" s="36"/>
      <c r="W293" s="43">
        <f t="shared" si="69"/>
        <v>0</v>
      </c>
      <c r="X293" s="44">
        <f t="shared" si="70"/>
        <v>0</v>
      </c>
      <c r="Y293" s="51"/>
      <c r="Z293" s="52"/>
      <c r="AA293" s="58">
        <f t="shared" si="71"/>
        <v>0</v>
      </c>
      <c r="AB293" s="17">
        <f t="shared" si="72"/>
        <v>0</v>
      </c>
      <c r="AC293" s="101"/>
      <c r="AD293" s="359">
        <f t="shared" si="74"/>
        <v>0</v>
      </c>
      <c r="AE293" s="435">
        <f t="shared" si="75"/>
        <v>0</v>
      </c>
    </row>
    <row r="294" spans="1:31" hidden="1" outlineLevel="1">
      <c r="A294" s="97">
        <v>43380</v>
      </c>
      <c r="B294" s="98">
        <f t="shared" si="76"/>
        <v>10</v>
      </c>
      <c r="C294" s="35"/>
      <c r="D294" s="36"/>
      <c r="E294" s="43"/>
      <c r="F294" s="44"/>
      <c r="G294" s="51"/>
      <c r="H294" s="52"/>
      <c r="I294" s="58"/>
      <c r="J294" s="17"/>
      <c r="K294" s="101"/>
      <c r="L294" s="35"/>
      <c r="M294" s="36"/>
      <c r="N294" s="43"/>
      <c r="O294" s="44"/>
      <c r="P294" s="51"/>
      <c r="Q294" s="52"/>
      <c r="R294" s="58"/>
      <c r="S294" s="17"/>
      <c r="T294" s="101"/>
      <c r="U294" s="35"/>
      <c r="V294" s="36"/>
      <c r="W294" s="43">
        <f t="shared" si="69"/>
        <v>0</v>
      </c>
      <c r="X294" s="44">
        <f t="shared" si="70"/>
        <v>0</v>
      </c>
      <c r="Y294" s="51"/>
      <c r="Z294" s="52"/>
      <c r="AA294" s="58">
        <f t="shared" si="71"/>
        <v>0</v>
      </c>
      <c r="AB294" s="17">
        <f t="shared" si="72"/>
        <v>0</v>
      </c>
      <c r="AC294" s="101"/>
      <c r="AD294" s="359">
        <f t="shared" si="74"/>
        <v>0</v>
      </c>
      <c r="AE294" s="435">
        <f t="shared" si="75"/>
        <v>0</v>
      </c>
    </row>
    <row r="295" spans="1:31" hidden="1" outlineLevel="1">
      <c r="A295" s="97">
        <v>43381</v>
      </c>
      <c r="B295" s="98">
        <f t="shared" si="76"/>
        <v>10</v>
      </c>
      <c r="C295" s="35"/>
      <c r="D295" s="36"/>
      <c r="E295" s="43"/>
      <c r="F295" s="44"/>
      <c r="G295" s="51"/>
      <c r="H295" s="52"/>
      <c r="I295" s="58"/>
      <c r="J295" s="17"/>
      <c r="K295" s="101"/>
      <c r="L295" s="35"/>
      <c r="M295" s="36"/>
      <c r="N295" s="43"/>
      <c r="O295" s="44"/>
      <c r="P295" s="51"/>
      <c r="Q295" s="52"/>
      <c r="R295" s="58"/>
      <c r="S295" s="17"/>
      <c r="T295" s="101"/>
      <c r="U295" s="35"/>
      <c r="V295" s="36"/>
      <c r="W295" s="43">
        <f t="shared" si="69"/>
        <v>0</v>
      </c>
      <c r="X295" s="44">
        <f t="shared" si="70"/>
        <v>0</v>
      </c>
      <c r="Y295" s="51"/>
      <c r="Z295" s="52"/>
      <c r="AA295" s="58">
        <f t="shared" si="71"/>
        <v>0</v>
      </c>
      <c r="AB295" s="17">
        <f t="shared" si="72"/>
        <v>0</v>
      </c>
      <c r="AC295" s="101"/>
      <c r="AD295" s="359">
        <f t="shared" si="74"/>
        <v>0</v>
      </c>
      <c r="AE295" s="435">
        <f t="shared" si="75"/>
        <v>0</v>
      </c>
    </row>
    <row r="296" spans="1:31" hidden="1" outlineLevel="1">
      <c r="A296" s="97">
        <v>43382</v>
      </c>
      <c r="B296" s="98">
        <f t="shared" si="76"/>
        <v>10</v>
      </c>
      <c r="C296" s="35"/>
      <c r="D296" s="36"/>
      <c r="E296" s="43"/>
      <c r="F296" s="44"/>
      <c r="G296" s="51"/>
      <c r="H296" s="52"/>
      <c r="I296" s="58"/>
      <c r="J296" s="17"/>
      <c r="K296" s="101"/>
      <c r="L296" s="35"/>
      <c r="M296" s="36"/>
      <c r="N296" s="43"/>
      <c r="O296" s="44"/>
      <c r="P296" s="51"/>
      <c r="Q296" s="52"/>
      <c r="R296" s="58"/>
      <c r="S296" s="17"/>
      <c r="T296" s="101"/>
      <c r="U296" s="35"/>
      <c r="V296" s="36"/>
      <c r="W296" s="43">
        <f t="shared" si="69"/>
        <v>0</v>
      </c>
      <c r="X296" s="44">
        <f t="shared" si="70"/>
        <v>0</v>
      </c>
      <c r="Y296" s="51"/>
      <c r="Z296" s="52"/>
      <c r="AA296" s="58">
        <f t="shared" si="71"/>
        <v>0</v>
      </c>
      <c r="AB296" s="17">
        <f t="shared" si="72"/>
        <v>0</v>
      </c>
      <c r="AC296" s="101"/>
      <c r="AD296" s="359">
        <f t="shared" si="74"/>
        <v>0</v>
      </c>
      <c r="AE296" s="435">
        <f t="shared" si="75"/>
        <v>0</v>
      </c>
    </row>
    <row r="297" spans="1:31" hidden="1" outlineLevel="1">
      <c r="A297" s="97">
        <v>43383</v>
      </c>
      <c r="B297" s="98">
        <f t="shared" si="76"/>
        <v>10</v>
      </c>
      <c r="C297" s="35"/>
      <c r="D297" s="36"/>
      <c r="E297" s="43"/>
      <c r="F297" s="44"/>
      <c r="G297" s="51"/>
      <c r="H297" s="52"/>
      <c r="I297" s="58"/>
      <c r="J297" s="17"/>
      <c r="K297" s="101"/>
      <c r="L297" s="35"/>
      <c r="M297" s="36"/>
      <c r="N297" s="43"/>
      <c r="O297" s="44"/>
      <c r="P297" s="51"/>
      <c r="Q297" s="52"/>
      <c r="R297" s="58"/>
      <c r="S297" s="17"/>
      <c r="T297" s="101"/>
      <c r="U297" s="35"/>
      <c r="V297" s="36"/>
      <c r="W297" s="43">
        <f t="shared" si="69"/>
        <v>0</v>
      </c>
      <c r="X297" s="44">
        <f t="shared" si="70"/>
        <v>0</v>
      </c>
      <c r="Y297" s="51"/>
      <c r="Z297" s="52"/>
      <c r="AA297" s="58">
        <f t="shared" si="71"/>
        <v>0</v>
      </c>
      <c r="AB297" s="17">
        <f t="shared" si="72"/>
        <v>0</v>
      </c>
      <c r="AC297" s="101"/>
      <c r="AD297" s="359">
        <f t="shared" si="74"/>
        <v>0</v>
      </c>
      <c r="AE297" s="435">
        <f t="shared" si="75"/>
        <v>0</v>
      </c>
    </row>
    <row r="298" spans="1:31" hidden="1" outlineLevel="1">
      <c r="A298" s="97">
        <v>43384</v>
      </c>
      <c r="B298" s="98">
        <f t="shared" si="76"/>
        <v>10</v>
      </c>
      <c r="C298" s="35"/>
      <c r="D298" s="36"/>
      <c r="E298" s="43"/>
      <c r="F298" s="44"/>
      <c r="G298" s="51"/>
      <c r="H298" s="52"/>
      <c r="I298" s="58"/>
      <c r="J298" s="17"/>
      <c r="K298" s="101"/>
      <c r="L298" s="35"/>
      <c r="M298" s="36"/>
      <c r="N298" s="43"/>
      <c r="O298" s="44"/>
      <c r="P298" s="51"/>
      <c r="Q298" s="52"/>
      <c r="R298" s="58"/>
      <c r="S298" s="17"/>
      <c r="T298" s="101"/>
      <c r="U298" s="35"/>
      <c r="V298" s="36"/>
      <c r="W298" s="43">
        <f t="shared" si="69"/>
        <v>0</v>
      </c>
      <c r="X298" s="44">
        <f t="shared" si="70"/>
        <v>0</v>
      </c>
      <c r="Y298" s="51"/>
      <c r="Z298" s="52"/>
      <c r="AA298" s="58">
        <f t="shared" si="71"/>
        <v>0</v>
      </c>
      <c r="AB298" s="17">
        <f t="shared" si="72"/>
        <v>0</v>
      </c>
      <c r="AC298" s="101"/>
      <c r="AD298" s="359">
        <f t="shared" si="74"/>
        <v>0</v>
      </c>
      <c r="AE298" s="435">
        <f t="shared" si="75"/>
        <v>0</v>
      </c>
    </row>
    <row r="299" spans="1:31" hidden="1" outlineLevel="1">
      <c r="A299" s="97">
        <v>43385</v>
      </c>
      <c r="B299" s="98">
        <f t="shared" si="76"/>
        <v>10</v>
      </c>
      <c r="C299" s="35"/>
      <c r="D299" s="36"/>
      <c r="E299" s="43"/>
      <c r="F299" s="44"/>
      <c r="G299" s="51"/>
      <c r="H299" s="52"/>
      <c r="I299" s="58"/>
      <c r="J299" s="17"/>
      <c r="K299" s="101"/>
      <c r="L299" s="35"/>
      <c r="M299" s="36"/>
      <c r="N299" s="43"/>
      <c r="O299" s="44"/>
      <c r="P299" s="51"/>
      <c r="Q299" s="52"/>
      <c r="R299" s="58"/>
      <c r="S299" s="17"/>
      <c r="T299" s="101"/>
      <c r="U299" s="35"/>
      <c r="V299" s="36"/>
      <c r="W299" s="43">
        <f t="shared" si="69"/>
        <v>0</v>
      </c>
      <c r="X299" s="44">
        <f t="shared" si="70"/>
        <v>0</v>
      </c>
      <c r="Y299" s="51"/>
      <c r="Z299" s="52"/>
      <c r="AA299" s="58">
        <f t="shared" si="71"/>
        <v>0</v>
      </c>
      <c r="AB299" s="17">
        <f t="shared" si="72"/>
        <v>0</v>
      </c>
      <c r="AC299" s="101"/>
      <c r="AD299" s="359">
        <f t="shared" si="74"/>
        <v>0</v>
      </c>
      <c r="AE299" s="435">
        <f t="shared" si="75"/>
        <v>0</v>
      </c>
    </row>
    <row r="300" spans="1:31" hidden="1" outlineLevel="1">
      <c r="A300" s="97">
        <v>43386</v>
      </c>
      <c r="B300" s="98">
        <f t="shared" si="76"/>
        <v>10</v>
      </c>
      <c r="C300" s="35"/>
      <c r="D300" s="36"/>
      <c r="E300" s="43"/>
      <c r="F300" s="44"/>
      <c r="G300" s="51"/>
      <c r="H300" s="52"/>
      <c r="I300" s="58"/>
      <c r="J300" s="17"/>
      <c r="K300" s="101"/>
      <c r="L300" s="35"/>
      <c r="M300" s="36"/>
      <c r="N300" s="43"/>
      <c r="O300" s="44"/>
      <c r="P300" s="51"/>
      <c r="Q300" s="52"/>
      <c r="R300" s="58"/>
      <c r="S300" s="17"/>
      <c r="T300" s="101"/>
      <c r="U300" s="35"/>
      <c r="V300" s="36"/>
      <c r="W300" s="43">
        <f t="shared" si="69"/>
        <v>0</v>
      </c>
      <c r="X300" s="44">
        <f t="shared" si="70"/>
        <v>0</v>
      </c>
      <c r="Y300" s="51"/>
      <c r="Z300" s="52"/>
      <c r="AA300" s="58">
        <f t="shared" si="71"/>
        <v>0</v>
      </c>
      <c r="AB300" s="17">
        <f t="shared" si="72"/>
        <v>0</v>
      </c>
      <c r="AC300" s="101"/>
      <c r="AD300" s="359">
        <f t="shared" si="74"/>
        <v>0</v>
      </c>
      <c r="AE300" s="435">
        <f t="shared" si="75"/>
        <v>0</v>
      </c>
    </row>
    <row r="301" spans="1:31" hidden="1" outlineLevel="1">
      <c r="A301" s="97">
        <v>43387</v>
      </c>
      <c r="B301" s="98">
        <f t="shared" si="76"/>
        <v>10</v>
      </c>
      <c r="C301" s="35"/>
      <c r="D301" s="36"/>
      <c r="E301" s="43"/>
      <c r="F301" s="44"/>
      <c r="G301" s="51"/>
      <c r="H301" s="52"/>
      <c r="I301" s="58"/>
      <c r="J301" s="17"/>
      <c r="K301" s="101"/>
      <c r="L301" s="35"/>
      <c r="M301" s="36"/>
      <c r="N301" s="43"/>
      <c r="O301" s="44"/>
      <c r="P301" s="51"/>
      <c r="Q301" s="52"/>
      <c r="R301" s="58"/>
      <c r="S301" s="17"/>
      <c r="T301" s="101"/>
      <c r="U301" s="35"/>
      <c r="V301" s="36"/>
      <c r="W301" s="43">
        <f t="shared" si="69"/>
        <v>0</v>
      </c>
      <c r="X301" s="44">
        <f t="shared" si="70"/>
        <v>0</v>
      </c>
      <c r="Y301" s="51"/>
      <c r="Z301" s="52"/>
      <c r="AA301" s="58">
        <f t="shared" si="71"/>
        <v>0</v>
      </c>
      <c r="AB301" s="17">
        <f t="shared" si="72"/>
        <v>0</v>
      </c>
      <c r="AC301" s="101"/>
      <c r="AD301" s="359">
        <f t="shared" si="74"/>
        <v>0</v>
      </c>
      <c r="AE301" s="435">
        <f t="shared" si="75"/>
        <v>0</v>
      </c>
    </row>
    <row r="302" spans="1:31" hidden="1" outlineLevel="1">
      <c r="A302" s="97">
        <v>43388</v>
      </c>
      <c r="B302" s="98">
        <f t="shared" si="76"/>
        <v>10</v>
      </c>
      <c r="C302" s="35"/>
      <c r="D302" s="36"/>
      <c r="E302" s="43"/>
      <c r="F302" s="44"/>
      <c r="G302" s="51"/>
      <c r="H302" s="52"/>
      <c r="I302" s="58"/>
      <c r="J302" s="17"/>
      <c r="K302" s="101"/>
      <c r="L302" s="35"/>
      <c r="M302" s="36"/>
      <c r="N302" s="43"/>
      <c r="O302" s="44"/>
      <c r="P302" s="51"/>
      <c r="Q302" s="52"/>
      <c r="R302" s="58"/>
      <c r="S302" s="17"/>
      <c r="T302" s="101"/>
      <c r="U302" s="35"/>
      <c r="V302" s="36"/>
      <c r="W302" s="43">
        <f t="shared" si="69"/>
        <v>0</v>
      </c>
      <c r="X302" s="44">
        <f t="shared" si="70"/>
        <v>0</v>
      </c>
      <c r="Y302" s="51"/>
      <c r="Z302" s="52"/>
      <c r="AA302" s="58">
        <f t="shared" si="71"/>
        <v>0</v>
      </c>
      <c r="AB302" s="17">
        <f t="shared" si="72"/>
        <v>0</v>
      </c>
      <c r="AC302" s="101"/>
      <c r="AD302" s="359">
        <f t="shared" si="74"/>
        <v>0</v>
      </c>
      <c r="AE302" s="435">
        <f t="shared" si="75"/>
        <v>0</v>
      </c>
    </row>
    <row r="303" spans="1:31" hidden="1" outlineLevel="1">
      <c r="A303" s="97">
        <v>43389</v>
      </c>
      <c r="B303" s="98">
        <f t="shared" si="76"/>
        <v>10</v>
      </c>
      <c r="C303" s="35"/>
      <c r="D303" s="36"/>
      <c r="E303" s="43"/>
      <c r="F303" s="44"/>
      <c r="G303" s="51"/>
      <c r="H303" s="52"/>
      <c r="I303" s="58"/>
      <c r="J303" s="17"/>
      <c r="K303" s="101"/>
      <c r="L303" s="35"/>
      <c r="M303" s="36"/>
      <c r="N303" s="43"/>
      <c r="O303" s="44"/>
      <c r="P303" s="51"/>
      <c r="Q303" s="52"/>
      <c r="R303" s="58"/>
      <c r="S303" s="17"/>
      <c r="T303" s="101"/>
      <c r="U303" s="35"/>
      <c r="V303" s="36"/>
      <c r="W303" s="43">
        <f t="shared" si="69"/>
        <v>0</v>
      </c>
      <c r="X303" s="44">
        <f t="shared" si="70"/>
        <v>0</v>
      </c>
      <c r="Y303" s="51"/>
      <c r="Z303" s="52"/>
      <c r="AA303" s="58">
        <f t="shared" si="71"/>
        <v>0</v>
      </c>
      <c r="AB303" s="17">
        <f t="shared" si="72"/>
        <v>0</v>
      </c>
      <c r="AC303" s="101"/>
      <c r="AD303" s="359">
        <f t="shared" si="74"/>
        <v>0</v>
      </c>
      <c r="AE303" s="435">
        <f t="shared" si="75"/>
        <v>0</v>
      </c>
    </row>
    <row r="304" spans="1:31" hidden="1" outlineLevel="1">
      <c r="A304" s="97">
        <v>43390</v>
      </c>
      <c r="B304" s="98">
        <f t="shared" si="76"/>
        <v>10</v>
      </c>
      <c r="C304" s="35"/>
      <c r="D304" s="36"/>
      <c r="E304" s="43"/>
      <c r="F304" s="44"/>
      <c r="G304" s="51"/>
      <c r="H304" s="52"/>
      <c r="I304" s="58"/>
      <c r="J304" s="17"/>
      <c r="K304" s="101"/>
      <c r="L304" s="35"/>
      <c r="M304" s="36"/>
      <c r="N304" s="43"/>
      <c r="O304" s="44"/>
      <c r="P304" s="51"/>
      <c r="Q304" s="52"/>
      <c r="R304" s="58"/>
      <c r="S304" s="17"/>
      <c r="T304" s="101"/>
      <c r="U304" s="35"/>
      <c r="V304" s="36"/>
      <c r="W304" s="43">
        <f t="shared" si="69"/>
        <v>0</v>
      </c>
      <c r="X304" s="44">
        <f t="shared" si="70"/>
        <v>0</v>
      </c>
      <c r="Y304" s="51"/>
      <c r="Z304" s="52"/>
      <c r="AA304" s="58">
        <f t="shared" si="71"/>
        <v>0</v>
      </c>
      <c r="AB304" s="17">
        <f t="shared" si="72"/>
        <v>0</v>
      </c>
      <c r="AC304" s="101"/>
      <c r="AD304" s="359">
        <f t="shared" si="74"/>
        <v>0</v>
      </c>
      <c r="AE304" s="435">
        <f t="shared" si="75"/>
        <v>0</v>
      </c>
    </row>
    <row r="305" spans="1:31" hidden="1" outlineLevel="1">
      <c r="A305" s="97">
        <v>43391</v>
      </c>
      <c r="B305" s="98">
        <f t="shared" si="76"/>
        <v>10</v>
      </c>
      <c r="C305" s="35"/>
      <c r="D305" s="36"/>
      <c r="E305" s="43"/>
      <c r="F305" s="44"/>
      <c r="G305" s="51"/>
      <c r="H305" s="52"/>
      <c r="I305" s="58"/>
      <c r="J305" s="17"/>
      <c r="K305" s="101"/>
      <c r="L305" s="35"/>
      <c r="M305" s="36"/>
      <c r="N305" s="43"/>
      <c r="O305" s="44"/>
      <c r="P305" s="51"/>
      <c r="Q305" s="52"/>
      <c r="R305" s="58"/>
      <c r="S305" s="17"/>
      <c r="T305" s="101"/>
      <c r="U305" s="35"/>
      <c r="V305" s="36"/>
      <c r="W305" s="43">
        <f t="shared" si="69"/>
        <v>0</v>
      </c>
      <c r="X305" s="44">
        <f t="shared" si="70"/>
        <v>0</v>
      </c>
      <c r="Y305" s="51"/>
      <c r="Z305" s="52"/>
      <c r="AA305" s="58">
        <f t="shared" si="71"/>
        <v>0</v>
      </c>
      <c r="AB305" s="17">
        <f t="shared" si="72"/>
        <v>0</v>
      </c>
      <c r="AC305" s="101"/>
      <c r="AD305" s="359">
        <f t="shared" si="74"/>
        <v>0</v>
      </c>
      <c r="AE305" s="435">
        <f t="shared" si="75"/>
        <v>0</v>
      </c>
    </row>
    <row r="306" spans="1:31" hidden="1" outlineLevel="1">
      <c r="A306" s="97">
        <v>43392</v>
      </c>
      <c r="B306" s="98">
        <f t="shared" si="76"/>
        <v>10</v>
      </c>
      <c r="C306" s="35"/>
      <c r="D306" s="36"/>
      <c r="E306" s="43"/>
      <c r="F306" s="44"/>
      <c r="G306" s="51"/>
      <c r="H306" s="52"/>
      <c r="I306" s="58"/>
      <c r="J306" s="17"/>
      <c r="K306" s="101"/>
      <c r="L306" s="35"/>
      <c r="M306" s="36"/>
      <c r="N306" s="43"/>
      <c r="O306" s="44"/>
      <c r="P306" s="51"/>
      <c r="Q306" s="52"/>
      <c r="R306" s="58"/>
      <c r="S306" s="17"/>
      <c r="T306" s="101"/>
      <c r="U306" s="35"/>
      <c r="V306" s="36"/>
      <c r="W306" s="43">
        <f t="shared" si="69"/>
        <v>0</v>
      </c>
      <c r="X306" s="44">
        <f t="shared" si="70"/>
        <v>0</v>
      </c>
      <c r="Y306" s="51"/>
      <c r="Z306" s="52"/>
      <c r="AA306" s="58">
        <f t="shared" si="71"/>
        <v>0</v>
      </c>
      <c r="AB306" s="17">
        <f t="shared" si="72"/>
        <v>0</v>
      </c>
      <c r="AC306" s="101"/>
      <c r="AD306" s="359">
        <f t="shared" si="74"/>
        <v>0</v>
      </c>
      <c r="AE306" s="435">
        <f t="shared" si="75"/>
        <v>0</v>
      </c>
    </row>
    <row r="307" spans="1:31" hidden="1" outlineLevel="1">
      <c r="A307" s="97">
        <v>43393</v>
      </c>
      <c r="B307" s="98">
        <f t="shared" si="76"/>
        <v>10</v>
      </c>
      <c r="C307" s="35"/>
      <c r="D307" s="36"/>
      <c r="E307" s="43"/>
      <c r="F307" s="44"/>
      <c r="G307" s="51"/>
      <c r="H307" s="52"/>
      <c r="I307" s="58"/>
      <c r="J307" s="17"/>
      <c r="K307" s="101"/>
      <c r="L307" s="35"/>
      <c r="M307" s="36"/>
      <c r="N307" s="43"/>
      <c r="O307" s="44"/>
      <c r="P307" s="51"/>
      <c r="Q307" s="52"/>
      <c r="R307" s="58"/>
      <c r="S307" s="17"/>
      <c r="T307" s="101"/>
      <c r="U307" s="35"/>
      <c r="V307" s="36"/>
      <c r="W307" s="43">
        <f t="shared" si="69"/>
        <v>0</v>
      </c>
      <c r="X307" s="44">
        <f t="shared" si="70"/>
        <v>0</v>
      </c>
      <c r="Y307" s="51"/>
      <c r="Z307" s="52"/>
      <c r="AA307" s="58">
        <f t="shared" si="71"/>
        <v>0</v>
      </c>
      <c r="AB307" s="17">
        <f t="shared" si="72"/>
        <v>0</v>
      </c>
      <c r="AC307" s="101"/>
      <c r="AD307" s="359">
        <f t="shared" si="74"/>
        <v>0</v>
      </c>
      <c r="AE307" s="435">
        <f t="shared" si="75"/>
        <v>0</v>
      </c>
    </row>
    <row r="308" spans="1:31" hidden="1" outlineLevel="1">
      <c r="A308" s="97">
        <v>43394</v>
      </c>
      <c r="B308" s="98">
        <f t="shared" si="76"/>
        <v>10</v>
      </c>
      <c r="C308" s="35"/>
      <c r="D308" s="36"/>
      <c r="E308" s="43"/>
      <c r="F308" s="44"/>
      <c r="G308" s="51"/>
      <c r="H308" s="52"/>
      <c r="I308" s="58"/>
      <c r="J308" s="17"/>
      <c r="K308" s="101"/>
      <c r="L308" s="35"/>
      <c r="M308" s="36"/>
      <c r="N308" s="43"/>
      <c r="O308" s="44"/>
      <c r="P308" s="51"/>
      <c r="Q308" s="52"/>
      <c r="R308" s="58"/>
      <c r="S308" s="17"/>
      <c r="T308" s="101"/>
      <c r="U308" s="35"/>
      <c r="V308" s="36"/>
      <c r="W308" s="43">
        <f t="shared" si="69"/>
        <v>0</v>
      </c>
      <c r="X308" s="44">
        <f t="shared" si="70"/>
        <v>0</v>
      </c>
      <c r="Y308" s="51"/>
      <c r="Z308" s="52"/>
      <c r="AA308" s="58">
        <f t="shared" si="71"/>
        <v>0</v>
      </c>
      <c r="AB308" s="17">
        <f t="shared" si="72"/>
        <v>0</v>
      </c>
      <c r="AC308" s="101"/>
      <c r="AD308" s="359">
        <f t="shared" si="74"/>
        <v>0</v>
      </c>
      <c r="AE308" s="435">
        <f t="shared" si="75"/>
        <v>0</v>
      </c>
    </row>
    <row r="309" spans="1:31" hidden="1" outlineLevel="1">
      <c r="A309" s="97">
        <v>43395</v>
      </c>
      <c r="B309" s="98">
        <f t="shared" si="76"/>
        <v>10</v>
      </c>
      <c r="C309" s="35"/>
      <c r="D309" s="36"/>
      <c r="E309" s="43"/>
      <c r="F309" s="44"/>
      <c r="G309" s="51"/>
      <c r="H309" s="52"/>
      <c r="I309" s="58"/>
      <c r="J309" s="17"/>
      <c r="K309" s="101"/>
      <c r="L309" s="35"/>
      <c r="M309" s="36"/>
      <c r="N309" s="43"/>
      <c r="O309" s="44"/>
      <c r="P309" s="51"/>
      <c r="Q309" s="52"/>
      <c r="R309" s="58"/>
      <c r="S309" s="17"/>
      <c r="T309" s="101"/>
      <c r="U309" s="35"/>
      <c r="V309" s="36"/>
      <c r="W309" s="43">
        <f t="shared" si="69"/>
        <v>0</v>
      </c>
      <c r="X309" s="44">
        <f t="shared" si="70"/>
        <v>0</v>
      </c>
      <c r="Y309" s="51"/>
      <c r="Z309" s="52"/>
      <c r="AA309" s="58">
        <f t="shared" si="71"/>
        <v>0</v>
      </c>
      <c r="AB309" s="17">
        <f t="shared" si="72"/>
        <v>0</v>
      </c>
      <c r="AC309" s="101"/>
      <c r="AD309" s="359">
        <f t="shared" si="74"/>
        <v>0</v>
      </c>
      <c r="AE309" s="435">
        <f t="shared" si="75"/>
        <v>0</v>
      </c>
    </row>
    <row r="310" spans="1:31" hidden="1" outlineLevel="1">
      <c r="A310" s="97">
        <v>43396</v>
      </c>
      <c r="B310" s="98">
        <f t="shared" si="76"/>
        <v>10</v>
      </c>
      <c r="C310" s="35"/>
      <c r="D310" s="36"/>
      <c r="E310" s="43"/>
      <c r="F310" s="44"/>
      <c r="G310" s="51"/>
      <c r="H310" s="52"/>
      <c r="I310" s="58"/>
      <c r="J310" s="17"/>
      <c r="K310" s="101"/>
      <c r="L310" s="35"/>
      <c r="M310" s="36"/>
      <c r="N310" s="43"/>
      <c r="O310" s="44"/>
      <c r="P310" s="51"/>
      <c r="Q310" s="52"/>
      <c r="R310" s="58"/>
      <c r="S310" s="17"/>
      <c r="T310" s="101"/>
      <c r="U310" s="35"/>
      <c r="V310" s="36"/>
      <c r="W310" s="43">
        <f t="shared" si="69"/>
        <v>0</v>
      </c>
      <c r="X310" s="44">
        <f t="shared" si="70"/>
        <v>0</v>
      </c>
      <c r="Y310" s="51"/>
      <c r="Z310" s="52"/>
      <c r="AA310" s="58">
        <f t="shared" si="71"/>
        <v>0</v>
      </c>
      <c r="AB310" s="17">
        <f t="shared" si="72"/>
        <v>0</v>
      </c>
      <c r="AC310" s="101"/>
      <c r="AD310" s="359">
        <f t="shared" si="74"/>
        <v>0</v>
      </c>
      <c r="AE310" s="435">
        <f t="shared" si="75"/>
        <v>0</v>
      </c>
    </row>
    <row r="311" spans="1:31" hidden="1" outlineLevel="1">
      <c r="A311" s="97">
        <v>43397</v>
      </c>
      <c r="B311" s="98">
        <f t="shared" si="76"/>
        <v>10</v>
      </c>
      <c r="C311" s="35"/>
      <c r="D311" s="36"/>
      <c r="E311" s="43"/>
      <c r="F311" s="44"/>
      <c r="G311" s="51"/>
      <c r="H311" s="52"/>
      <c r="I311" s="58"/>
      <c r="J311" s="17"/>
      <c r="K311" s="101"/>
      <c r="L311" s="35"/>
      <c r="M311" s="36"/>
      <c r="N311" s="43"/>
      <c r="O311" s="44"/>
      <c r="P311" s="51"/>
      <c r="Q311" s="52"/>
      <c r="R311" s="58"/>
      <c r="S311" s="17"/>
      <c r="T311" s="101"/>
      <c r="U311" s="35"/>
      <c r="V311" s="36"/>
      <c r="W311" s="43">
        <f t="shared" si="69"/>
        <v>0</v>
      </c>
      <c r="X311" s="44">
        <f t="shared" si="70"/>
        <v>0</v>
      </c>
      <c r="Y311" s="51"/>
      <c r="Z311" s="52"/>
      <c r="AA311" s="58">
        <f t="shared" si="71"/>
        <v>0</v>
      </c>
      <c r="AB311" s="17">
        <f t="shared" si="72"/>
        <v>0</v>
      </c>
      <c r="AC311" s="101"/>
      <c r="AD311" s="359">
        <f t="shared" si="74"/>
        <v>0</v>
      </c>
      <c r="AE311" s="435">
        <f t="shared" si="75"/>
        <v>0</v>
      </c>
    </row>
    <row r="312" spans="1:31" hidden="1" outlineLevel="1">
      <c r="A312" s="97">
        <v>43398</v>
      </c>
      <c r="B312" s="98">
        <f t="shared" si="76"/>
        <v>10</v>
      </c>
      <c r="C312" s="35"/>
      <c r="D312" s="36"/>
      <c r="E312" s="43"/>
      <c r="F312" s="44"/>
      <c r="G312" s="51"/>
      <c r="H312" s="52"/>
      <c r="I312" s="58"/>
      <c r="J312" s="17"/>
      <c r="K312" s="101"/>
      <c r="L312" s="35"/>
      <c r="M312" s="36"/>
      <c r="N312" s="43"/>
      <c r="O312" s="44"/>
      <c r="P312" s="51"/>
      <c r="Q312" s="52"/>
      <c r="R312" s="58"/>
      <c r="S312" s="17"/>
      <c r="T312" s="101"/>
      <c r="U312" s="35"/>
      <c r="V312" s="36"/>
      <c r="W312" s="43">
        <f t="shared" si="69"/>
        <v>0</v>
      </c>
      <c r="X312" s="44">
        <f t="shared" si="70"/>
        <v>0</v>
      </c>
      <c r="Y312" s="51"/>
      <c r="Z312" s="52"/>
      <c r="AA312" s="58">
        <f t="shared" si="71"/>
        <v>0</v>
      </c>
      <c r="AB312" s="17">
        <f t="shared" si="72"/>
        <v>0</v>
      </c>
      <c r="AC312" s="101"/>
      <c r="AD312" s="359">
        <f t="shared" si="74"/>
        <v>0</v>
      </c>
      <c r="AE312" s="435">
        <f t="shared" si="75"/>
        <v>0</v>
      </c>
    </row>
    <row r="313" spans="1:31" hidden="1" outlineLevel="1">
      <c r="A313" s="97">
        <v>43399</v>
      </c>
      <c r="B313" s="98">
        <f t="shared" si="76"/>
        <v>10</v>
      </c>
      <c r="C313" s="35"/>
      <c r="D313" s="36"/>
      <c r="E313" s="43"/>
      <c r="F313" s="44"/>
      <c r="G313" s="51"/>
      <c r="H313" s="52"/>
      <c r="I313" s="58"/>
      <c r="J313" s="17"/>
      <c r="K313" s="101"/>
      <c r="L313" s="35"/>
      <c r="M313" s="36"/>
      <c r="N313" s="43"/>
      <c r="O313" s="44"/>
      <c r="P313" s="51"/>
      <c r="Q313" s="52"/>
      <c r="R313" s="58"/>
      <c r="S313" s="17"/>
      <c r="T313" s="101"/>
      <c r="U313" s="35"/>
      <c r="V313" s="36"/>
      <c r="W313" s="43">
        <f t="shared" si="69"/>
        <v>0</v>
      </c>
      <c r="X313" s="44">
        <f t="shared" si="70"/>
        <v>0</v>
      </c>
      <c r="Y313" s="51"/>
      <c r="Z313" s="52"/>
      <c r="AA313" s="58">
        <f t="shared" si="71"/>
        <v>0</v>
      </c>
      <c r="AB313" s="17">
        <f t="shared" si="72"/>
        <v>0</v>
      </c>
      <c r="AC313" s="101"/>
      <c r="AD313" s="359">
        <f t="shared" si="74"/>
        <v>0</v>
      </c>
      <c r="AE313" s="435">
        <f t="shared" si="75"/>
        <v>0</v>
      </c>
    </row>
    <row r="314" spans="1:31" hidden="1" outlineLevel="1">
      <c r="A314" s="97">
        <v>43400</v>
      </c>
      <c r="B314" s="98">
        <f t="shared" si="76"/>
        <v>10</v>
      </c>
      <c r="C314" s="35"/>
      <c r="D314" s="36"/>
      <c r="E314" s="43"/>
      <c r="F314" s="44"/>
      <c r="G314" s="51"/>
      <c r="H314" s="52"/>
      <c r="I314" s="58"/>
      <c r="J314" s="17"/>
      <c r="K314" s="101"/>
      <c r="L314" s="35"/>
      <c r="M314" s="36"/>
      <c r="N314" s="43"/>
      <c r="O314" s="44"/>
      <c r="P314" s="51"/>
      <c r="Q314" s="52"/>
      <c r="R314" s="58"/>
      <c r="S314" s="17"/>
      <c r="T314" s="101"/>
      <c r="U314" s="35"/>
      <c r="V314" s="36"/>
      <c r="W314" s="43">
        <f t="shared" si="69"/>
        <v>0</v>
      </c>
      <c r="X314" s="44">
        <f t="shared" si="70"/>
        <v>0</v>
      </c>
      <c r="Y314" s="51"/>
      <c r="Z314" s="52"/>
      <c r="AA314" s="58">
        <f t="shared" si="71"/>
        <v>0</v>
      </c>
      <c r="AB314" s="17">
        <f t="shared" si="72"/>
        <v>0</v>
      </c>
      <c r="AC314" s="101"/>
      <c r="AD314" s="359">
        <f t="shared" si="74"/>
        <v>0</v>
      </c>
      <c r="AE314" s="435">
        <f t="shared" si="75"/>
        <v>0</v>
      </c>
    </row>
    <row r="315" spans="1:31" hidden="1" outlineLevel="1">
      <c r="A315" s="97">
        <v>43401</v>
      </c>
      <c r="B315" s="98">
        <f t="shared" si="76"/>
        <v>10</v>
      </c>
      <c r="C315" s="35"/>
      <c r="D315" s="36"/>
      <c r="E315" s="43"/>
      <c r="F315" s="44"/>
      <c r="G315" s="51"/>
      <c r="H315" s="52"/>
      <c r="I315" s="58"/>
      <c r="J315" s="17"/>
      <c r="K315" s="101"/>
      <c r="L315" s="35"/>
      <c r="M315" s="36"/>
      <c r="N315" s="43"/>
      <c r="O315" s="44"/>
      <c r="P315" s="51"/>
      <c r="Q315" s="52"/>
      <c r="R315" s="58"/>
      <c r="S315" s="17"/>
      <c r="T315" s="101"/>
      <c r="U315" s="35"/>
      <c r="V315" s="36"/>
      <c r="W315" s="43">
        <f t="shared" si="69"/>
        <v>0</v>
      </c>
      <c r="X315" s="44">
        <f t="shared" si="70"/>
        <v>0</v>
      </c>
      <c r="Y315" s="51"/>
      <c r="Z315" s="52"/>
      <c r="AA315" s="58">
        <f t="shared" si="71"/>
        <v>0</v>
      </c>
      <c r="AB315" s="17">
        <f t="shared" si="72"/>
        <v>0</v>
      </c>
      <c r="AC315" s="101"/>
      <c r="AD315" s="359">
        <f t="shared" si="74"/>
        <v>0</v>
      </c>
      <c r="AE315" s="435">
        <f t="shared" si="75"/>
        <v>0</v>
      </c>
    </row>
    <row r="316" spans="1:31" hidden="1" outlineLevel="1">
      <c r="A316" s="97">
        <v>43402</v>
      </c>
      <c r="B316" s="98">
        <f t="shared" si="76"/>
        <v>10</v>
      </c>
      <c r="C316" s="35"/>
      <c r="D316" s="36"/>
      <c r="E316" s="43"/>
      <c r="F316" s="44"/>
      <c r="G316" s="51"/>
      <c r="H316" s="52"/>
      <c r="I316" s="58"/>
      <c r="J316" s="17"/>
      <c r="K316" s="101"/>
      <c r="L316" s="35"/>
      <c r="M316" s="36"/>
      <c r="N316" s="43"/>
      <c r="O316" s="44"/>
      <c r="P316" s="51"/>
      <c r="Q316" s="52"/>
      <c r="R316" s="58"/>
      <c r="S316" s="17"/>
      <c r="T316" s="101"/>
      <c r="U316" s="35"/>
      <c r="V316" s="36"/>
      <c r="W316" s="43">
        <f t="shared" si="69"/>
        <v>0</v>
      </c>
      <c r="X316" s="44">
        <f t="shared" si="70"/>
        <v>0</v>
      </c>
      <c r="Y316" s="51"/>
      <c r="Z316" s="52"/>
      <c r="AA316" s="58">
        <f t="shared" si="71"/>
        <v>0</v>
      </c>
      <c r="AB316" s="17">
        <f t="shared" si="72"/>
        <v>0</v>
      </c>
      <c r="AC316" s="101"/>
      <c r="AD316" s="359">
        <f t="shared" si="74"/>
        <v>0</v>
      </c>
      <c r="AE316" s="435">
        <f t="shared" si="75"/>
        <v>0</v>
      </c>
    </row>
    <row r="317" spans="1:31" hidden="1" outlineLevel="1">
      <c r="A317" s="97">
        <v>43403</v>
      </c>
      <c r="B317" s="98">
        <f t="shared" si="76"/>
        <v>10</v>
      </c>
      <c r="C317" s="35"/>
      <c r="D317" s="36"/>
      <c r="E317" s="43"/>
      <c r="F317" s="44"/>
      <c r="G317" s="51"/>
      <c r="H317" s="52"/>
      <c r="I317" s="58"/>
      <c r="J317" s="17"/>
      <c r="K317" s="101"/>
      <c r="L317" s="35"/>
      <c r="M317" s="36"/>
      <c r="N317" s="43"/>
      <c r="O317" s="44"/>
      <c r="P317" s="51"/>
      <c r="Q317" s="52"/>
      <c r="R317" s="58"/>
      <c r="S317" s="17"/>
      <c r="T317" s="101"/>
      <c r="U317" s="35"/>
      <c r="V317" s="36"/>
      <c r="W317" s="43">
        <f t="shared" si="69"/>
        <v>0</v>
      </c>
      <c r="X317" s="44">
        <f t="shared" si="70"/>
        <v>0</v>
      </c>
      <c r="Y317" s="51"/>
      <c r="Z317" s="52"/>
      <c r="AA317" s="58">
        <f t="shared" si="71"/>
        <v>0</v>
      </c>
      <c r="AB317" s="17">
        <f t="shared" si="72"/>
        <v>0</v>
      </c>
      <c r="AC317" s="101"/>
      <c r="AD317" s="359">
        <f t="shared" si="74"/>
        <v>0</v>
      </c>
      <c r="AE317" s="435">
        <f t="shared" si="75"/>
        <v>0</v>
      </c>
    </row>
    <row r="318" spans="1:31" hidden="1" outlineLevel="1">
      <c r="A318" s="97">
        <v>43404</v>
      </c>
      <c r="B318" s="98">
        <f t="shared" si="76"/>
        <v>10</v>
      </c>
      <c r="C318" s="35"/>
      <c r="D318" s="36"/>
      <c r="E318" s="43"/>
      <c r="F318" s="44"/>
      <c r="G318" s="51"/>
      <c r="H318" s="52"/>
      <c r="I318" s="58"/>
      <c r="J318" s="17"/>
      <c r="K318" s="101"/>
      <c r="L318" s="35"/>
      <c r="M318" s="36"/>
      <c r="N318" s="43"/>
      <c r="O318" s="44"/>
      <c r="P318" s="51"/>
      <c r="Q318" s="52"/>
      <c r="R318" s="58"/>
      <c r="S318" s="17"/>
      <c r="T318" s="101"/>
      <c r="U318" s="35"/>
      <c r="V318" s="36"/>
      <c r="W318" s="43">
        <f t="shared" si="69"/>
        <v>0</v>
      </c>
      <c r="X318" s="44">
        <f t="shared" si="70"/>
        <v>0</v>
      </c>
      <c r="Y318" s="51"/>
      <c r="Z318" s="52"/>
      <c r="AA318" s="58">
        <f t="shared" si="71"/>
        <v>0</v>
      </c>
      <c r="AB318" s="17">
        <f t="shared" si="72"/>
        <v>0</v>
      </c>
      <c r="AC318" s="101"/>
      <c r="AD318" s="359">
        <f t="shared" si="74"/>
        <v>0</v>
      </c>
      <c r="AE318" s="435">
        <f t="shared" si="75"/>
        <v>0</v>
      </c>
    </row>
    <row r="319" spans="1:31" collapsed="1">
      <c r="A319" s="104"/>
      <c r="B319" s="104" t="s">
        <v>24</v>
      </c>
      <c r="C319" s="105"/>
      <c r="D319" s="106"/>
      <c r="E319" s="107">
        <f t="shared" ref="D319:AB319" si="77">SUBTOTAL(9,E320:E349)</f>
        <v>0</v>
      </c>
      <c r="F319" s="108">
        <f t="shared" si="77"/>
        <v>0</v>
      </c>
      <c r="G319" s="109"/>
      <c r="H319" s="110"/>
      <c r="I319" s="111">
        <f t="shared" si="77"/>
        <v>0</v>
      </c>
      <c r="J319" s="14">
        <f t="shared" si="77"/>
        <v>0</v>
      </c>
      <c r="K319" s="103"/>
      <c r="L319" s="105"/>
      <c r="M319" s="106"/>
      <c r="N319" s="107">
        <f t="shared" si="77"/>
        <v>0</v>
      </c>
      <c r="O319" s="108">
        <f t="shared" si="77"/>
        <v>0</v>
      </c>
      <c r="P319" s="109"/>
      <c r="Q319" s="110"/>
      <c r="R319" s="111">
        <f t="shared" si="77"/>
        <v>0</v>
      </c>
      <c r="S319" s="14">
        <f t="shared" si="77"/>
        <v>0</v>
      </c>
      <c r="T319" s="103"/>
      <c r="U319" s="105"/>
      <c r="V319" s="106"/>
      <c r="W319" s="107">
        <f t="shared" si="77"/>
        <v>0</v>
      </c>
      <c r="X319" s="108">
        <f t="shared" si="77"/>
        <v>0</v>
      </c>
      <c r="Y319" s="109"/>
      <c r="Z319" s="110"/>
      <c r="AA319" s="111">
        <f t="shared" si="77"/>
        <v>0</v>
      </c>
      <c r="AB319" s="14">
        <f t="shared" si="77"/>
        <v>0</v>
      </c>
      <c r="AC319" s="103"/>
      <c r="AD319" s="359"/>
      <c r="AE319" s="435"/>
    </row>
    <row r="320" spans="1:31" hidden="1" outlineLevel="1">
      <c r="A320" s="114">
        <v>43405</v>
      </c>
      <c r="B320" s="115">
        <f t="shared" si="76"/>
        <v>11</v>
      </c>
      <c r="C320" s="35"/>
      <c r="D320" s="36"/>
      <c r="E320" s="43"/>
      <c r="F320" s="44"/>
      <c r="G320" s="51"/>
      <c r="H320" s="52"/>
      <c r="I320" s="58"/>
      <c r="J320" s="17"/>
      <c r="K320" s="101"/>
      <c r="L320" s="35"/>
      <c r="M320" s="36"/>
      <c r="N320" s="43"/>
      <c r="O320" s="44"/>
      <c r="P320" s="51"/>
      <c r="Q320" s="52"/>
      <c r="R320" s="58"/>
      <c r="S320" s="17"/>
      <c r="T320" s="101"/>
      <c r="U320" s="35"/>
      <c r="V320" s="36"/>
      <c r="W320" s="43">
        <f t="shared" si="69"/>
        <v>0</v>
      </c>
      <c r="X320" s="44">
        <f t="shared" si="70"/>
        <v>0</v>
      </c>
      <c r="Y320" s="51"/>
      <c r="Z320" s="52"/>
      <c r="AA320" s="58">
        <f t="shared" si="71"/>
        <v>0</v>
      </c>
      <c r="AB320" s="17">
        <f t="shared" si="72"/>
        <v>0</v>
      </c>
      <c r="AC320" s="101"/>
      <c r="AD320" s="359">
        <f t="shared" si="74"/>
        <v>0</v>
      </c>
      <c r="AE320" s="435">
        <f t="shared" si="75"/>
        <v>0</v>
      </c>
    </row>
    <row r="321" spans="1:31" hidden="1" outlineLevel="1">
      <c r="A321" s="114">
        <v>43406</v>
      </c>
      <c r="B321" s="115">
        <f t="shared" si="76"/>
        <v>11</v>
      </c>
      <c r="C321" s="35"/>
      <c r="D321" s="36"/>
      <c r="E321" s="43"/>
      <c r="F321" s="44"/>
      <c r="G321" s="51"/>
      <c r="H321" s="52"/>
      <c r="I321" s="58"/>
      <c r="J321" s="17"/>
      <c r="K321" s="101"/>
      <c r="L321" s="35"/>
      <c r="M321" s="36"/>
      <c r="N321" s="43"/>
      <c r="O321" s="44"/>
      <c r="P321" s="51"/>
      <c r="Q321" s="52"/>
      <c r="R321" s="58"/>
      <c r="S321" s="17"/>
      <c r="T321" s="101"/>
      <c r="U321" s="35"/>
      <c r="V321" s="36"/>
      <c r="W321" s="43">
        <f t="shared" si="69"/>
        <v>0</v>
      </c>
      <c r="X321" s="44">
        <f t="shared" si="70"/>
        <v>0</v>
      </c>
      <c r="Y321" s="51"/>
      <c r="Z321" s="52"/>
      <c r="AA321" s="58">
        <f t="shared" si="71"/>
        <v>0</v>
      </c>
      <c r="AB321" s="17">
        <f t="shared" si="72"/>
        <v>0</v>
      </c>
      <c r="AC321" s="101"/>
      <c r="AD321" s="359">
        <f t="shared" si="74"/>
        <v>0</v>
      </c>
      <c r="AE321" s="435">
        <f t="shared" si="75"/>
        <v>0</v>
      </c>
    </row>
    <row r="322" spans="1:31" hidden="1" outlineLevel="1">
      <c r="A322" s="114">
        <v>43407</v>
      </c>
      <c r="B322" s="115">
        <f t="shared" si="76"/>
        <v>11</v>
      </c>
      <c r="C322" s="35"/>
      <c r="D322" s="36"/>
      <c r="E322" s="43"/>
      <c r="F322" s="44"/>
      <c r="G322" s="51"/>
      <c r="H322" s="52"/>
      <c r="I322" s="58"/>
      <c r="J322" s="17"/>
      <c r="K322" s="101"/>
      <c r="L322" s="35"/>
      <c r="M322" s="36"/>
      <c r="N322" s="43"/>
      <c r="O322" s="44"/>
      <c r="P322" s="51"/>
      <c r="Q322" s="52"/>
      <c r="R322" s="58"/>
      <c r="S322" s="17"/>
      <c r="T322" s="101"/>
      <c r="U322" s="35"/>
      <c r="V322" s="36"/>
      <c r="W322" s="43">
        <f t="shared" si="69"/>
        <v>0</v>
      </c>
      <c r="X322" s="44">
        <f t="shared" si="70"/>
        <v>0</v>
      </c>
      <c r="Y322" s="51"/>
      <c r="Z322" s="52"/>
      <c r="AA322" s="58">
        <f t="shared" si="71"/>
        <v>0</v>
      </c>
      <c r="AB322" s="17">
        <f t="shared" si="72"/>
        <v>0</v>
      </c>
      <c r="AC322" s="101"/>
      <c r="AD322" s="359">
        <f t="shared" si="74"/>
        <v>0</v>
      </c>
      <c r="AE322" s="435">
        <f t="shared" si="75"/>
        <v>0</v>
      </c>
    </row>
    <row r="323" spans="1:31" hidden="1" outlineLevel="1">
      <c r="A323" s="114">
        <v>43408</v>
      </c>
      <c r="B323" s="115">
        <f t="shared" si="76"/>
        <v>11</v>
      </c>
      <c r="C323" s="35"/>
      <c r="D323" s="36"/>
      <c r="E323" s="43"/>
      <c r="F323" s="44"/>
      <c r="G323" s="51"/>
      <c r="H323" s="52"/>
      <c r="I323" s="58"/>
      <c r="J323" s="17"/>
      <c r="K323" s="101"/>
      <c r="L323" s="35"/>
      <c r="M323" s="36"/>
      <c r="N323" s="43"/>
      <c r="O323" s="44"/>
      <c r="P323" s="51"/>
      <c r="Q323" s="52"/>
      <c r="R323" s="58"/>
      <c r="S323" s="17"/>
      <c r="T323" s="101"/>
      <c r="U323" s="35"/>
      <c r="V323" s="36"/>
      <c r="W323" s="43">
        <f t="shared" si="69"/>
        <v>0</v>
      </c>
      <c r="X323" s="44">
        <f t="shared" si="70"/>
        <v>0</v>
      </c>
      <c r="Y323" s="51"/>
      <c r="Z323" s="52"/>
      <c r="AA323" s="58">
        <f t="shared" si="71"/>
        <v>0</v>
      </c>
      <c r="AB323" s="17">
        <f t="shared" si="72"/>
        <v>0</v>
      </c>
      <c r="AC323" s="101"/>
      <c r="AD323" s="359">
        <f t="shared" si="74"/>
        <v>0</v>
      </c>
      <c r="AE323" s="435">
        <f t="shared" si="75"/>
        <v>0</v>
      </c>
    </row>
    <row r="324" spans="1:31" hidden="1" outlineLevel="1">
      <c r="A324" s="114">
        <v>43409</v>
      </c>
      <c r="B324" s="115">
        <f t="shared" si="76"/>
        <v>11</v>
      </c>
      <c r="C324" s="35"/>
      <c r="D324" s="36"/>
      <c r="E324" s="43"/>
      <c r="F324" s="44"/>
      <c r="G324" s="51"/>
      <c r="H324" s="52"/>
      <c r="I324" s="58"/>
      <c r="J324" s="17"/>
      <c r="K324" s="101"/>
      <c r="L324" s="35"/>
      <c r="M324" s="36"/>
      <c r="N324" s="43"/>
      <c r="O324" s="44"/>
      <c r="P324" s="51"/>
      <c r="Q324" s="52"/>
      <c r="R324" s="58"/>
      <c r="S324" s="17"/>
      <c r="T324" s="101"/>
      <c r="U324" s="35"/>
      <c r="V324" s="36"/>
      <c r="W324" s="43">
        <f t="shared" si="69"/>
        <v>0</v>
      </c>
      <c r="X324" s="44">
        <f t="shared" si="70"/>
        <v>0</v>
      </c>
      <c r="Y324" s="51"/>
      <c r="Z324" s="52"/>
      <c r="AA324" s="58">
        <f t="shared" si="71"/>
        <v>0</v>
      </c>
      <c r="AB324" s="17">
        <f t="shared" si="72"/>
        <v>0</v>
      </c>
      <c r="AC324" s="101"/>
      <c r="AD324" s="359">
        <f t="shared" si="74"/>
        <v>0</v>
      </c>
      <c r="AE324" s="435">
        <f t="shared" si="75"/>
        <v>0</v>
      </c>
    </row>
    <row r="325" spans="1:31" hidden="1" outlineLevel="1">
      <c r="A325" s="114">
        <v>43410</v>
      </c>
      <c r="B325" s="115">
        <f t="shared" si="76"/>
        <v>11</v>
      </c>
      <c r="C325" s="35"/>
      <c r="D325" s="36"/>
      <c r="E325" s="43"/>
      <c r="F325" s="44"/>
      <c r="G325" s="51"/>
      <c r="H325" s="52"/>
      <c r="I325" s="58"/>
      <c r="J325" s="17"/>
      <c r="K325" s="101"/>
      <c r="L325" s="35"/>
      <c r="M325" s="36"/>
      <c r="N325" s="43"/>
      <c r="O325" s="44"/>
      <c r="P325" s="51"/>
      <c r="Q325" s="52"/>
      <c r="R325" s="58"/>
      <c r="S325" s="17"/>
      <c r="T325" s="101"/>
      <c r="U325" s="35"/>
      <c r="V325" s="36"/>
      <c r="W325" s="43">
        <f t="shared" si="69"/>
        <v>0</v>
      </c>
      <c r="X325" s="44">
        <f t="shared" si="70"/>
        <v>0</v>
      </c>
      <c r="Y325" s="51"/>
      <c r="Z325" s="52"/>
      <c r="AA325" s="58">
        <f t="shared" si="71"/>
        <v>0</v>
      </c>
      <c r="AB325" s="17">
        <f t="shared" si="72"/>
        <v>0</v>
      </c>
      <c r="AC325" s="101"/>
      <c r="AD325" s="359">
        <f t="shared" si="74"/>
        <v>0</v>
      </c>
      <c r="AE325" s="435">
        <f t="shared" si="75"/>
        <v>0</v>
      </c>
    </row>
    <row r="326" spans="1:31" hidden="1" outlineLevel="1">
      <c r="A326" s="114">
        <v>43411</v>
      </c>
      <c r="B326" s="115">
        <f t="shared" si="76"/>
        <v>11</v>
      </c>
      <c r="C326" s="35"/>
      <c r="D326" s="36"/>
      <c r="E326" s="43"/>
      <c r="F326" s="44"/>
      <c r="G326" s="51"/>
      <c r="H326" s="52"/>
      <c r="I326" s="58"/>
      <c r="J326" s="17"/>
      <c r="K326" s="101"/>
      <c r="L326" s="35"/>
      <c r="M326" s="36"/>
      <c r="N326" s="43"/>
      <c r="O326" s="44"/>
      <c r="P326" s="51"/>
      <c r="Q326" s="52"/>
      <c r="R326" s="58"/>
      <c r="S326" s="17"/>
      <c r="T326" s="101"/>
      <c r="U326" s="35"/>
      <c r="V326" s="36"/>
      <c r="W326" s="43">
        <f t="shared" si="69"/>
        <v>0</v>
      </c>
      <c r="X326" s="44">
        <f t="shared" si="70"/>
        <v>0</v>
      </c>
      <c r="Y326" s="51"/>
      <c r="Z326" s="52"/>
      <c r="AA326" s="58">
        <f t="shared" si="71"/>
        <v>0</v>
      </c>
      <c r="AB326" s="17">
        <f t="shared" si="72"/>
        <v>0</v>
      </c>
      <c r="AC326" s="101"/>
      <c r="AD326" s="359">
        <f t="shared" si="74"/>
        <v>0</v>
      </c>
      <c r="AE326" s="435">
        <f t="shared" si="75"/>
        <v>0</v>
      </c>
    </row>
    <row r="327" spans="1:31" hidden="1" outlineLevel="1">
      <c r="A327" s="114">
        <v>43412</v>
      </c>
      <c r="B327" s="115">
        <f t="shared" si="76"/>
        <v>11</v>
      </c>
      <c r="C327" s="35"/>
      <c r="D327" s="36"/>
      <c r="E327" s="43"/>
      <c r="F327" s="44"/>
      <c r="G327" s="51"/>
      <c r="H327" s="52"/>
      <c r="I327" s="58"/>
      <c r="J327" s="17"/>
      <c r="K327" s="101"/>
      <c r="L327" s="35"/>
      <c r="M327" s="36"/>
      <c r="N327" s="43"/>
      <c r="O327" s="44"/>
      <c r="P327" s="51"/>
      <c r="Q327" s="52"/>
      <c r="R327" s="58"/>
      <c r="S327" s="17"/>
      <c r="T327" s="101"/>
      <c r="U327" s="35"/>
      <c r="V327" s="36"/>
      <c r="W327" s="43">
        <f t="shared" si="69"/>
        <v>0</v>
      </c>
      <c r="X327" s="44">
        <f t="shared" si="70"/>
        <v>0</v>
      </c>
      <c r="Y327" s="51"/>
      <c r="Z327" s="52"/>
      <c r="AA327" s="58">
        <f t="shared" si="71"/>
        <v>0</v>
      </c>
      <c r="AB327" s="17">
        <f t="shared" si="72"/>
        <v>0</v>
      </c>
      <c r="AC327" s="101"/>
      <c r="AD327" s="359">
        <f t="shared" si="74"/>
        <v>0</v>
      </c>
      <c r="AE327" s="435">
        <f t="shared" si="75"/>
        <v>0</v>
      </c>
    </row>
    <row r="328" spans="1:31" hidden="1" outlineLevel="1">
      <c r="A328" s="114">
        <v>43413</v>
      </c>
      <c r="B328" s="115">
        <f t="shared" si="76"/>
        <v>11</v>
      </c>
      <c r="C328" s="35"/>
      <c r="D328" s="36"/>
      <c r="E328" s="43"/>
      <c r="F328" s="44"/>
      <c r="G328" s="51"/>
      <c r="H328" s="52"/>
      <c r="I328" s="58"/>
      <c r="J328" s="17"/>
      <c r="K328" s="101"/>
      <c r="L328" s="35"/>
      <c r="M328" s="36"/>
      <c r="N328" s="43"/>
      <c r="O328" s="44"/>
      <c r="P328" s="51"/>
      <c r="Q328" s="52"/>
      <c r="R328" s="58"/>
      <c r="S328" s="17"/>
      <c r="T328" s="101"/>
      <c r="U328" s="35"/>
      <c r="V328" s="36"/>
      <c r="W328" s="43">
        <f t="shared" si="69"/>
        <v>0</v>
      </c>
      <c r="X328" s="44">
        <f t="shared" si="70"/>
        <v>0</v>
      </c>
      <c r="Y328" s="51"/>
      <c r="Z328" s="52"/>
      <c r="AA328" s="58">
        <f t="shared" si="71"/>
        <v>0</v>
      </c>
      <c r="AB328" s="17">
        <f t="shared" si="72"/>
        <v>0</v>
      </c>
      <c r="AC328" s="101"/>
      <c r="AD328" s="359">
        <f t="shared" si="74"/>
        <v>0</v>
      </c>
      <c r="AE328" s="435">
        <f t="shared" si="75"/>
        <v>0</v>
      </c>
    </row>
    <row r="329" spans="1:31" hidden="1" outlineLevel="1">
      <c r="A329" s="114">
        <v>43414</v>
      </c>
      <c r="B329" s="115">
        <f t="shared" si="76"/>
        <v>11</v>
      </c>
      <c r="C329" s="35"/>
      <c r="D329" s="36"/>
      <c r="E329" s="43"/>
      <c r="F329" s="44"/>
      <c r="G329" s="51"/>
      <c r="H329" s="52"/>
      <c r="I329" s="58"/>
      <c r="J329" s="17"/>
      <c r="K329" s="101"/>
      <c r="L329" s="35"/>
      <c r="M329" s="36"/>
      <c r="N329" s="43"/>
      <c r="O329" s="44"/>
      <c r="P329" s="51"/>
      <c r="Q329" s="52"/>
      <c r="R329" s="58"/>
      <c r="S329" s="17"/>
      <c r="T329" s="101"/>
      <c r="U329" s="35"/>
      <c r="V329" s="36"/>
      <c r="W329" s="43">
        <f t="shared" si="69"/>
        <v>0</v>
      </c>
      <c r="X329" s="44">
        <f t="shared" si="70"/>
        <v>0</v>
      </c>
      <c r="Y329" s="51"/>
      <c r="Z329" s="52"/>
      <c r="AA329" s="58">
        <f t="shared" si="71"/>
        <v>0</v>
      </c>
      <c r="AB329" s="17">
        <f t="shared" si="72"/>
        <v>0</v>
      </c>
      <c r="AC329" s="101"/>
      <c r="AD329" s="359">
        <f t="shared" si="74"/>
        <v>0</v>
      </c>
      <c r="AE329" s="435">
        <f t="shared" si="75"/>
        <v>0</v>
      </c>
    </row>
    <row r="330" spans="1:31" hidden="1" outlineLevel="1">
      <c r="A330" s="114">
        <v>43415</v>
      </c>
      <c r="B330" s="115">
        <f t="shared" si="76"/>
        <v>11</v>
      </c>
      <c r="C330" s="35"/>
      <c r="D330" s="36"/>
      <c r="E330" s="43"/>
      <c r="F330" s="44"/>
      <c r="G330" s="51"/>
      <c r="H330" s="52"/>
      <c r="I330" s="58"/>
      <c r="J330" s="17"/>
      <c r="K330" s="101"/>
      <c r="L330" s="35"/>
      <c r="M330" s="36"/>
      <c r="N330" s="43"/>
      <c r="O330" s="44"/>
      <c r="P330" s="51"/>
      <c r="Q330" s="52"/>
      <c r="R330" s="58"/>
      <c r="S330" s="17"/>
      <c r="T330" s="101"/>
      <c r="U330" s="35"/>
      <c r="V330" s="36"/>
      <c r="W330" s="43">
        <f t="shared" si="69"/>
        <v>0</v>
      </c>
      <c r="X330" s="44">
        <f t="shared" si="70"/>
        <v>0</v>
      </c>
      <c r="Y330" s="51"/>
      <c r="Z330" s="52"/>
      <c r="AA330" s="58">
        <f t="shared" si="71"/>
        <v>0</v>
      </c>
      <c r="AB330" s="17">
        <f t="shared" si="72"/>
        <v>0</v>
      </c>
      <c r="AC330" s="101"/>
      <c r="AD330" s="359">
        <f t="shared" si="74"/>
        <v>0</v>
      </c>
      <c r="AE330" s="435">
        <f t="shared" si="75"/>
        <v>0</v>
      </c>
    </row>
    <row r="331" spans="1:31" hidden="1" outlineLevel="1">
      <c r="A331" s="114">
        <v>43416</v>
      </c>
      <c r="B331" s="115">
        <f t="shared" si="76"/>
        <v>11</v>
      </c>
      <c r="C331" s="35"/>
      <c r="D331" s="36"/>
      <c r="E331" s="43"/>
      <c r="F331" s="44"/>
      <c r="G331" s="51"/>
      <c r="H331" s="52"/>
      <c r="I331" s="58"/>
      <c r="J331" s="17"/>
      <c r="K331" s="101"/>
      <c r="L331" s="35"/>
      <c r="M331" s="36"/>
      <c r="N331" s="43"/>
      <c r="O331" s="44"/>
      <c r="P331" s="51"/>
      <c r="Q331" s="52"/>
      <c r="R331" s="58"/>
      <c r="S331" s="17"/>
      <c r="T331" s="101"/>
      <c r="U331" s="35"/>
      <c r="V331" s="36"/>
      <c r="W331" s="43">
        <f t="shared" si="69"/>
        <v>0</v>
      </c>
      <c r="X331" s="44">
        <f t="shared" si="70"/>
        <v>0</v>
      </c>
      <c r="Y331" s="51"/>
      <c r="Z331" s="52"/>
      <c r="AA331" s="58">
        <f t="shared" si="71"/>
        <v>0</v>
      </c>
      <c r="AB331" s="17">
        <f t="shared" si="72"/>
        <v>0</v>
      </c>
      <c r="AC331" s="101"/>
      <c r="AD331" s="359">
        <f t="shared" si="74"/>
        <v>0</v>
      </c>
      <c r="AE331" s="435">
        <f t="shared" si="75"/>
        <v>0</v>
      </c>
    </row>
    <row r="332" spans="1:31" hidden="1" outlineLevel="1">
      <c r="A332" s="114">
        <v>43417</v>
      </c>
      <c r="B332" s="115">
        <f t="shared" si="76"/>
        <v>11</v>
      </c>
      <c r="C332" s="35"/>
      <c r="D332" s="36"/>
      <c r="E332" s="43"/>
      <c r="F332" s="44"/>
      <c r="G332" s="51"/>
      <c r="H332" s="52"/>
      <c r="I332" s="58"/>
      <c r="J332" s="17"/>
      <c r="K332" s="101"/>
      <c r="L332" s="35"/>
      <c r="M332" s="36"/>
      <c r="N332" s="43"/>
      <c r="O332" s="44"/>
      <c r="P332" s="51"/>
      <c r="Q332" s="52"/>
      <c r="R332" s="58"/>
      <c r="S332" s="17"/>
      <c r="T332" s="101"/>
      <c r="U332" s="35"/>
      <c r="V332" s="36"/>
      <c r="W332" s="43">
        <f t="shared" si="69"/>
        <v>0</v>
      </c>
      <c r="X332" s="44">
        <f t="shared" si="70"/>
        <v>0</v>
      </c>
      <c r="Y332" s="51"/>
      <c r="Z332" s="52"/>
      <c r="AA332" s="58">
        <f t="shared" si="71"/>
        <v>0</v>
      </c>
      <c r="AB332" s="17">
        <f t="shared" si="72"/>
        <v>0</v>
      </c>
      <c r="AC332" s="101"/>
      <c r="AD332" s="359">
        <f t="shared" si="74"/>
        <v>0</v>
      </c>
      <c r="AE332" s="435">
        <f t="shared" si="75"/>
        <v>0</v>
      </c>
    </row>
    <row r="333" spans="1:31" hidden="1" outlineLevel="1">
      <c r="A333" s="114">
        <v>43418</v>
      </c>
      <c r="B333" s="115">
        <f t="shared" si="76"/>
        <v>11</v>
      </c>
      <c r="C333" s="35"/>
      <c r="D333" s="36"/>
      <c r="E333" s="43"/>
      <c r="F333" s="44"/>
      <c r="G333" s="51"/>
      <c r="H333" s="52"/>
      <c r="I333" s="58"/>
      <c r="J333" s="17"/>
      <c r="K333" s="101"/>
      <c r="L333" s="35"/>
      <c r="M333" s="36"/>
      <c r="N333" s="43"/>
      <c r="O333" s="44"/>
      <c r="P333" s="51"/>
      <c r="Q333" s="52"/>
      <c r="R333" s="58"/>
      <c r="S333" s="17"/>
      <c r="T333" s="101"/>
      <c r="U333" s="35"/>
      <c r="V333" s="36"/>
      <c r="W333" s="43">
        <f t="shared" si="69"/>
        <v>0</v>
      </c>
      <c r="X333" s="44">
        <f t="shared" si="70"/>
        <v>0</v>
      </c>
      <c r="Y333" s="51"/>
      <c r="Z333" s="52"/>
      <c r="AA333" s="58">
        <f t="shared" si="71"/>
        <v>0</v>
      </c>
      <c r="AB333" s="17">
        <f t="shared" si="72"/>
        <v>0</v>
      </c>
      <c r="AC333" s="101"/>
      <c r="AD333" s="359">
        <f t="shared" si="74"/>
        <v>0</v>
      </c>
      <c r="AE333" s="435">
        <f t="shared" si="75"/>
        <v>0</v>
      </c>
    </row>
    <row r="334" spans="1:31" hidden="1" outlineLevel="1">
      <c r="A334" s="114">
        <v>43419</v>
      </c>
      <c r="B334" s="115">
        <f t="shared" si="76"/>
        <v>11</v>
      </c>
      <c r="C334" s="35"/>
      <c r="D334" s="36"/>
      <c r="E334" s="43"/>
      <c r="F334" s="44"/>
      <c r="G334" s="51"/>
      <c r="H334" s="52"/>
      <c r="I334" s="58"/>
      <c r="J334" s="17"/>
      <c r="K334" s="101"/>
      <c r="L334" s="35"/>
      <c r="M334" s="36"/>
      <c r="N334" s="43"/>
      <c r="O334" s="44"/>
      <c r="P334" s="51"/>
      <c r="Q334" s="52"/>
      <c r="R334" s="58"/>
      <c r="S334" s="17"/>
      <c r="T334" s="101"/>
      <c r="U334" s="35"/>
      <c r="V334" s="36"/>
      <c r="W334" s="43">
        <f t="shared" si="69"/>
        <v>0</v>
      </c>
      <c r="X334" s="44">
        <f t="shared" si="70"/>
        <v>0</v>
      </c>
      <c r="Y334" s="51"/>
      <c r="Z334" s="52"/>
      <c r="AA334" s="58">
        <f t="shared" si="71"/>
        <v>0</v>
      </c>
      <c r="AB334" s="17">
        <f t="shared" si="72"/>
        <v>0</v>
      </c>
      <c r="AC334" s="101"/>
      <c r="AD334" s="359">
        <f t="shared" si="74"/>
        <v>0</v>
      </c>
      <c r="AE334" s="435">
        <f t="shared" si="75"/>
        <v>0</v>
      </c>
    </row>
    <row r="335" spans="1:31" hidden="1" outlineLevel="1">
      <c r="A335" s="114">
        <v>43420</v>
      </c>
      <c r="B335" s="115">
        <f t="shared" si="76"/>
        <v>11</v>
      </c>
      <c r="C335" s="35"/>
      <c r="D335" s="36"/>
      <c r="E335" s="43"/>
      <c r="F335" s="44"/>
      <c r="G335" s="51"/>
      <c r="H335" s="52"/>
      <c r="I335" s="58"/>
      <c r="J335" s="17"/>
      <c r="K335" s="101"/>
      <c r="L335" s="35"/>
      <c r="M335" s="36"/>
      <c r="N335" s="43"/>
      <c r="O335" s="44"/>
      <c r="P335" s="51"/>
      <c r="Q335" s="52"/>
      <c r="R335" s="58"/>
      <c r="S335" s="17"/>
      <c r="T335" s="101"/>
      <c r="U335" s="35"/>
      <c r="V335" s="36"/>
      <c r="W335" s="43">
        <f t="shared" si="69"/>
        <v>0</v>
      </c>
      <c r="X335" s="44">
        <f t="shared" si="70"/>
        <v>0</v>
      </c>
      <c r="Y335" s="51"/>
      <c r="Z335" s="52"/>
      <c r="AA335" s="58">
        <f t="shared" si="71"/>
        <v>0</v>
      </c>
      <c r="AB335" s="17">
        <f t="shared" si="72"/>
        <v>0</v>
      </c>
      <c r="AC335" s="101"/>
      <c r="AD335" s="359">
        <f t="shared" si="74"/>
        <v>0</v>
      </c>
      <c r="AE335" s="435">
        <f t="shared" si="75"/>
        <v>0</v>
      </c>
    </row>
    <row r="336" spans="1:31" hidden="1" outlineLevel="1">
      <c r="A336" s="114">
        <v>43421</v>
      </c>
      <c r="B336" s="115">
        <f t="shared" si="76"/>
        <v>11</v>
      </c>
      <c r="C336" s="35"/>
      <c r="D336" s="36"/>
      <c r="E336" s="43"/>
      <c r="F336" s="44"/>
      <c r="G336" s="51"/>
      <c r="H336" s="52"/>
      <c r="I336" s="58"/>
      <c r="J336" s="17"/>
      <c r="K336" s="101"/>
      <c r="L336" s="35"/>
      <c r="M336" s="36"/>
      <c r="N336" s="43"/>
      <c r="O336" s="44"/>
      <c r="P336" s="51"/>
      <c r="Q336" s="52"/>
      <c r="R336" s="58"/>
      <c r="S336" s="17"/>
      <c r="T336" s="101"/>
      <c r="U336" s="35"/>
      <c r="V336" s="36"/>
      <c r="W336" s="43">
        <f t="shared" si="69"/>
        <v>0</v>
      </c>
      <c r="X336" s="44">
        <f t="shared" si="70"/>
        <v>0</v>
      </c>
      <c r="Y336" s="51"/>
      <c r="Z336" s="52"/>
      <c r="AA336" s="58">
        <f t="shared" si="71"/>
        <v>0</v>
      </c>
      <c r="AB336" s="17">
        <f t="shared" si="72"/>
        <v>0</v>
      </c>
      <c r="AC336" s="101"/>
      <c r="AD336" s="359">
        <f t="shared" si="74"/>
        <v>0</v>
      </c>
      <c r="AE336" s="435">
        <f t="shared" si="75"/>
        <v>0</v>
      </c>
    </row>
    <row r="337" spans="1:31" hidden="1" outlineLevel="1">
      <c r="A337" s="114">
        <v>43422</v>
      </c>
      <c r="B337" s="115">
        <f t="shared" si="76"/>
        <v>11</v>
      </c>
      <c r="C337" s="35"/>
      <c r="D337" s="36"/>
      <c r="E337" s="43"/>
      <c r="F337" s="44"/>
      <c r="G337" s="51"/>
      <c r="H337" s="52"/>
      <c r="I337" s="58"/>
      <c r="J337" s="17"/>
      <c r="K337" s="101"/>
      <c r="L337" s="35"/>
      <c r="M337" s="36"/>
      <c r="N337" s="43"/>
      <c r="O337" s="44"/>
      <c r="P337" s="51"/>
      <c r="Q337" s="52"/>
      <c r="R337" s="58"/>
      <c r="S337" s="17"/>
      <c r="T337" s="101"/>
      <c r="U337" s="35"/>
      <c r="V337" s="36"/>
      <c r="W337" s="43">
        <f t="shared" ref="W337:W381" si="78">E337-N337</f>
        <v>0</v>
      </c>
      <c r="X337" s="44">
        <f t="shared" ref="X337:X381" si="79">F337-O337</f>
        <v>0</v>
      </c>
      <c r="Y337" s="51"/>
      <c r="Z337" s="52"/>
      <c r="AA337" s="58">
        <f t="shared" ref="AA337:AA381" si="80">I337-R337</f>
        <v>0</v>
      </c>
      <c r="AB337" s="17">
        <f t="shared" ref="AB337:AB381" si="81">J337-S337</f>
        <v>0</v>
      </c>
      <c r="AC337" s="101"/>
      <c r="AD337" s="359">
        <f t="shared" si="74"/>
        <v>0</v>
      </c>
      <c r="AE337" s="435">
        <f t="shared" si="75"/>
        <v>0</v>
      </c>
    </row>
    <row r="338" spans="1:31" hidden="1" outlineLevel="1">
      <c r="A338" s="114">
        <v>43423</v>
      </c>
      <c r="B338" s="115">
        <f t="shared" si="76"/>
        <v>11</v>
      </c>
      <c r="C338" s="35"/>
      <c r="D338" s="36"/>
      <c r="E338" s="43"/>
      <c r="F338" s="44"/>
      <c r="G338" s="51"/>
      <c r="H338" s="52"/>
      <c r="I338" s="58"/>
      <c r="J338" s="17"/>
      <c r="K338" s="101"/>
      <c r="L338" s="35"/>
      <c r="M338" s="36"/>
      <c r="N338" s="43"/>
      <c r="O338" s="44"/>
      <c r="P338" s="51"/>
      <c r="Q338" s="52"/>
      <c r="R338" s="58"/>
      <c r="S338" s="17"/>
      <c r="T338" s="101"/>
      <c r="U338" s="35"/>
      <c r="V338" s="36"/>
      <c r="W338" s="43">
        <f t="shared" si="78"/>
        <v>0</v>
      </c>
      <c r="X338" s="44">
        <f t="shared" si="79"/>
        <v>0</v>
      </c>
      <c r="Y338" s="51"/>
      <c r="Z338" s="52"/>
      <c r="AA338" s="58">
        <f t="shared" si="80"/>
        <v>0</v>
      </c>
      <c r="AB338" s="17">
        <f t="shared" si="81"/>
        <v>0</v>
      </c>
      <c r="AC338" s="101"/>
      <c r="AD338" s="359">
        <f t="shared" si="74"/>
        <v>0</v>
      </c>
      <c r="AE338" s="435">
        <f t="shared" si="75"/>
        <v>0</v>
      </c>
    </row>
    <row r="339" spans="1:31" hidden="1" outlineLevel="1">
      <c r="A339" s="114">
        <v>43424</v>
      </c>
      <c r="B339" s="115">
        <f t="shared" si="76"/>
        <v>11</v>
      </c>
      <c r="C339" s="35"/>
      <c r="D339" s="36"/>
      <c r="E339" s="43"/>
      <c r="F339" s="44"/>
      <c r="G339" s="51"/>
      <c r="H339" s="52"/>
      <c r="I339" s="58"/>
      <c r="J339" s="17"/>
      <c r="K339" s="101"/>
      <c r="L339" s="35"/>
      <c r="M339" s="36"/>
      <c r="N339" s="43"/>
      <c r="O339" s="44"/>
      <c r="P339" s="51"/>
      <c r="Q339" s="52"/>
      <c r="R339" s="58"/>
      <c r="S339" s="17"/>
      <c r="T339" s="101"/>
      <c r="U339" s="35"/>
      <c r="V339" s="36"/>
      <c r="W339" s="43">
        <f t="shared" si="78"/>
        <v>0</v>
      </c>
      <c r="X339" s="44">
        <f t="shared" si="79"/>
        <v>0</v>
      </c>
      <c r="Y339" s="51"/>
      <c r="Z339" s="52"/>
      <c r="AA339" s="58">
        <f t="shared" si="80"/>
        <v>0</v>
      </c>
      <c r="AB339" s="17">
        <f t="shared" si="81"/>
        <v>0</v>
      </c>
      <c r="AC339" s="101"/>
      <c r="AD339" s="359">
        <f t="shared" si="74"/>
        <v>0</v>
      </c>
      <c r="AE339" s="435">
        <f t="shared" si="75"/>
        <v>0</v>
      </c>
    </row>
    <row r="340" spans="1:31" hidden="1" outlineLevel="1">
      <c r="A340" s="114">
        <v>43425</v>
      </c>
      <c r="B340" s="115">
        <f t="shared" si="76"/>
        <v>11</v>
      </c>
      <c r="C340" s="35"/>
      <c r="D340" s="36"/>
      <c r="E340" s="43"/>
      <c r="F340" s="44"/>
      <c r="G340" s="51"/>
      <c r="H340" s="52"/>
      <c r="I340" s="58"/>
      <c r="J340" s="17"/>
      <c r="K340" s="101"/>
      <c r="L340" s="35"/>
      <c r="M340" s="36"/>
      <c r="N340" s="43"/>
      <c r="O340" s="44"/>
      <c r="P340" s="51"/>
      <c r="Q340" s="52"/>
      <c r="R340" s="58"/>
      <c r="S340" s="17"/>
      <c r="T340" s="101"/>
      <c r="U340" s="35"/>
      <c r="V340" s="36"/>
      <c r="W340" s="43">
        <f t="shared" si="78"/>
        <v>0</v>
      </c>
      <c r="X340" s="44">
        <f t="shared" si="79"/>
        <v>0</v>
      </c>
      <c r="Y340" s="51"/>
      <c r="Z340" s="52"/>
      <c r="AA340" s="58">
        <f t="shared" si="80"/>
        <v>0</v>
      </c>
      <c r="AB340" s="17">
        <f t="shared" si="81"/>
        <v>0</v>
      </c>
      <c r="AC340" s="101"/>
      <c r="AD340" s="359">
        <f t="shared" si="74"/>
        <v>0</v>
      </c>
      <c r="AE340" s="435">
        <f t="shared" si="75"/>
        <v>0</v>
      </c>
    </row>
    <row r="341" spans="1:31" hidden="1" outlineLevel="1">
      <c r="A341" s="114">
        <v>43426</v>
      </c>
      <c r="B341" s="115">
        <f t="shared" si="76"/>
        <v>11</v>
      </c>
      <c r="C341" s="35"/>
      <c r="D341" s="36"/>
      <c r="E341" s="43"/>
      <c r="F341" s="44"/>
      <c r="G341" s="51"/>
      <c r="H341" s="52"/>
      <c r="I341" s="58"/>
      <c r="J341" s="17"/>
      <c r="K341" s="101"/>
      <c r="L341" s="35"/>
      <c r="M341" s="36"/>
      <c r="N341" s="43"/>
      <c r="O341" s="44"/>
      <c r="P341" s="51"/>
      <c r="Q341" s="52"/>
      <c r="R341" s="58"/>
      <c r="S341" s="17"/>
      <c r="T341" s="101"/>
      <c r="U341" s="35"/>
      <c r="V341" s="36"/>
      <c r="W341" s="43">
        <f t="shared" si="78"/>
        <v>0</v>
      </c>
      <c r="X341" s="44">
        <f t="shared" si="79"/>
        <v>0</v>
      </c>
      <c r="Y341" s="51"/>
      <c r="Z341" s="52"/>
      <c r="AA341" s="58">
        <f t="shared" si="80"/>
        <v>0</v>
      </c>
      <c r="AB341" s="17">
        <f t="shared" si="81"/>
        <v>0</v>
      </c>
      <c r="AC341" s="101"/>
      <c r="AD341" s="359">
        <f t="shared" si="74"/>
        <v>0</v>
      </c>
      <c r="AE341" s="435">
        <f t="shared" si="75"/>
        <v>0</v>
      </c>
    </row>
    <row r="342" spans="1:31" hidden="1" outlineLevel="1">
      <c r="A342" s="114">
        <v>43427</v>
      </c>
      <c r="B342" s="115">
        <f t="shared" si="76"/>
        <v>11</v>
      </c>
      <c r="C342" s="35"/>
      <c r="D342" s="36"/>
      <c r="E342" s="43"/>
      <c r="F342" s="44"/>
      <c r="G342" s="51"/>
      <c r="H342" s="52"/>
      <c r="I342" s="58"/>
      <c r="J342" s="17"/>
      <c r="K342" s="101"/>
      <c r="L342" s="35"/>
      <c r="M342" s="36"/>
      <c r="N342" s="43"/>
      <c r="O342" s="44"/>
      <c r="P342" s="51"/>
      <c r="Q342" s="52"/>
      <c r="R342" s="58"/>
      <c r="S342" s="17"/>
      <c r="T342" s="101"/>
      <c r="U342" s="35"/>
      <c r="V342" s="36"/>
      <c r="W342" s="43">
        <f t="shared" si="78"/>
        <v>0</v>
      </c>
      <c r="X342" s="44">
        <f t="shared" si="79"/>
        <v>0</v>
      </c>
      <c r="Y342" s="51"/>
      <c r="Z342" s="52"/>
      <c r="AA342" s="58">
        <f t="shared" si="80"/>
        <v>0</v>
      </c>
      <c r="AB342" s="17">
        <f t="shared" si="81"/>
        <v>0</v>
      </c>
      <c r="AC342" s="101"/>
      <c r="AD342" s="359">
        <f t="shared" si="74"/>
        <v>0</v>
      </c>
      <c r="AE342" s="435">
        <f t="shared" si="75"/>
        <v>0</v>
      </c>
    </row>
    <row r="343" spans="1:31" hidden="1" outlineLevel="1">
      <c r="A343" s="114">
        <v>43428</v>
      </c>
      <c r="B343" s="115">
        <f t="shared" si="76"/>
        <v>11</v>
      </c>
      <c r="C343" s="35"/>
      <c r="D343" s="36"/>
      <c r="E343" s="43"/>
      <c r="F343" s="44"/>
      <c r="G343" s="51"/>
      <c r="H343" s="52"/>
      <c r="I343" s="58"/>
      <c r="J343" s="17"/>
      <c r="K343" s="101"/>
      <c r="L343" s="35"/>
      <c r="M343" s="36"/>
      <c r="N343" s="43"/>
      <c r="O343" s="44"/>
      <c r="P343" s="51"/>
      <c r="Q343" s="52"/>
      <c r="R343" s="58"/>
      <c r="S343" s="17"/>
      <c r="T343" s="101"/>
      <c r="U343" s="35"/>
      <c r="V343" s="36"/>
      <c r="W343" s="43">
        <f t="shared" si="78"/>
        <v>0</v>
      </c>
      <c r="X343" s="44">
        <f t="shared" si="79"/>
        <v>0</v>
      </c>
      <c r="Y343" s="51"/>
      <c r="Z343" s="52"/>
      <c r="AA343" s="58">
        <f t="shared" si="80"/>
        <v>0</v>
      </c>
      <c r="AB343" s="17">
        <f t="shared" si="81"/>
        <v>0</v>
      </c>
      <c r="AC343" s="101"/>
      <c r="AD343" s="359">
        <f t="shared" si="74"/>
        <v>0</v>
      </c>
      <c r="AE343" s="435">
        <f t="shared" si="75"/>
        <v>0</v>
      </c>
    </row>
    <row r="344" spans="1:31" hidden="1" outlineLevel="1">
      <c r="A344" s="114">
        <v>43429</v>
      </c>
      <c r="B344" s="115">
        <f t="shared" si="76"/>
        <v>11</v>
      </c>
      <c r="C344" s="35"/>
      <c r="D344" s="36"/>
      <c r="E344" s="43"/>
      <c r="F344" s="44"/>
      <c r="G344" s="51"/>
      <c r="H344" s="52"/>
      <c r="I344" s="58"/>
      <c r="J344" s="17"/>
      <c r="K344" s="101"/>
      <c r="L344" s="35"/>
      <c r="M344" s="36"/>
      <c r="N344" s="43"/>
      <c r="O344" s="44"/>
      <c r="P344" s="51"/>
      <c r="Q344" s="52"/>
      <c r="R344" s="58"/>
      <c r="S344" s="17"/>
      <c r="T344" s="101"/>
      <c r="U344" s="35"/>
      <c r="V344" s="36"/>
      <c r="W344" s="43">
        <f t="shared" si="78"/>
        <v>0</v>
      </c>
      <c r="X344" s="44">
        <f t="shared" si="79"/>
        <v>0</v>
      </c>
      <c r="Y344" s="51"/>
      <c r="Z344" s="52"/>
      <c r="AA344" s="58">
        <f t="shared" si="80"/>
        <v>0</v>
      </c>
      <c r="AB344" s="17">
        <f t="shared" si="81"/>
        <v>0</v>
      </c>
      <c r="AC344" s="101"/>
      <c r="AD344" s="359">
        <f t="shared" si="74"/>
        <v>0</v>
      </c>
      <c r="AE344" s="435">
        <f t="shared" si="75"/>
        <v>0</v>
      </c>
    </row>
    <row r="345" spans="1:31" hidden="1" outlineLevel="1">
      <c r="A345" s="114">
        <v>43430</v>
      </c>
      <c r="B345" s="115">
        <f t="shared" si="76"/>
        <v>11</v>
      </c>
      <c r="C345" s="35"/>
      <c r="D345" s="36"/>
      <c r="E345" s="43"/>
      <c r="F345" s="44"/>
      <c r="G345" s="51"/>
      <c r="H345" s="52"/>
      <c r="I345" s="58"/>
      <c r="J345" s="17"/>
      <c r="K345" s="101"/>
      <c r="L345" s="35"/>
      <c r="M345" s="36"/>
      <c r="N345" s="43"/>
      <c r="O345" s="44"/>
      <c r="P345" s="51"/>
      <c r="Q345" s="52"/>
      <c r="R345" s="58"/>
      <c r="S345" s="17"/>
      <c r="T345" s="101"/>
      <c r="U345" s="35"/>
      <c r="V345" s="36"/>
      <c r="W345" s="43">
        <f t="shared" si="78"/>
        <v>0</v>
      </c>
      <c r="X345" s="44">
        <f t="shared" si="79"/>
        <v>0</v>
      </c>
      <c r="Y345" s="51"/>
      <c r="Z345" s="52"/>
      <c r="AA345" s="58">
        <f t="shared" si="80"/>
        <v>0</v>
      </c>
      <c r="AB345" s="17">
        <f t="shared" si="81"/>
        <v>0</v>
      </c>
      <c r="AC345" s="101"/>
      <c r="AD345" s="359">
        <f t="shared" si="74"/>
        <v>0</v>
      </c>
      <c r="AE345" s="435">
        <f t="shared" si="75"/>
        <v>0</v>
      </c>
    </row>
    <row r="346" spans="1:31" hidden="1" outlineLevel="1">
      <c r="A346" s="114">
        <v>43431</v>
      </c>
      <c r="B346" s="115">
        <f t="shared" si="76"/>
        <v>11</v>
      </c>
      <c r="C346" s="35"/>
      <c r="D346" s="36"/>
      <c r="E346" s="43"/>
      <c r="F346" s="44"/>
      <c r="G346" s="51"/>
      <c r="H346" s="52"/>
      <c r="I346" s="58"/>
      <c r="J346" s="17"/>
      <c r="K346" s="101"/>
      <c r="L346" s="35"/>
      <c r="M346" s="36"/>
      <c r="N346" s="43"/>
      <c r="O346" s="44"/>
      <c r="P346" s="51"/>
      <c r="Q346" s="52"/>
      <c r="R346" s="58"/>
      <c r="S346" s="17"/>
      <c r="T346" s="101"/>
      <c r="U346" s="35"/>
      <c r="V346" s="36"/>
      <c r="W346" s="43">
        <f t="shared" si="78"/>
        <v>0</v>
      </c>
      <c r="X346" s="44">
        <f t="shared" si="79"/>
        <v>0</v>
      </c>
      <c r="Y346" s="51"/>
      <c r="Z346" s="52"/>
      <c r="AA346" s="58">
        <f t="shared" si="80"/>
        <v>0</v>
      </c>
      <c r="AB346" s="17">
        <f t="shared" si="81"/>
        <v>0</v>
      </c>
      <c r="AC346" s="101"/>
      <c r="AD346" s="359">
        <f t="shared" si="74"/>
        <v>0</v>
      </c>
      <c r="AE346" s="435">
        <f t="shared" si="75"/>
        <v>0</v>
      </c>
    </row>
    <row r="347" spans="1:31" hidden="1" outlineLevel="1">
      <c r="A347" s="114">
        <v>43432</v>
      </c>
      <c r="B347" s="115">
        <f t="shared" si="76"/>
        <v>11</v>
      </c>
      <c r="C347" s="35"/>
      <c r="D347" s="36"/>
      <c r="E347" s="43"/>
      <c r="F347" s="44"/>
      <c r="G347" s="51"/>
      <c r="H347" s="52"/>
      <c r="I347" s="58"/>
      <c r="J347" s="17"/>
      <c r="K347" s="101"/>
      <c r="L347" s="35"/>
      <c r="M347" s="36"/>
      <c r="N347" s="43"/>
      <c r="O347" s="44"/>
      <c r="P347" s="51"/>
      <c r="Q347" s="52"/>
      <c r="R347" s="58"/>
      <c r="S347" s="17"/>
      <c r="T347" s="101"/>
      <c r="U347" s="35"/>
      <c r="V347" s="36"/>
      <c r="W347" s="43">
        <f t="shared" si="78"/>
        <v>0</v>
      </c>
      <c r="X347" s="44">
        <f t="shared" si="79"/>
        <v>0</v>
      </c>
      <c r="Y347" s="51"/>
      <c r="Z347" s="52"/>
      <c r="AA347" s="58">
        <f t="shared" si="80"/>
        <v>0</v>
      </c>
      <c r="AB347" s="17">
        <f t="shared" si="81"/>
        <v>0</v>
      </c>
      <c r="AC347" s="101"/>
      <c r="AD347" s="359">
        <f t="shared" si="74"/>
        <v>0</v>
      </c>
      <c r="AE347" s="435">
        <f t="shared" si="75"/>
        <v>0</v>
      </c>
    </row>
    <row r="348" spans="1:31" hidden="1" outlineLevel="1">
      <c r="A348" s="114">
        <v>43433</v>
      </c>
      <c r="B348" s="115">
        <f t="shared" si="76"/>
        <v>11</v>
      </c>
      <c r="C348" s="35"/>
      <c r="D348" s="36"/>
      <c r="E348" s="43"/>
      <c r="F348" s="44"/>
      <c r="G348" s="51"/>
      <c r="H348" s="52"/>
      <c r="I348" s="58"/>
      <c r="J348" s="17"/>
      <c r="K348" s="101"/>
      <c r="L348" s="35"/>
      <c r="M348" s="36"/>
      <c r="N348" s="43"/>
      <c r="O348" s="44"/>
      <c r="P348" s="51"/>
      <c r="Q348" s="52"/>
      <c r="R348" s="58"/>
      <c r="S348" s="17"/>
      <c r="T348" s="101"/>
      <c r="U348" s="35"/>
      <c r="V348" s="36"/>
      <c r="W348" s="43">
        <f t="shared" si="78"/>
        <v>0</v>
      </c>
      <c r="X348" s="44">
        <f t="shared" si="79"/>
        <v>0</v>
      </c>
      <c r="Y348" s="51"/>
      <c r="Z348" s="52"/>
      <c r="AA348" s="58">
        <f t="shared" si="80"/>
        <v>0</v>
      </c>
      <c r="AB348" s="17">
        <f t="shared" si="81"/>
        <v>0</v>
      </c>
      <c r="AC348" s="101"/>
      <c r="AD348" s="359">
        <f t="shared" si="74"/>
        <v>0</v>
      </c>
      <c r="AE348" s="435">
        <f t="shared" si="75"/>
        <v>0</v>
      </c>
    </row>
    <row r="349" spans="1:31" hidden="1" outlineLevel="1">
      <c r="A349" s="114">
        <v>43434</v>
      </c>
      <c r="B349" s="115">
        <f t="shared" si="76"/>
        <v>11</v>
      </c>
      <c r="C349" s="35"/>
      <c r="D349" s="36"/>
      <c r="E349" s="43"/>
      <c r="F349" s="44"/>
      <c r="G349" s="51"/>
      <c r="H349" s="52"/>
      <c r="I349" s="58"/>
      <c r="J349" s="17"/>
      <c r="K349" s="101"/>
      <c r="L349" s="35"/>
      <c r="M349" s="36"/>
      <c r="N349" s="43"/>
      <c r="O349" s="44"/>
      <c r="P349" s="51"/>
      <c r="Q349" s="52"/>
      <c r="R349" s="58"/>
      <c r="S349" s="17"/>
      <c r="T349" s="101"/>
      <c r="U349" s="35"/>
      <c r="V349" s="36"/>
      <c r="W349" s="43">
        <f t="shared" si="78"/>
        <v>0</v>
      </c>
      <c r="X349" s="44">
        <f t="shared" si="79"/>
        <v>0</v>
      </c>
      <c r="Y349" s="51"/>
      <c r="Z349" s="52"/>
      <c r="AA349" s="58">
        <f t="shared" si="80"/>
        <v>0</v>
      </c>
      <c r="AB349" s="17">
        <f t="shared" si="81"/>
        <v>0</v>
      </c>
      <c r="AC349" s="101"/>
      <c r="AD349" s="359">
        <f t="shared" si="74"/>
        <v>0</v>
      </c>
      <c r="AE349" s="435">
        <f t="shared" si="75"/>
        <v>0</v>
      </c>
    </row>
    <row r="350" spans="1:31" collapsed="1">
      <c r="A350" s="104"/>
      <c r="B350" s="104" t="s">
        <v>25</v>
      </c>
      <c r="C350" s="105"/>
      <c r="D350" s="106"/>
      <c r="E350" s="107">
        <f t="shared" ref="D350:AB350" si="82">SUBTOTAL(9,E351:E381)</f>
        <v>0</v>
      </c>
      <c r="F350" s="108">
        <f t="shared" si="82"/>
        <v>0</v>
      </c>
      <c r="G350" s="109"/>
      <c r="H350" s="110"/>
      <c r="I350" s="111">
        <f t="shared" si="82"/>
        <v>0</v>
      </c>
      <c r="J350" s="14">
        <f t="shared" si="82"/>
        <v>0</v>
      </c>
      <c r="K350" s="103"/>
      <c r="L350" s="105"/>
      <c r="M350" s="106"/>
      <c r="N350" s="107">
        <f t="shared" si="82"/>
        <v>0</v>
      </c>
      <c r="O350" s="108">
        <f t="shared" si="82"/>
        <v>0</v>
      </c>
      <c r="P350" s="109"/>
      <c r="Q350" s="110"/>
      <c r="R350" s="111">
        <f t="shared" si="82"/>
        <v>0</v>
      </c>
      <c r="S350" s="14">
        <f t="shared" si="82"/>
        <v>0</v>
      </c>
      <c r="T350" s="103"/>
      <c r="U350" s="105"/>
      <c r="V350" s="106"/>
      <c r="W350" s="107">
        <f t="shared" si="82"/>
        <v>0</v>
      </c>
      <c r="X350" s="108">
        <f t="shared" si="82"/>
        <v>0</v>
      </c>
      <c r="Y350" s="109"/>
      <c r="Z350" s="110"/>
      <c r="AA350" s="111">
        <f t="shared" si="82"/>
        <v>0</v>
      </c>
      <c r="AB350" s="14">
        <f t="shared" si="82"/>
        <v>0</v>
      </c>
      <c r="AC350" s="103"/>
      <c r="AD350" s="359"/>
      <c r="AE350" s="435"/>
    </row>
    <row r="351" spans="1:31" hidden="1" outlineLevel="1">
      <c r="A351" s="97">
        <v>43435</v>
      </c>
      <c r="B351" s="98">
        <f t="shared" si="76"/>
        <v>12</v>
      </c>
      <c r="C351" s="35"/>
      <c r="D351" s="36"/>
      <c r="E351" s="43"/>
      <c r="F351" s="44"/>
      <c r="G351" s="51"/>
      <c r="H351" s="52"/>
      <c r="I351" s="58"/>
      <c r="J351" s="17"/>
      <c r="K351" s="103"/>
      <c r="L351" s="35"/>
      <c r="M351" s="36"/>
      <c r="N351" s="43"/>
      <c r="O351" s="44"/>
      <c r="P351" s="51"/>
      <c r="Q351" s="52"/>
      <c r="R351" s="58"/>
      <c r="S351" s="17"/>
      <c r="T351" s="103"/>
      <c r="U351" s="35"/>
      <c r="V351" s="36"/>
      <c r="W351" s="43">
        <f t="shared" si="78"/>
        <v>0</v>
      </c>
      <c r="X351" s="44">
        <f t="shared" si="79"/>
        <v>0</v>
      </c>
      <c r="Y351" s="51"/>
      <c r="Z351" s="52"/>
      <c r="AA351" s="58">
        <f t="shared" si="80"/>
        <v>0</v>
      </c>
      <c r="AB351" s="17">
        <f t="shared" si="81"/>
        <v>0</v>
      </c>
      <c r="AC351" s="103"/>
      <c r="AD351" s="359"/>
      <c r="AE351" s="435"/>
    </row>
    <row r="352" spans="1:31" hidden="1" outlineLevel="1">
      <c r="A352" s="97">
        <v>43436</v>
      </c>
      <c r="B352" s="98">
        <f t="shared" si="76"/>
        <v>12</v>
      </c>
      <c r="C352" s="35"/>
      <c r="D352" s="36"/>
      <c r="E352" s="43"/>
      <c r="F352" s="44"/>
      <c r="G352" s="51"/>
      <c r="H352" s="52"/>
      <c r="I352" s="58"/>
      <c r="J352" s="17"/>
      <c r="K352" s="103"/>
      <c r="L352" s="35"/>
      <c r="M352" s="36"/>
      <c r="N352" s="43"/>
      <c r="O352" s="44"/>
      <c r="P352" s="51"/>
      <c r="Q352" s="52"/>
      <c r="R352" s="58"/>
      <c r="S352" s="17"/>
      <c r="T352" s="103"/>
      <c r="U352" s="35"/>
      <c r="V352" s="36"/>
      <c r="W352" s="43">
        <f t="shared" si="78"/>
        <v>0</v>
      </c>
      <c r="X352" s="44">
        <f t="shared" si="79"/>
        <v>0</v>
      </c>
      <c r="Y352" s="51"/>
      <c r="Z352" s="52"/>
      <c r="AA352" s="58">
        <f t="shared" si="80"/>
        <v>0</v>
      </c>
      <c r="AB352" s="17">
        <f t="shared" si="81"/>
        <v>0</v>
      </c>
      <c r="AC352" s="103"/>
      <c r="AD352" s="359"/>
      <c r="AE352" s="435"/>
    </row>
    <row r="353" spans="1:31" hidden="1" outlineLevel="1">
      <c r="A353" s="97">
        <v>43437</v>
      </c>
      <c r="B353" s="98">
        <f t="shared" si="76"/>
        <v>12</v>
      </c>
      <c r="C353" s="35"/>
      <c r="D353" s="36"/>
      <c r="E353" s="43"/>
      <c r="F353" s="44"/>
      <c r="G353" s="51"/>
      <c r="H353" s="52"/>
      <c r="I353" s="58"/>
      <c r="J353" s="17"/>
      <c r="K353" s="103"/>
      <c r="L353" s="35"/>
      <c r="M353" s="36"/>
      <c r="N353" s="43"/>
      <c r="O353" s="44"/>
      <c r="P353" s="51"/>
      <c r="Q353" s="52"/>
      <c r="R353" s="58"/>
      <c r="S353" s="17"/>
      <c r="T353" s="103"/>
      <c r="U353" s="35"/>
      <c r="V353" s="36"/>
      <c r="W353" s="43">
        <f t="shared" si="78"/>
        <v>0</v>
      </c>
      <c r="X353" s="44">
        <f t="shared" si="79"/>
        <v>0</v>
      </c>
      <c r="Y353" s="51"/>
      <c r="Z353" s="52"/>
      <c r="AA353" s="58">
        <f t="shared" si="80"/>
        <v>0</v>
      </c>
      <c r="AB353" s="17">
        <f t="shared" si="81"/>
        <v>0</v>
      </c>
      <c r="AC353" s="103"/>
      <c r="AD353" s="359"/>
      <c r="AE353" s="435"/>
    </row>
    <row r="354" spans="1:31" hidden="1" outlineLevel="1">
      <c r="A354" s="97">
        <v>43438</v>
      </c>
      <c r="B354" s="98">
        <f t="shared" si="76"/>
        <v>12</v>
      </c>
      <c r="C354" s="35"/>
      <c r="D354" s="36"/>
      <c r="E354" s="43"/>
      <c r="F354" s="44"/>
      <c r="G354" s="51"/>
      <c r="H354" s="52"/>
      <c r="I354" s="58"/>
      <c r="J354" s="17"/>
      <c r="K354" s="103"/>
      <c r="L354" s="35"/>
      <c r="M354" s="36"/>
      <c r="N354" s="43"/>
      <c r="O354" s="44"/>
      <c r="P354" s="51"/>
      <c r="Q354" s="52"/>
      <c r="R354" s="58"/>
      <c r="S354" s="17"/>
      <c r="T354" s="103"/>
      <c r="U354" s="35"/>
      <c r="V354" s="36"/>
      <c r="W354" s="43">
        <f t="shared" si="78"/>
        <v>0</v>
      </c>
      <c r="X354" s="44">
        <f t="shared" si="79"/>
        <v>0</v>
      </c>
      <c r="Y354" s="51"/>
      <c r="Z354" s="52"/>
      <c r="AA354" s="58">
        <f t="shared" si="80"/>
        <v>0</v>
      </c>
      <c r="AB354" s="17">
        <f t="shared" si="81"/>
        <v>0</v>
      </c>
      <c r="AC354" s="103"/>
      <c r="AD354" s="359"/>
      <c r="AE354" s="435"/>
    </row>
    <row r="355" spans="1:31" hidden="1" outlineLevel="1">
      <c r="A355" s="97">
        <v>43439</v>
      </c>
      <c r="B355" s="98">
        <f t="shared" si="76"/>
        <v>12</v>
      </c>
      <c r="C355" s="35"/>
      <c r="D355" s="36"/>
      <c r="E355" s="43"/>
      <c r="F355" s="44"/>
      <c r="G355" s="51"/>
      <c r="H355" s="52"/>
      <c r="I355" s="58"/>
      <c r="J355" s="17"/>
      <c r="K355" s="103"/>
      <c r="L355" s="35"/>
      <c r="M355" s="36"/>
      <c r="N355" s="43"/>
      <c r="O355" s="44"/>
      <c r="P355" s="51"/>
      <c r="Q355" s="52"/>
      <c r="R355" s="58"/>
      <c r="S355" s="17"/>
      <c r="T355" s="103"/>
      <c r="U355" s="35"/>
      <c r="V355" s="36"/>
      <c r="W355" s="43">
        <f t="shared" si="78"/>
        <v>0</v>
      </c>
      <c r="X355" s="44">
        <f t="shared" si="79"/>
        <v>0</v>
      </c>
      <c r="Y355" s="51"/>
      <c r="Z355" s="52"/>
      <c r="AA355" s="58">
        <f t="shared" si="80"/>
        <v>0</v>
      </c>
      <c r="AB355" s="17">
        <f t="shared" si="81"/>
        <v>0</v>
      </c>
      <c r="AC355" s="103"/>
      <c r="AD355" s="359"/>
      <c r="AE355" s="435"/>
    </row>
    <row r="356" spans="1:31" hidden="1" outlineLevel="1">
      <c r="A356" s="97">
        <v>43440</v>
      </c>
      <c r="B356" s="98">
        <f t="shared" si="76"/>
        <v>12</v>
      </c>
      <c r="C356" s="35"/>
      <c r="D356" s="36"/>
      <c r="E356" s="43"/>
      <c r="F356" s="44"/>
      <c r="G356" s="51"/>
      <c r="H356" s="52"/>
      <c r="I356" s="58"/>
      <c r="J356" s="17"/>
      <c r="K356" s="103"/>
      <c r="L356" s="35"/>
      <c r="M356" s="36"/>
      <c r="N356" s="43"/>
      <c r="O356" s="44"/>
      <c r="P356" s="51"/>
      <c r="Q356" s="52"/>
      <c r="R356" s="58"/>
      <c r="S356" s="17"/>
      <c r="T356" s="103"/>
      <c r="U356" s="35"/>
      <c r="V356" s="36"/>
      <c r="W356" s="43">
        <f t="shared" si="78"/>
        <v>0</v>
      </c>
      <c r="X356" s="44">
        <f t="shared" si="79"/>
        <v>0</v>
      </c>
      <c r="Y356" s="51"/>
      <c r="Z356" s="52"/>
      <c r="AA356" s="58">
        <f t="shared" si="80"/>
        <v>0</v>
      </c>
      <c r="AB356" s="17">
        <f t="shared" si="81"/>
        <v>0</v>
      </c>
      <c r="AC356" s="103"/>
      <c r="AD356" s="359"/>
      <c r="AE356" s="435"/>
    </row>
    <row r="357" spans="1:31" hidden="1" outlineLevel="1">
      <c r="A357" s="97">
        <v>43441</v>
      </c>
      <c r="B357" s="98">
        <f t="shared" si="76"/>
        <v>12</v>
      </c>
      <c r="C357" s="35"/>
      <c r="D357" s="36"/>
      <c r="E357" s="43"/>
      <c r="F357" s="44"/>
      <c r="G357" s="51"/>
      <c r="H357" s="52"/>
      <c r="I357" s="58"/>
      <c r="J357" s="17"/>
      <c r="K357" s="103"/>
      <c r="L357" s="35"/>
      <c r="M357" s="36"/>
      <c r="N357" s="43"/>
      <c r="O357" s="44"/>
      <c r="P357" s="51"/>
      <c r="Q357" s="52"/>
      <c r="R357" s="58"/>
      <c r="S357" s="17"/>
      <c r="T357" s="103"/>
      <c r="U357" s="35"/>
      <c r="V357" s="36"/>
      <c r="W357" s="43">
        <f t="shared" si="78"/>
        <v>0</v>
      </c>
      <c r="X357" s="44">
        <f t="shared" si="79"/>
        <v>0</v>
      </c>
      <c r="Y357" s="51"/>
      <c r="Z357" s="52"/>
      <c r="AA357" s="58">
        <f t="shared" si="80"/>
        <v>0</v>
      </c>
      <c r="AB357" s="17">
        <f t="shared" si="81"/>
        <v>0</v>
      </c>
      <c r="AC357" s="103"/>
      <c r="AD357" s="359"/>
      <c r="AE357" s="435"/>
    </row>
    <row r="358" spans="1:31" hidden="1" outlineLevel="1">
      <c r="A358" s="97">
        <v>43442</v>
      </c>
      <c r="B358" s="98">
        <f t="shared" ref="B358:B381" si="83">MONTH(A358)</f>
        <v>12</v>
      </c>
      <c r="C358" s="35"/>
      <c r="D358" s="36"/>
      <c r="E358" s="43"/>
      <c r="F358" s="44"/>
      <c r="G358" s="51"/>
      <c r="H358" s="52"/>
      <c r="I358" s="58"/>
      <c r="J358" s="17"/>
      <c r="K358" s="103"/>
      <c r="L358" s="35"/>
      <c r="M358" s="36"/>
      <c r="N358" s="43"/>
      <c r="O358" s="44"/>
      <c r="P358" s="51"/>
      <c r="Q358" s="52"/>
      <c r="R358" s="58"/>
      <c r="S358" s="17"/>
      <c r="T358" s="103"/>
      <c r="U358" s="35"/>
      <c r="V358" s="36"/>
      <c r="W358" s="43">
        <f t="shared" si="78"/>
        <v>0</v>
      </c>
      <c r="X358" s="44">
        <f t="shared" si="79"/>
        <v>0</v>
      </c>
      <c r="Y358" s="51"/>
      <c r="Z358" s="52"/>
      <c r="AA358" s="58">
        <f t="shared" si="80"/>
        <v>0</v>
      </c>
      <c r="AB358" s="17">
        <f t="shared" si="81"/>
        <v>0</v>
      </c>
      <c r="AC358" s="103"/>
      <c r="AD358" s="359"/>
      <c r="AE358" s="435"/>
    </row>
    <row r="359" spans="1:31" hidden="1" outlineLevel="1">
      <c r="A359" s="97">
        <v>43443</v>
      </c>
      <c r="B359" s="98">
        <f t="shared" si="83"/>
        <v>12</v>
      </c>
      <c r="C359" s="35"/>
      <c r="D359" s="36"/>
      <c r="E359" s="43"/>
      <c r="F359" s="44"/>
      <c r="G359" s="51"/>
      <c r="H359" s="52"/>
      <c r="I359" s="58"/>
      <c r="J359" s="17"/>
      <c r="K359" s="103"/>
      <c r="L359" s="35"/>
      <c r="M359" s="36"/>
      <c r="N359" s="43"/>
      <c r="O359" s="44"/>
      <c r="P359" s="51"/>
      <c r="Q359" s="52"/>
      <c r="R359" s="58"/>
      <c r="S359" s="17"/>
      <c r="T359" s="103"/>
      <c r="U359" s="35"/>
      <c r="V359" s="36"/>
      <c r="W359" s="43">
        <f t="shared" si="78"/>
        <v>0</v>
      </c>
      <c r="X359" s="44">
        <f t="shared" si="79"/>
        <v>0</v>
      </c>
      <c r="Y359" s="51"/>
      <c r="Z359" s="52"/>
      <c r="AA359" s="58">
        <f t="shared" si="80"/>
        <v>0</v>
      </c>
      <c r="AB359" s="17">
        <f t="shared" si="81"/>
        <v>0</v>
      </c>
      <c r="AC359" s="103"/>
      <c r="AD359" s="359"/>
      <c r="AE359" s="435"/>
    </row>
    <row r="360" spans="1:31" hidden="1" outlineLevel="1">
      <c r="A360" s="97">
        <v>43444</v>
      </c>
      <c r="B360" s="98">
        <f t="shared" si="83"/>
        <v>12</v>
      </c>
      <c r="C360" s="35"/>
      <c r="D360" s="36"/>
      <c r="E360" s="43"/>
      <c r="F360" s="44"/>
      <c r="G360" s="51"/>
      <c r="H360" s="52"/>
      <c r="I360" s="58"/>
      <c r="J360" s="17"/>
      <c r="K360" s="103"/>
      <c r="L360" s="35"/>
      <c r="M360" s="36"/>
      <c r="N360" s="43"/>
      <c r="O360" s="44"/>
      <c r="P360" s="51"/>
      <c r="Q360" s="52"/>
      <c r="R360" s="58"/>
      <c r="S360" s="17"/>
      <c r="T360" s="103"/>
      <c r="U360" s="35"/>
      <c r="V360" s="36"/>
      <c r="W360" s="43">
        <f t="shared" si="78"/>
        <v>0</v>
      </c>
      <c r="X360" s="44">
        <f t="shared" si="79"/>
        <v>0</v>
      </c>
      <c r="Y360" s="51"/>
      <c r="Z360" s="52"/>
      <c r="AA360" s="58">
        <f t="shared" si="80"/>
        <v>0</v>
      </c>
      <c r="AB360" s="17">
        <f t="shared" si="81"/>
        <v>0</v>
      </c>
      <c r="AC360" s="103"/>
      <c r="AD360" s="359"/>
      <c r="AE360" s="435"/>
    </row>
    <row r="361" spans="1:31" hidden="1" outlineLevel="1">
      <c r="A361" s="97">
        <v>43445</v>
      </c>
      <c r="B361" s="98">
        <f t="shared" si="83"/>
        <v>12</v>
      </c>
      <c r="C361" s="35"/>
      <c r="D361" s="36"/>
      <c r="E361" s="43"/>
      <c r="F361" s="44"/>
      <c r="G361" s="51"/>
      <c r="H361" s="52"/>
      <c r="I361" s="58"/>
      <c r="J361" s="17"/>
      <c r="K361" s="103"/>
      <c r="L361" s="35"/>
      <c r="M361" s="36"/>
      <c r="N361" s="43"/>
      <c r="O361" s="44"/>
      <c r="P361" s="51"/>
      <c r="Q361" s="52"/>
      <c r="R361" s="58"/>
      <c r="S361" s="17"/>
      <c r="T361" s="103"/>
      <c r="U361" s="35"/>
      <c r="V361" s="36"/>
      <c r="W361" s="43">
        <f t="shared" si="78"/>
        <v>0</v>
      </c>
      <c r="X361" s="44">
        <f t="shared" si="79"/>
        <v>0</v>
      </c>
      <c r="Y361" s="51"/>
      <c r="Z361" s="52"/>
      <c r="AA361" s="58">
        <f t="shared" si="80"/>
        <v>0</v>
      </c>
      <c r="AB361" s="17">
        <f t="shared" si="81"/>
        <v>0</v>
      </c>
      <c r="AC361" s="103"/>
      <c r="AD361" s="359"/>
      <c r="AE361" s="435"/>
    </row>
    <row r="362" spans="1:31" hidden="1" outlineLevel="1">
      <c r="A362" s="97">
        <v>43446</v>
      </c>
      <c r="B362" s="98">
        <f t="shared" si="83"/>
        <v>12</v>
      </c>
      <c r="C362" s="35"/>
      <c r="D362" s="36"/>
      <c r="E362" s="43"/>
      <c r="F362" s="44"/>
      <c r="G362" s="51"/>
      <c r="H362" s="52"/>
      <c r="I362" s="58"/>
      <c r="J362" s="17"/>
      <c r="K362" s="103"/>
      <c r="L362" s="35"/>
      <c r="M362" s="36"/>
      <c r="N362" s="43"/>
      <c r="O362" s="44"/>
      <c r="P362" s="51"/>
      <c r="Q362" s="52"/>
      <c r="R362" s="58"/>
      <c r="S362" s="17"/>
      <c r="T362" s="103"/>
      <c r="U362" s="35"/>
      <c r="V362" s="36"/>
      <c r="W362" s="43">
        <f t="shared" si="78"/>
        <v>0</v>
      </c>
      <c r="X362" s="44">
        <f t="shared" si="79"/>
        <v>0</v>
      </c>
      <c r="Y362" s="51"/>
      <c r="Z362" s="52"/>
      <c r="AA362" s="58">
        <f t="shared" si="80"/>
        <v>0</v>
      </c>
      <c r="AB362" s="17">
        <f t="shared" si="81"/>
        <v>0</v>
      </c>
      <c r="AC362" s="103"/>
      <c r="AD362" s="359"/>
      <c r="AE362" s="435"/>
    </row>
    <row r="363" spans="1:31" hidden="1" outlineLevel="1">
      <c r="A363" s="97">
        <v>43447</v>
      </c>
      <c r="B363" s="98">
        <f t="shared" si="83"/>
        <v>12</v>
      </c>
      <c r="C363" s="35"/>
      <c r="D363" s="36"/>
      <c r="E363" s="43"/>
      <c r="F363" s="44"/>
      <c r="G363" s="51"/>
      <c r="H363" s="52"/>
      <c r="I363" s="58"/>
      <c r="J363" s="17"/>
      <c r="K363" s="103"/>
      <c r="L363" s="35"/>
      <c r="M363" s="36"/>
      <c r="N363" s="43"/>
      <c r="O363" s="44"/>
      <c r="P363" s="51"/>
      <c r="Q363" s="52"/>
      <c r="R363" s="58"/>
      <c r="S363" s="17"/>
      <c r="T363" s="103"/>
      <c r="U363" s="35"/>
      <c r="V363" s="36"/>
      <c r="W363" s="43">
        <f t="shared" si="78"/>
        <v>0</v>
      </c>
      <c r="X363" s="44">
        <f t="shared" si="79"/>
        <v>0</v>
      </c>
      <c r="Y363" s="51"/>
      <c r="Z363" s="52"/>
      <c r="AA363" s="58">
        <f t="shared" si="80"/>
        <v>0</v>
      </c>
      <c r="AB363" s="17">
        <f t="shared" si="81"/>
        <v>0</v>
      </c>
      <c r="AC363" s="103"/>
      <c r="AD363" s="359"/>
      <c r="AE363" s="435"/>
    </row>
    <row r="364" spans="1:31" hidden="1" outlineLevel="1">
      <c r="A364" s="97">
        <v>43448</v>
      </c>
      <c r="B364" s="98">
        <f t="shared" si="83"/>
        <v>12</v>
      </c>
      <c r="C364" s="35"/>
      <c r="D364" s="36"/>
      <c r="E364" s="43"/>
      <c r="F364" s="44"/>
      <c r="G364" s="51"/>
      <c r="H364" s="52"/>
      <c r="I364" s="58"/>
      <c r="J364" s="17"/>
      <c r="K364" s="103"/>
      <c r="L364" s="35"/>
      <c r="M364" s="36"/>
      <c r="N364" s="43"/>
      <c r="O364" s="44"/>
      <c r="P364" s="51"/>
      <c r="Q364" s="52"/>
      <c r="R364" s="58"/>
      <c r="S364" s="17"/>
      <c r="T364" s="103"/>
      <c r="U364" s="35"/>
      <c r="V364" s="36"/>
      <c r="W364" s="43">
        <f t="shared" si="78"/>
        <v>0</v>
      </c>
      <c r="X364" s="44">
        <f t="shared" si="79"/>
        <v>0</v>
      </c>
      <c r="Y364" s="51"/>
      <c r="Z364" s="52"/>
      <c r="AA364" s="58">
        <f t="shared" si="80"/>
        <v>0</v>
      </c>
      <c r="AB364" s="17">
        <f t="shared" si="81"/>
        <v>0</v>
      </c>
      <c r="AC364" s="103"/>
      <c r="AD364" s="359"/>
      <c r="AE364" s="435"/>
    </row>
    <row r="365" spans="1:31" hidden="1" outlineLevel="1">
      <c r="A365" s="97">
        <v>43449</v>
      </c>
      <c r="B365" s="98">
        <f t="shared" si="83"/>
        <v>12</v>
      </c>
      <c r="C365" s="35"/>
      <c r="D365" s="36"/>
      <c r="E365" s="43"/>
      <c r="F365" s="44"/>
      <c r="G365" s="51"/>
      <c r="H365" s="52"/>
      <c r="I365" s="58"/>
      <c r="J365" s="17"/>
      <c r="K365" s="103"/>
      <c r="L365" s="35"/>
      <c r="M365" s="36"/>
      <c r="N365" s="43"/>
      <c r="O365" s="44"/>
      <c r="P365" s="51"/>
      <c r="Q365" s="52"/>
      <c r="R365" s="58"/>
      <c r="S365" s="17"/>
      <c r="T365" s="103"/>
      <c r="U365" s="35"/>
      <c r="V365" s="36"/>
      <c r="W365" s="43">
        <f t="shared" si="78"/>
        <v>0</v>
      </c>
      <c r="X365" s="44">
        <f t="shared" si="79"/>
        <v>0</v>
      </c>
      <c r="Y365" s="51"/>
      <c r="Z365" s="52"/>
      <c r="AA365" s="58">
        <f t="shared" si="80"/>
        <v>0</v>
      </c>
      <c r="AB365" s="17">
        <f t="shared" si="81"/>
        <v>0</v>
      </c>
      <c r="AC365" s="103"/>
      <c r="AD365" s="359"/>
      <c r="AE365" s="435"/>
    </row>
    <row r="366" spans="1:31" hidden="1" outlineLevel="1">
      <c r="A366" s="97">
        <v>43450</v>
      </c>
      <c r="B366" s="98">
        <f t="shared" si="83"/>
        <v>12</v>
      </c>
      <c r="C366" s="35"/>
      <c r="D366" s="36"/>
      <c r="E366" s="43"/>
      <c r="F366" s="44"/>
      <c r="G366" s="51"/>
      <c r="H366" s="52"/>
      <c r="I366" s="58"/>
      <c r="J366" s="17"/>
      <c r="K366" s="103"/>
      <c r="L366" s="35"/>
      <c r="M366" s="36"/>
      <c r="N366" s="43"/>
      <c r="O366" s="44"/>
      <c r="P366" s="51"/>
      <c r="Q366" s="52"/>
      <c r="R366" s="58"/>
      <c r="S366" s="17"/>
      <c r="T366" s="103"/>
      <c r="U366" s="35"/>
      <c r="V366" s="36"/>
      <c r="W366" s="43">
        <f t="shared" si="78"/>
        <v>0</v>
      </c>
      <c r="X366" s="44">
        <f t="shared" si="79"/>
        <v>0</v>
      </c>
      <c r="Y366" s="51"/>
      <c r="Z366" s="52"/>
      <c r="AA366" s="58">
        <f t="shared" si="80"/>
        <v>0</v>
      </c>
      <c r="AB366" s="17">
        <f t="shared" si="81"/>
        <v>0</v>
      </c>
      <c r="AC366" s="103"/>
      <c r="AD366" s="359"/>
      <c r="AE366" s="435"/>
    </row>
    <row r="367" spans="1:31" hidden="1" outlineLevel="1">
      <c r="A367" s="97">
        <v>43451</v>
      </c>
      <c r="B367" s="98">
        <f t="shared" si="83"/>
        <v>12</v>
      </c>
      <c r="C367" s="35"/>
      <c r="D367" s="36"/>
      <c r="E367" s="43"/>
      <c r="F367" s="44"/>
      <c r="G367" s="51"/>
      <c r="H367" s="52"/>
      <c r="I367" s="58"/>
      <c r="J367" s="17"/>
      <c r="K367" s="103"/>
      <c r="L367" s="35"/>
      <c r="M367" s="36"/>
      <c r="N367" s="43"/>
      <c r="O367" s="44"/>
      <c r="P367" s="51"/>
      <c r="Q367" s="52"/>
      <c r="R367" s="58"/>
      <c r="S367" s="17"/>
      <c r="T367" s="103"/>
      <c r="U367" s="35"/>
      <c r="V367" s="36"/>
      <c r="W367" s="43">
        <f t="shared" si="78"/>
        <v>0</v>
      </c>
      <c r="X367" s="44">
        <f t="shared" si="79"/>
        <v>0</v>
      </c>
      <c r="Y367" s="51"/>
      <c r="Z367" s="52"/>
      <c r="AA367" s="58">
        <f t="shared" si="80"/>
        <v>0</v>
      </c>
      <c r="AB367" s="17">
        <f t="shared" si="81"/>
        <v>0</v>
      </c>
      <c r="AC367" s="103"/>
      <c r="AD367" s="359"/>
      <c r="AE367" s="435"/>
    </row>
    <row r="368" spans="1:31" hidden="1" outlineLevel="1">
      <c r="A368" s="97">
        <v>43452</v>
      </c>
      <c r="B368" s="98">
        <f t="shared" si="83"/>
        <v>12</v>
      </c>
      <c r="C368" s="35"/>
      <c r="D368" s="36"/>
      <c r="E368" s="43"/>
      <c r="F368" s="44"/>
      <c r="G368" s="51"/>
      <c r="H368" s="52"/>
      <c r="I368" s="58"/>
      <c r="J368" s="17"/>
      <c r="K368" s="103"/>
      <c r="L368" s="35"/>
      <c r="M368" s="36"/>
      <c r="N368" s="43"/>
      <c r="O368" s="44"/>
      <c r="P368" s="51"/>
      <c r="Q368" s="52"/>
      <c r="R368" s="58"/>
      <c r="S368" s="17"/>
      <c r="T368" s="103"/>
      <c r="U368" s="35"/>
      <c r="V368" s="36"/>
      <c r="W368" s="43">
        <f t="shared" si="78"/>
        <v>0</v>
      </c>
      <c r="X368" s="44">
        <f t="shared" si="79"/>
        <v>0</v>
      </c>
      <c r="Y368" s="51"/>
      <c r="Z368" s="52"/>
      <c r="AA368" s="58">
        <f t="shared" si="80"/>
        <v>0</v>
      </c>
      <c r="AB368" s="17">
        <f t="shared" si="81"/>
        <v>0</v>
      </c>
      <c r="AC368" s="103"/>
      <c r="AD368" s="359"/>
      <c r="AE368" s="435"/>
    </row>
    <row r="369" spans="1:31" hidden="1" outlineLevel="1">
      <c r="A369" s="97">
        <v>43453</v>
      </c>
      <c r="B369" s="98">
        <f t="shared" si="83"/>
        <v>12</v>
      </c>
      <c r="C369" s="35"/>
      <c r="D369" s="36"/>
      <c r="E369" s="43"/>
      <c r="F369" s="44"/>
      <c r="G369" s="51"/>
      <c r="H369" s="52"/>
      <c r="I369" s="58"/>
      <c r="J369" s="17"/>
      <c r="K369" s="103"/>
      <c r="L369" s="35"/>
      <c r="M369" s="36"/>
      <c r="N369" s="43"/>
      <c r="O369" s="44"/>
      <c r="P369" s="51"/>
      <c r="Q369" s="52"/>
      <c r="R369" s="58"/>
      <c r="S369" s="17"/>
      <c r="T369" s="103"/>
      <c r="U369" s="35"/>
      <c r="V369" s="36"/>
      <c r="W369" s="43">
        <f t="shared" si="78"/>
        <v>0</v>
      </c>
      <c r="X369" s="44">
        <f t="shared" si="79"/>
        <v>0</v>
      </c>
      <c r="Y369" s="51"/>
      <c r="Z369" s="52"/>
      <c r="AA369" s="58">
        <f t="shared" si="80"/>
        <v>0</v>
      </c>
      <c r="AB369" s="17">
        <f t="shared" si="81"/>
        <v>0</v>
      </c>
      <c r="AC369" s="103"/>
      <c r="AD369" s="359"/>
      <c r="AE369" s="435"/>
    </row>
    <row r="370" spans="1:31" hidden="1" outlineLevel="1">
      <c r="A370" s="97">
        <v>43454</v>
      </c>
      <c r="B370" s="98">
        <f t="shared" si="83"/>
        <v>12</v>
      </c>
      <c r="C370" s="35"/>
      <c r="D370" s="36"/>
      <c r="E370" s="43"/>
      <c r="F370" s="44"/>
      <c r="G370" s="51"/>
      <c r="H370" s="52"/>
      <c r="I370" s="58"/>
      <c r="J370" s="17"/>
      <c r="K370" s="103"/>
      <c r="L370" s="35"/>
      <c r="M370" s="36"/>
      <c r="N370" s="43"/>
      <c r="O370" s="44"/>
      <c r="P370" s="51"/>
      <c r="Q370" s="52"/>
      <c r="R370" s="58"/>
      <c r="S370" s="17"/>
      <c r="T370" s="103"/>
      <c r="U370" s="35"/>
      <c r="V370" s="36"/>
      <c r="W370" s="43">
        <f t="shared" si="78"/>
        <v>0</v>
      </c>
      <c r="X370" s="44">
        <f t="shared" si="79"/>
        <v>0</v>
      </c>
      <c r="Y370" s="51"/>
      <c r="Z370" s="52"/>
      <c r="AA370" s="58">
        <f t="shared" si="80"/>
        <v>0</v>
      </c>
      <c r="AB370" s="17">
        <f t="shared" si="81"/>
        <v>0</v>
      </c>
      <c r="AC370" s="103"/>
      <c r="AD370" s="359"/>
      <c r="AE370" s="435"/>
    </row>
    <row r="371" spans="1:31" hidden="1" outlineLevel="1">
      <c r="A371" s="97">
        <v>43455</v>
      </c>
      <c r="B371" s="98">
        <f t="shared" si="83"/>
        <v>12</v>
      </c>
      <c r="C371" s="35"/>
      <c r="D371" s="36"/>
      <c r="E371" s="43"/>
      <c r="F371" s="44"/>
      <c r="G371" s="51"/>
      <c r="H371" s="52"/>
      <c r="I371" s="58"/>
      <c r="J371" s="17"/>
      <c r="K371" s="103"/>
      <c r="L371" s="35"/>
      <c r="M371" s="36"/>
      <c r="N371" s="43"/>
      <c r="O371" s="44"/>
      <c r="P371" s="51"/>
      <c r="Q371" s="52"/>
      <c r="R371" s="58"/>
      <c r="S371" s="17"/>
      <c r="T371" s="103"/>
      <c r="U371" s="35"/>
      <c r="V371" s="36"/>
      <c r="W371" s="43">
        <f t="shared" si="78"/>
        <v>0</v>
      </c>
      <c r="X371" s="44">
        <f t="shared" si="79"/>
        <v>0</v>
      </c>
      <c r="Y371" s="51"/>
      <c r="Z371" s="52"/>
      <c r="AA371" s="58">
        <f t="shared" si="80"/>
        <v>0</v>
      </c>
      <c r="AB371" s="17">
        <f t="shared" si="81"/>
        <v>0</v>
      </c>
      <c r="AC371" s="103"/>
      <c r="AD371" s="359"/>
      <c r="AE371" s="435"/>
    </row>
    <row r="372" spans="1:31" hidden="1" outlineLevel="1">
      <c r="A372" s="97">
        <v>43456</v>
      </c>
      <c r="B372" s="98">
        <f t="shared" si="83"/>
        <v>12</v>
      </c>
      <c r="C372" s="35"/>
      <c r="D372" s="36"/>
      <c r="E372" s="43"/>
      <c r="F372" s="44"/>
      <c r="G372" s="51"/>
      <c r="H372" s="52"/>
      <c r="I372" s="58"/>
      <c r="J372" s="17"/>
      <c r="K372" s="103"/>
      <c r="L372" s="35"/>
      <c r="M372" s="36"/>
      <c r="N372" s="43"/>
      <c r="O372" s="44"/>
      <c r="P372" s="51"/>
      <c r="Q372" s="52"/>
      <c r="R372" s="58"/>
      <c r="S372" s="17"/>
      <c r="T372" s="103"/>
      <c r="U372" s="35"/>
      <c r="V372" s="36"/>
      <c r="W372" s="43">
        <f t="shared" si="78"/>
        <v>0</v>
      </c>
      <c r="X372" s="44">
        <f t="shared" si="79"/>
        <v>0</v>
      </c>
      <c r="Y372" s="51"/>
      <c r="Z372" s="52"/>
      <c r="AA372" s="58">
        <f t="shared" si="80"/>
        <v>0</v>
      </c>
      <c r="AB372" s="17">
        <f t="shared" si="81"/>
        <v>0</v>
      </c>
      <c r="AC372" s="103"/>
      <c r="AD372" s="359"/>
      <c r="AE372" s="435"/>
    </row>
    <row r="373" spans="1:31" hidden="1" outlineLevel="1">
      <c r="A373" s="97">
        <v>43457</v>
      </c>
      <c r="B373" s="98">
        <f t="shared" si="83"/>
        <v>12</v>
      </c>
      <c r="C373" s="35"/>
      <c r="D373" s="36"/>
      <c r="E373" s="43"/>
      <c r="F373" s="44"/>
      <c r="G373" s="51"/>
      <c r="H373" s="52"/>
      <c r="I373" s="58"/>
      <c r="J373" s="17"/>
      <c r="K373" s="103"/>
      <c r="L373" s="35"/>
      <c r="M373" s="36"/>
      <c r="N373" s="43"/>
      <c r="O373" s="44"/>
      <c r="P373" s="51"/>
      <c r="Q373" s="52"/>
      <c r="R373" s="58"/>
      <c r="S373" s="17"/>
      <c r="T373" s="103"/>
      <c r="U373" s="35"/>
      <c r="V373" s="36"/>
      <c r="W373" s="43">
        <f t="shared" si="78"/>
        <v>0</v>
      </c>
      <c r="X373" s="44">
        <f t="shared" si="79"/>
        <v>0</v>
      </c>
      <c r="Y373" s="51"/>
      <c r="Z373" s="52"/>
      <c r="AA373" s="58">
        <f t="shared" si="80"/>
        <v>0</v>
      </c>
      <c r="AB373" s="17">
        <f t="shared" si="81"/>
        <v>0</v>
      </c>
      <c r="AC373" s="103"/>
      <c r="AD373" s="359"/>
      <c r="AE373" s="435"/>
    </row>
    <row r="374" spans="1:31" hidden="1" outlineLevel="1">
      <c r="A374" s="97">
        <v>43458</v>
      </c>
      <c r="B374" s="98">
        <f t="shared" si="83"/>
        <v>12</v>
      </c>
      <c r="C374" s="35"/>
      <c r="D374" s="36"/>
      <c r="E374" s="43"/>
      <c r="F374" s="44"/>
      <c r="G374" s="51"/>
      <c r="H374" s="52"/>
      <c r="I374" s="58"/>
      <c r="J374" s="17"/>
      <c r="K374" s="103"/>
      <c r="L374" s="35"/>
      <c r="M374" s="36"/>
      <c r="N374" s="43"/>
      <c r="O374" s="44"/>
      <c r="P374" s="51"/>
      <c r="Q374" s="52"/>
      <c r="R374" s="58"/>
      <c r="S374" s="17"/>
      <c r="T374" s="103"/>
      <c r="U374" s="35"/>
      <c r="V374" s="36"/>
      <c r="W374" s="43">
        <f t="shared" si="78"/>
        <v>0</v>
      </c>
      <c r="X374" s="44">
        <f t="shared" si="79"/>
        <v>0</v>
      </c>
      <c r="Y374" s="51"/>
      <c r="Z374" s="52"/>
      <c r="AA374" s="58">
        <f t="shared" si="80"/>
        <v>0</v>
      </c>
      <c r="AB374" s="17">
        <f t="shared" si="81"/>
        <v>0</v>
      </c>
      <c r="AC374" s="103"/>
      <c r="AD374" s="359"/>
      <c r="AE374" s="435"/>
    </row>
    <row r="375" spans="1:31" hidden="1" outlineLevel="1">
      <c r="A375" s="97">
        <v>43459</v>
      </c>
      <c r="B375" s="98">
        <f t="shared" si="83"/>
        <v>12</v>
      </c>
      <c r="C375" s="35"/>
      <c r="D375" s="36"/>
      <c r="E375" s="43"/>
      <c r="F375" s="44"/>
      <c r="G375" s="51"/>
      <c r="H375" s="52"/>
      <c r="I375" s="58"/>
      <c r="J375" s="17"/>
      <c r="K375" s="103"/>
      <c r="L375" s="35"/>
      <c r="M375" s="36"/>
      <c r="N375" s="43"/>
      <c r="O375" s="44"/>
      <c r="P375" s="51"/>
      <c r="Q375" s="52"/>
      <c r="R375" s="58"/>
      <c r="S375" s="17"/>
      <c r="T375" s="103"/>
      <c r="U375" s="35"/>
      <c r="V375" s="36"/>
      <c r="W375" s="43">
        <f t="shared" si="78"/>
        <v>0</v>
      </c>
      <c r="X375" s="44">
        <f t="shared" si="79"/>
        <v>0</v>
      </c>
      <c r="Y375" s="51"/>
      <c r="Z375" s="52"/>
      <c r="AA375" s="58">
        <f t="shared" si="80"/>
        <v>0</v>
      </c>
      <c r="AB375" s="17">
        <f t="shared" si="81"/>
        <v>0</v>
      </c>
      <c r="AC375" s="103"/>
      <c r="AD375" s="359"/>
      <c r="AE375" s="435"/>
    </row>
    <row r="376" spans="1:31" hidden="1" outlineLevel="1">
      <c r="A376" s="97">
        <v>43460</v>
      </c>
      <c r="B376" s="98">
        <f t="shared" si="83"/>
        <v>12</v>
      </c>
      <c r="C376" s="35"/>
      <c r="D376" s="36"/>
      <c r="E376" s="43"/>
      <c r="F376" s="44"/>
      <c r="G376" s="51"/>
      <c r="H376" s="52"/>
      <c r="I376" s="58"/>
      <c r="J376" s="17"/>
      <c r="K376" s="103"/>
      <c r="L376" s="35"/>
      <c r="M376" s="36"/>
      <c r="N376" s="43"/>
      <c r="O376" s="44"/>
      <c r="P376" s="51"/>
      <c r="Q376" s="52"/>
      <c r="R376" s="58"/>
      <c r="S376" s="17"/>
      <c r="T376" s="103"/>
      <c r="U376" s="35"/>
      <c r="V376" s="36"/>
      <c r="W376" s="43">
        <f t="shared" si="78"/>
        <v>0</v>
      </c>
      <c r="X376" s="44">
        <f t="shared" si="79"/>
        <v>0</v>
      </c>
      <c r="Y376" s="51"/>
      <c r="Z376" s="52"/>
      <c r="AA376" s="58">
        <f t="shared" si="80"/>
        <v>0</v>
      </c>
      <c r="AB376" s="17">
        <f t="shared" si="81"/>
        <v>0</v>
      </c>
      <c r="AC376" s="103"/>
      <c r="AD376" s="359"/>
      <c r="AE376" s="435"/>
    </row>
    <row r="377" spans="1:31" hidden="1" outlineLevel="1">
      <c r="A377" s="97">
        <v>43461</v>
      </c>
      <c r="B377" s="98">
        <f t="shared" si="83"/>
        <v>12</v>
      </c>
      <c r="C377" s="35"/>
      <c r="D377" s="36"/>
      <c r="E377" s="43"/>
      <c r="F377" s="44"/>
      <c r="G377" s="51"/>
      <c r="H377" s="52"/>
      <c r="I377" s="58"/>
      <c r="J377" s="17"/>
      <c r="K377" s="103"/>
      <c r="L377" s="35"/>
      <c r="M377" s="36"/>
      <c r="N377" s="43"/>
      <c r="O377" s="44"/>
      <c r="P377" s="51"/>
      <c r="Q377" s="52"/>
      <c r="R377" s="58"/>
      <c r="S377" s="17"/>
      <c r="T377" s="103"/>
      <c r="U377" s="35"/>
      <c r="V377" s="36"/>
      <c r="W377" s="43">
        <f t="shared" si="78"/>
        <v>0</v>
      </c>
      <c r="X377" s="44">
        <f t="shared" si="79"/>
        <v>0</v>
      </c>
      <c r="Y377" s="51"/>
      <c r="Z377" s="52"/>
      <c r="AA377" s="58">
        <f t="shared" si="80"/>
        <v>0</v>
      </c>
      <c r="AB377" s="17">
        <f t="shared" si="81"/>
        <v>0</v>
      </c>
      <c r="AC377" s="103"/>
      <c r="AD377" s="359"/>
      <c r="AE377" s="435"/>
    </row>
    <row r="378" spans="1:31" hidden="1" outlineLevel="1">
      <c r="A378" s="97">
        <v>43462</v>
      </c>
      <c r="B378" s="98">
        <f t="shared" si="83"/>
        <v>12</v>
      </c>
      <c r="C378" s="35"/>
      <c r="D378" s="36"/>
      <c r="E378" s="43"/>
      <c r="F378" s="44"/>
      <c r="G378" s="51"/>
      <c r="H378" s="52"/>
      <c r="I378" s="58"/>
      <c r="J378" s="17"/>
      <c r="K378" s="103"/>
      <c r="L378" s="35"/>
      <c r="M378" s="36"/>
      <c r="N378" s="43"/>
      <c r="O378" s="44"/>
      <c r="P378" s="51"/>
      <c r="Q378" s="52"/>
      <c r="R378" s="58"/>
      <c r="S378" s="17"/>
      <c r="T378" s="103"/>
      <c r="U378" s="35"/>
      <c r="V378" s="36"/>
      <c r="W378" s="43">
        <f t="shared" si="78"/>
        <v>0</v>
      </c>
      <c r="X378" s="44">
        <f t="shared" si="79"/>
        <v>0</v>
      </c>
      <c r="Y378" s="51"/>
      <c r="Z378" s="52"/>
      <c r="AA378" s="58">
        <f t="shared" si="80"/>
        <v>0</v>
      </c>
      <c r="AB378" s="17">
        <f t="shared" si="81"/>
        <v>0</v>
      </c>
      <c r="AC378" s="103"/>
      <c r="AD378" s="359"/>
      <c r="AE378" s="435"/>
    </row>
    <row r="379" spans="1:31" hidden="1" outlineLevel="1">
      <c r="A379" s="97">
        <v>43463</v>
      </c>
      <c r="B379" s="98">
        <f t="shared" si="83"/>
        <v>12</v>
      </c>
      <c r="C379" s="35"/>
      <c r="D379" s="36"/>
      <c r="E379" s="43"/>
      <c r="F379" s="44"/>
      <c r="G379" s="51"/>
      <c r="H379" s="52"/>
      <c r="I379" s="58"/>
      <c r="J379" s="17"/>
      <c r="K379" s="103"/>
      <c r="L379" s="35"/>
      <c r="M379" s="36"/>
      <c r="N379" s="43"/>
      <c r="O379" s="44"/>
      <c r="P379" s="51"/>
      <c r="Q379" s="52"/>
      <c r="R379" s="58"/>
      <c r="S379" s="17"/>
      <c r="T379" s="103"/>
      <c r="U379" s="35"/>
      <c r="V379" s="36"/>
      <c r="W379" s="43">
        <f t="shared" si="78"/>
        <v>0</v>
      </c>
      <c r="X379" s="44">
        <f t="shared" si="79"/>
        <v>0</v>
      </c>
      <c r="Y379" s="51"/>
      <c r="Z379" s="52"/>
      <c r="AA379" s="58">
        <f t="shared" si="80"/>
        <v>0</v>
      </c>
      <c r="AB379" s="17">
        <f t="shared" si="81"/>
        <v>0</v>
      </c>
      <c r="AC379" s="103"/>
      <c r="AD379" s="359"/>
      <c r="AE379" s="435"/>
    </row>
    <row r="380" spans="1:31" hidden="1" outlineLevel="1">
      <c r="A380" s="97">
        <v>43464</v>
      </c>
      <c r="B380" s="98">
        <f t="shared" si="83"/>
        <v>12</v>
      </c>
      <c r="C380" s="35"/>
      <c r="D380" s="36"/>
      <c r="E380" s="43"/>
      <c r="F380" s="44"/>
      <c r="G380" s="51"/>
      <c r="H380" s="52"/>
      <c r="I380" s="58"/>
      <c r="J380" s="17"/>
      <c r="K380" s="103"/>
      <c r="L380" s="35"/>
      <c r="M380" s="36"/>
      <c r="N380" s="43"/>
      <c r="O380" s="44"/>
      <c r="P380" s="51"/>
      <c r="Q380" s="52"/>
      <c r="R380" s="58"/>
      <c r="S380" s="17"/>
      <c r="T380" s="103"/>
      <c r="U380" s="35"/>
      <c r="V380" s="36"/>
      <c r="W380" s="43">
        <f t="shared" si="78"/>
        <v>0</v>
      </c>
      <c r="X380" s="44">
        <f t="shared" si="79"/>
        <v>0</v>
      </c>
      <c r="Y380" s="51"/>
      <c r="Z380" s="52"/>
      <c r="AA380" s="58">
        <f t="shared" si="80"/>
        <v>0</v>
      </c>
      <c r="AB380" s="17">
        <f t="shared" si="81"/>
        <v>0</v>
      </c>
      <c r="AC380" s="103"/>
      <c r="AD380" s="359"/>
      <c r="AE380" s="435"/>
    </row>
    <row r="381" spans="1:31" hidden="1" outlineLevel="1">
      <c r="A381" s="97">
        <v>43465</v>
      </c>
      <c r="B381" s="98">
        <f t="shared" si="83"/>
        <v>12</v>
      </c>
      <c r="C381" s="35"/>
      <c r="D381" s="36"/>
      <c r="E381" s="43"/>
      <c r="F381" s="44"/>
      <c r="G381" s="51"/>
      <c r="H381" s="52"/>
      <c r="I381" s="58"/>
      <c r="J381" s="17"/>
      <c r="K381" s="103"/>
      <c r="L381" s="35"/>
      <c r="M381" s="36"/>
      <c r="N381" s="43"/>
      <c r="O381" s="44"/>
      <c r="P381" s="51"/>
      <c r="Q381" s="52"/>
      <c r="R381" s="58"/>
      <c r="S381" s="17"/>
      <c r="T381" s="103"/>
      <c r="U381" s="35"/>
      <c r="V381" s="36"/>
      <c r="W381" s="43">
        <f t="shared" si="78"/>
        <v>0</v>
      </c>
      <c r="X381" s="44">
        <f t="shared" si="79"/>
        <v>0</v>
      </c>
      <c r="Y381" s="51"/>
      <c r="Z381" s="52"/>
      <c r="AA381" s="58">
        <f t="shared" si="80"/>
        <v>0</v>
      </c>
      <c r="AB381" s="17">
        <f t="shared" si="81"/>
        <v>0</v>
      </c>
      <c r="AC381" s="103"/>
      <c r="AD381" s="359"/>
      <c r="AE381" s="435"/>
    </row>
    <row r="382" spans="1:31" collapsed="1">
      <c r="K382" s="103"/>
      <c r="T382" s="103"/>
      <c r="AC382" s="103"/>
    </row>
    <row r="383" spans="1:31">
      <c r="A383" s="102" t="s">
        <v>85</v>
      </c>
      <c r="C383" s="631"/>
      <c r="D383" s="631"/>
      <c r="E383" s="632" t="s">
        <v>2</v>
      </c>
      <c r="F383" s="632"/>
      <c r="G383" s="633"/>
      <c r="H383" s="633"/>
      <c r="I383" s="630" t="s">
        <v>4</v>
      </c>
      <c r="J383" s="630"/>
      <c r="K383" s="103"/>
      <c r="L383" s="631"/>
      <c r="M383" s="631"/>
      <c r="N383" s="632" t="s">
        <v>2</v>
      </c>
      <c r="O383" s="632"/>
      <c r="P383" s="633"/>
      <c r="Q383" s="633"/>
      <c r="R383" s="630" t="s">
        <v>4</v>
      </c>
      <c r="S383" s="630"/>
      <c r="T383" s="103"/>
      <c r="U383" s="631"/>
      <c r="V383" s="631"/>
      <c r="W383" s="632" t="s">
        <v>2</v>
      </c>
      <c r="X383" s="632"/>
      <c r="Y383" s="633"/>
      <c r="Z383" s="633"/>
      <c r="AA383" s="630" t="s">
        <v>4</v>
      </c>
      <c r="AB383" s="630"/>
      <c r="AC383" s="103"/>
    </row>
    <row r="384" spans="1:31">
      <c r="C384" s="1"/>
      <c r="D384" s="1"/>
      <c r="E384" s="2" t="s">
        <v>84</v>
      </c>
      <c r="F384" s="2" t="s">
        <v>29</v>
      </c>
      <c r="G384" s="3"/>
      <c r="H384" s="3"/>
      <c r="I384" s="4" t="s">
        <v>84</v>
      </c>
      <c r="J384" s="4" t="s">
        <v>29</v>
      </c>
      <c r="K384" s="103"/>
      <c r="L384" s="1"/>
      <c r="M384" s="1"/>
      <c r="N384" s="2" t="s">
        <v>84</v>
      </c>
      <c r="O384" s="2" t="s">
        <v>29</v>
      </c>
      <c r="P384" s="3"/>
      <c r="Q384" s="3"/>
      <c r="R384" s="4" t="s">
        <v>84</v>
      </c>
      <c r="S384" s="4" t="s">
        <v>29</v>
      </c>
      <c r="T384" s="103"/>
      <c r="U384" s="1"/>
      <c r="V384" s="1"/>
      <c r="W384" s="2" t="s">
        <v>84</v>
      </c>
      <c r="X384" s="2" t="s">
        <v>29</v>
      </c>
      <c r="Y384" s="3"/>
      <c r="Z384" s="3"/>
      <c r="AA384" s="4" t="s">
        <v>84</v>
      </c>
      <c r="AB384" s="4" t="s">
        <v>29</v>
      </c>
      <c r="AC384" s="103"/>
    </row>
    <row r="385" spans="1:29">
      <c r="B385" s="356" t="s">
        <v>14</v>
      </c>
      <c r="C385" s="343"/>
      <c r="D385" s="344"/>
      <c r="E385" s="345">
        <f>'VN_YouTube Performance'!G66</f>
        <v>569674736.83402956</v>
      </c>
      <c r="F385" s="346">
        <f>'VN_YouTube Performance'!G6</f>
        <v>712243496</v>
      </c>
      <c r="G385" s="347"/>
      <c r="H385" s="348"/>
      <c r="I385" s="349">
        <f>'VN_YouTube Performance'!K66</f>
        <v>81382105.262004226</v>
      </c>
      <c r="J385" s="349">
        <f>'VN_YouTube Performance'!K6</f>
        <v>125989099</v>
      </c>
      <c r="K385" s="103"/>
      <c r="L385" s="343"/>
      <c r="M385" s="344"/>
      <c r="N385" s="345">
        <f>'VN_YouTube Performance'!R66</f>
        <v>537203276.83448982</v>
      </c>
      <c r="O385" s="346">
        <f>'VN_YouTube Performance'!R6</f>
        <v>600131253</v>
      </c>
      <c r="P385" s="347"/>
      <c r="Q385" s="348"/>
      <c r="R385" s="349">
        <f>'VN_YouTube Performance'!V66</f>
        <v>72023163.156873748</v>
      </c>
      <c r="S385" s="349">
        <f>'VN_YouTube Performance'!V6</f>
        <v>100691266</v>
      </c>
      <c r="T385" s="103"/>
      <c r="U385" s="343"/>
      <c r="V385" s="344"/>
      <c r="W385" s="345">
        <f>'VN_YouTube Performance'!AC66</f>
        <v>32471459.999539733</v>
      </c>
      <c r="X385" s="346">
        <f>'VN_YouTube Performance'!AC6</f>
        <v>112112243</v>
      </c>
      <c r="Y385" s="347"/>
      <c r="Z385" s="348"/>
      <c r="AA385" s="349">
        <f>'VN_YouTube Performance'!AG66</f>
        <v>9358942.1051304787</v>
      </c>
      <c r="AB385" s="349">
        <f>'VN_YouTube Performance'!AG6</f>
        <v>25297833</v>
      </c>
      <c r="AC385" s="103"/>
    </row>
    <row r="386" spans="1:29">
      <c r="B386" s="356" t="s">
        <v>15</v>
      </c>
      <c r="C386" s="343"/>
      <c r="D386" s="344"/>
      <c r="E386" s="345">
        <f>'VN_YouTube Performance'!G67</f>
        <v>508439589.17777473</v>
      </c>
      <c r="F386" s="346">
        <f>'VN_YouTube Performance'!G7</f>
        <v>640353919</v>
      </c>
      <c r="G386" s="347"/>
      <c r="H386" s="348"/>
      <c r="I386" s="349">
        <f>'VN_YouTube Performance'!K67</f>
        <v>72634227.025396392</v>
      </c>
      <c r="J386" s="349">
        <f>'VN_YouTube Performance'!K7</f>
        <v>100703382</v>
      </c>
      <c r="K386" s="103"/>
      <c r="L386" s="343"/>
      <c r="M386" s="344"/>
      <c r="N386" s="345">
        <f>'VN_YouTube Performance'!R67</f>
        <v>479458532.59464157</v>
      </c>
      <c r="O386" s="346">
        <f>'VN_YouTube Performance'!R7</f>
        <v>559835027</v>
      </c>
      <c r="P386" s="347"/>
      <c r="Q386" s="348"/>
      <c r="R386" s="349">
        <f>'VN_YouTube Performance'!V67</f>
        <v>64281290.917475805</v>
      </c>
      <c r="S386" s="349">
        <f>'VN_YouTube Performance'!V7</f>
        <v>87725110</v>
      </c>
      <c r="T386" s="103"/>
      <c r="U386" s="343"/>
      <c r="V386" s="344"/>
      <c r="W386" s="345">
        <f>'VN_YouTube Performance'!AC67</f>
        <v>28981056.583133161</v>
      </c>
      <c r="X386" s="346">
        <f>'VN_YouTube Performance'!AC7</f>
        <v>80518892</v>
      </c>
      <c r="Y386" s="347"/>
      <c r="Z386" s="348"/>
      <c r="AA386" s="349">
        <f>'VN_YouTube Performance'!AG67</f>
        <v>8352936.1079205871</v>
      </c>
      <c r="AB386" s="349">
        <f>'VN_YouTube Performance'!AG7</f>
        <v>12978272</v>
      </c>
      <c r="AC386" s="103"/>
    </row>
    <row r="387" spans="1:29">
      <c r="B387" s="356" t="s">
        <v>16</v>
      </c>
      <c r="C387" s="343"/>
      <c r="D387" s="344"/>
      <c r="E387" s="345">
        <f>'VN_YouTube Performance'!G68</f>
        <v>627519177.87771106</v>
      </c>
      <c r="F387" s="346">
        <f>'VN_YouTube Performance'!G8</f>
        <v>663392460</v>
      </c>
      <c r="G387" s="347"/>
      <c r="H387" s="348"/>
      <c r="I387" s="349">
        <f>'VN_YouTube Performance'!K68</f>
        <v>89645596.839673027</v>
      </c>
      <c r="J387" s="349">
        <f>'VN_YouTube Performance'!K8</f>
        <v>169816435</v>
      </c>
      <c r="K387" s="103"/>
      <c r="L387" s="343"/>
      <c r="M387" s="344"/>
      <c r="N387" s="345">
        <f>'VN_YouTube Performance'!R68</f>
        <v>591750584.73868155</v>
      </c>
      <c r="O387" s="346">
        <f>'VN_YouTube Performance'!R8</f>
        <v>551862891</v>
      </c>
      <c r="P387" s="347"/>
      <c r="Q387" s="348"/>
      <c r="R387" s="349">
        <f>'VN_YouTube Performance'!V68</f>
        <v>79336353.203110635</v>
      </c>
      <c r="S387" s="349">
        <f>'VN_YouTube Performance'!V8</f>
        <v>153626660</v>
      </c>
      <c r="T387" s="103"/>
      <c r="U387" s="343"/>
      <c r="V387" s="344"/>
      <c r="W387" s="345">
        <f>'VN_YouTube Performance'!AC68</f>
        <v>35768593.139029503</v>
      </c>
      <c r="X387" s="346">
        <f>'VN_YouTube Performance'!AC8</f>
        <v>111529569</v>
      </c>
      <c r="Y387" s="347"/>
      <c r="Z387" s="348"/>
      <c r="AA387" s="349">
        <f>'VN_YouTube Performance'!AG68</f>
        <v>10309243.636562392</v>
      </c>
      <c r="AB387" s="349">
        <f>'VN_YouTube Performance'!AG8</f>
        <v>16189775</v>
      </c>
      <c r="AC387" s="103"/>
    </row>
    <row r="388" spans="1:29">
      <c r="B388" s="356" t="s">
        <v>17</v>
      </c>
      <c r="C388" s="343"/>
      <c r="D388" s="344"/>
      <c r="E388" s="345">
        <f>'VN_YouTube Performance'!G69</f>
        <v>658895895.71846128</v>
      </c>
      <c r="F388" s="346">
        <f>'VN_YouTube Performance'!G9</f>
        <v>693831478</v>
      </c>
      <c r="G388" s="347"/>
      <c r="H388" s="348"/>
      <c r="I388" s="349">
        <f>'VN_YouTube Performance'!K69</f>
        <v>94127985.102637336</v>
      </c>
      <c r="J388" s="349">
        <f>'VN_YouTube Performance'!K9</f>
        <v>358703577</v>
      </c>
      <c r="K388" s="103"/>
      <c r="L388" s="343"/>
      <c r="M388" s="344"/>
      <c r="N388" s="345">
        <f>'VN_YouTube Performance'!R69</f>
        <v>621338829.66250896</v>
      </c>
      <c r="O388" s="346">
        <f>'VN_YouTube Performance'!R9</f>
        <v>547962867</v>
      </c>
      <c r="P388" s="347"/>
      <c r="Q388" s="348"/>
      <c r="R388" s="349">
        <f>'VN_YouTube Performance'!V69</f>
        <v>83303266.815834045</v>
      </c>
      <c r="S388" s="349">
        <f>'VN_YouTube Performance'!V9</f>
        <v>184714554</v>
      </c>
      <c r="T388" s="103"/>
      <c r="U388" s="343"/>
      <c r="V388" s="344"/>
      <c r="W388" s="345">
        <f>'VN_YouTube Performance'!AC69</f>
        <v>37557066.055952311</v>
      </c>
      <c r="X388" s="346">
        <f>'VN_YouTube Performance'!AC9</f>
        <v>145868611</v>
      </c>
      <c r="Y388" s="347"/>
      <c r="Z388" s="348"/>
      <c r="AA388" s="349">
        <f>'VN_YouTube Performance'!AG69</f>
        <v>10824718.28680329</v>
      </c>
      <c r="AB388" s="349">
        <f>'VN_YouTube Performance'!AG9</f>
        <v>173989023</v>
      </c>
      <c r="AC388" s="103"/>
    </row>
    <row r="389" spans="1:29">
      <c r="B389" s="356" t="s">
        <v>18</v>
      </c>
      <c r="C389" s="343"/>
      <c r="D389" s="344"/>
      <c r="E389" s="345">
        <f>'VN_YouTube Performance'!G70</f>
        <v>713830067.76421547</v>
      </c>
      <c r="F389" s="346">
        <f>'VN_YouTube Performance'!G10</f>
        <v>796396532</v>
      </c>
      <c r="G389" s="347"/>
      <c r="H389" s="348"/>
      <c r="I389" s="349">
        <f>'VN_YouTube Performance'!K70</f>
        <v>101975723.96631651</v>
      </c>
      <c r="J389" s="349">
        <f>'VN_YouTube Performance'!K10</f>
        <v>401198859</v>
      </c>
      <c r="K389" s="103"/>
      <c r="L389" s="343"/>
      <c r="M389" s="344"/>
      <c r="N389" s="345">
        <f>'VN_YouTube Performance'!R70</f>
        <v>673141753.9016552</v>
      </c>
      <c r="O389" s="346">
        <f>'VN_YouTube Performance'!R10</f>
        <v>579917316</v>
      </c>
      <c r="P389" s="347"/>
      <c r="Q389" s="348"/>
      <c r="R389" s="349">
        <f>'VN_YouTube Performance'!V70</f>
        <v>90248515.710190102</v>
      </c>
      <c r="S389" s="349">
        <f>'VN_YouTube Performance'!V10</f>
        <v>156759564</v>
      </c>
      <c r="T389" s="103"/>
      <c r="U389" s="343"/>
      <c r="V389" s="344"/>
      <c r="W389" s="345">
        <f>'VN_YouTube Performance'!AC70</f>
        <v>40688313.862560272</v>
      </c>
      <c r="X389" s="346">
        <f>'VN_YouTube Performance'!AC10</f>
        <v>216479216</v>
      </c>
      <c r="Y389" s="347"/>
      <c r="Z389" s="348"/>
      <c r="AA389" s="349">
        <f>'VN_YouTube Performance'!AG70</f>
        <v>11727208.256126404</v>
      </c>
      <c r="AB389" s="349">
        <f>'VN_YouTube Performance'!AG10</f>
        <v>244439295</v>
      </c>
      <c r="AC389" s="103"/>
    </row>
    <row r="390" spans="1:29">
      <c r="B390" s="356" t="s">
        <v>19</v>
      </c>
      <c r="C390" s="343"/>
      <c r="D390" s="344"/>
      <c r="E390" s="345">
        <f>'VN_YouTube Performance'!G71</f>
        <v>700547432.74220216</v>
      </c>
      <c r="F390" s="346">
        <f>'VN_YouTube Performance'!G11</f>
        <v>913021074</v>
      </c>
      <c r="G390" s="347"/>
      <c r="H390" s="348"/>
      <c r="I390" s="349">
        <f>'VN_YouTube Performance'!K71</f>
        <v>100078204.67745745</v>
      </c>
      <c r="J390" s="349">
        <f>'VN_YouTube Performance'!K11</f>
        <v>164515860</v>
      </c>
      <c r="K390" s="103"/>
      <c r="L390" s="343"/>
      <c r="M390" s="344"/>
      <c r="N390" s="345">
        <f>'VN_YouTube Performance'!R71</f>
        <v>660616229.07589662</v>
      </c>
      <c r="O390" s="346">
        <f>'VN_YouTube Performance'!R11</f>
        <v>684471205</v>
      </c>
      <c r="P390" s="347"/>
      <c r="Q390" s="348"/>
      <c r="R390" s="349">
        <f>'VN_YouTube Performance'!V71</f>
        <v>88569211.139549851</v>
      </c>
      <c r="S390" s="349">
        <f>'VN_YouTube Performance'!V11</f>
        <v>122963683</v>
      </c>
      <c r="T390" s="103"/>
      <c r="U390" s="343"/>
      <c r="V390" s="344"/>
      <c r="W390" s="345">
        <f>'VN_YouTube Performance'!AC71</f>
        <v>39931203.666305542</v>
      </c>
      <c r="X390" s="346">
        <f>'VN_YouTube Performance'!AC11</f>
        <v>228549869</v>
      </c>
      <c r="Y390" s="347"/>
      <c r="Z390" s="348"/>
      <c r="AA390" s="349">
        <f>'VN_YouTube Performance'!AG71</f>
        <v>11508993.5379076</v>
      </c>
      <c r="AB390" s="349">
        <f>'VN_YouTube Performance'!AG11</f>
        <v>41552177</v>
      </c>
      <c r="AC390" s="103"/>
    </row>
    <row r="391" spans="1:29">
      <c r="B391" s="356" t="s">
        <v>20</v>
      </c>
      <c r="C391" s="343"/>
      <c r="D391" s="344"/>
      <c r="E391" s="345">
        <f>'VN_YouTube Performance'!G72</f>
        <v>756363432.58724153</v>
      </c>
      <c r="F391" s="346">
        <f>'VN_YouTube Performance'!G12</f>
        <v>907602165</v>
      </c>
      <c r="G391" s="347"/>
      <c r="H391" s="348"/>
      <c r="I391" s="349">
        <f>'VN_YouTube Performance'!K72</f>
        <v>108051918.94103451</v>
      </c>
      <c r="J391" s="349">
        <f>'VN_YouTube Performance'!K12</f>
        <v>214738755</v>
      </c>
      <c r="K391" s="103"/>
      <c r="L391" s="343"/>
      <c r="M391" s="344"/>
      <c r="N391" s="345">
        <f>'VN_YouTube Performance'!R72</f>
        <v>713250716.92976868</v>
      </c>
      <c r="O391" s="346">
        <f>'VN_YouTube Performance'!R12</f>
        <v>680408129</v>
      </c>
      <c r="P391" s="347"/>
      <c r="Q391" s="348"/>
      <c r="R391" s="349">
        <f>'VN_YouTube Performance'!V72</f>
        <v>95625948.26281555</v>
      </c>
      <c r="S391" s="349">
        <f>'VN_YouTube Performance'!V12</f>
        <v>153441957</v>
      </c>
      <c r="T391" s="103"/>
      <c r="U391" s="343"/>
      <c r="V391" s="344"/>
      <c r="W391" s="345">
        <f>'VN_YouTube Performance'!AC72</f>
        <v>43112715.657472849</v>
      </c>
      <c r="X391" s="346">
        <f>'VN_YouTube Performance'!AC12</f>
        <v>227194036</v>
      </c>
      <c r="Y391" s="347"/>
      <c r="Z391" s="348"/>
      <c r="AA391" s="349">
        <f>'VN_YouTube Performance'!AG72</f>
        <v>12425970.678218961</v>
      </c>
      <c r="AB391" s="349">
        <f>'VN_YouTube Performance'!AG12</f>
        <v>61296798</v>
      </c>
      <c r="AC391" s="103"/>
    </row>
    <row r="392" spans="1:29">
      <c r="B392" s="356" t="s">
        <v>21</v>
      </c>
      <c r="C392" s="343"/>
      <c r="D392" s="344"/>
      <c r="E392" s="345">
        <f>'VN_YouTube Performance'!G73</f>
        <v>749302914.2797215</v>
      </c>
      <c r="F392" s="346">
        <f>'VN_YouTube Performance'!G13</f>
        <v>810832920</v>
      </c>
      <c r="G392" s="347"/>
      <c r="H392" s="348"/>
      <c r="I392" s="349">
        <f>'VN_YouTube Performance'!K73</f>
        <v>107043273.46853167</v>
      </c>
      <c r="J392" s="349">
        <f>'VN_YouTube Performance'!K13</f>
        <v>192008896</v>
      </c>
      <c r="K392" s="103"/>
      <c r="L392" s="343"/>
      <c r="M392" s="344"/>
      <c r="N392" s="345">
        <f>'VN_YouTube Performance'!R73</f>
        <v>706592648.16577733</v>
      </c>
      <c r="O392" s="346">
        <f>'VN_YouTube Performance'!R13</f>
        <v>618827481</v>
      </c>
      <c r="P392" s="347"/>
      <c r="Q392" s="348"/>
      <c r="R392" s="349">
        <f>'VN_YouTube Performance'!V73</f>
        <v>94733297.019650534</v>
      </c>
      <c r="S392" s="349">
        <f>'VN_YouTube Performance'!V13</f>
        <v>125940833</v>
      </c>
      <c r="T392" s="103"/>
      <c r="U392" s="343"/>
      <c r="V392" s="344"/>
      <c r="W392" s="345">
        <f>'VN_YouTube Performance'!AC73</f>
        <v>42710266.113944173</v>
      </c>
      <c r="X392" s="346">
        <f>'VN_YouTube Performance'!AC13</f>
        <v>192005439</v>
      </c>
      <c r="Y392" s="347"/>
      <c r="Z392" s="348"/>
      <c r="AA392" s="349">
        <f>'VN_YouTube Performance'!AG73</f>
        <v>12309976.448881134</v>
      </c>
      <c r="AB392" s="349">
        <f>'VN_YouTube Performance'!AG13</f>
        <v>66068063</v>
      </c>
      <c r="AC392" s="103"/>
    </row>
    <row r="393" spans="1:29">
      <c r="B393" s="356" t="s">
        <v>22</v>
      </c>
      <c r="C393" s="343"/>
      <c r="D393" s="344"/>
      <c r="E393" s="345">
        <f>'VN_YouTube Performance'!G74</f>
        <v>790556961.82225585</v>
      </c>
      <c r="F393" s="346">
        <f>'VN_YouTube Performance'!G14</f>
        <v>0</v>
      </c>
      <c r="G393" s="347"/>
      <c r="H393" s="348"/>
      <c r="I393" s="349">
        <f>'VN_YouTube Performance'!K74</f>
        <v>112936708.83175085</v>
      </c>
      <c r="J393" s="349">
        <f>'VN_YouTube Performance'!K14</f>
        <v>0</v>
      </c>
      <c r="K393" s="103"/>
      <c r="L393" s="343"/>
      <c r="M393" s="344"/>
      <c r="N393" s="345">
        <f>'VN_YouTube Performance'!R74</f>
        <v>745495214.99838722</v>
      </c>
      <c r="O393" s="346">
        <f>'VN_YouTube Performance'!R14</f>
        <v>0</v>
      </c>
      <c r="P393" s="347"/>
      <c r="Q393" s="348"/>
      <c r="R393" s="349">
        <f>'VN_YouTube Performance'!V74</f>
        <v>99948987.31609951</v>
      </c>
      <c r="S393" s="349">
        <f>'VN_YouTube Performance'!V14</f>
        <v>0</v>
      </c>
      <c r="T393" s="103"/>
      <c r="U393" s="343"/>
      <c r="V393" s="344"/>
      <c r="W393" s="345">
        <f>'VN_YouTube Performance'!AC74</f>
        <v>45061746.823868632</v>
      </c>
      <c r="X393" s="346">
        <f>'VN_YouTube Performance'!AC14</f>
        <v>0</v>
      </c>
      <c r="Y393" s="347"/>
      <c r="Z393" s="348"/>
      <c r="AA393" s="349">
        <f>'VN_YouTube Performance'!AG74</f>
        <v>12987721.515651345</v>
      </c>
      <c r="AB393" s="349">
        <f>'VN_YouTube Performance'!AG14</f>
        <v>0</v>
      </c>
      <c r="AC393" s="103"/>
    </row>
    <row r="394" spans="1:29">
      <c r="B394" s="356" t="s">
        <v>23</v>
      </c>
      <c r="C394" s="343"/>
      <c r="D394" s="344"/>
      <c r="E394" s="345">
        <f>'VN_YouTube Performance'!G75</f>
        <v>848257957.42272496</v>
      </c>
      <c r="F394" s="346">
        <f>'VN_YouTube Performance'!G15</f>
        <v>0</v>
      </c>
      <c r="G394" s="347"/>
      <c r="H394" s="348"/>
      <c r="I394" s="349">
        <f>'VN_YouTube Performance'!K75</f>
        <v>121179708.20324643</v>
      </c>
      <c r="J394" s="349">
        <f>'VN_YouTube Performance'!K15</f>
        <v>0</v>
      </c>
      <c r="K394" s="103"/>
      <c r="L394" s="343"/>
      <c r="M394" s="344"/>
      <c r="N394" s="345">
        <f>'VN_YouTube Performance'!R75</f>
        <v>799907253.84962964</v>
      </c>
      <c r="O394" s="346">
        <f>'VN_YouTube Performance'!R15</f>
        <v>0</v>
      </c>
      <c r="P394" s="347"/>
      <c r="Q394" s="348"/>
      <c r="R394" s="349">
        <f>'VN_YouTube Performance'!V75</f>
        <v>107244041.75987309</v>
      </c>
      <c r="S394" s="349">
        <f>'VN_YouTube Performance'!V15</f>
        <v>0</v>
      </c>
      <c r="T394" s="103"/>
      <c r="U394" s="343"/>
      <c r="V394" s="344"/>
      <c r="W394" s="345">
        <f>'VN_YouTube Performance'!AC75</f>
        <v>48350703.573095322</v>
      </c>
      <c r="X394" s="346">
        <f>'VN_YouTube Performance'!AC15</f>
        <v>0</v>
      </c>
      <c r="Y394" s="347"/>
      <c r="Z394" s="348"/>
      <c r="AA394" s="349">
        <f>'VN_YouTube Performance'!AG75</f>
        <v>13935666.443373337</v>
      </c>
      <c r="AB394" s="349">
        <f>'VN_YouTube Performance'!AG15</f>
        <v>0</v>
      </c>
      <c r="AC394" s="103"/>
    </row>
    <row r="395" spans="1:29">
      <c r="B395" s="356" t="s">
        <v>24</v>
      </c>
      <c r="C395" s="343"/>
      <c r="D395" s="344"/>
      <c r="E395" s="345">
        <f>'VN_YouTube Performance'!G76</f>
        <v>865704178.90948462</v>
      </c>
      <c r="F395" s="346">
        <f>'VN_YouTube Performance'!G16</f>
        <v>0</v>
      </c>
      <c r="G395" s="347"/>
      <c r="H395" s="348"/>
      <c r="I395" s="349">
        <f>'VN_YouTube Performance'!K76</f>
        <v>123672025.55849782</v>
      </c>
      <c r="J395" s="349">
        <f>'VN_YouTube Performance'!K16</f>
        <v>0</v>
      </c>
      <c r="K395" s="103"/>
      <c r="L395" s="343"/>
      <c r="M395" s="344"/>
      <c r="N395" s="345">
        <f>'VN_YouTube Performance'!R76</f>
        <v>816359040.71164393</v>
      </c>
      <c r="O395" s="346">
        <f>'VN_YouTube Performance'!R16</f>
        <v>0</v>
      </c>
      <c r="P395" s="347"/>
      <c r="Q395" s="348"/>
      <c r="R395" s="349">
        <f>'VN_YouTube Performance'!V76</f>
        <v>109449742.61927056</v>
      </c>
      <c r="S395" s="349">
        <f>'VN_YouTube Performance'!V16</f>
        <v>0</v>
      </c>
      <c r="T395" s="103"/>
      <c r="U395" s="343"/>
      <c r="V395" s="344"/>
      <c r="W395" s="345">
        <f>'VN_YouTube Performance'!AC76</f>
        <v>49345138.197840691</v>
      </c>
      <c r="X395" s="346">
        <f>'VN_YouTube Performance'!AC16</f>
        <v>0</v>
      </c>
      <c r="Y395" s="347"/>
      <c r="Z395" s="348"/>
      <c r="AA395" s="349">
        <f>'VN_YouTube Performance'!AG76</f>
        <v>14222282.939227253</v>
      </c>
      <c r="AB395" s="349">
        <f>'VN_YouTube Performance'!AG16</f>
        <v>0</v>
      </c>
      <c r="AC395" s="103"/>
    </row>
    <row r="396" spans="1:29">
      <c r="B396" s="356" t="s">
        <v>25</v>
      </c>
      <c r="C396" s="343"/>
      <c r="D396" s="344"/>
      <c r="E396" s="345">
        <f>'VN_YouTube Performance'!G77</f>
        <v>960907654.86417639</v>
      </c>
      <c r="F396" s="346">
        <f>'VN_YouTube Performance'!G17</f>
        <v>0</v>
      </c>
      <c r="G396" s="347"/>
      <c r="H396" s="348"/>
      <c r="I396" s="349">
        <f>'VN_YouTube Performance'!K77</f>
        <v>137272522.1234538</v>
      </c>
      <c r="J396" s="349">
        <f>'VN_YouTube Performance'!K17</f>
        <v>0</v>
      </c>
      <c r="K396" s="103"/>
      <c r="L396" s="343"/>
      <c r="M396" s="344"/>
      <c r="N396" s="345">
        <f>'VN_YouTube Performance'!R77</f>
        <v>906135918.53691828</v>
      </c>
      <c r="O396" s="346">
        <f>'VN_YouTube Performance'!R17</f>
        <v>0</v>
      </c>
      <c r="P396" s="347"/>
      <c r="Q396" s="348"/>
      <c r="R396" s="349">
        <f>'VN_YouTube Performance'!V77</f>
        <v>121486182.07925661</v>
      </c>
      <c r="S396" s="349">
        <f>'VN_YouTube Performance'!V17</f>
        <v>0</v>
      </c>
      <c r="T396" s="103"/>
      <c r="U396" s="343"/>
      <c r="V396" s="344"/>
      <c r="W396" s="345">
        <f>'VN_YouTube Performance'!AC77</f>
        <v>54771736.32725811</v>
      </c>
      <c r="X396" s="346">
        <f>'VN_YouTube Performance'!AC17</f>
        <v>0</v>
      </c>
      <c r="Y396" s="347"/>
      <c r="Z396" s="348"/>
      <c r="AA396" s="349">
        <f>'VN_YouTube Performance'!AG77</f>
        <v>15786340.044197187</v>
      </c>
      <c r="AB396" s="349">
        <f>'VN_YouTube Performance'!AG17</f>
        <v>0</v>
      </c>
      <c r="AC396" s="103"/>
    </row>
    <row r="397" spans="1:29">
      <c r="B397" s="356" t="s">
        <v>7</v>
      </c>
      <c r="C397" s="342"/>
      <c r="D397" s="342"/>
      <c r="E397" s="336">
        <f t="shared" ref="C397:J397" si="84">SUM(E385:E396)</f>
        <v>8750000000</v>
      </c>
      <c r="F397" s="336">
        <f t="shared" si="84"/>
        <v>6137674044</v>
      </c>
      <c r="G397" s="338"/>
      <c r="H397" s="338"/>
      <c r="I397" s="340">
        <f t="shared" si="84"/>
        <v>1250000000.0000002</v>
      </c>
      <c r="J397" s="340">
        <f t="shared" si="84"/>
        <v>1727674863</v>
      </c>
      <c r="K397" s="103"/>
      <c r="L397" s="342"/>
      <c r="M397" s="342"/>
      <c r="N397" s="336">
        <f t="shared" ref="L397:S397" si="85">SUM(N385:N396)</f>
        <v>8251249999.999999</v>
      </c>
      <c r="O397" s="336">
        <f t="shared" si="85"/>
        <v>4823416169</v>
      </c>
      <c r="P397" s="338"/>
      <c r="Q397" s="338"/>
      <c r="R397" s="340">
        <f t="shared" si="85"/>
        <v>1106250000</v>
      </c>
      <c r="S397" s="340">
        <f t="shared" si="85"/>
        <v>1085863627</v>
      </c>
      <c r="T397" s="103"/>
      <c r="U397" s="342"/>
      <c r="V397" s="342"/>
      <c r="W397" s="336">
        <f t="shared" ref="U397:AB397" si="86">SUM(W385:W396)</f>
        <v>498750000.0000003</v>
      </c>
      <c r="X397" s="336">
        <f t="shared" si="86"/>
        <v>1314257875</v>
      </c>
      <c r="Y397" s="338"/>
      <c r="Z397" s="338"/>
      <c r="AA397" s="340">
        <f t="shared" si="86"/>
        <v>143749999.99999997</v>
      </c>
      <c r="AB397" s="340">
        <f t="shared" si="86"/>
        <v>641811236</v>
      </c>
      <c r="AC397" s="103"/>
    </row>
    <row r="398" spans="1:29">
      <c r="K398" s="103"/>
      <c r="T398" s="103"/>
      <c r="AC398" s="103"/>
    </row>
    <row r="399" spans="1:29">
      <c r="A399" s="102" t="s">
        <v>86</v>
      </c>
      <c r="C399" s="631"/>
      <c r="D399" s="631"/>
      <c r="E399" s="632" t="s">
        <v>2</v>
      </c>
      <c r="F399" s="632"/>
      <c r="G399" s="633"/>
      <c r="H399" s="633"/>
      <c r="I399" s="630" t="s">
        <v>4</v>
      </c>
      <c r="J399" s="630"/>
      <c r="K399" s="103"/>
      <c r="L399" s="631"/>
      <c r="M399" s="631"/>
      <c r="N399" s="632" t="s">
        <v>2</v>
      </c>
      <c r="O399" s="632"/>
      <c r="P399" s="633"/>
      <c r="Q399" s="633"/>
      <c r="R399" s="630" t="s">
        <v>4</v>
      </c>
      <c r="S399" s="630"/>
      <c r="T399" s="103"/>
      <c r="U399" s="631"/>
      <c r="V399" s="631"/>
      <c r="W399" s="632" t="s">
        <v>2</v>
      </c>
      <c r="X399" s="632"/>
      <c r="Y399" s="633"/>
      <c r="Z399" s="633"/>
      <c r="AA399" s="630" t="s">
        <v>4</v>
      </c>
      <c r="AB399" s="630"/>
      <c r="AC399" s="103"/>
    </row>
    <row r="400" spans="1:29">
      <c r="C400" s="1"/>
      <c r="D400" s="1"/>
      <c r="E400" s="2" t="s">
        <v>84</v>
      </c>
      <c r="F400" s="2" t="s">
        <v>29</v>
      </c>
      <c r="G400" s="3"/>
      <c r="H400" s="3"/>
      <c r="I400" s="4" t="s">
        <v>84</v>
      </c>
      <c r="J400" s="4" t="s">
        <v>29</v>
      </c>
      <c r="K400" s="103"/>
      <c r="L400" s="1"/>
      <c r="M400" s="1"/>
      <c r="N400" s="2" t="s">
        <v>84</v>
      </c>
      <c r="O400" s="2" t="s">
        <v>29</v>
      </c>
      <c r="P400" s="3"/>
      <c r="Q400" s="3"/>
      <c r="R400" s="4" t="s">
        <v>84</v>
      </c>
      <c r="S400" s="4" t="s">
        <v>29</v>
      </c>
      <c r="T400" s="103"/>
      <c r="U400" s="1"/>
      <c r="V400" s="1"/>
      <c r="W400" s="2" t="s">
        <v>84</v>
      </c>
      <c r="X400" s="2" t="s">
        <v>29</v>
      </c>
      <c r="Y400" s="3"/>
      <c r="Z400" s="3"/>
      <c r="AA400" s="4" t="s">
        <v>84</v>
      </c>
      <c r="AB400" s="4" t="s">
        <v>29</v>
      </c>
      <c r="AC400" s="103"/>
    </row>
    <row r="401" spans="2:29">
      <c r="B401" s="356" t="s">
        <v>14</v>
      </c>
      <c r="C401" s="351"/>
      <c r="D401" s="351"/>
      <c r="E401" s="352">
        <f>'VN_YouTube Performance'!H66</f>
        <v>118464.40869439059</v>
      </c>
      <c r="F401" s="352">
        <f>'VN_YouTube Performance'!H6</f>
        <v>148369.26999999999</v>
      </c>
      <c r="G401" s="353"/>
      <c r="H401" s="353"/>
      <c r="I401" s="354">
        <f>'VN_YouTube Performance'!L66</f>
        <v>13623.456484334463</v>
      </c>
      <c r="J401" s="354">
        <f>'VN_YouTube Performance'!L6</f>
        <v>17239.806</v>
      </c>
      <c r="K401" s="103"/>
      <c r="L401" s="351"/>
      <c r="M401" s="351"/>
      <c r="N401" s="352">
        <f>'VN_YouTube Performance'!S66</f>
        <v>102246.79726097024</v>
      </c>
      <c r="O401" s="352">
        <f>'VN_YouTube Performance'!S6</f>
        <v>115656.79299999999</v>
      </c>
      <c r="P401" s="353"/>
      <c r="Q401" s="353"/>
      <c r="R401" s="354">
        <f>'VN_YouTube Performance'!W66</f>
        <v>5687.7859306748032</v>
      </c>
      <c r="S401" s="354">
        <f>'VN_YouTube Performance'!W6</f>
        <v>8851.1309999999994</v>
      </c>
      <c r="T401" s="103"/>
      <c r="U401" s="351"/>
      <c r="V401" s="351"/>
      <c r="W401" s="352">
        <f>'VN_YouTube Performance'!AD66</f>
        <v>16217.611433420345</v>
      </c>
      <c r="X401" s="352">
        <f>'VN_YouTube Performance'!AD6</f>
        <v>32712.477000000003</v>
      </c>
      <c r="Y401" s="353"/>
      <c r="Z401" s="353"/>
      <c r="AA401" s="354">
        <f>'VN_YouTube Performance'!AH66</f>
        <v>7935.6705536596601</v>
      </c>
      <c r="AB401" s="354">
        <f>'VN_YouTube Performance'!AH6</f>
        <v>8388.6749999999993</v>
      </c>
      <c r="AC401" s="103"/>
    </row>
    <row r="402" spans="2:29">
      <c r="B402" s="356" t="s">
        <v>15</v>
      </c>
      <c r="C402" s="351"/>
      <c r="D402" s="351"/>
      <c r="E402" s="352">
        <f>'VN_YouTube Performance'!H67</f>
        <v>105730.50092321732</v>
      </c>
      <c r="F402" s="352">
        <f>'VN_YouTube Performance'!H7</f>
        <v>118213.66</v>
      </c>
      <c r="G402" s="353"/>
      <c r="H402" s="353"/>
      <c r="I402" s="354">
        <f>'VN_YouTube Performance'!L67</f>
        <v>12159.051771492457</v>
      </c>
      <c r="J402" s="354">
        <f>'VN_YouTube Performance'!L7</f>
        <v>16223.649999999996</v>
      </c>
      <c r="K402" s="103"/>
      <c r="L402" s="351"/>
      <c r="M402" s="351"/>
      <c r="N402" s="352">
        <f>'VN_YouTube Performance'!S67</f>
        <v>91256.14360753505</v>
      </c>
      <c r="O402" s="352">
        <f>'VN_YouTube Performance'!S7</f>
        <v>94450.7</v>
      </c>
      <c r="P402" s="353"/>
      <c r="Q402" s="353"/>
      <c r="R402" s="354">
        <f>'VN_YouTube Performance'!W67</f>
        <v>5076.3977317919152</v>
      </c>
      <c r="S402" s="354">
        <f>'VN_YouTube Performance'!W7</f>
        <v>7885.42</v>
      </c>
      <c r="T402" s="103"/>
      <c r="U402" s="351"/>
      <c r="V402" s="351"/>
      <c r="W402" s="352">
        <f>'VN_YouTube Performance'!AD67</f>
        <v>14474.357315682268</v>
      </c>
      <c r="X402" s="352">
        <f>'VN_YouTube Performance'!AD7</f>
        <v>23762.960000000003</v>
      </c>
      <c r="Y402" s="353"/>
      <c r="Z402" s="353"/>
      <c r="AA402" s="354">
        <f>'VN_YouTube Performance'!AH67</f>
        <v>7082.6540397005419</v>
      </c>
      <c r="AB402" s="354">
        <f>'VN_YouTube Performance'!AH7</f>
        <v>8338.2300000000014</v>
      </c>
      <c r="AC402" s="103"/>
    </row>
    <row r="403" spans="2:29">
      <c r="B403" s="356" t="s">
        <v>16</v>
      </c>
      <c r="C403" s="351"/>
      <c r="D403" s="351"/>
      <c r="E403" s="352">
        <f>'VN_YouTube Performance'!H68</f>
        <v>130493.21576872235</v>
      </c>
      <c r="F403" s="352">
        <f>'VN_YouTube Performance'!H8</f>
        <v>168146.83</v>
      </c>
      <c r="G403" s="353"/>
      <c r="H403" s="353"/>
      <c r="I403" s="354">
        <f>'VN_YouTube Performance'!L68</f>
        <v>15006.774322507856</v>
      </c>
      <c r="J403" s="354">
        <f>'VN_YouTube Performance'!L8</f>
        <v>38199.730000000003</v>
      </c>
      <c r="K403" s="103"/>
      <c r="L403" s="351"/>
      <c r="M403" s="351"/>
      <c r="N403" s="352">
        <f>'VN_YouTube Performance'!S68</f>
        <v>112628.87751423339</v>
      </c>
      <c r="O403" s="352">
        <f>'VN_YouTube Performance'!S8</f>
        <v>125455.74999999999</v>
      </c>
      <c r="P403" s="353"/>
      <c r="Q403" s="353"/>
      <c r="R403" s="354">
        <f>'VN_YouTube Performance'!W68</f>
        <v>6265.3204019495124</v>
      </c>
      <c r="S403" s="354">
        <f>'VN_YouTube Performance'!W8</f>
        <v>18017.339999999997</v>
      </c>
      <c r="T403" s="103"/>
      <c r="U403" s="351"/>
      <c r="V403" s="351"/>
      <c r="W403" s="352">
        <f>'VN_YouTube Performance'!AD68</f>
        <v>17864.338254488961</v>
      </c>
      <c r="X403" s="352">
        <f>'VN_YouTube Performance'!AD8</f>
        <v>42691.080000000009</v>
      </c>
      <c r="Y403" s="353"/>
      <c r="Z403" s="353"/>
      <c r="AA403" s="354">
        <f>'VN_YouTube Performance'!AH68</f>
        <v>8741.4539205583424</v>
      </c>
      <c r="AB403" s="354">
        <f>'VN_YouTube Performance'!AH8</f>
        <v>20182.390000000003</v>
      </c>
      <c r="AC403" s="103"/>
    </row>
    <row r="404" spans="2:29">
      <c r="B404" s="356" t="s">
        <v>17</v>
      </c>
      <c r="C404" s="351"/>
      <c r="D404" s="351"/>
      <c r="E404" s="352">
        <f>'VN_YouTube Performance'!H69</f>
        <v>137018.03438088796</v>
      </c>
      <c r="F404" s="352">
        <f>'VN_YouTube Performance'!H9</f>
        <v>170290.55</v>
      </c>
      <c r="G404" s="353"/>
      <c r="H404" s="353"/>
      <c r="I404" s="354">
        <f>'VN_YouTube Performance'!L69</f>
        <v>15757.131188428062</v>
      </c>
      <c r="J404" s="354">
        <f>'VN_YouTube Performance'!L9</f>
        <v>121615.77</v>
      </c>
      <c r="K404" s="103"/>
      <c r="L404" s="351"/>
      <c r="M404" s="351"/>
      <c r="N404" s="352">
        <f>'VN_YouTube Performance'!S69</f>
        <v>118260.45760782727</v>
      </c>
      <c r="O404" s="352">
        <f>'VN_YouTube Performance'!S9</f>
        <v>116613.42000000001</v>
      </c>
      <c r="P404" s="353"/>
      <c r="Q404" s="353"/>
      <c r="R404" s="354">
        <f>'VN_YouTube Performance'!W69</f>
        <v>6578.5939995767949</v>
      </c>
      <c r="S404" s="354">
        <f>'VN_YouTube Performance'!W9</f>
        <v>23800.710000000006</v>
      </c>
      <c r="T404" s="103"/>
      <c r="U404" s="351"/>
      <c r="V404" s="351"/>
      <c r="W404" s="352">
        <f>'VN_YouTube Performance'!AD69</f>
        <v>18757.576773060689</v>
      </c>
      <c r="X404" s="352">
        <f>'VN_YouTube Performance'!AD9</f>
        <v>53677.130000000005</v>
      </c>
      <c r="Y404" s="353"/>
      <c r="Z404" s="353"/>
      <c r="AA404" s="354">
        <f>'VN_YouTube Performance'!AH69</f>
        <v>9178.5371888512673</v>
      </c>
      <c r="AB404" s="354">
        <f>'VN_YouTube Performance'!AH9</f>
        <v>97815.059999999983</v>
      </c>
      <c r="AC404" s="103"/>
    </row>
    <row r="405" spans="2:29">
      <c r="B405" s="356" t="s">
        <v>18</v>
      </c>
      <c r="C405" s="351"/>
      <c r="D405" s="351"/>
      <c r="E405" s="352">
        <f>'VN_YouTube Performance'!H70</f>
        <v>148441.64822180182</v>
      </c>
      <c r="F405" s="352">
        <f>'VN_YouTube Performance'!H10</f>
        <v>206786.54000000004</v>
      </c>
      <c r="G405" s="353"/>
      <c r="H405" s="353"/>
      <c r="I405" s="354">
        <f>'VN_YouTube Performance'!L70</f>
        <v>17070.851551959495</v>
      </c>
      <c r="J405" s="354">
        <f>'VN_YouTube Performance'!L10</f>
        <v>176027.96000000005</v>
      </c>
      <c r="K405" s="103"/>
      <c r="L405" s="351"/>
      <c r="M405" s="351"/>
      <c r="N405" s="352">
        <f>'VN_YouTube Performance'!S70</f>
        <v>128120.19473269457</v>
      </c>
      <c r="O405" s="352">
        <f>'VN_YouTube Performance'!S10</f>
        <v>122478.54000000001</v>
      </c>
      <c r="P405" s="353"/>
      <c r="Q405" s="353"/>
      <c r="R405" s="354">
        <f>'VN_YouTube Performance'!W70</f>
        <v>7127.0715617231754</v>
      </c>
      <c r="S405" s="354">
        <f>'VN_YouTube Performance'!W10</f>
        <v>22565.05</v>
      </c>
      <c r="T405" s="103"/>
      <c r="U405" s="351"/>
      <c r="V405" s="351"/>
      <c r="W405" s="352">
        <f>'VN_YouTube Performance'!AD70</f>
        <v>20321.453489107254</v>
      </c>
      <c r="X405" s="352">
        <f>'VN_YouTube Performance'!AD10</f>
        <v>84308.000000000015</v>
      </c>
      <c r="Y405" s="353"/>
      <c r="Z405" s="353"/>
      <c r="AA405" s="354">
        <f>'VN_YouTube Performance'!AH70</f>
        <v>9943.7799902363186</v>
      </c>
      <c r="AB405" s="354">
        <f>'VN_YouTube Performance'!AH10</f>
        <v>153462.91000000003</v>
      </c>
      <c r="AC405" s="103"/>
    </row>
    <row r="406" spans="2:29">
      <c r="B406" s="356" t="s">
        <v>19</v>
      </c>
      <c r="C406" s="351"/>
      <c r="D406" s="351"/>
      <c r="E406" s="352">
        <f>'VN_YouTube Performance'!H71</f>
        <v>145679.5115110692</v>
      </c>
      <c r="F406" s="352">
        <f>'VN_YouTube Performance'!H11</f>
        <v>232102.97999999998</v>
      </c>
      <c r="G406" s="353"/>
      <c r="H406" s="353"/>
      <c r="I406" s="354">
        <f>'VN_YouTube Performance'!L71</f>
        <v>16753.20467643653</v>
      </c>
      <c r="J406" s="354">
        <f>'VN_YouTube Performance'!L11</f>
        <v>51696.229999999996</v>
      </c>
      <c r="K406" s="103"/>
      <c r="L406" s="351"/>
      <c r="M406" s="351"/>
      <c r="N406" s="352">
        <f>'VN_YouTube Performance'!S71</f>
        <v>125736.19066445214</v>
      </c>
      <c r="O406" s="352">
        <f>'VN_YouTube Performance'!S11</f>
        <v>123175.16000000003</v>
      </c>
      <c r="P406" s="353"/>
      <c r="Q406" s="353"/>
      <c r="R406" s="354">
        <f>'VN_YouTube Performance'!W71</f>
        <v>6994.454157938766</v>
      </c>
      <c r="S406" s="354">
        <f>'VN_YouTube Performance'!W11</f>
        <v>15439.14</v>
      </c>
      <c r="T406" s="103"/>
      <c r="U406" s="351"/>
      <c r="V406" s="351"/>
      <c r="W406" s="352">
        <f>'VN_YouTube Performance'!AD71</f>
        <v>19943.320846617062</v>
      </c>
      <c r="X406" s="352">
        <f>'VN_YouTube Performance'!AD11</f>
        <v>108927.82</v>
      </c>
      <c r="Y406" s="353"/>
      <c r="Z406" s="353"/>
      <c r="AA406" s="354">
        <f>'VN_YouTube Performance'!AH71</f>
        <v>9758.7505184977636</v>
      </c>
      <c r="AB406" s="354">
        <f>'VN_YouTube Performance'!AH11</f>
        <v>36257.089999999997</v>
      </c>
      <c r="AC406" s="103"/>
    </row>
    <row r="407" spans="2:29">
      <c r="B407" s="356" t="s">
        <v>20</v>
      </c>
      <c r="C407" s="351"/>
      <c r="D407" s="351"/>
      <c r="E407" s="352">
        <f>'VN_YouTube Performance'!H72</f>
        <v>157286.50228983568</v>
      </c>
      <c r="F407" s="352">
        <f>'VN_YouTube Performance'!H12</f>
        <v>204887.84000000003</v>
      </c>
      <c r="G407" s="353"/>
      <c r="H407" s="353"/>
      <c r="I407" s="354">
        <f>'VN_YouTube Performance'!L72</f>
        <v>18088.013464420492</v>
      </c>
      <c r="J407" s="354">
        <f>'VN_YouTube Performance'!L12</f>
        <v>40203.839999999997</v>
      </c>
      <c r="K407" s="103"/>
      <c r="L407" s="351"/>
      <c r="M407" s="351"/>
      <c r="N407" s="352">
        <f>'VN_YouTube Performance'!S72</f>
        <v>135754.20068152048</v>
      </c>
      <c r="O407" s="352">
        <f>'VN_YouTube Performance'!S12</f>
        <v>121549.84</v>
      </c>
      <c r="P407" s="353"/>
      <c r="Q407" s="353"/>
      <c r="R407" s="354">
        <f>'VN_YouTube Performance'!W72</f>
        <v>7551.7361262238619</v>
      </c>
      <c r="S407" s="354">
        <f>'VN_YouTube Performance'!W12</f>
        <v>14448.869999999999</v>
      </c>
      <c r="T407" s="103"/>
      <c r="U407" s="351"/>
      <c r="V407" s="351"/>
      <c r="W407" s="352">
        <f>'VN_YouTube Performance'!AD72</f>
        <v>21532.301608315203</v>
      </c>
      <c r="X407" s="352">
        <f>'VN_YouTube Performance'!AD12</f>
        <v>83338</v>
      </c>
      <c r="Y407" s="353"/>
      <c r="Z407" s="353"/>
      <c r="AA407" s="354">
        <f>'VN_YouTube Performance'!AH72</f>
        <v>10536.277338196629</v>
      </c>
      <c r="AB407" s="354">
        <f>'VN_YouTube Performance'!AH12</f>
        <v>25754.969999999994</v>
      </c>
      <c r="AC407" s="103"/>
    </row>
    <row r="408" spans="2:29">
      <c r="B408" s="356" t="s">
        <v>21</v>
      </c>
      <c r="C408" s="351"/>
      <c r="D408" s="351"/>
      <c r="E408" s="352">
        <f>'VN_YouTube Performance'!H73</f>
        <v>155818.26072619413</v>
      </c>
      <c r="F408" s="352">
        <f>'VN_YouTube Performance'!H13</f>
        <v>233306.64100001781</v>
      </c>
      <c r="G408" s="353"/>
      <c r="H408" s="353"/>
      <c r="I408" s="354">
        <f>'VN_YouTube Performance'!L73</f>
        <v>17919.165071293719</v>
      </c>
      <c r="J408" s="354">
        <f>'VN_YouTube Performance'!L13</f>
        <v>42278.220999997204</v>
      </c>
      <c r="K408" s="103"/>
      <c r="L408" s="351"/>
      <c r="M408" s="351"/>
      <c r="N408" s="352">
        <f>'VN_YouTube Performance'!S73</f>
        <v>134486.9593290982</v>
      </c>
      <c r="O408" s="352">
        <f>'VN_YouTube Performance'!S13</f>
        <v>151945.83000000729</v>
      </c>
      <c r="P408" s="353"/>
      <c r="Q408" s="353"/>
      <c r="R408" s="354">
        <f>'VN_YouTube Performance'!W73</f>
        <v>7481.2420107291746</v>
      </c>
      <c r="S408" s="354">
        <f>'VN_YouTube Performance'!W13</f>
        <v>13653.256999999603</v>
      </c>
      <c r="T408" s="103"/>
      <c r="U408" s="351"/>
      <c r="V408" s="351"/>
      <c r="W408" s="352">
        <f>'VN_YouTube Performance'!AD73</f>
        <v>21331.301397095929</v>
      </c>
      <c r="X408" s="352">
        <f>'VN_YouTube Performance'!AD13</f>
        <v>81360.811000010523</v>
      </c>
      <c r="Y408" s="353"/>
      <c r="Z408" s="353"/>
      <c r="AA408" s="354">
        <f>'VN_YouTube Performance'!AH73</f>
        <v>10437.923060564544</v>
      </c>
      <c r="AB408" s="354">
        <f>'VN_YouTube Performance'!AH13</f>
        <v>28624.963999997599</v>
      </c>
      <c r="AC408" s="103"/>
    </row>
    <row r="409" spans="2:29">
      <c r="B409" s="356" t="s">
        <v>22</v>
      </c>
      <c r="C409" s="351"/>
      <c r="D409" s="351"/>
      <c r="E409" s="352">
        <f>'VN_YouTube Performance'!H74</f>
        <v>164397.07953697184</v>
      </c>
      <c r="F409" s="352">
        <f>'VN_YouTube Performance'!H14</f>
        <v>0</v>
      </c>
      <c r="G409" s="353"/>
      <c r="H409" s="353"/>
      <c r="I409" s="354">
        <f>'VN_YouTube Performance'!L74</f>
        <v>18905.732818043078</v>
      </c>
      <c r="J409" s="354">
        <f>'VN_YouTube Performance'!L14</f>
        <v>0</v>
      </c>
      <c r="K409" s="103"/>
      <c r="L409" s="351"/>
      <c r="M409" s="351"/>
      <c r="N409" s="352">
        <f>'VN_YouTube Performance'!S74</f>
        <v>141891.34987433814</v>
      </c>
      <c r="O409" s="352">
        <f>'VN_YouTube Performance'!S14</f>
        <v>0</v>
      </c>
      <c r="P409" s="353"/>
      <c r="Q409" s="353"/>
      <c r="R409" s="354">
        <f>'VN_YouTube Performance'!W74</f>
        <v>7893.1335271054359</v>
      </c>
      <c r="S409" s="354">
        <f>'VN_YouTube Performance'!W14</f>
        <v>0</v>
      </c>
      <c r="T409" s="103"/>
      <c r="U409" s="351"/>
      <c r="V409" s="351"/>
      <c r="W409" s="352">
        <f>'VN_YouTube Performance'!AD74</f>
        <v>22505.729662633705</v>
      </c>
      <c r="X409" s="352">
        <f>'VN_YouTube Performance'!AD14</f>
        <v>0</v>
      </c>
      <c r="Y409" s="353"/>
      <c r="Z409" s="353"/>
      <c r="AA409" s="354">
        <f>'VN_YouTube Performance'!AH74</f>
        <v>11012.599290937642</v>
      </c>
      <c r="AB409" s="354">
        <f>'VN_YouTube Performance'!AH14</f>
        <v>0</v>
      </c>
      <c r="AC409" s="103"/>
    </row>
    <row r="410" spans="2:29">
      <c r="B410" s="356" t="s">
        <v>23</v>
      </c>
      <c r="C410" s="351"/>
      <c r="D410" s="351"/>
      <c r="E410" s="352">
        <f>'VN_YouTube Performance'!H75</f>
        <v>176396.05699360892</v>
      </c>
      <c r="F410" s="352">
        <f>'VN_YouTube Performance'!H15</f>
        <v>0</v>
      </c>
      <c r="G410" s="353"/>
      <c r="H410" s="353"/>
      <c r="I410" s="354">
        <f>'VN_YouTube Performance'!L75</f>
        <v>20285.620237721268</v>
      </c>
      <c r="J410" s="354">
        <f>'VN_YouTube Performance'!L15</f>
        <v>0</v>
      </c>
      <c r="K410" s="103"/>
      <c r="L410" s="351"/>
      <c r="M410" s="351"/>
      <c r="N410" s="352">
        <f>'VN_YouTube Performance'!S75</f>
        <v>152247.68414274041</v>
      </c>
      <c r="O410" s="352">
        <f>'VN_YouTube Performance'!S15</f>
        <v>0</v>
      </c>
      <c r="P410" s="353"/>
      <c r="Q410" s="353"/>
      <c r="R410" s="354">
        <f>'VN_YouTube Performance'!W75</f>
        <v>8469.2358004591733</v>
      </c>
      <c r="S410" s="354">
        <f>'VN_YouTube Performance'!W15</f>
        <v>0</v>
      </c>
      <c r="T410" s="103"/>
      <c r="U410" s="351"/>
      <c r="V410" s="351"/>
      <c r="W410" s="352">
        <f>'VN_YouTube Performance'!AD75</f>
        <v>24148.372850868502</v>
      </c>
      <c r="X410" s="352">
        <f>'VN_YouTube Performance'!AD15</f>
        <v>0</v>
      </c>
      <c r="Y410" s="353"/>
      <c r="Z410" s="353"/>
      <c r="AA410" s="354">
        <f>'VN_YouTube Performance'!AH75</f>
        <v>11816.384437262095</v>
      </c>
      <c r="AB410" s="354">
        <f>'VN_YouTube Performance'!AH15</f>
        <v>0</v>
      </c>
      <c r="AC410" s="103"/>
    </row>
    <row r="411" spans="2:29">
      <c r="B411" s="356" t="s">
        <v>24</v>
      </c>
      <c r="C411" s="351"/>
      <c r="D411" s="351"/>
      <c r="E411" s="352">
        <f>'VN_YouTube Performance'!H76</f>
        <v>180024.01550878966</v>
      </c>
      <c r="F411" s="352">
        <f>'VN_YouTube Performance'!H16</f>
        <v>0</v>
      </c>
      <c r="G411" s="353"/>
      <c r="H411" s="353"/>
      <c r="I411" s="354">
        <f>'VN_YouTube Performance'!L76</f>
        <v>20702.836982423396</v>
      </c>
      <c r="J411" s="354">
        <f>'VN_YouTube Performance'!L16</f>
        <v>0</v>
      </c>
      <c r="K411" s="103"/>
      <c r="L411" s="351"/>
      <c r="M411" s="351"/>
      <c r="N411" s="352">
        <f>'VN_YouTube Performance'!S76</f>
        <v>155378.98022450152</v>
      </c>
      <c r="O411" s="352">
        <f>'VN_YouTube Performance'!S16</f>
        <v>0</v>
      </c>
      <c r="P411" s="353"/>
      <c r="Q411" s="353"/>
      <c r="R411" s="354">
        <f>'VN_YouTube Performance'!W76</f>
        <v>8643.4235723573984</v>
      </c>
      <c r="S411" s="354">
        <f>'VN_YouTube Performance'!W16</f>
        <v>0</v>
      </c>
      <c r="T411" s="103"/>
      <c r="U411" s="351"/>
      <c r="V411" s="351"/>
      <c r="W411" s="352">
        <f>'VN_YouTube Performance'!AD76</f>
        <v>24645.03528428814</v>
      </c>
      <c r="X411" s="352">
        <f>'VN_YouTube Performance'!AD16</f>
        <v>0</v>
      </c>
      <c r="Y411" s="353"/>
      <c r="Z411" s="353"/>
      <c r="AA411" s="354">
        <f>'VN_YouTube Performance'!AH76</f>
        <v>12059.413410065998</v>
      </c>
      <c r="AB411" s="354">
        <f>'VN_YouTube Performance'!AH16</f>
        <v>0</v>
      </c>
      <c r="AC411" s="103"/>
    </row>
    <row r="412" spans="2:29">
      <c r="B412" s="356" t="s">
        <v>25</v>
      </c>
      <c r="C412" s="351"/>
      <c r="D412" s="351"/>
      <c r="E412" s="352">
        <f>'VN_YouTube Performance'!H77</f>
        <v>199821.66977603344</v>
      </c>
      <c r="F412" s="352">
        <f>'VN_YouTube Performance'!H17</f>
        <v>0</v>
      </c>
      <c r="G412" s="353"/>
      <c r="H412" s="353"/>
      <c r="I412" s="354">
        <f>'VN_YouTube Performance'!L77</f>
        <v>22979.575492953481</v>
      </c>
      <c r="J412" s="354">
        <f>'VN_YouTube Performance'!L17</f>
        <v>0</v>
      </c>
      <c r="K412" s="103"/>
      <c r="L412" s="351"/>
      <c r="M412" s="351"/>
      <c r="N412" s="352">
        <f>'VN_YouTube Performance'!S77</f>
        <v>172466.36338384115</v>
      </c>
      <c r="O412" s="352">
        <f>'VN_YouTube Performance'!S17</f>
        <v>0</v>
      </c>
      <c r="P412" s="353"/>
      <c r="Q412" s="353"/>
      <c r="R412" s="354">
        <f>'VN_YouTube Performance'!W77</f>
        <v>9593.9607053463151</v>
      </c>
      <c r="S412" s="354">
        <f>'VN_YouTube Performance'!W17</f>
        <v>0</v>
      </c>
      <c r="T412" s="103"/>
      <c r="U412" s="351"/>
      <c r="V412" s="351"/>
      <c r="W412" s="352">
        <f>'VN_YouTube Performance'!AD77</f>
        <v>27355.306392192288</v>
      </c>
      <c r="X412" s="352">
        <f>'VN_YouTube Performance'!AD17</f>
        <v>0</v>
      </c>
      <c r="Y412" s="353"/>
      <c r="Z412" s="353"/>
      <c r="AA412" s="354">
        <f>'VN_YouTube Performance'!AH77</f>
        <v>13385.614787607166</v>
      </c>
      <c r="AB412" s="354">
        <f>'VN_YouTube Performance'!AH17</f>
        <v>0</v>
      </c>
      <c r="AC412" s="103"/>
    </row>
    <row r="413" spans="2:29">
      <c r="B413" s="356" t="s">
        <v>7</v>
      </c>
      <c r="C413" s="350"/>
      <c r="D413" s="350"/>
      <c r="E413" s="337">
        <f t="shared" ref="C413:J413" si="87">SUM(E401:E412)</f>
        <v>1819570.9043315225</v>
      </c>
      <c r="F413" s="337">
        <f t="shared" si="87"/>
        <v>1482104.3110000179</v>
      </c>
      <c r="G413" s="339"/>
      <c r="H413" s="339"/>
      <c r="I413" s="341">
        <f t="shared" si="87"/>
        <v>209251.41406201432</v>
      </c>
      <c r="J413" s="341">
        <f t="shared" si="87"/>
        <v>503485.20699999726</v>
      </c>
      <c r="K413" s="103"/>
      <c r="L413" s="350"/>
      <c r="M413" s="350"/>
      <c r="N413" s="337">
        <f t="shared" ref="L413:S413" si="88">SUM(N401:N412)</f>
        <v>1570474.1990237527</v>
      </c>
      <c r="O413" s="337">
        <f t="shared" si="88"/>
        <v>971326.03300000727</v>
      </c>
      <c r="P413" s="339"/>
      <c r="Q413" s="339"/>
      <c r="R413" s="341">
        <f t="shared" si="88"/>
        <v>87362.355525876323</v>
      </c>
      <c r="S413" s="341">
        <f t="shared" si="88"/>
        <v>124660.9179999996</v>
      </c>
      <c r="T413" s="103"/>
      <c r="U413" s="350"/>
      <c r="V413" s="350"/>
      <c r="W413" s="337">
        <f t="shared" ref="U413:AB413" si="89">SUM(W401:W412)</f>
        <v>249096.70530777035</v>
      </c>
      <c r="X413" s="337">
        <f t="shared" si="89"/>
        <v>510778.27800001058</v>
      </c>
      <c r="Y413" s="339"/>
      <c r="Z413" s="339"/>
      <c r="AA413" s="341">
        <f t="shared" si="89"/>
        <v>121889.05853613796</v>
      </c>
      <c r="AB413" s="341">
        <f t="shared" si="89"/>
        <v>378824.28899999755</v>
      </c>
      <c r="AC413" s="103"/>
    </row>
    <row r="414" spans="2:29">
      <c r="K414" s="103"/>
      <c r="T414" s="103"/>
      <c r="AC414" s="103"/>
    </row>
  </sheetData>
  <mergeCells count="37">
    <mergeCell ref="AD2:AE2"/>
    <mergeCell ref="AA2:AB2"/>
    <mergeCell ref="W383:X383"/>
    <mergeCell ref="L399:M399"/>
    <mergeCell ref="AA383:AB383"/>
    <mergeCell ref="N399:O399"/>
    <mergeCell ref="P399:Q399"/>
    <mergeCell ref="R399:S399"/>
    <mergeCell ref="U399:V399"/>
    <mergeCell ref="Y383:Z383"/>
    <mergeCell ref="L383:M383"/>
    <mergeCell ref="W399:X399"/>
    <mergeCell ref="Y399:Z399"/>
    <mergeCell ref="AA399:AB399"/>
    <mergeCell ref="N383:O383"/>
    <mergeCell ref="P383:Q383"/>
    <mergeCell ref="R383:S383"/>
    <mergeCell ref="U383:V383"/>
    <mergeCell ref="C383:D383"/>
    <mergeCell ref="C399:D399"/>
    <mergeCell ref="E383:F383"/>
    <mergeCell ref="G383:H383"/>
    <mergeCell ref="I383:J383"/>
    <mergeCell ref="E399:F399"/>
    <mergeCell ref="G399:H399"/>
    <mergeCell ref="I399:J399"/>
    <mergeCell ref="C2:D2"/>
    <mergeCell ref="E2:F2"/>
    <mergeCell ref="G2:H2"/>
    <mergeCell ref="I2:J2"/>
    <mergeCell ref="Y2:Z2"/>
    <mergeCell ref="L2:M2"/>
    <mergeCell ref="N2:O2"/>
    <mergeCell ref="P2:Q2"/>
    <mergeCell ref="R2:S2"/>
    <mergeCell ref="U2:V2"/>
    <mergeCell ref="W2:X2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K112"/>
  <sheetViews>
    <sheetView workbookViewId="0">
      <pane xSplit="4" ySplit="2" topLeftCell="BV3" activePane="bottomRight" state="frozen"/>
      <selection pane="topRight" activeCell="E1" sqref="E1"/>
      <selection pane="bottomLeft" activeCell="A3" sqref="A3"/>
      <selection pane="bottomRight" activeCell="BV3" sqref="BV3"/>
    </sheetView>
  </sheetViews>
  <sheetFormatPr defaultColWidth="8.77734375" defaultRowHeight="14.4" outlineLevelCol="1"/>
  <cols>
    <col min="1" max="1" width="2.44140625" style="372" customWidth="1"/>
    <col min="2" max="2" width="2.77734375" style="372" customWidth="1"/>
    <col min="3" max="3" width="14.44140625" style="372" customWidth="1"/>
    <col min="4" max="4" width="13" style="372" customWidth="1"/>
    <col min="5" max="17" width="13" style="372" hidden="1" customWidth="1"/>
    <col min="18" max="18" width="11.44140625" style="372" hidden="1" customWidth="1"/>
    <col min="19" max="19" width="9.109375" style="372" hidden="1" customWidth="1"/>
    <col min="20" max="32" width="13.77734375" style="372" hidden="1" customWidth="1"/>
    <col min="33" max="33" width="10.44140625" style="372" hidden="1" customWidth="1"/>
    <col min="34" max="35" width="8" style="372" hidden="1" customWidth="1"/>
    <col min="36" max="48" width="13.77734375" style="372" hidden="1" customWidth="1" outlineLevel="1"/>
    <col min="49" max="52" width="10.44140625" style="372" hidden="1" customWidth="1" outlineLevel="1"/>
    <col min="53" max="53" width="9.44140625" style="372" hidden="1" customWidth="1" outlineLevel="1"/>
    <col min="54" max="55" width="0" style="372" hidden="1" customWidth="1" outlineLevel="1"/>
    <col min="56" max="67" width="13" style="374" hidden="1" customWidth="1" outlineLevel="1"/>
    <col min="68" max="68" width="14.44140625" style="372" hidden="1" customWidth="1" outlineLevel="1"/>
    <col min="69" max="69" width="8.109375" style="372" hidden="1" customWidth="1" outlineLevel="1"/>
    <col min="70" max="70" width="7.109375" style="372" hidden="1" customWidth="1" outlineLevel="1"/>
    <col min="71" max="71" width="14.109375" style="372" hidden="1" customWidth="1" outlineLevel="1"/>
    <col min="72" max="72" width="8.77734375" style="372" hidden="1" customWidth="1" outlineLevel="1"/>
    <col min="73" max="73" width="0" style="372" hidden="1" customWidth="1" outlineLevel="1"/>
    <col min="74" max="74" width="13.77734375" style="372" customWidth="1" collapsed="1"/>
    <col min="75" max="86" width="13.77734375" style="372" customWidth="1"/>
    <col min="87" max="88" width="10.44140625" style="372" customWidth="1"/>
    <col min="89" max="89" width="14.77734375" style="372" bestFit="1" customWidth="1"/>
    <col min="90" max="16384" width="8.77734375" style="372"/>
  </cols>
  <sheetData>
    <row r="1" spans="2:89" s="433" customFormat="1" ht="24" customHeight="1">
      <c r="AJ1" s="433" t="s">
        <v>123</v>
      </c>
      <c r="BD1" s="434"/>
      <c r="BE1" s="434"/>
      <c r="BF1" s="434"/>
      <c r="BG1" s="434"/>
      <c r="BH1" s="434"/>
      <c r="BI1" s="434"/>
      <c r="BJ1" s="434"/>
      <c r="BK1" s="434"/>
      <c r="BL1" s="434"/>
      <c r="BM1" s="434"/>
      <c r="BN1" s="434"/>
      <c r="BO1" s="434"/>
      <c r="BV1" s="433" t="s">
        <v>122</v>
      </c>
    </row>
    <row r="2" spans="2:89" s="375" customFormat="1" ht="100.8">
      <c r="D2" s="375" t="s">
        <v>95</v>
      </c>
      <c r="E2" s="376">
        <v>42005</v>
      </c>
      <c r="F2" s="376">
        <v>42036</v>
      </c>
      <c r="G2" s="376">
        <v>42064</v>
      </c>
      <c r="H2" s="376">
        <v>42095</v>
      </c>
      <c r="I2" s="376">
        <v>42125</v>
      </c>
      <c r="J2" s="376">
        <v>42156</v>
      </c>
      <c r="K2" s="376">
        <v>42186</v>
      </c>
      <c r="L2" s="376">
        <v>42217</v>
      </c>
      <c r="M2" s="376">
        <v>42248</v>
      </c>
      <c r="N2" s="376">
        <v>42278</v>
      </c>
      <c r="O2" s="376">
        <v>42309</v>
      </c>
      <c r="P2" s="376">
        <v>42339</v>
      </c>
      <c r="Q2" s="375" t="s">
        <v>96</v>
      </c>
      <c r="R2" s="375" t="s">
        <v>97</v>
      </c>
      <c r="S2" s="375" t="s">
        <v>98</v>
      </c>
      <c r="T2" s="376">
        <v>42370</v>
      </c>
      <c r="U2" s="376">
        <v>42401</v>
      </c>
      <c r="V2" s="376">
        <v>42430</v>
      </c>
      <c r="W2" s="376">
        <v>42461</v>
      </c>
      <c r="X2" s="376">
        <v>42491</v>
      </c>
      <c r="Y2" s="376">
        <v>42522</v>
      </c>
      <c r="Z2" s="376">
        <v>42552</v>
      </c>
      <c r="AA2" s="376">
        <v>42583</v>
      </c>
      <c r="AB2" s="376">
        <v>42614</v>
      </c>
      <c r="AC2" s="376">
        <v>42644</v>
      </c>
      <c r="AD2" s="376">
        <v>42675</v>
      </c>
      <c r="AE2" s="376">
        <v>42705</v>
      </c>
      <c r="AF2" s="376" t="s">
        <v>99</v>
      </c>
      <c r="AG2" s="375" t="s">
        <v>97</v>
      </c>
      <c r="AH2" s="375" t="s">
        <v>98</v>
      </c>
      <c r="AI2" s="375" t="s">
        <v>100</v>
      </c>
      <c r="AJ2" s="376">
        <v>42736</v>
      </c>
      <c r="AK2" s="376">
        <v>42767</v>
      </c>
      <c r="AL2" s="376">
        <v>42795</v>
      </c>
      <c r="AM2" s="376">
        <v>42826</v>
      </c>
      <c r="AN2" s="376">
        <v>42856</v>
      </c>
      <c r="AO2" s="376">
        <v>42887</v>
      </c>
      <c r="AP2" s="376">
        <v>42917</v>
      </c>
      <c r="AQ2" s="376">
        <v>42948</v>
      </c>
      <c r="AR2" s="376">
        <v>42979</v>
      </c>
      <c r="AS2" s="376">
        <v>43009</v>
      </c>
      <c r="AT2" s="376">
        <v>43040</v>
      </c>
      <c r="AU2" s="376">
        <v>43070</v>
      </c>
      <c r="AV2" s="376" t="s">
        <v>68</v>
      </c>
      <c r="AW2" s="375" t="s">
        <v>97</v>
      </c>
      <c r="AX2" s="375" t="s">
        <v>98</v>
      </c>
      <c r="AY2" s="375" t="s">
        <v>100</v>
      </c>
      <c r="BA2" s="375" t="s">
        <v>101</v>
      </c>
      <c r="BB2" s="375" t="s">
        <v>97</v>
      </c>
      <c r="BC2" s="375" t="s">
        <v>98</v>
      </c>
      <c r="BD2" s="377">
        <v>43101</v>
      </c>
      <c r="BE2" s="377">
        <v>43132</v>
      </c>
      <c r="BF2" s="377">
        <v>43160</v>
      </c>
      <c r="BG2" s="377">
        <v>43191</v>
      </c>
      <c r="BH2" s="377">
        <v>43221</v>
      </c>
      <c r="BI2" s="377">
        <v>43252</v>
      </c>
      <c r="BJ2" s="377">
        <v>43282</v>
      </c>
      <c r="BK2" s="377">
        <v>43313</v>
      </c>
      <c r="BL2" s="377">
        <v>43344</v>
      </c>
      <c r="BM2" s="377">
        <v>43374</v>
      </c>
      <c r="BN2" s="377">
        <v>43405</v>
      </c>
      <c r="BO2" s="377">
        <v>43435</v>
      </c>
      <c r="BP2" s="378" t="s">
        <v>47</v>
      </c>
      <c r="BQ2" s="375" t="s">
        <v>97</v>
      </c>
      <c r="BR2" s="375" t="s">
        <v>98</v>
      </c>
      <c r="BS2" s="375" t="s">
        <v>100</v>
      </c>
      <c r="BV2" s="431">
        <v>43101</v>
      </c>
      <c r="BW2" s="431">
        <v>43132</v>
      </c>
      <c r="BX2" s="431">
        <v>43160</v>
      </c>
      <c r="BY2" s="431">
        <v>43191</v>
      </c>
      <c r="BZ2" s="431">
        <v>43221</v>
      </c>
      <c r="CA2" s="431">
        <v>43252</v>
      </c>
      <c r="CB2" s="431">
        <v>43282</v>
      </c>
      <c r="CC2" s="431">
        <v>43313</v>
      </c>
      <c r="CD2" s="431">
        <v>43344</v>
      </c>
      <c r="CE2" s="431">
        <v>43374</v>
      </c>
      <c r="CF2" s="431">
        <v>43405</v>
      </c>
      <c r="CG2" s="431">
        <v>43435</v>
      </c>
      <c r="CH2" s="431" t="s">
        <v>67</v>
      </c>
      <c r="CI2" s="375" t="s">
        <v>97</v>
      </c>
      <c r="CJ2" s="375" t="s">
        <v>98</v>
      </c>
      <c r="CK2" s="375" t="s">
        <v>100</v>
      </c>
    </row>
    <row r="3" spans="2:89" s="375" customFormat="1">
      <c r="T3" s="379"/>
      <c r="U3" s="379"/>
      <c r="V3" s="379"/>
      <c r="W3" s="379"/>
      <c r="X3" s="379"/>
      <c r="Y3" s="379"/>
      <c r="Z3" s="379"/>
      <c r="AA3" s="379"/>
      <c r="AB3" s="379"/>
      <c r="AC3" s="379"/>
      <c r="AD3" s="379"/>
      <c r="AE3" s="379"/>
      <c r="AF3" s="376"/>
      <c r="AJ3" s="379">
        <f>AJ22/$AV$22</f>
        <v>4.5807721817537714E-2</v>
      </c>
      <c r="AK3" s="379">
        <f>AK22/$AV$22</f>
        <v>4.2851821217527522E-2</v>
      </c>
      <c r="AL3" s="379">
        <f t="shared" ref="AL3:AU3" si="0">AL22/$AV$22</f>
        <v>5.0561328415853188E-2</v>
      </c>
      <c r="AM3" s="379">
        <f t="shared" si="0"/>
        <v>6.0901616570796881E-2</v>
      </c>
      <c r="AN3" s="379">
        <f t="shared" si="0"/>
        <v>6.3510808818046438E-2</v>
      </c>
      <c r="AO3" s="379">
        <f t="shared" si="0"/>
        <v>6.4576816415202812E-2</v>
      </c>
      <c r="AP3" s="379">
        <f t="shared" si="0"/>
        <v>7.6152776728468444E-2</v>
      </c>
      <c r="AQ3" s="379">
        <f t="shared" si="0"/>
        <v>7.9265940505030691E-2</v>
      </c>
      <c r="AR3" s="379">
        <f t="shared" si="0"/>
        <v>9.4276238326268691E-2</v>
      </c>
      <c r="AS3" s="379">
        <f t="shared" si="0"/>
        <v>0.12210873276154278</v>
      </c>
      <c r="AT3" s="379">
        <f t="shared" si="0"/>
        <v>0.13342277263107868</v>
      </c>
      <c r="AU3" s="379">
        <f t="shared" si="0"/>
        <v>0.16656342579264616</v>
      </c>
      <c r="AV3" s="376"/>
      <c r="BD3" s="377"/>
      <c r="BE3" s="377"/>
      <c r="BF3" s="377"/>
      <c r="BG3" s="377"/>
      <c r="BH3" s="377"/>
      <c r="BI3" s="377"/>
      <c r="BJ3" s="377"/>
      <c r="BK3" s="377"/>
      <c r="BL3" s="377"/>
      <c r="BM3" s="377"/>
      <c r="BN3" s="377"/>
      <c r="BO3" s="377"/>
      <c r="BP3" s="378"/>
      <c r="BV3" s="379">
        <f>BV22/$CH$22</f>
        <v>0.10657284310095769</v>
      </c>
      <c r="BW3" s="379">
        <f t="shared" ref="BW3:CG3" si="1">BW22/$CH$22</f>
        <v>9.4217981905478365E-2</v>
      </c>
      <c r="BX3" s="379">
        <f t="shared" si="1"/>
        <v>0.10593413017678861</v>
      </c>
      <c r="BY3" s="379">
        <f t="shared" si="1"/>
        <v>0.13381924533103234</v>
      </c>
      <c r="BZ3" s="379">
        <f t="shared" si="1"/>
        <v>0.15226220796564593</v>
      </c>
      <c r="CA3" s="379">
        <f t="shared" si="1"/>
        <v>0.13699798276475875</v>
      </c>
      <c r="CB3" s="379">
        <f t="shared" si="1"/>
        <v>0.14269435892426074</v>
      </c>
      <c r="CC3" s="379">
        <f t="shared" si="1"/>
        <v>0.12750124983107758</v>
      </c>
      <c r="CD3" s="379">
        <f t="shared" si="1"/>
        <v>0</v>
      </c>
      <c r="CE3" s="379">
        <f t="shared" si="1"/>
        <v>0</v>
      </c>
      <c r="CF3" s="379">
        <f t="shared" si="1"/>
        <v>0</v>
      </c>
      <c r="CG3" s="379">
        <f t="shared" si="1"/>
        <v>0</v>
      </c>
      <c r="CH3" s="376"/>
    </row>
    <row r="4" spans="2:89" s="380" customFormat="1">
      <c r="B4" s="380" t="s">
        <v>102</v>
      </c>
      <c r="E4" s="381"/>
      <c r="F4" s="381"/>
      <c r="G4" s="381"/>
      <c r="H4" s="381"/>
      <c r="I4" s="381"/>
      <c r="J4" s="381"/>
      <c r="K4" s="381"/>
      <c r="L4" s="381"/>
      <c r="M4" s="381"/>
      <c r="N4" s="381"/>
      <c r="O4" s="381"/>
      <c r="P4" s="381"/>
      <c r="Q4" s="381"/>
      <c r="R4" s="382"/>
      <c r="S4" s="382" t="e">
        <f>(Q8+Q12)/Q22</f>
        <v>#DIV/0!</v>
      </c>
      <c r="T4" s="381"/>
      <c r="U4" s="381"/>
      <c r="V4" s="381"/>
      <c r="W4" s="381"/>
      <c r="X4" s="381"/>
      <c r="Y4" s="381"/>
      <c r="Z4" s="381"/>
      <c r="AA4" s="381"/>
      <c r="AB4" s="381"/>
      <c r="AC4" s="381"/>
      <c r="AD4" s="381"/>
      <c r="AE4" s="381"/>
      <c r="AF4" s="381"/>
      <c r="AH4" s="383">
        <f>SUM(AF8,AF12,AF16,AF20)/AF22</f>
        <v>5.3169215046272054E-2</v>
      </c>
      <c r="AJ4" s="381"/>
      <c r="AK4" s="381"/>
      <c r="AL4" s="381"/>
      <c r="AM4" s="381"/>
      <c r="AN4" s="381"/>
      <c r="AO4" s="381"/>
      <c r="AP4" s="381"/>
      <c r="AQ4" s="381"/>
      <c r="AR4" s="381"/>
      <c r="AS4" s="381"/>
      <c r="AT4" s="381"/>
      <c r="AU4" s="381"/>
      <c r="AV4" s="381"/>
      <c r="AX4" s="383">
        <f>SUM(AV8,AV12,AV16,AV20)/AV22</f>
        <v>8.7859988649166651E-2</v>
      </c>
      <c r="BD4" s="384"/>
      <c r="BE4" s="384"/>
      <c r="BF4" s="384"/>
      <c r="BG4" s="384"/>
      <c r="BH4" s="384"/>
      <c r="BI4" s="384"/>
      <c r="BJ4" s="384"/>
      <c r="BK4" s="384"/>
      <c r="BL4" s="384"/>
      <c r="BM4" s="384"/>
      <c r="BN4" s="384"/>
      <c r="BO4" s="384"/>
      <c r="BP4" s="381"/>
      <c r="BQ4" s="385"/>
      <c r="BR4" s="385"/>
      <c r="BS4" s="386">
        <f>SUM(BP8,BP12,BP16,BP20)/BP22</f>
        <v>2.0405195452031323E-2</v>
      </c>
      <c r="BT4" s="387"/>
      <c r="BU4" s="387"/>
      <c r="BV4" s="381"/>
      <c r="BW4" s="381"/>
      <c r="BX4" s="381"/>
      <c r="BY4" s="381"/>
      <c r="BZ4" s="381"/>
      <c r="CA4" s="381"/>
      <c r="CB4" s="381"/>
      <c r="CC4" s="381"/>
      <c r="CD4" s="381"/>
      <c r="CE4" s="381"/>
      <c r="CF4" s="381"/>
      <c r="CG4" s="381"/>
      <c r="CH4" s="381"/>
      <c r="CJ4" s="383">
        <f>SUM(CH8,CH12,CH16,CH20)/CH22</f>
        <v>0.24869451236411627</v>
      </c>
    </row>
    <row r="5" spans="2:89" s="380" customFormat="1">
      <c r="Q5" s="381"/>
      <c r="R5" s="382"/>
      <c r="S5" s="382"/>
      <c r="T5" s="381"/>
      <c r="U5" s="381"/>
      <c r="V5" s="381"/>
      <c r="W5" s="381"/>
      <c r="X5" s="381"/>
      <c r="Y5" s="381"/>
      <c r="Z5" s="381"/>
      <c r="AA5" s="381"/>
      <c r="AB5" s="381"/>
      <c r="AC5" s="381"/>
      <c r="AD5" s="381"/>
      <c r="AE5" s="381"/>
      <c r="AF5" s="381"/>
      <c r="AJ5" s="381"/>
      <c r="AK5" s="381"/>
      <c r="AL5" s="381"/>
      <c r="AM5" s="381"/>
      <c r="AN5" s="381"/>
      <c r="AO5" s="381"/>
      <c r="AP5" s="381"/>
      <c r="AQ5" s="381"/>
      <c r="AR5" s="381"/>
      <c r="AS5" s="381"/>
      <c r="AT5" s="381"/>
      <c r="AU5" s="381"/>
      <c r="AV5" s="381"/>
      <c r="BD5" s="384"/>
      <c r="BE5" s="384"/>
      <c r="BF5" s="384"/>
      <c r="BG5" s="384"/>
      <c r="BH5" s="384"/>
      <c r="BI5" s="384"/>
      <c r="BJ5" s="384"/>
      <c r="BK5" s="384"/>
      <c r="BL5" s="384"/>
      <c r="BM5" s="384"/>
      <c r="BN5" s="384"/>
      <c r="BO5" s="384"/>
      <c r="BP5" s="381"/>
      <c r="BQ5" s="385"/>
      <c r="BR5" s="385"/>
      <c r="BT5" s="387"/>
      <c r="BU5" s="387"/>
      <c r="BV5" s="381"/>
      <c r="BW5" s="381"/>
      <c r="BX5" s="381"/>
      <c r="BY5" s="381"/>
      <c r="BZ5" s="381"/>
      <c r="CA5" s="381"/>
      <c r="CB5" s="381"/>
      <c r="CC5" s="381"/>
      <c r="CD5" s="381"/>
      <c r="CE5" s="381"/>
      <c r="CF5" s="381"/>
      <c r="CG5" s="381"/>
      <c r="CH5" s="381"/>
    </row>
    <row r="6" spans="2:89" hidden="1">
      <c r="R6" s="388"/>
      <c r="S6" s="388"/>
      <c r="BD6" s="389"/>
      <c r="BE6" s="389"/>
      <c r="BF6" s="389"/>
      <c r="BG6" s="389"/>
      <c r="BH6" s="389"/>
      <c r="BI6" s="389"/>
      <c r="BJ6" s="389"/>
      <c r="BK6" s="389"/>
      <c r="BL6" s="389"/>
      <c r="BM6" s="389"/>
      <c r="BN6" s="389"/>
      <c r="BO6" s="389"/>
    </row>
    <row r="7" spans="2:89" s="390" customFormat="1" ht="13.2" hidden="1">
      <c r="E7" s="391"/>
      <c r="F7" s="391"/>
      <c r="G7" s="391"/>
      <c r="H7" s="391"/>
      <c r="I7" s="391"/>
      <c r="J7" s="391"/>
      <c r="K7" s="391"/>
      <c r="L7" s="391"/>
      <c r="M7" s="391"/>
      <c r="N7" s="391"/>
      <c r="O7" s="391"/>
      <c r="P7" s="391"/>
      <c r="Q7" s="391"/>
      <c r="R7" s="392"/>
      <c r="S7" s="392"/>
      <c r="T7" s="391"/>
      <c r="U7" s="391"/>
      <c r="V7" s="391"/>
      <c r="W7" s="391"/>
      <c r="X7" s="391"/>
      <c r="Y7" s="391"/>
      <c r="Z7" s="391"/>
      <c r="AA7" s="391"/>
      <c r="AB7" s="391"/>
      <c r="AC7" s="391"/>
      <c r="AD7" s="391"/>
      <c r="AE7" s="391"/>
      <c r="AF7" s="391"/>
      <c r="AG7" s="393"/>
      <c r="AH7" s="394"/>
      <c r="AI7" s="394"/>
      <c r="AJ7" s="391"/>
      <c r="AK7" s="391"/>
      <c r="AL7" s="391"/>
      <c r="AM7" s="391"/>
      <c r="AN7" s="391"/>
      <c r="AO7" s="391"/>
      <c r="AP7" s="391"/>
      <c r="AQ7" s="391"/>
      <c r="AR7" s="391"/>
      <c r="AS7" s="391"/>
      <c r="AT7" s="391"/>
      <c r="AU7" s="391"/>
      <c r="AV7" s="391"/>
      <c r="AW7" s="393"/>
      <c r="AX7" s="394"/>
      <c r="AY7" s="394"/>
      <c r="AZ7" s="394"/>
      <c r="BA7" s="393"/>
      <c r="BB7" s="395"/>
      <c r="BC7" s="395"/>
      <c r="BD7" s="396"/>
      <c r="BE7" s="396"/>
      <c r="BF7" s="396"/>
      <c r="BG7" s="396"/>
      <c r="BH7" s="396"/>
      <c r="BI7" s="396"/>
      <c r="BJ7" s="396"/>
      <c r="BK7" s="396"/>
      <c r="BL7" s="396"/>
      <c r="BM7" s="396"/>
      <c r="BN7" s="396"/>
      <c r="BO7" s="396"/>
      <c r="BP7" s="391"/>
      <c r="BQ7" s="393"/>
      <c r="BR7" s="394"/>
      <c r="BS7" s="394"/>
      <c r="BV7" s="391"/>
      <c r="BW7" s="391"/>
      <c r="BX7" s="391"/>
      <c r="BY7" s="391"/>
      <c r="BZ7" s="391"/>
      <c r="CA7" s="391"/>
      <c r="CB7" s="391"/>
      <c r="CC7" s="391"/>
      <c r="CD7" s="391"/>
      <c r="CE7" s="391"/>
      <c r="CF7" s="391"/>
      <c r="CG7" s="391"/>
      <c r="CH7" s="391"/>
      <c r="CI7" s="393"/>
      <c r="CJ7" s="394"/>
      <c r="CK7" s="394"/>
    </row>
    <row r="8" spans="2:89" s="390" customFormat="1" ht="13.2" hidden="1">
      <c r="E8" s="391"/>
      <c r="F8" s="391"/>
      <c r="G8" s="391"/>
      <c r="H8" s="391"/>
      <c r="I8" s="391"/>
      <c r="J8" s="391"/>
      <c r="K8" s="391"/>
      <c r="L8" s="391"/>
      <c r="M8" s="391"/>
      <c r="N8" s="391"/>
      <c r="O8" s="391"/>
      <c r="P8" s="391"/>
      <c r="Q8" s="391"/>
      <c r="R8" s="392"/>
      <c r="S8" s="392"/>
      <c r="T8" s="391"/>
      <c r="U8" s="391"/>
      <c r="V8" s="391"/>
      <c r="W8" s="391"/>
      <c r="X8" s="391"/>
      <c r="Y8" s="391"/>
      <c r="Z8" s="391"/>
      <c r="AA8" s="391"/>
      <c r="AB8" s="391"/>
      <c r="AC8" s="391"/>
      <c r="AD8" s="391"/>
      <c r="AE8" s="391"/>
      <c r="AF8" s="391"/>
      <c r="AG8" s="393"/>
      <c r="AH8" s="394"/>
      <c r="AI8" s="394"/>
      <c r="AJ8" s="391"/>
      <c r="AK8" s="391"/>
      <c r="AL8" s="391"/>
      <c r="AM8" s="391"/>
      <c r="AN8" s="391"/>
      <c r="AO8" s="391"/>
      <c r="AP8" s="391"/>
      <c r="AQ8" s="391"/>
      <c r="AR8" s="391"/>
      <c r="AS8" s="391"/>
      <c r="AT8" s="391"/>
      <c r="AU8" s="391"/>
      <c r="AV8" s="391"/>
      <c r="AW8" s="393"/>
      <c r="AX8" s="394"/>
      <c r="AY8" s="394"/>
      <c r="AZ8" s="394"/>
      <c r="BA8" s="393"/>
      <c r="BB8" s="395"/>
      <c r="BC8" s="395"/>
      <c r="BD8" s="396"/>
      <c r="BE8" s="396"/>
      <c r="BF8" s="396"/>
      <c r="BG8" s="396"/>
      <c r="BH8" s="396"/>
      <c r="BI8" s="396"/>
      <c r="BJ8" s="396"/>
      <c r="BK8" s="396"/>
      <c r="BL8" s="396"/>
      <c r="BM8" s="396"/>
      <c r="BN8" s="396"/>
      <c r="BO8" s="396"/>
      <c r="BP8" s="391"/>
      <c r="BQ8" s="393"/>
      <c r="BR8" s="394"/>
      <c r="BS8" s="394"/>
      <c r="BV8" s="391"/>
      <c r="BW8" s="391"/>
      <c r="BX8" s="391"/>
      <c r="BY8" s="391"/>
      <c r="BZ8" s="391"/>
      <c r="CA8" s="391"/>
      <c r="CB8" s="391"/>
      <c r="CC8" s="391"/>
      <c r="CD8" s="391"/>
      <c r="CE8" s="391"/>
      <c r="CF8" s="391"/>
      <c r="CG8" s="391"/>
      <c r="CH8" s="391"/>
      <c r="CI8" s="393"/>
      <c r="CJ8" s="394"/>
      <c r="CK8" s="394"/>
    </row>
    <row r="9" spans="2:89" s="380" customFormat="1" ht="13.2" hidden="1">
      <c r="E9" s="381"/>
      <c r="F9" s="381"/>
      <c r="G9" s="381"/>
      <c r="H9" s="381"/>
      <c r="I9" s="381"/>
      <c r="J9" s="381"/>
      <c r="K9" s="381"/>
      <c r="L9" s="381"/>
      <c r="M9" s="381"/>
      <c r="N9" s="381"/>
      <c r="O9" s="381"/>
      <c r="P9" s="381"/>
      <c r="Q9" s="381"/>
      <c r="R9" s="382"/>
      <c r="S9" s="382"/>
      <c r="T9" s="381"/>
      <c r="U9" s="381"/>
      <c r="V9" s="381"/>
      <c r="W9" s="381"/>
      <c r="X9" s="381"/>
      <c r="Y9" s="381"/>
      <c r="Z9" s="381"/>
      <c r="AA9" s="381"/>
      <c r="AB9" s="381"/>
      <c r="AC9" s="381"/>
      <c r="AD9" s="381"/>
      <c r="AE9" s="381"/>
      <c r="AF9" s="381"/>
      <c r="AG9" s="397"/>
      <c r="AI9" s="394"/>
      <c r="AJ9" s="381"/>
      <c r="AK9" s="381"/>
      <c r="AL9" s="381"/>
      <c r="AM9" s="381"/>
      <c r="AN9" s="381"/>
      <c r="AO9" s="381"/>
      <c r="AP9" s="381"/>
      <c r="AQ9" s="381"/>
      <c r="AR9" s="381"/>
      <c r="AS9" s="381"/>
      <c r="AT9" s="381"/>
      <c r="AU9" s="381"/>
      <c r="AV9" s="381"/>
      <c r="AW9" s="397"/>
      <c r="AY9" s="394"/>
      <c r="AZ9" s="394"/>
      <c r="BA9" s="397"/>
      <c r="BB9" s="398"/>
      <c r="BC9" s="398"/>
      <c r="BD9" s="384"/>
      <c r="BE9" s="384"/>
      <c r="BF9" s="384"/>
      <c r="BG9" s="384"/>
      <c r="BH9" s="384"/>
      <c r="BI9" s="384"/>
      <c r="BJ9" s="384"/>
      <c r="BK9" s="384"/>
      <c r="BL9" s="384"/>
      <c r="BM9" s="384"/>
      <c r="BN9" s="384"/>
      <c r="BO9" s="384"/>
      <c r="BP9" s="381"/>
      <c r="BQ9" s="397"/>
      <c r="BS9" s="394"/>
      <c r="BV9" s="381"/>
      <c r="BW9" s="381"/>
      <c r="BX9" s="381"/>
      <c r="BY9" s="381"/>
      <c r="BZ9" s="381"/>
      <c r="CA9" s="381"/>
      <c r="CB9" s="381"/>
      <c r="CC9" s="381"/>
      <c r="CD9" s="381"/>
      <c r="CE9" s="381"/>
      <c r="CF9" s="381"/>
      <c r="CG9" s="381"/>
      <c r="CH9" s="381"/>
      <c r="CI9" s="397"/>
      <c r="CK9" s="394"/>
    </row>
    <row r="10" spans="2:89" s="380" customFormat="1" hidden="1">
      <c r="C10" s="372"/>
      <c r="E10" s="381"/>
      <c r="F10" s="381"/>
      <c r="G10" s="381"/>
      <c r="H10" s="381"/>
      <c r="I10" s="381"/>
      <c r="J10" s="381"/>
      <c r="K10" s="381"/>
      <c r="L10" s="381"/>
      <c r="M10" s="381"/>
      <c r="N10" s="381"/>
      <c r="O10" s="381"/>
      <c r="P10" s="381"/>
      <c r="Q10" s="381"/>
      <c r="R10" s="382"/>
      <c r="S10" s="382"/>
      <c r="T10" s="381"/>
      <c r="U10" s="381"/>
      <c r="V10" s="381"/>
      <c r="W10" s="381"/>
      <c r="X10" s="381"/>
      <c r="Y10" s="381"/>
      <c r="Z10" s="381"/>
      <c r="AA10" s="381"/>
      <c r="AB10" s="381"/>
      <c r="AC10" s="381"/>
      <c r="AD10" s="399"/>
      <c r="AE10" s="399"/>
      <c r="AF10" s="381"/>
      <c r="AG10" s="397"/>
      <c r="AI10" s="387"/>
      <c r="AJ10" s="381"/>
      <c r="AK10" s="381"/>
      <c r="AL10" s="381"/>
      <c r="AM10" s="381"/>
      <c r="AN10" s="381"/>
      <c r="AO10" s="381"/>
      <c r="AP10" s="381"/>
      <c r="AQ10" s="381"/>
      <c r="AR10" s="381"/>
      <c r="AS10" s="381"/>
      <c r="AT10" s="381"/>
      <c r="AU10" s="381"/>
      <c r="AV10" s="381"/>
      <c r="AW10" s="397"/>
      <c r="AY10" s="387"/>
      <c r="AZ10" s="387"/>
      <c r="BA10" s="397"/>
      <c r="BB10" s="398"/>
      <c r="BC10" s="398"/>
      <c r="BD10" s="384"/>
      <c r="BE10" s="384"/>
      <c r="BF10" s="384"/>
      <c r="BG10" s="384"/>
      <c r="BH10" s="384"/>
      <c r="BI10" s="384"/>
      <c r="BJ10" s="384"/>
      <c r="BK10" s="384"/>
      <c r="BL10" s="384"/>
      <c r="BM10" s="384"/>
      <c r="BN10" s="384"/>
      <c r="BO10" s="384"/>
      <c r="BP10" s="381"/>
      <c r="BQ10" s="397"/>
      <c r="BS10" s="394"/>
      <c r="BV10" s="381"/>
      <c r="BW10" s="381"/>
      <c r="BX10" s="381"/>
      <c r="BY10" s="381"/>
      <c r="BZ10" s="381"/>
      <c r="CA10" s="381"/>
      <c r="CB10" s="381"/>
      <c r="CC10" s="381"/>
      <c r="CD10" s="381"/>
      <c r="CE10" s="381"/>
      <c r="CF10" s="381"/>
      <c r="CG10" s="381"/>
      <c r="CH10" s="381"/>
      <c r="CI10" s="397"/>
      <c r="CK10" s="387"/>
    </row>
    <row r="11" spans="2:89" s="390" customFormat="1" ht="13.2" hidden="1">
      <c r="E11" s="391"/>
      <c r="F11" s="391"/>
      <c r="G11" s="391"/>
      <c r="H11" s="391"/>
      <c r="I11" s="391"/>
      <c r="J11" s="391"/>
      <c r="K11" s="391"/>
      <c r="L11" s="391"/>
      <c r="M11" s="391"/>
      <c r="N11" s="391"/>
      <c r="O11" s="391"/>
      <c r="P11" s="391"/>
      <c r="Q11" s="391"/>
      <c r="R11" s="392"/>
      <c r="S11" s="392"/>
      <c r="T11" s="391"/>
      <c r="U11" s="391"/>
      <c r="V11" s="391"/>
      <c r="W11" s="391"/>
      <c r="X11" s="391"/>
      <c r="Y11" s="391"/>
      <c r="Z11" s="391"/>
      <c r="AA11" s="391"/>
      <c r="AB11" s="391"/>
      <c r="AC11" s="391"/>
      <c r="AD11" s="391"/>
      <c r="AE11" s="391"/>
      <c r="AF11" s="391"/>
      <c r="AG11" s="393"/>
      <c r="AH11" s="394"/>
      <c r="AI11" s="394"/>
      <c r="AJ11" s="391"/>
      <c r="AK11" s="391"/>
      <c r="AL11" s="391"/>
      <c r="AM11" s="391"/>
      <c r="AN11" s="391"/>
      <c r="AO11" s="391"/>
      <c r="AP11" s="391"/>
      <c r="AQ11" s="391"/>
      <c r="AR11" s="391"/>
      <c r="AS11" s="391"/>
      <c r="AT11" s="391"/>
      <c r="AU11" s="391"/>
      <c r="AV11" s="391"/>
      <c r="AW11" s="393"/>
      <c r="AX11" s="394"/>
      <c r="AY11" s="394"/>
      <c r="AZ11" s="394"/>
      <c r="BA11" s="393"/>
      <c r="BB11" s="395"/>
      <c r="BC11" s="395"/>
      <c r="BD11" s="396"/>
      <c r="BE11" s="396"/>
      <c r="BF11" s="396"/>
      <c r="BG11" s="396"/>
      <c r="BH11" s="396"/>
      <c r="BI11" s="396"/>
      <c r="BJ11" s="396"/>
      <c r="BK11" s="396"/>
      <c r="BL11" s="396"/>
      <c r="BM11" s="396"/>
      <c r="BN11" s="396"/>
      <c r="BO11" s="396"/>
      <c r="BP11" s="391"/>
      <c r="BQ11" s="393"/>
      <c r="BR11" s="394"/>
      <c r="BS11" s="394"/>
      <c r="BV11" s="391"/>
      <c r="BW11" s="391"/>
      <c r="BX11" s="391"/>
      <c r="BY11" s="391"/>
      <c r="BZ11" s="391"/>
      <c r="CA11" s="391"/>
      <c r="CB11" s="391"/>
      <c r="CC11" s="391"/>
      <c r="CD11" s="391"/>
      <c r="CE11" s="391"/>
      <c r="CF11" s="391"/>
      <c r="CG11" s="391"/>
      <c r="CH11" s="391"/>
      <c r="CI11" s="393"/>
      <c r="CJ11" s="394"/>
      <c r="CK11" s="394"/>
    </row>
    <row r="12" spans="2:89" s="390" customFormat="1" ht="13.2" hidden="1">
      <c r="E12" s="391"/>
      <c r="F12" s="391"/>
      <c r="G12" s="391"/>
      <c r="H12" s="391"/>
      <c r="I12" s="391"/>
      <c r="J12" s="391"/>
      <c r="K12" s="391"/>
      <c r="L12" s="391"/>
      <c r="M12" s="391"/>
      <c r="N12" s="391"/>
      <c r="O12" s="391"/>
      <c r="P12" s="391"/>
      <c r="Q12" s="391"/>
      <c r="R12" s="392"/>
      <c r="S12" s="392"/>
      <c r="T12" s="391"/>
      <c r="U12" s="391"/>
      <c r="V12" s="391"/>
      <c r="W12" s="391"/>
      <c r="X12" s="391"/>
      <c r="Y12" s="391"/>
      <c r="Z12" s="391"/>
      <c r="AA12" s="391"/>
      <c r="AB12" s="391"/>
      <c r="AC12" s="391"/>
      <c r="AD12" s="391"/>
      <c r="AE12" s="391"/>
      <c r="AF12" s="391"/>
      <c r="AG12" s="393"/>
      <c r="AH12" s="394"/>
      <c r="AI12" s="394"/>
      <c r="AJ12" s="391"/>
      <c r="AK12" s="391"/>
      <c r="AL12" s="391"/>
      <c r="AM12" s="391"/>
      <c r="AN12" s="391"/>
      <c r="AO12" s="391"/>
      <c r="AP12" s="391"/>
      <c r="AQ12" s="391"/>
      <c r="AR12" s="391"/>
      <c r="AS12" s="391"/>
      <c r="AT12" s="391"/>
      <c r="AU12" s="391"/>
      <c r="AV12" s="391"/>
      <c r="AW12" s="393"/>
      <c r="AX12" s="394"/>
      <c r="AY12" s="394"/>
      <c r="AZ12" s="394"/>
      <c r="BA12" s="393"/>
      <c r="BB12" s="395"/>
      <c r="BC12" s="395"/>
      <c r="BD12" s="396"/>
      <c r="BE12" s="396"/>
      <c r="BF12" s="396"/>
      <c r="BG12" s="396"/>
      <c r="BH12" s="396"/>
      <c r="BI12" s="396"/>
      <c r="BJ12" s="396"/>
      <c r="BK12" s="396"/>
      <c r="BL12" s="396"/>
      <c r="BM12" s="396"/>
      <c r="BN12" s="396"/>
      <c r="BO12" s="396"/>
      <c r="BP12" s="391"/>
      <c r="BQ12" s="393"/>
      <c r="BR12" s="394"/>
      <c r="BS12" s="394"/>
      <c r="BV12" s="391"/>
      <c r="BW12" s="391"/>
      <c r="BX12" s="391"/>
      <c r="BY12" s="391"/>
      <c r="BZ12" s="391"/>
      <c r="CA12" s="391"/>
      <c r="CB12" s="391"/>
      <c r="CC12" s="391"/>
      <c r="CD12" s="391"/>
      <c r="CE12" s="391"/>
      <c r="CF12" s="391"/>
      <c r="CG12" s="391"/>
      <c r="CH12" s="391"/>
      <c r="CI12" s="393"/>
      <c r="CJ12" s="394"/>
      <c r="CK12" s="394"/>
    </row>
    <row r="13" spans="2:89" s="380" customFormat="1" ht="13.2" hidden="1">
      <c r="E13" s="381"/>
      <c r="F13" s="381"/>
      <c r="G13" s="381"/>
      <c r="H13" s="381"/>
      <c r="I13" s="381"/>
      <c r="J13" s="381"/>
      <c r="K13" s="381"/>
      <c r="L13" s="381"/>
      <c r="M13" s="381"/>
      <c r="N13" s="381"/>
      <c r="O13" s="381"/>
      <c r="P13" s="381"/>
      <c r="Q13" s="381"/>
      <c r="R13" s="382"/>
      <c r="S13" s="382"/>
      <c r="T13" s="381"/>
      <c r="U13" s="381"/>
      <c r="V13" s="381"/>
      <c r="W13" s="381"/>
      <c r="X13" s="381"/>
      <c r="Y13" s="381"/>
      <c r="Z13" s="381"/>
      <c r="AA13" s="381"/>
      <c r="AB13" s="381"/>
      <c r="AC13" s="381"/>
      <c r="AD13" s="381"/>
      <c r="AE13" s="381"/>
      <c r="AF13" s="381"/>
      <c r="AG13" s="397"/>
      <c r="AI13" s="394"/>
      <c r="AJ13" s="381"/>
      <c r="AK13" s="381"/>
      <c r="AL13" s="381"/>
      <c r="AM13" s="381"/>
      <c r="AN13" s="381"/>
      <c r="AO13" s="381"/>
      <c r="AP13" s="381"/>
      <c r="AQ13" s="381"/>
      <c r="AR13" s="381"/>
      <c r="AS13" s="381"/>
      <c r="AT13" s="381"/>
      <c r="AU13" s="381"/>
      <c r="AV13" s="381"/>
      <c r="AW13" s="397"/>
      <c r="AY13" s="394"/>
      <c r="AZ13" s="394"/>
      <c r="BA13" s="397"/>
      <c r="BB13" s="398"/>
      <c r="BC13" s="398"/>
      <c r="BD13" s="384"/>
      <c r="BE13" s="384"/>
      <c r="BF13" s="384"/>
      <c r="BG13" s="384"/>
      <c r="BH13" s="384"/>
      <c r="BI13" s="384"/>
      <c r="BJ13" s="384"/>
      <c r="BK13" s="384"/>
      <c r="BL13" s="384"/>
      <c r="BM13" s="384"/>
      <c r="BN13" s="384"/>
      <c r="BO13" s="384"/>
      <c r="BP13" s="381"/>
      <c r="BQ13" s="397"/>
      <c r="BS13" s="394"/>
      <c r="BV13" s="381"/>
      <c r="BW13" s="381"/>
      <c r="BX13" s="381"/>
      <c r="BY13" s="381"/>
      <c r="BZ13" s="381"/>
      <c r="CA13" s="381"/>
      <c r="CB13" s="381"/>
      <c r="CC13" s="381"/>
      <c r="CD13" s="381"/>
      <c r="CE13" s="381"/>
      <c r="CF13" s="381"/>
      <c r="CG13" s="381"/>
      <c r="CH13" s="381"/>
      <c r="CI13" s="397"/>
      <c r="CK13" s="394"/>
    </row>
    <row r="14" spans="2:89">
      <c r="C14" s="372" t="s">
        <v>105</v>
      </c>
      <c r="T14" s="385"/>
      <c r="U14" s="385"/>
      <c r="V14" s="385"/>
      <c r="W14" s="385"/>
      <c r="X14" s="385"/>
      <c r="Y14" s="385"/>
      <c r="Z14" s="385"/>
      <c r="AA14" s="385"/>
      <c r="AB14" s="385"/>
      <c r="AC14" s="385"/>
      <c r="AD14" s="399" t="e">
        <f>AD13/AC13</f>
        <v>#DIV/0!</v>
      </c>
      <c r="AE14" s="399" t="e">
        <f>AE13/AD13</f>
        <v>#DIV/0!</v>
      </c>
      <c r="AF14" s="385"/>
      <c r="AG14" s="400"/>
      <c r="AI14" s="401"/>
      <c r="AJ14" s="385"/>
      <c r="AK14" s="385"/>
      <c r="AL14" s="385"/>
      <c r="AM14" s="385"/>
      <c r="AN14" s="385"/>
      <c r="AO14" s="385"/>
      <c r="AP14" s="385"/>
      <c r="AQ14" s="385"/>
      <c r="AR14" s="385"/>
      <c r="AS14" s="402"/>
      <c r="AT14" s="402"/>
      <c r="AU14" s="402"/>
      <c r="AV14" s="385"/>
      <c r="AW14" s="400"/>
      <c r="AY14" s="401"/>
      <c r="AZ14" s="401"/>
      <c r="BA14" s="400"/>
      <c r="BB14" s="403"/>
      <c r="BC14" s="403"/>
      <c r="BD14" s="404"/>
      <c r="BE14" s="404"/>
      <c r="BF14" s="404"/>
      <c r="BG14" s="404"/>
      <c r="BH14" s="404"/>
      <c r="BI14" s="404"/>
      <c r="BJ14" s="404"/>
      <c r="BK14" s="404"/>
      <c r="BL14" s="404"/>
      <c r="BM14" s="404"/>
      <c r="BN14" s="404"/>
      <c r="BO14" s="404"/>
      <c r="BP14" s="385"/>
      <c r="BQ14" s="400"/>
      <c r="BS14" s="394"/>
      <c r="BV14" s="385"/>
      <c r="BW14" s="385"/>
      <c r="BX14" s="385"/>
      <c r="BY14" s="385"/>
      <c r="BZ14" s="385"/>
      <c r="CA14" s="385"/>
      <c r="CB14" s="385"/>
      <c r="CC14" s="385"/>
      <c r="CD14" s="385"/>
      <c r="CE14" s="402"/>
      <c r="CF14" s="402"/>
      <c r="CG14" s="402"/>
      <c r="CH14" s="385"/>
      <c r="CI14" s="400"/>
      <c r="CK14" s="401"/>
    </row>
    <row r="15" spans="2:89" s="390" customFormat="1" ht="13.2">
      <c r="D15" s="390" t="s">
        <v>103</v>
      </c>
      <c r="T15" s="391"/>
      <c r="U15" s="391"/>
      <c r="V15" s="391"/>
      <c r="W15" s="391">
        <v>83300</v>
      </c>
      <c r="X15" s="391">
        <v>87020917</v>
      </c>
      <c r="Y15" s="391">
        <v>157695919</v>
      </c>
      <c r="Z15" s="391">
        <v>151552025</v>
      </c>
      <c r="AA15" s="391">
        <v>152047030</v>
      </c>
      <c r="AB15" s="391">
        <v>151021224</v>
      </c>
      <c r="AC15" s="391">
        <v>167305311</v>
      </c>
      <c r="AD15" s="391">
        <v>172809952</v>
      </c>
      <c r="AE15" s="391">
        <v>180854192</v>
      </c>
      <c r="AF15" s="391">
        <f>SUM(T15:AE15)</f>
        <v>1220389870</v>
      </c>
      <c r="AG15" s="393"/>
      <c r="AH15" s="394">
        <f>AF15/AF17</f>
        <v>0.96683519170161925</v>
      </c>
      <c r="AI15" s="394" t="e">
        <f>AF15/Q15</f>
        <v>#DIV/0!</v>
      </c>
      <c r="AJ15" s="391">
        <v>187186683</v>
      </c>
      <c r="AK15" s="391">
        <v>169911500</v>
      </c>
      <c r="AL15" s="391">
        <v>200430391</v>
      </c>
      <c r="AM15" s="391">
        <v>230597851</v>
      </c>
      <c r="AN15" s="391">
        <v>252359210</v>
      </c>
      <c r="AO15" s="391">
        <v>256559583</v>
      </c>
      <c r="AP15" s="391">
        <v>314727121</v>
      </c>
      <c r="AQ15" s="391">
        <v>309671327</v>
      </c>
      <c r="AR15" s="391">
        <v>409679877</v>
      </c>
      <c r="AS15" s="391">
        <v>511016170</v>
      </c>
      <c r="AT15" s="391">
        <v>537817186</v>
      </c>
      <c r="AU15" s="391">
        <v>656584336</v>
      </c>
      <c r="AV15" s="391">
        <f>SUM(AJ15:AU15)</f>
        <v>4036541235</v>
      </c>
      <c r="AW15" s="393"/>
      <c r="AX15" s="394">
        <f>AV15/AV17</f>
        <v>0.9189226526106804</v>
      </c>
      <c r="AY15" s="394">
        <f>AV15/AF15</f>
        <v>3.3075833667809778</v>
      </c>
      <c r="AZ15" s="394"/>
      <c r="BA15" s="393"/>
      <c r="BB15" s="395"/>
      <c r="BC15" s="395">
        <f>AX15</f>
        <v>0.9189226526106804</v>
      </c>
      <c r="BD15" s="396">
        <f t="shared" ref="BD15:BO15" si="2">BD17-BD16</f>
        <v>464770735.97598749</v>
      </c>
      <c r="BE15" s="396">
        <f t="shared" si="2"/>
        <v>434779807.74753696</v>
      </c>
      <c r="BF15" s="396">
        <f t="shared" si="2"/>
        <v>513001408.65688759</v>
      </c>
      <c r="BG15" s="396">
        <f t="shared" si="2"/>
        <v>617915234.21494055</v>
      </c>
      <c r="BH15" s="396">
        <f t="shared" si="2"/>
        <v>644388417.18368483</v>
      </c>
      <c r="BI15" s="396">
        <f t="shared" si="2"/>
        <v>655204260.3609519</v>
      </c>
      <c r="BJ15" s="396">
        <f t="shared" si="2"/>
        <v>772655366.43987215</v>
      </c>
      <c r="BK15" s="396">
        <f t="shared" si="2"/>
        <v>804241906.05015814</v>
      </c>
      <c r="BL15" s="396">
        <f t="shared" si="2"/>
        <v>956538219.61458039</v>
      </c>
      <c r="BM15" s="396">
        <f t="shared" si="2"/>
        <v>1238930104.8573301</v>
      </c>
      <c r="BN15" s="396">
        <f t="shared" si="2"/>
        <v>1353723734.1491637</v>
      </c>
      <c r="BO15" s="396">
        <f t="shared" si="2"/>
        <v>1689972845.6413143</v>
      </c>
      <c r="BP15" s="391">
        <f>SUM(BD15:BO15)</f>
        <v>10146122040.892408</v>
      </c>
      <c r="BQ15" s="393"/>
      <c r="BR15" s="394">
        <f>BP15/BP17</f>
        <v>0.92237473099021883</v>
      </c>
      <c r="BS15" s="394">
        <f>BP15/AV15</f>
        <v>2.513568287849389</v>
      </c>
      <c r="BV15" s="391">
        <f>'2018 VN YouTube View'!R12</f>
        <v>600131253</v>
      </c>
      <c r="BW15" s="391">
        <f>'2018 VN YouTube View'!S12</f>
        <v>559835027</v>
      </c>
      <c r="BX15" s="391">
        <f>'2018 VN YouTube View'!T12</f>
        <v>551862891</v>
      </c>
      <c r="BY15" s="391">
        <f>'2018 VN YouTube View'!U12</f>
        <v>547962867</v>
      </c>
      <c r="BZ15" s="391">
        <f>'2018 VN YouTube View'!V12</f>
        <v>579917316</v>
      </c>
      <c r="CA15" s="391">
        <f>'2018 VN YouTube View'!W12</f>
        <v>684471205</v>
      </c>
      <c r="CB15" s="391">
        <f>'2018 VN YouTube View'!X12</f>
        <v>680408129</v>
      </c>
      <c r="CC15" s="391">
        <f>'2018 VN YouTube View'!Y12</f>
        <v>618827481</v>
      </c>
      <c r="CD15" s="391">
        <f>'2018 VN YouTube View'!Z12</f>
        <v>0</v>
      </c>
      <c r="CE15" s="391">
        <f>'2018 VN YouTube View'!AA12</f>
        <v>0</v>
      </c>
      <c r="CF15" s="391">
        <f>'2018 VN YouTube View'!AB12</f>
        <v>0</v>
      </c>
      <c r="CG15" s="391">
        <f>'2018 VN YouTube View'!AC12</f>
        <v>0</v>
      </c>
      <c r="CH15" s="391">
        <f>SUM(BV15:CG15)</f>
        <v>4823416169</v>
      </c>
      <c r="CI15" s="393"/>
      <c r="CJ15" s="394">
        <f>CH15/CH17</f>
        <v>0.78587036952788691</v>
      </c>
      <c r="CK15" s="394">
        <f t="shared" ref="CK15:CK17" si="3">CH15/AV15</f>
        <v>1.1949379154552351</v>
      </c>
    </row>
    <row r="16" spans="2:89" s="390" customFormat="1" ht="13.2">
      <c r="D16" s="390" t="s">
        <v>104</v>
      </c>
      <c r="T16" s="391"/>
      <c r="U16" s="391"/>
      <c r="V16" s="391"/>
      <c r="W16" s="391">
        <v>3278</v>
      </c>
      <c r="X16" s="391">
        <v>2344293</v>
      </c>
      <c r="Y16" s="391">
        <v>4101247</v>
      </c>
      <c r="Z16" s="391">
        <v>4255584</v>
      </c>
      <c r="AA16" s="391">
        <v>3628178</v>
      </c>
      <c r="AB16" s="391">
        <v>4311549</v>
      </c>
      <c r="AC16" s="391">
        <v>4225587</v>
      </c>
      <c r="AD16" s="391">
        <v>6937876</v>
      </c>
      <c r="AE16" s="391">
        <v>12054761</v>
      </c>
      <c r="AF16" s="391">
        <f>SUM(T16:AE16)</f>
        <v>41862353</v>
      </c>
      <c r="AG16" s="393"/>
      <c r="AH16" s="394">
        <f>AF16/AF17</f>
        <v>3.3164808298380789E-2</v>
      </c>
      <c r="AI16" s="394" t="e">
        <f>AF16/Q16</f>
        <v>#DIV/0!</v>
      </c>
      <c r="AJ16" s="391">
        <v>12634990</v>
      </c>
      <c r="AK16" s="391">
        <v>10521464</v>
      </c>
      <c r="AL16" s="391">
        <v>12768903</v>
      </c>
      <c r="AM16" s="391">
        <v>17048766</v>
      </c>
      <c r="AN16" s="391">
        <v>7513356</v>
      </c>
      <c r="AO16" s="391">
        <v>6264197</v>
      </c>
      <c r="AP16" s="391">
        <v>9398239</v>
      </c>
      <c r="AQ16" s="391">
        <v>9731559</v>
      </c>
      <c r="AR16" s="391">
        <v>13326066</v>
      </c>
      <c r="AS16" s="391">
        <v>53179449</v>
      </c>
      <c r="AT16" s="391">
        <v>70079374</v>
      </c>
      <c r="AU16" s="391">
        <v>118517286</v>
      </c>
      <c r="AV16" s="391">
        <f>SUM(AJ16:AU16)</f>
        <v>340983649</v>
      </c>
      <c r="AW16" s="393"/>
      <c r="AX16" s="394">
        <f>AV16/AV17</f>
        <v>7.7625269009781131E-2</v>
      </c>
      <c r="AY16" s="394">
        <f>AV16/AF16</f>
        <v>8.1453531529868854</v>
      </c>
      <c r="AZ16" s="394"/>
      <c r="BA16" s="393"/>
      <c r="BB16" s="395"/>
      <c r="BC16" s="395">
        <f>AX16</f>
        <v>7.7625269009781131E-2</v>
      </c>
      <c r="BD16" s="396">
        <f>BD17*$BC$16</f>
        <v>39114204.016927443</v>
      </c>
      <c r="BE16" s="396">
        <f t="shared" ref="BE16:BO16" si="4">BE17*$BC$16</f>
        <v>36590225.645265833</v>
      </c>
      <c r="BF16" s="396">
        <f t="shared" si="4"/>
        <v>43173203.917497441</v>
      </c>
      <c r="BG16" s="396">
        <f t="shared" si="4"/>
        <v>52002548.063825175</v>
      </c>
      <c r="BH16" s="396">
        <f t="shared" si="4"/>
        <v>54230479.814825982</v>
      </c>
      <c r="BI16" s="396">
        <f t="shared" si="4"/>
        <v>55140720.206279054</v>
      </c>
      <c r="BJ16" s="396">
        <f t="shared" si="4"/>
        <v>65025177.573280804</v>
      </c>
      <c r="BK16" s="396">
        <f t="shared" si="4"/>
        <v>67683439.50517945</v>
      </c>
      <c r="BL16" s="396">
        <f t="shared" si="4"/>
        <v>80500401.974375293</v>
      </c>
      <c r="BM16" s="396">
        <f t="shared" si="4"/>
        <v>104265955.51964055</v>
      </c>
      <c r="BN16" s="396">
        <f t="shared" si="4"/>
        <v>113926764.7927018</v>
      </c>
      <c r="BO16" s="396">
        <f t="shared" si="4"/>
        <v>142224838.07779363</v>
      </c>
      <c r="BP16" s="391">
        <f>SUM(BD16:BO16)</f>
        <v>853877959.10759246</v>
      </c>
      <c r="BQ16" s="393"/>
      <c r="BR16" s="394">
        <f>BP16/BP17</f>
        <v>7.7625269009781117E-2</v>
      </c>
      <c r="BS16" s="394">
        <f>BP16/AV16</f>
        <v>2.5041610106870329</v>
      </c>
      <c r="BV16" s="391">
        <f>'2018 VN YouTube View'!R13</f>
        <v>112112243</v>
      </c>
      <c r="BW16" s="391">
        <f>'2018 VN YouTube View'!S13</f>
        <v>80518892</v>
      </c>
      <c r="BX16" s="391">
        <f>'2018 VN YouTube View'!T13</f>
        <v>111529569</v>
      </c>
      <c r="BY16" s="391">
        <f>'2018 VN YouTube View'!U13</f>
        <v>145868611</v>
      </c>
      <c r="BZ16" s="391">
        <f>'2018 VN YouTube View'!V13</f>
        <v>216479216</v>
      </c>
      <c r="CA16" s="391">
        <f>'2018 VN YouTube View'!W13</f>
        <v>228549869</v>
      </c>
      <c r="CB16" s="391">
        <f>'2018 VN YouTube View'!X13</f>
        <v>227194036</v>
      </c>
      <c r="CC16" s="391">
        <f>'2018 VN YouTube View'!Y13</f>
        <v>192005439</v>
      </c>
      <c r="CD16" s="391">
        <f>'2018 VN YouTube View'!Z13</f>
        <v>0</v>
      </c>
      <c r="CE16" s="391">
        <f>'2018 VN YouTube View'!AA13</f>
        <v>0</v>
      </c>
      <c r="CF16" s="391">
        <f>'2018 VN YouTube View'!AB13</f>
        <v>0</v>
      </c>
      <c r="CG16" s="391">
        <f>'2018 VN YouTube View'!AC13</f>
        <v>0</v>
      </c>
      <c r="CH16" s="391">
        <f>SUM(BV16:CG16)</f>
        <v>1314257875</v>
      </c>
      <c r="CI16" s="393"/>
      <c r="CJ16" s="394">
        <f>CH16/CH17</f>
        <v>0.21412963047211309</v>
      </c>
      <c r="CK16" s="394">
        <f t="shared" si="3"/>
        <v>3.8543134805856925</v>
      </c>
    </row>
    <row r="17" spans="2:89" s="380" customFormat="1" ht="13.2">
      <c r="C17" s="380" t="s">
        <v>106</v>
      </c>
      <c r="T17" s="381">
        <f t="shared" ref="T17:AE17" si="5">SUM(T15:T16)</f>
        <v>0</v>
      </c>
      <c r="U17" s="381">
        <f t="shared" si="5"/>
        <v>0</v>
      </c>
      <c r="V17" s="381">
        <f t="shared" si="5"/>
        <v>0</v>
      </c>
      <c r="W17" s="381">
        <f t="shared" si="5"/>
        <v>86578</v>
      </c>
      <c r="X17" s="381">
        <f t="shared" si="5"/>
        <v>89365210</v>
      </c>
      <c r="Y17" s="381">
        <f t="shared" si="5"/>
        <v>161797166</v>
      </c>
      <c r="Z17" s="381">
        <f t="shared" si="5"/>
        <v>155807609</v>
      </c>
      <c r="AA17" s="381">
        <f t="shared" si="5"/>
        <v>155675208</v>
      </c>
      <c r="AB17" s="381">
        <f t="shared" si="5"/>
        <v>155332773</v>
      </c>
      <c r="AC17" s="381">
        <f t="shared" si="5"/>
        <v>171530898</v>
      </c>
      <c r="AD17" s="381">
        <f t="shared" si="5"/>
        <v>179747828</v>
      </c>
      <c r="AE17" s="381">
        <f t="shared" si="5"/>
        <v>192908953</v>
      </c>
      <c r="AF17" s="381">
        <f>SUM(T17:AE17)</f>
        <v>1262252223</v>
      </c>
      <c r="AG17" s="397">
        <f>AF17/$AF$22</f>
        <v>0.81130385572858676</v>
      </c>
      <c r="AI17" s="394" t="e">
        <f>AF17/Q17</f>
        <v>#DIV/0!</v>
      </c>
      <c r="AJ17" s="381">
        <f t="shared" ref="AJ17:AT17" si="6">SUM(AJ15:AJ16)</f>
        <v>199821673</v>
      </c>
      <c r="AK17" s="381">
        <f t="shared" si="6"/>
        <v>180432964</v>
      </c>
      <c r="AL17" s="381">
        <f t="shared" si="6"/>
        <v>213199294</v>
      </c>
      <c r="AM17" s="381">
        <f t="shared" si="6"/>
        <v>247646617</v>
      </c>
      <c r="AN17" s="381">
        <f t="shared" si="6"/>
        <v>259872566</v>
      </c>
      <c r="AO17" s="381">
        <f t="shared" si="6"/>
        <v>262823780</v>
      </c>
      <c r="AP17" s="381">
        <f t="shared" si="6"/>
        <v>324125360</v>
      </c>
      <c r="AQ17" s="381">
        <f t="shared" si="6"/>
        <v>319402886</v>
      </c>
      <c r="AR17" s="381">
        <f t="shared" si="6"/>
        <v>423005943</v>
      </c>
      <c r="AS17" s="381">
        <f t="shared" si="6"/>
        <v>564195619</v>
      </c>
      <c r="AT17" s="381">
        <f t="shared" si="6"/>
        <v>607896560</v>
      </c>
      <c r="AU17" s="381">
        <f>AT17*130%</f>
        <v>790265528</v>
      </c>
      <c r="AV17" s="381">
        <f>SUM(AJ17:AU17)</f>
        <v>4392688790</v>
      </c>
      <c r="AW17" s="397">
        <f>AV17/$AV$22</f>
        <v>0.81552476379810146</v>
      </c>
      <c r="AY17" s="394">
        <f>AV17/AF17</f>
        <v>3.4800404467182311</v>
      </c>
      <c r="AZ17" s="394"/>
      <c r="BA17" s="397">
        <f>SUM(AC17:AE17,AJ17:AR17)/SUM($AC$22:$AE$22,$AJ$22:$AR$22)</f>
        <v>0.78544965801452415</v>
      </c>
      <c r="BB17" s="398">
        <v>0.22</v>
      </c>
      <c r="BC17" s="398"/>
      <c r="BD17" s="384">
        <f>BD22*$BB$17</f>
        <v>503884939.99291492</v>
      </c>
      <c r="BE17" s="384">
        <f t="shared" ref="BE17:BO17" si="7">BE22*$BB$17</f>
        <v>471370033.39280277</v>
      </c>
      <c r="BF17" s="384">
        <f t="shared" si="7"/>
        <v>556174612.57438505</v>
      </c>
      <c r="BG17" s="384">
        <f t="shared" si="7"/>
        <v>669917782.27876568</v>
      </c>
      <c r="BH17" s="384">
        <f t="shared" si="7"/>
        <v>698618896.99851084</v>
      </c>
      <c r="BI17" s="384">
        <f t="shared" si="7"/>
        <v>710344980.56723094</v>
      </c>
      <c r="BJ17" s="384">
        <f t="shared" si="7"/>
        <v>837680544.01315296</v>
      </c>
      <c r="BK17" s="384">
        <f t="shared" si="7"/>
        <v>871925345.55533755</v>
      </c>
      <c r="BL17" s="384">
        <f t="shared" si="7"/>
        <v>1037038621.5889556</v>
      </c>
      <c r="BM17" s="384">
        <f t="shared" si="7"/>
        <v>1343196060.3769705</v>
      </c>
      <c r="BN17" s="384">
        <f t="shared" si="7"/>
        <v>1467650498.9418654</v>
      </c>
      <c r="BO17" s="384">
        <f t="shared" si="7"/>
        <v>1832197683.7191079</v>
      </c>
      <c r="BP17" s="381">
        <f>SUM(BD17:BO17)</f>
        <v>11000000000.000002</v>
      </c>
      <c r="BQ17" s="397">
        <f>BP17/$BP$22</f>
        <v>0.22000000000000003</v>
      </c>
      <c r="BS17" s="394">
        <f>BP17/AV17</f>
        <v>2.5041610106870333</v>
      </c>
      <c r="BV17" s="381">
        <f t="shared" ref="BV17:CF17" si="8">SUM(BV15:BV16)</f>
        <v>712243496</v>
      </c>
      <c r="BW17" s="381">
        <f t="shared" si="8"/>
        <v>640353919</v>
      </c>
      <c r="BX17" s="381">
        <f t="shared" si="8"/>
        <v>663392460</v>
      </c>
      <c r="BY17" s="381">
        <f t="shared" si="8"/>
        <v>693831478</v>
      </c>
      <c r="BZ17" s="381">
        <f t="shared" si="8"/>
        <v>796396532</v>
      </c>
      <c r="CA17" s="381">
        <f t="shared" si="8"/>
        <v>913021074</v>
      </c>
      <c r="CB17" s="381">
        <f t="shared" si="8"/>
        <v>907602165</v>
      </c>
      <c r="CC17" s="381">
        <f t="shared" si="8"/>
        <v>810832920</v>
      </c>
      <c r="CD17" s="381">
        <f t="shared" si="8"/>
        <v>0</v>
      </c>
      <c r="CE17" s="381">
        <f t="shared" si="8"/>
        <v>0</v>
      </c>
      <c r="CF17" s="381">
        <f t="shared" si="8"/>
        <v>0</v>
      </c>
      <c r="CG17" s="381">
        <f>CF17*130%</f>
        <v>0</v>
      </c>
      <c r="CH17" s="381">
        <f>SUM(BV17:CG17)</f>
        <v>6137674044</v>
      </c>
      <c r="CI17" s="397">
        <f>CH17/$AV$22</f>
        <v>1.1394900513775841</v>
      </c>
      <c r="CK17" s="394">
        <f t="shared" si="3"/>
        <v>1.3972476397536917</v>
      </c>
    </row>
    <row r="18" spans="2:89" s="380" customFormat="1">
      <c r="C18" s="372" t="s">
        <v>107</v>
      </c>
      <c r="T18" s="381"/>
      <c r="U18" s="381"/>
      <c r="V18" s="381"/>
      <c r="W18" s="381"/>
      <c r="X18" s="381"/>
      <c r="Y18" s="381"/>
      <c r="Z18" s="381"/>
      <c r="AA18" s="381"/>
      <c r="AB18" s="381"/>
      <c r="AC18" s="381"/>
      <c r="AD18" s="399">
        <f>AD17/AC17</f>
        <v>1.0479034978292949</v>
      </c>
      <c r="AE18" s="399">
        <f>AE17/AD17</f>
        <v>1.0732199389914185</v>
      </c>
      <c r="AF18" s="381"/>
      <c r="AG18" s="397"/>
      <c r="AI18" s="387"/>
      <c r="AJ18" s="381"/>
      <c r="AK18" s="381"/>
      <c r="AL18" s="381"/>
      <c r="AM18" s="381"/>
      <c r="AN18" s="381"/>
      <c r="AO18" s="381"/>
      <c r="AP18" s="381"/>
      <c r="AQ18" s="381"/>
      <c r="AR18" s="381"/>
      <c r="AS18" s="405"/>
      <c r="AT18" s="405"/>
      <c r="AU18" s="405"/>
      <c r="AV18" s="381"/>
      <c r="AW18" s="397"/>
      <c r="AY18" s="387"/>
      <c r="AZ18" s="387"/>
      <c r="BA18" s="397"/>
      <c r="BB18" s="398"/>
      <c r="BC18" s="398"/>
      <c r="BD18" s="384"/>
      <c r="BE18" s="384"/>
      <c r="BF18" s="384"/>
      <c r="BG18" s="384"/>
      <c r="BH18" s="384"/>
      <c r="BI18" s="384"/>
      <c r="BJ18" s="384"/>
      <c r="BK18" s="384"/>
      <c r="BL18" s="384"/>
      <c r="BM18" s="384"/>
      <c r="BN18" s="384"/>
      <c r="BO18" s="384"/>
      <c r="BP18" s="381"/>
      <c r="BQ18" s="397"/>
      <c r="BS18" s="394"/>
      <c r="BV18" s="381"/>
      <c r="BW18" s="381"/>
      <c r="BX18" s="381"/>
      <c r="BY18" s="381"/>
      <c r="BZ18" s="381"/>
      <c r="CA18" s="381"/>
      <c r="CB18" s="381"/>
      <c r="CC18" s="381"/>
      <c r="CD18" s="381"/>
      <c r="CE18" s="405"/>
      <c r="CF18" s="405"/>
      <c r="CG18" s="405"/>
      <c r="CH18" s="381"/>
      <c r="CI18" s="397"/>
      <c r="CK18" s="387"/>
    </row>
    <row r="19" spans="2:89" s="390" customFormat="1" ht="13.2">
      <c r="D19" s="390" t="s">
        <v>103</v>
      </c>
      <c r="T19" s="391"/>
      <c r="U19" s="391"/>
      <c r="V19" s="391"/>
      <c r="W19" s="391">
        <v>6001897</v>
      </c>
      <c r="X19" s="391">
        <v>17390439</v>
      </c>
      <c r="Y19" s="391">
        <v>32204454</v>
      </c>
      <c r="Z19" s="391">
        <v>35341911</v>
      </c>
      <c r="AA19" s="391">
        <v>32726446</v>
      </c>
      <c r="AB19" s="391">
        <v>33449204</v>
      </c>
      <c r="AC19" s="391">
        <v>31398331</v>
      </c>
      <c r="AD19" s="391">
        <v>28245406</v>
      </c>
      <c r="AE19" s="391">
        <v>35961352</v>
      </c>
      <c r="AF19" s="391">
        <f>SUM(T19:AE19)</f>
        <v>252719440</v>
      </c>
      <c r="AG19" s="393"/>
      <c r="AH19" s="394">
        <f>AF19/AF21</f>
        <v>0.86082133103090142</v>
      </c>
      <c r="AI19" s="394" t="e">
        <f>AF19/Q19</f>
        <v>#DIV/0!</v>
      </c>
      <c r="AJ19" s="391">
        <v>42994207</v>
      </c>
      <c r="AK19" s="391">
        <v>44833993</v>
      </c>
      <c r="AL19" s="391">
        <v>55320433</v>
      </c>
      <c r="AM19" s="391">
        <v>74901575</v>
      </c>
      <c r="AN19" s="391">
        <v>76189641</v>
      </c>
      <c r="AO19" s="391">
        <v>73174184</v>
      </c>
      <c r="AP19" s="391">
        <v>75219334</v>
      </c>
      <c r="AQ19" s="391">
        <v>88527704</v>
      </c>
      <c r="AR19" s="391">
        <v>75943317</v>
      </c>
      <c r="AS19" s="391">
        <v>84642953</v>
      </c>
      <c r="AT19" s="391">
        <v>89004870</v>
      </c>
      <c r="AU19" s="391">
        <v>80633434</v>
      </c>
      <c r="AV19" s="391">
        <f>SUM(AJ19:AU19)</f>
        <v>861385645</v>
      </c>
      <c r="AW19" s="393"/>
      <c r="AX19" s="394">
        <f>AV19/AV21</f>
        <v>0.86689454920482123</v>
      </c>
      <c r="AY19" s="394">
        <f>AV19/AF19</f>
        <v>3.4084661037552157</v>
      </c>
      <c r="AZ19" s="394"/>
      <c r="BA19" s="393"/>
      <c r="BB19" s="395"/>
      <c r="BC19" s="395">
        <f>AX19</f>
        <v>0.86689454920482123</v>
      </c>
      <c r="BD19" s="396">
        <f t="shared" ref="BD19:BO19" si="9">BD21-BD20</f>
        <v>49638080.443892762</v>
      </c>
      <c r="BE19" s="396">
        <f t="shared" si="9"/>
        <v>46435012.796217643</v>
      </c>
      <c r="BF19" s="396">
        <f t="shared" si="9"/>
        <v>54789175.005322456</v>
      </c>
      <c r="BG19" s="396">
        <f t="shared" si="9"/>
        <v>65994099.303732291</v>
      </c>
      <c r="BH19" s="396">
        <f t="shared" si="9"/>
        <v>68821467.474942431</v>
      </c>
      <c r="BI19" s="396">
        <f t="shared" si="9"/>
        <v>69976612.694174662</v>
      </c>
      <c r="BJ19" s="396">
        <f t="shared" si="9"/>
        <v>82520533.815901324</v>
      </c>
      <c r="BK19" s="396">
        <f t="shared" si="9"/>
        <v>85894014.701755941</v>
      </c>
      <c r="BL19" s="396">
        <f t="shared" si="9"/>
        <v>102159446.40572123</v>
      </c>
      <c r="BM19" s="396">
        <f t="shared" si="9"/>
        <v>132319243.551612</v>
      </c>
      <c r="BN19" s="396">
        <f t="shared" si="9"/>
        <v>144579342.91709539</v>
      </c>
      <c r="BO19" s="396">
        <f t="shared" si="9"/>
        <v>180491157.39565834</v>
      </c>
      <c r="BP19" s="391">
        <f>SUM(BD19:BO19)</f>
        <v>1083618186.5060265</v>
      </c>
      <c r="BQ19" s="393"/>
      <c r="BR19" s="394">
        <f>BP19/BP21</f>
        <v>0.86689454920482123</v>
      </c>
      <c r="BS19" s="394">
        <f>BP19/AV19</f>
        <v>1.2579942477518609</v>
      </c>
      <c r="BV19" s="391">
        <f>'2018 VN YouTube View'!R16</f>
        <v>100691266</v>
      </c>
      <c r="BW19" s="391">
        <f>'2018 VN YouTube View'!S16</f>
        <v>87725110</v>
      </c>
      <c r="BX19" s="391">
        <f>'2018 VN YouTube View'!T16</f>
        <v>153626660</v>
      </c>
      <c r="BY19" s="391">
        <f>'2018 VN YouTube View'!U16</f>
        <v>184714554</v>
      </c>
      <c r="BZ19" s="391">
        <f>'2018 VN YouTube View'!V16</f>
        <v>156759564</v>
      </c>
      <c r="CA19" s="391">
        <f>'2018 VN YouTube View'!W16</f>
        <v>122963683</v>
      </c>
      <c r="CB19" s="391">
        <f>'2018 VN YouTube View'!X16</f>
        <v>153441957</v>
      </c>
      <c r="CC19" s="391">
        <f>'2018 VN YouTube View'!Y16</f>
        <v>125940833</v>
      </c>
      <c r="CD19" s="391">
        <f>'2018 VN YouTube View'!Z16</f>
        <v>0</v>
      </c>
      <c r="CE19" s="391">
        <f>'2018 VN YouTube View'!AA16</f>
        <v>0</v>
      </c>
      <c r="CF19" s="391">
        <f>'2018 VN YouTube View'!AB16</f>
        <v>0</v>
      </c>
      <c r="CG19" s="391">
        <f>'2018 VN YouTube View'!AC16</f>
        <v>0</v>
      </c>
      <c r="CH19" s="391">
        <f>SUM(BV19:CG19)</f>
        <v>1085863627</v>
      </c>
      <c r="CI19" s="393"/>
      <c r="CJ19" s="394">
        <f>CH19/CH21</f>
        <v>0.62851156213181536</v>
      </c>
      <c r="CK19" s="394">
        <f t="shared" ref="CK19:CK21" si="10">CH19/AV19</f>
        <v>1.2606010249915414</v>
      </c>
    </row>
    <row r="20" spans="2:89" s="390" customFormat="1" ht="13.2">
      <c r="D20" s="390" t="s">
        <v>104</v>
      </c>
      <c r="T20" s="391"/>
      <c r="U20" s="391"/>
      <c r="V20" s="391"/>
      <c r="W20" s="391">
        <v>239102</v>
      </c>
      <c r="X20" s="391">
        <v>942731</v>
      </c>
      <c r="Y20" s="391">
        <v>1313396</v>
      </c>
      <c r="Z20" s="391">
        <v>1087556</v>
      </c>
      <c r="AA20" s="391">
        <v>834007</v>
      </c>
      <c r="AB20" s="391">
        <v>1999093</v>
      </c>
      <c r="AC20" s="391">
        <v>4433434</v>
      </c>
      <c r="AD20" s="391">
        <v>24991770</v>
      </c>
      <c r="AE20" s="391">
        <v>5018906</v>
      </c>
      <c r="AF20" s="391">
        <f>SUM(T20:AE20)</f>
        <v>40859995</v>
      </c>
      <c r="AG20" s="393"/>
      <c r="AH20" s="394">
        <f>AF20/AF21</f>
        <v>0.13917866896909861</v>
      </c>
      <c r="AI20" s="394" t="e">
        <f>AF20/Q20</f>
        <v>#DIV/0!</v>
      </c>
      <c r="AJ20" s="391">
        <v>3919811</v>
      </c>
      <c r="AK20" s="391">
        <v>5547266</v>
      </c>
      <c r="AL20" s="391">
        <v>3820477</v>
      </c>
      <c r="AM20" s="391">
        <v>5488258</v>
      </c>
      <c r="AN20" s="391">
        <v>6028224</v>
      </c>
      <c r="AO20" s="391">
        <v>11834340</v>
      </c>
      <c r="AP20" s="391">
        <v>10839599</v>
      </c>
      <c r="AQ20" s="391">
        <v>19022243</v>
      </c>
      <c r="AR20" s="391">
        <v>8854051</v>
      </c>
      <c r="AS20" s="391">
        <v>8879851</v>
      </c>
      <c r="AT20" s="391">
        <v>21758191</v>
      </c>
      <c r="AU20" s="391">
        <v>26267287</v>
      </c>
      <c r="AV20" s="391">
        <f>SUM(AJ20:AU20)</f>
        <v>132259598</v>
      </c>
      <c r="AW20" s="393"/>
      <c r="AX20" s="394">
        <f>AV20/AV21</f>
        <v>0.13310545079517883</v>
      </c>
      <c r="AY20" s="394">
        <f>AV20/AF20</f>
        <v>3.2368970676574973</v>
      </c>
      <c r="AZ20" s="394"/>
      <c r="BA20" s="393"/>
      <c r="BB20" s="395"/>
      <c r="BC20" s="395">
        <f>AX20</f>
        <v>0.13310545079517883</v>
      </c>
      <c r="BD20" s="396">
        <f>BD21*$BC$20</f>
        <v>7621571.828029383</v>
      </c>
      <c r="BE20" s="396">
        <f t="shared" ref="BE20:BO20" si="11">BE21*$BC$20</f>
        <v>7129763.7256917628</v>
      </c>
      <c r="BF20" s="396">
        <f t="shared" si="11"/>
        <v>8412485.5144940298</v>
      </c>
      <c r="BG20" s="396">
        <f t="shared" si="11"/>
        <v>10132921.409763815</v>
      </c>
      <c r="BH20" s="396">
        <f t="shared" si="11"/>
        <v>10567043.547615612</v>
      </c>
      <c r="BI20" s="396">
        <f t="shared" si="11"/>
        <v>10744407.824828843</v>
      </c>
      <c r="BJ20" s="396">
        <f t="shared" si="11"/>
        <v>12670437.094684247</v>
      </c>
      <c r="BK20" s="396">
        <f t="shared" si="11"/>
        <v>13188410.929532418</v>
      </c>
      <c r="BL20" s="396">
        <f t="shared" si="11"/>
        <v>15685851.502114637</v>
      </c>
      <c r="BM20" s="396">
        <f t="shared" si="11"/>
        <v>20316672.400316466</v>
      </c>
      <c r="BN20" s="396">
        <f t="shared" si="11"/>
        <v>22199122.871752974</v>
      </c>
      <c r="BO20" s="396">
        <f t="shared" si="11"/>
        <v>27713124.845149357</v>
      </c>
      <c r="BP20" s="391">
        <f>SUM(BD20:BO20)</f>
        <v>166381813.49397355</v>
      </c>
      <c r="BQ20" s="393"/>
      <c r="BR20" s="394">
        <f>BP20/BP21</f>
        <v>0.13310545079517885</v>
      </c>
      <c r="BS20" s="394">
        <f>BP20/AV20</f>
        <v>1.2579942477518611</v>
      </c>
      <c r="BV20" s="391">
        <f>'2018 VN YouTube View'!R17</f>
        <v>25297833</v>
      </c>
      <c r="BW20" s="391">
        <f>'2018 VN YouTube View'!S17</f>
        <v>12978272</v>
      </c>
      <c r="BX20" s="391">
        <f>'2018 VN YouTube View'!T17</f>
        <v>16189775</v>
      </c>
      <c r="BY20" s="391">
        <f>'2018 VN YouTube View'!U17</f>
        <v>173989023</v>
      </c>
      <c r="BZ20" s="391">
        <f>'2018 VN YouTube View'!V17</f>
        <v>244439295</v>
      </c>
      <c r="CA20" s="391">
        <f>'2018 VN YouTube View'!W17</f>
        <v>41552177</v>
      </c>
      <c r="CB20" s="391">
        <f>'2018 VN YouTube View'!X17</f>
        <v>61296798</v>
      </c>
      <c r="CC20" s="391">
        <f>'2018 VN YouTube View'!Y17</f>
        <v>66068063</v>
      </c>
      <c r="CD20" s="391">
        <f>'2018 VN YouTube View'!Z17</f>
        <v>0</v>
      </c>
      <c r="CE20" s="391">
        <f>'2018 VN YouTube View'!AA17</f>
        <v>0</v>
      </c>
      <c r="CF20" s="391">
        <f>'2018 VN YouTube View'!AB17</f>
        <v>0</v>
      </c>
      <c r="CG20" s="391">
        <f>'2018 VN YouTube View'!AC17</f>
        <v>0</v>
      </c>
      <c r="CH20" s="391">
        <f>SUM(BV20:CG20)</f>
        <v>641811236</v>
      </c>
      <c r="CI20" s="393"/>
      <c r="CJ20" s="394">
        <f>CH20/CH21</f>
        <v>0.3714884378681847</v>
      </c>
      <c r="CK20" s="394">
        <f t="shared" si="10"/>
        <v>4.852662836613189</v>
      </c>
    </row>
    <row r="21" spans="2:89" s="380" customFormat="1" ht="13.2">
      <c r="C21" s="380" t="s">
        <v>108</v>
      </c>
      <c r="T21" s="381">
        <f t="shared" ref="T21:AE21" si="12">SUM(T19:T20)</f>
        <v>0</v>
      </c>
      <c r="U21" s="381">
        <f t="shared" si="12"/>
        <v>0</v>
      </c>
      <c r="V21" s="381">
        <f t="shared" si="12"/>
        <v>0</v>
      </c>
      <c r="W21" s="381">
        <f t="shared" si="12"/>
        <v>6240999</v>
      </c>
      <c r="X21" s="381">
        <f t="shared" si="12"/>
        <v>18333170</v>
      </c>
      <c r="Y21" s="381">
        <f t="shared" si="12"/>
        <v>33517850</v>
      </c>
      <c r="Z21" s="381">
        <f t="shared" si="12"/>
        <v>36429467</v>
      </c>
      <c r="AA21" s="381">
        <f t="shared" si="12"/>
        <v>33560453</v>
      </c>
      <c r="AB21" s="381">
        <f t="shared" si="12"/>
        <v>35448297</v>
      </c>
      <c r="AC21" s="381">
        <f t="shared" si="12"/>
        <v>35831765</v>
      </c>
      <c r="AD21" s="381">
        <f t="shared" si="12"/>
        <v>53237176</v>
      </c>
      <c r="AE21" s="381">
        <f t="shared" si="12"/>
        <v>40980258</v>
      </c>
      <c r="AF21" s="381">
        <f>SUM(T21:AE21)</f>
        <v>293579435</v>
      </c>
      <c r="AG21" s="397">
        <f>AF21/$AF$22</f>
        <v>0.18869614427141321</v>
      </c>
      <c r="AI21" s="394" t="e">
        <f>AF21/Q21</f>
        <v>#DIV/0!</v>
      </c>
      <c r="AJ21" s="381">
        <f t="shared" ref="AJ21:AU21" si="13">SUM(AJ19:AJ20)</f>
        <v>46914018</v>
      </c>
      <c r="AK21" s="381">
        <f t="shared" si="13"/>
        <v>50381259</v>
      </c>
      <c r="AL21" s="381">
        <f t="shared" si="13"/>
        <v>59140910</v>
      </c>
      <c r="AM21" s="381">
        <f t="shared" si="13"/>
        <v>80389833</v>
      </c>
      <c r="AN21" s="381">
        <f t="shared" si="13"/>
        <v>82217865</v>
      </c>
      <c r="AO21" s="381">
        <f t="shared" si="13"/>
        <v>85008524</v>
      </c>
      <c r="AP21" s="381">
        <f t="shared" si="13"/>
        <v>86058933</v>
      </c>
      <c r="AQ21" s="381">
        <f t="shared" si="13"/>
        <v>107549947</v>
      </c>
      <c r="AR21" s="381">
        <f t="shared" si="13"/>
        <v>84797368</v>
      </c>
      <c r="AS21" s="381">
        <f t="shared" si="13"/>
        <v>93522804</v>
      </c>
      <c r="AT21" s="381">
        <f t="shared" si="13"/>
        <v>110763061</v>
      </c>
      <c r="AU21" s="381">
        <f t="shared" si="13"/>
        <v>106900721</v>
      </c>
      <c r="AV21" s="381">
        <f>SUM(AJ21:AU21)</f>
        <v>993645243</v>
      </c>
      <c r="AW21" s="397">
        <f>AV21/$AV$22</f>
        <v>0.1844752362018986</v>
      </c>
      <c r="AX21" s="397"/>
      <c r="AY21" s="394">
        <f>AV21/AF21</f>
        <v>3.3845873536748239</v>
      </c>
      <c r="AZ21" s="394"/>
      <c r="BA21" s="397">
        <f>SUM(AC21:AE21,AJ21:AR21)/SUM($AC$22:$AE$22,$AJ$22:$AR$22)</f>
        <v>0.21455034198547585</v>
      </c>
      <c r="BB21" s="398">
        <v>2.5000000000000001E-2</v>
      </c>
      <c r="BC21" s="398"/>
      <c r="BD21" s="384">
        <f>BD22*$BB$21</f>
        <v>57259652.271922149</v>
      </c>
      <c r="BE21" s="384">
        <f t="shared" ref="BE21:BO21" si="14">BE22*$BB$21</f>
        <v>53564776.521909408</v>
      </c>
      <c r="BF21" s="384">
        <f t="shared" si="14"/>
        <v>63201660.519816488</v>
      </c>
      <c r="BG21" s="384">
        <f t="shared" si="14"/>
        <v>76127020.713496104</v>
      </c>
      <c r="BH21" s="384">
        <f t="shared" si="14"/>
        <v>79388511.022558048</v>
      </c>
      <c r="BI21" s="384">
        <f t="shared" si="14"/>
        <v>80721020.51900351</v>
      </c>
      <c r="BJ21" s="384">
        <f t="shared" si="14"/>
        <v>95190970.910585567</v>
      </c>
      <c r="BK21" s="384">
        <f t="shared" si="14"/>
        <v>99082425.631288365</v>
      </c>
      <c r="BL21" s="384">
        <f t="shared" si="14"/>
        <v>117845297.90783587</v>
      </c>
      <c r="BM21" s="384">
        <f t="shared" si="14"/>
        <v>152635915.95192847</v>
      </c>
      <c r="BN21" s="384">
        <f t="shared" si="14"/>
        <v>166778465.78884837</v>
      </c>
      <c r="BO21" s="384">
        <f t="shared" si="14"/>
        <v>208204282.24080771</v>
      </c>
      <c r="BP21" s="381">
        <f>SUM(BD21:BO21)</f>
        <v>1250000000</v>
      </c>
      <c r="BQ21" s="397">
        <f>BP21/$BP$22</f>
        <v>2.5000000000000001E-2</v>
      </c>
      <c r="BR21" s="397"/>
      <c r="BS21" s="394">
        <f>BP21/AV21</f>
        <v>1.2579942477518609</v>
      </c>
      <c r="BT21" s="399">
        <f>(BP13+BP21)/(AV13+AV21)</f>
        <v>1.2579942477518609</v>
      </c>
      <c r="BV21" s="381">
        <f t="shared" ref="BV21:CG21" si="15">SUM(BV19:BV20)</f>
        <v>125989099</v>
      </c>
      <c r="BW21" s="381">
        <f t="shared" si="15"/>
        <v>100703382</v>
      </c>
      <c r="BX21" s="381">
        <f t="shared" si="15"/>
        <v>169816435</v>
      </c>
      <c r="BY21" s="381">
        <f t="shared" si="15"/>
        <v>358703577</v>
      </c>
      <c r="BZ21" s="381">
        <f t="shared" si="15"/>
        <v>401198859</v>
      </c>
      <c r="CA21" s="381">
        <f t="shared" si="15"/>
        <v>164515860</v>
      </c>
      <c r="CB21" s="381">
        <f t="shared" si="15"/>
        <v>214738755</v>
      </c>
      <c r="CC21" s="381">
        <f t="shared" si="15"/>
        <v>192008896</v>
      </c>
      <c r="CD21" s="381">
        <f t="shared" si="15"/>
        <v>0</v>
      </c>
      <c r="CE21" s="381">
        <f t="shared" si="15"/>
        <v>0</v>
      </c>
      <c r="CF21" s="381">
        <f t="shared" si="15"/>
        <v>0</v>
      </c>
      <c r="CG21" s="381">
        <f t="shared" si="15"/>
        <v>0</v>
      </c>
      <c r="CH21" s="381">
        <f>SUM(BV21:CG21)</f>
        <v>1727674863</v>
      </c>
      <c r="CI21" s="397">
        <f>CH21/$AV$22</f>
        <v>0.3207515264399125</v>
      </c>
      <c r="CJ21" s="397"/>
      <c r="CK21" s="394">
        <f t="shared" si="10"/>
        <v>1.7387240317115875</v>
      </c>
    </row>
    <row r="22" spans="2:89">
      <c r="B22" s="380" t="s">
        <v>109</v>
      </c>
      <c r="C22" s="380"/>
      <c r="D22" s="380"/>
      <c r="E22" s="381">
        <f>SUM(E9+E13+E17+E21)</f>
        <v>0</v>
      </c>
      <c r="F22" s="381">
        <f t="shared" ref="F22:Q22" si="16">SUM(F9+F13+F17+F21)</f>
        <v>0</v>
      </c>
      <c r="G22" s="381">
        <f t="shared" si="16"/>
        <v>0</v>
      </c>
      <c r="H22" s="381">
        <f t="shared" si="16"/>
        <v>0</v>
      </c>
      <c r="I22" s="381">
        <f t="shared" si="16"/>
        <v>0</v>
      </c>
      <c r="J22" s="381">
        <f t="shared" si="16"/>
        <v>0</v>
      </c>
      <c r="K22" s="381">
        <f t="shared" si="16"/>
        <v>0</v>
      </c>
      <c r="L22" s="381">
        <f t="shared" si="16"/>
        <v>0</v>
      </c>
      <c r="M22" s="381">
        <f t="shared" si="16"/>
        <v>0</v>
      </c>
      <c r="N22" s="381">
        <f t="shared" si="16"/>
        <v>0</v>
      </c>
      <c r="O22" s="381">
        <f t="shared" si="16"/>
        <v>0</v>
      </c>
      <c r="P22" s="381">
        <f t="shared" si="16"/>
        <v>0</v>
      </c>
      <c r="Q22" s="381">
        <f t="shared" si="16"/>
        <v>0</v>
      </c>
      <c r="R22" s="380"/>
      <c r="S22" s="380"/>
      <c r="T22" s="381">
        <f t="shared" ref="T22:AF22" si="17">SUM(T9+T13+T17+T21)</f>
        <v>0</v>
      </c>
      <c r="U22" s="381">
        <f t="shared" si="17"/>
        <v>0</v>
      </c>
      <c r="V22" s="381">
        <f t="shared" si="17"/>
        <v>0</v>
      </c>
      <c r="W22" s="381">
        <f t="shared" si="17"/>
        <v>6327577</v>
      </c>
      <c r="X22" s="381">
        <f t="shared" si="17"/>
        <v>107698380</v>
      </c>
      <c r="Y22" s="381">
        <f t="shared" si="17"/>
        <v>195315016</v>
      </c>
      <c r="Z22" s="381">
        <f t="shared" si="17"/>
        <v>192237076</v>
      </c>
      <c r="AA22" s="381">
        <f t="shared" si="17"/>
        <v>189235661</v>
      </c>
      <c r="AB22" s="381">
        <f t="shared" si="17"/>
        <v>190781070</v>
      </c>
      <c r="AC22" s="381">
        <f t="shared" si="17"/>
        <v>207362663</v>
      </c>
      <c r="AD22" s="381">
        <f t="shared" si="17"/>
        <v>232985004</v>
      </c>
      <c r="AE22" s="381">
        <f t="shared" si="17"/>
        <v>233889211</v>
      </c>
      <c r="AF22" s="381">
        <f t="shared" si="17"/>
        <v>1555831658</v>
      </c>
      <c r="AG22" s="380"/>
      <c r="AH22" s="380"/>
      <c r="AI22" s="394" t="e">
        <f>AF22/Q22</f>
        <v>#DIV/0!</v>
      </c>
      <c r="AJ22" s="381">
        <f t="shared" ref="AJ22:AV22" si="18">SUM(AJ9+AJ13+AJ17+AJ21)</f>
        <v>246735691</v>
      </c>
      <c r="AK22" s="381">
        <f t="shared" si="18"/>
        <v>230814223</v>
      </c>
      <c r="AL22" s="381">
        <f t="shared" si="18"/>
        <v>272340204</v>
      </c>
      <c r="AM22" s="381">
        <f t="shared" si="18"/>
        <v>328036450</v>
      </c>
      <c r="AN22" s="381">
        <f t="shared" si="18"/>
        <v>342090431</v>
      </c>
      <c r="AO22" s="381">
        <f t="shared" si="18"/>
        <v>347832304</v>
      </c>
      <c r="AP22" s="381">
        <f t="shared" si="18"/>
        <v>410184293</v>
      </c>
      <c r="AQ22" s="381">
        <f t="shared" si="18"/>
        <v>426952833</v>
      </c>
      <c r="AR22" s="381">
        <f t="shared" si="18"/>
        <v>507803311</v>
      </c>
      <c r="AS22" s="381">
        <f t="shared" si="18"/>
        <v>657718423</v>
      </c>
      <c r="AT22" s="381">
        <f t="shared" si="18"/>
        <v>718659621</v>
      </c>
      <c r="AU22" s="381">
        <f t="shared" si="18"/>
        <v>897166249</v>
      </c>
      <c r="AV22" s="381">
        <f t="shared" si="18"/>
        <v>5386334033</v>
      </c>
      <c r="AW22" s="380"/>
      <c r="AX22" s="380"/>
      <c r="AY22" s="380"/>
      <c r="AZ22" s="380"/>
      <c r="BA22" s="406">
        <f>SUM(BA9:BA21)</f>
        <v>1</v>
      </c>
      <c r="BB22" s="406">
        <f>SUM(BB9:BB21)</f>
        <v>0.245</v>
      </c>
      <c r="BC22" s="406"/>
      <c r="BD22" s="381">
        <f t="shared" ref="BD22:BO22" si="19">$BP$22*AJ3</f>
        <v>2290386090.8768859</v>
      </c>
      <c r="BE22" s="381">
        <f t="shared" si="19"/>
        <v>2142591060.8763762</v>
      </c>
      <c r="BF22" s="381">
        <f t="shared" si="19"/>
        <v>2528066420.7926593</v>
      </c>
      <c r="BG22" s="381">
        <f t="shared" si="19"/>
        <v>3045080828.539844</v>
      </c>
      <c r="BH22" s="381">
        <f t="shared" si="19"/>
        <v>3175540440.9023218</v>
      </c>
      <c r="BI22" s="381">
        <f t="shared" si="19"/>
        <v>3228840820.7601404</v>
      </c>
      <c r="BJ22" s="381">
        <f t="shared" si="19"/>
        <v>3807638836.4234223</v>
      </c>
      <c r="BK22" s="381">
        <f t="shared" si="19"/>
        <v>3963297025.2515345</v>
      </c>
      <c r="BL22" s="381">
        <f t="shared" si="19"/>
        <v>4713811916.3134346</v>
      </c>
      <c r="BM22" s="381">
        <f t="shared" si="19"/>
        <v>6105436638.0771389</v>
      </c>
      <c r="BN22" s="381">
        <f t="shared" si="19"/>
        <v>6671138631.5539341</v>
      </c>
      <c r="BO22" s="381">
        <f t="shared" si="19"/>
        <v>8328171289.632308</v>
      </c>
      <c r="BP22" s="381">
        <v>50000000000</v>
      </c>
      <c r="BQ22" s="391" t="b">
        <f>SUM(BP9,BP13,BP17,BP21)=BP22</f>
        <v>0</v>
      </c>
      <c r="BR22" s="385"/>
      <c r="BS22" s="384"/>
      <c r="BT22" s="407">
        <f>BP22/AV22</f>
        <v>9.2827514397861712</v>
      </c>
      <c r="BV22" s="381">
        <f t="shared" ref="BV22:CH22" si="20">SUM(BV9+BV13+BV17+BV21)</f>
        <v>838232595</v>
      </c>
      <c r="BW22" s="381">
        <f t="shared" si="20"/>
        <v>741057301</v>
      </c>
      <c r="BX22" s="381">
        <f t="shared" si="20"/>
        <v>833208895</v>
      </c>
      <c r="BY22" s="381">
        <f t="shared" si="20"/>
        <v>1052535055</v>
      </c>
      <c r="BZ22" s="381">
        <f t="shared" si="20"/>
        <v>1197595391</v>
      </c>
      <c r="CA22" s="381">
        <f t="shared" si="20"/>
        <v>1077536934</v>
      </c>
      <c r="CB22" s="381">
        <f t="shared" si="20"/>
        <v>1122340920</v>
      </c>
      <c r="CC22" s="381">
        <f t="shared" si="20"/>
        <v>1002841816</v>
      </c>
      <c r="CD22" s="381">
        <f t="shared" si="20"/>
        <v>0</v>
      </c>
      <c r="CE22" s="381">
        <f t="shared" si="20"/>
        <v>0</v>
      </c>
      <c r="CF22" s="381">
        <f t="shared" si="20"/>
        <v>0</v>
      </c>
      <c r="CG22" s="381">
        <f t="shared" si="20"/>
        <v>0</v>
      </c>
      <c r="CH22" s="381">
        <f t="shared" si="20"/>
        <v>7865348907</v>
      </c>
      <c r="CI22" s="380"/>
      <c r="CJ22" s="380"/>
      <c r="CK22" s="380"/>
    </row>
    <row r="23" spans="2:89">
      <c r="C23" s="380"/>
      <c r="D23" s="380"/>
      <c r="E23" s="380"/>
      <c r="F23" s="380"/>
      <c r="G23" s="380"/>
      <c r="H23" s="380"/>
      <c r="I23" s="380"/>
      <c r="J23" s="380"/>
      <c r="K23" s="380"/>
      <c r="L23" s="380"/>
      <c r="M23" s="380"/>
      <c r="N23" s="380"/>
      <c r="O23" s="380"/>
      <c r="P23" s="380"/>
      <c r="Q23" s="380"/>
      <c r="R23" s="380"/>
      <c r="S23" s="380"/>
      <c r="T23" s="381"/>
      <c r="U23" s="381"/>
      <c r="V23" s="381"/>
      <c r="W23" s="381"/>
      <c r="X23" s="381"/>
      <c r="Y23" s="381"/>
      <c r="Z23" s="381"/>
      <c r="AA23" s="381"/>
      <c r="AB23" s="381"/>
      <c r="AC23" s="381"/>
      <c r="AD23" s="381"/>
      <c r="AE23" s="399">
        <f>AE22/AD22</f>
        <v>1.0038809665192014</v>
      </c>
      <c r="AF23" s="381"/>
      <c r="AG23" s="380"/>
      <c r="AH23" s="380"/>
      <c r="AI23" s="380"/>
      <c r="AJ23" s="380"/>
      <c r="AK23" s="380"/>
      <c r="AL23" s="380"/>
      <c r="AM23" s="380"/>
      <c r="AN23" s="380"/>
      <c r="AO23" s="380"/>
      <c r="AP23" s="380"/>
      <c r="AQ23" s="380"/>
      <c r="AR23" s="380"/>
      <c r="AS23" s="380"/>
      <c r="AT23" s="380"/>
      <c r="AU23" s="380"/>
      <c r="AV23" s="380"/>
      <c r="AW23" s="380"/>
      <c r="AX23" s="380"/>
      <c r="AY23" s="380"/>
      <c r="AZ23" s="380"/>
      <c r="BA23" s="380"/>
      <c r="BB23" s="398"/>
      <c r="BC23" s="398"/>
      <c r="BD23" s="384"/>
      <c r="BE23" s="384"/>
      <c r="BF23" s="384"/>
      <c r="BG23" s="384"/>
      <c r="BH23" s="384"/>
      <c r="BI23" s="384"/>
      <c r="BJ23" s="384"/>
      <c r="BK23" s="384"/>
      <c r="BL23" s="384"/>
      <c r="BM23" s="384"/>
      <c r="BN23" s="384"/>
      <c r="BO23" s="384"/>
      <c r="BP23" s="384">
        <f>BP9+BP13+BP17+BP21</f>
        <v>12250000000.000002</v>
      </c>
      <c r="BQ23" s="385"/>
      <c r="BR23" s="385"/>
      <c r="BS23" s="384"/>
      <c r="BT23" s="407">
        <f>BP23/AV22</f>
        <v>2.2742741027476123</v>
      </c>
      <c r="BV23" s="380"/>
      <c r="BW23" s="380"/>
      <c r="BX23" s="380"/>
      <c r="BY23" s="380"/>
      <c r="BZ23" s="380"/>
      <c r="CA23" s="380"/>
      <c r="CB23" s="380"/>
      <c r="CC23" s="380"/>
      <c r="CD23" s="380"/>
      <c r="CE23" s="380"/>
      <c r="CF23" s="380"/>
      <c r="CG23" s="380"/>
      <c r="CH23" s="380"/>
      <c r="CI23" s="380"/>
      <c r="CJ23" s="380"/>
      <c r="CK23" s="380"/>
    </row>
    <row r="24" spans="2:89">
      <c r="B24" s="380" t="s">
        <v>9</v>
      </c>
      <c r="C24" s="380"/>
      <c r="D24" s="380"/>
      <c r="E24" s="380"/>
      <c r="F24" s="380"/>
      <c r="G24" s="380"/>
      <c r="H24" s="380"/>
      <c r="I24" s="380"/>
      <c r="J24" s="380"/>
      <c r="K24" s="380"/>
      <c r="L24" s="380"/>
      <c r="M24" s="380"/>
      <c r="N24" s="380"/>
      <c r="O24" s="380"/>
      <c r="P24" s="380"/>
      <c r="Q24" s="380"/>
      <c r="R24" s="380"/>
      <c r="S24" s="409" t="e">
        <f>SUM(Q28,Q32,Q36,Q40)/Q42</f>
        <v>#DIV/0!</v>
      </c>
      <c r="T24" s="381"/>
      <c r="U24" s="381"/>
      <c r="V24" s="381"/>
      <c r="W24" s="381"/>
      <c r="X24" s="381"/>
      <c r="Y24" s="381"/>
      <c r="Z24" s="381"/>
      <c r="AA24" s="381"/>
      <c r="AB24" s="381"/>
      <c r="AC24" s="381"/>
      <c r="AD24" s="381"/>
      <c r="AE24" s="381"/>
      <c r="AF24" s="381"/>
      <c r="AG24" s="380"/>
      <c r="AH24" s="409">
        <f>SUM(AF28,AF32,AF36,AF40)/AF42</f>
        <v>0.17938081672657463</v>
      </c>
      <c r="AI24" s="380"/>
      <c r="AJ24" s="380"/>
      <c r="AK24" s="380"/>
      <c r="AL24" s="380"/>
      <c r="AM24" s="380"/>
      <c r="AN24" s="380"/>
      <c r="AO24" s="380"/>
      <c r="AP24" s="380"/>
      <c r="AQ24" s="380"/>
      <c r="AR24" s="380"/>
      <c r="AS24" s="380"/>
      <c r="AT24" s="380"/>
      <c r="AU24" s="380"/>
      <c r="AV24" s="380"/>
      <c r="AW24" s="380"/>
      <c r="AX24" s="409">
        <f>SUM(AV28,AV32,AV36,AV40)/AV42</f>
        <v>0.28983951862410307</v>
      </c>
      <c r="AY24" s="380"/>
      <c r="AZ24" s="380"/>
      <c r="BA24" s="380"/>
      <c r="BB24" s="398"/>
      <c r="BC24" s="398"/>
      <c r="BD24" s="384"/>
      <c r="BE24" s="384"/>
      <c r="BF24" s="384"/>
      <c r="BG24" s="384"/>
      <c r="BH24" s="384"/>
      <c r="BI24" s="384"/>
      <c r="BJ24" s="384"/>
      <c r="BK24" s="384"/>
      <c r="BL24" s="384"/>
      <c r="BM24" s="384"/>
      <c r="BN24" s="384"/>
      <c r="BO24" s="384"/>
      <c r="BP24" s="384"/>
      <c r="BQ24" s="385"/>
      <c r="BR24" s="409">
        <f>SUM(BP28,BP32,BP36,BP40)/BP42</f>
        <v>0.27055443982921096</v>
      </c>
      <c r="BS24" s="384"/>
      <c r="BV24" s="380"/>
      <c r="BW24" s="380"/>
      <c r="BX24" s="380"/>
      <c r="BY24" s="380"/>
      <c r="BZ24" s="380"/>
      <c r="CA24" s="380"/>
      <c r="CB24" s="380"/>
      <c r="CC24" s="380"/>
      <c r="CD24" s="380"/>
      <c r="CE24" s="380"/>
      <c r="CF24" s="380"/>
      <c r="CG24" s="380"/>
      <c r="CH24" s="380"/>
      <c r="CI24" s="380"/>
      <c r="CJ24" s="409">
        <f>SUM(CH28,CH32,CH36,CH40)/CH42</f>
        <v>0.44802944361635244</v>
      </c>
      <c r="CK24" s="380"/>
    </row>
    <row r="25" spans="2:89">
      <c r="B25" s="380"/>
      <c r="C25" s="380"/>
      <c r="D25" s="380"/>
      <c r="E25" s="380"/>
      <c r="F25" s="380"/>
      <c r="G25" s="380"/>
      <c r="H25" s="380"/>
      <c r="I25" s="380"/>
      <c r="J25" s="380"/>
      <c r="K25" s="380"/>
      <c r="L25" s="380"/>
      <c r="M25" s="380"/>
      <c r="N25" s="380"/>
      <c r="O25" s="380"/>
      <c r="P25" s="380"/>
      <c r="Q25" s="380"/>
      <c r="R25" s="380"/>
      <c r="S25" s="380"/>
      <c r="T25" s="381"/>
      <c r="U25" s="381"/>
      <c r="V25" s="381"/>
      <c r="W25" s="381"/>
      <c r="X25" s="381"/>
      <c r="Y25" s="381"/>
      <c r="Z25" s="381"/>
      <c r="AA25" s="381"/>
      <c r="AB25" s="381"/>
      <c r="AC25" s="381"/>
      <c r="AD25" s="381"/>
      <c r="AE25" s="381"/>
      <c r="AF25" s="381"/>
      <c r="AG25" s="380"/>
      <c r="AH25" s="380"/>
      <c r="AI25" s="380"/>
      <c r="AJ25" s="380"/>
      <c r="AK25" s="380"/>
      <c r="AL25" s="380"/>
      <c r="AM25" s="380"/>
      <c r="AN25" s="380"/>
      <c r="AO25" s="380"/>
      <c r="AP25" s="380"/>
      <c r="AQ25" s="380"/>
      <c r="AR25" s="380"/>
      <c r="AS25" s="380"/>
      <c r="AT25" s="380"/>
      <c r="AU25" s="380"/>
      <c r="AV25" s="373"/>
      <c r="AW25" s="373"/>
      <c r="AX25" s="380"/>
      <c r="AY25" s="380"/>
      <c r="AZ25" s="380"/>
      <c r="BA25" s="380"/>
      <c r="BB25" s="398"/>
      <c r="BC25" s="398"/>
      <c r="BD25" s="384"/>
      <c r="BE25" s="384"/>
      <c r="BF25" s="384"/>
      <c r="BG25" s="384"/>
      <c r="BH25" s="384"/>
      <c r="BI25" s="384"/>
      <c r="BJ25" s="384"/>
      <c r="BK25" s="384"/>
      <c r="BL25" s="384"/>
      <c r="BM25" s="384"/>
      <c r="BN25" s="384"/>
      <c r="BO25" s="384"/>
      <c r="BP25" s="384"/>
      <c r="BQ25" s="385"/>
      <c r="BR25" s="385"/>
      <c r="BS25" s="384"/>
      <c r="BV25" s="380"/>
      <c r="BW25" s="380"/>
      <c r="BX25" s="380"/>
      <c r="BY25" s="380"/>
      <c r="BZ25" s="380"/>
      <c r="CA25" s="380"/>
      <c r="CB25" s="380"/>
      <c r="CC25" s="380"/>
      <c r="CD25" s="380"/>
      <c r="CE25" s="380"/>
      <c r="CF25" s="380"/>
      <c r="CG25" s="380"/>
      <c r="CH25" s="373"/>
      <c r="CI25" s="373"/>
      <c r="CJ25" s="380"/>
      <c r="CK25" s="380"/>
    </row>
    <row r="26" spans="2:89" hidden="1">
      <c r="E26" s="391"/>
      <c r="F26" s="380"/>
      <c r="G26" s="380"/>
      <c r="H26" s="380"/>
      <c r="I26" s="380"/>
      <c r="J26" s="380"/>
      <c r="K26" s="380"/>
      <c r="L26" s="380"/>
      <c r="M26" s="380"/>
      <c r="N26" s="380"/>
      <c r="O26" s="380"/>
      <c r="P26" s="380"/>
      <c r="Q26" s="380"/>
      <c r="R26" s="380"/>
      <c r="S26" s="380"/>
      <c r="T26" s="391"/>
      <c r="U26" s="380"/>
      <c r="V26" s="380"/>
      <c r="W26" s="380"/>
      <c r="X26" s="380"/>
      <c r="Y26" s="380"/>
      <c r="Z26" s="380"/>
      <c r="AA26" s="380"/>
      <c r="AB26" s="380"/>
      <c r="AC26" s="380"/>
      <c r="AD26" s="380"/>
      <c r="AE26" s="380"/>
      <c r="AF26" s="380"/>
      <c r="AG26" s="380"/>
      <c r="AH26" s="380"/>
      <c r="AI26" s="380"/>
      <c r="AJ26" s="391"/>
      <c r="AK26" s="380"/>
      <c r="AL26" s="380"/>
      <c r="AM26" s="380"/>
      <c r="AN26" s="380"/>
      <c r="AO26" s="380"/>
      <c r="AP26" s="380"/>
      <c r="AQ26" s="380"/>
      <c r="AR26" s="380"/>
      <c r="AS26" s="380"/>
      <c r="AT26" s="380"/>
      <c r="AU26" s="380"/>
      <c r="AX26" s="380"/>
      <c r="AY26" s="380"/>
      <c r="AZ26" s="380"/>
      <c r="BA26" s="380"/>
      <c r="BB26" s="398"/>
      <c r="BC26" s="398"/>
      <c r="BD26" s="384"/>
      <c r="BE26" s="384"/>
      <c r="BF26" s="384"/>
      <c r="BG26" s="384"/>
      <c r="BH26" s="384"/>
      <c r="BI26" s="384"/>
      <c r="BJ26" s="384"/>
      <c r="BK26" s="384"/>
      <c r="BL26" s="384"/>
      <c r="BM26" s="384"/>
      <c r="BN26" s="384"/>
      <c r="BO26" s="384"/>
      <c r="BP26" s="384"/>
      <c r="BQ26" s="385"/>
      <c r="BR26" s="385"/>
      <c r="BS26" s="384"/>
      <c r="BV26" s="391"/>
      <c r="BW26" s="380"/>
      <c r="BX26" s="380"/>
      <c r="BY26" s="380"/>
      <c r="BZ26" s="380"/>
      <c r="CA26" s="380"/>
      <c r="CB26" s="380"/>
      <c r="CC26" s="380"/>
      <c r="CD26" s="380"/>
      <c r="CE26" s="380"/>
      <c r="CF26" s="380"/>
      <c r="CG26" s="380"/>
      <c r="CJ26" s="380"/>
      <c r="CK26" s="380"/>
    </row>
    <row r="27" spans="2:89" hidden="1">
      <c r="B27" s="390"/>
      <c r="C27" s="390"/>
      <c r="D27" s="390"/>
      <c r="E27" s="410"/>
      <c r="F27" s="410"/>
      <c r="G27" s="410"/>
      <c r="H27" s="410"/>
      <c r="I27" s="410"/>
      <c r="J27" s="410"/>
      <c r="K27" s="410"/>
      <c r="L27" s="410"/>
      <c r="M27" s="410"/>
      <c r="N27" s="410"/>
      <c r="O27" s="410"/>
      <c r="P27" s="410"/>
      <c r="Q27" s="410"/>
      <c r="R27" s="393"/>
      <c r="S27" s="394"/>
      <c r="T27" s="410"/>
      <c r="U27" s="410"/>
      <c r="V27" s="410"/>
      <c r="W27" s="410"/>
      <c r="X27" s="410"/>
      <c r="Y27" s="410"/>
      <c r="Z27" s="410"/>
      <c r="AA27" s="410"/>
      <c r="AB27" s="410"/>
      <c r="AC27" s="410"/>
      <c r="AD27" s="410"/>
      <c r="AE27" s="410"/>
      <c r="AF27" s="410"/>
      <c r="AG27" s="393"/>
      <c r="AH27" s="394"/>
      <c r="AI27" s="394"/>
      <c r="AJ27" s="410"/>
      <c r="AK27" s="410"/>
      <c r="AL27" s="410"/>
      <c r="AM27" s="410"/>
      <c r="AN27" s="410"/>
      <c r="AO27" s="410"/>
      <c r="AP27" s="410"/>
      <c r="AQ27" s="410"/>
      <c r="AR27" s="410"/>
      <c r="AS27" s="410"/>
      <c r="AT27" s="410"/>
      <c r="AU27" s="410"/>
      <c r="AV27" s="410"/>
      <c r="AW27" s="393"/>
      <c r="AX27" s="394"/>
      <c r="AY27" s="394"/>
      <c r="AZ27" s="380"/>
      <c r="BA27" s="380"/>
      <c r="BB27" s="398"/>
      <c r="BC27" s="395"/>
      <c r="BD27" s="411"/>
      <c r="BE27" s="396"/>
      <c r="BF27" s="396"/>
      <c r="BG27" s="396"/>
      <c r="BH27" s="396"/>
      <c r="BI27" s="396"/>
      <c r="BJ27" s="396"/>
      <c r="BK27" s="396"/>
      <c r="BL27" s="396"/>
      <c r="BM27" s="396"/>
      <c r="BN27" s="396"/>
      <c r="BO27" s="396"/>
      <c r="BP27" s="410"/>
      <c r="BQ27" s="393"/>
      <c r="BR27" s="394"/>
      <c r="BS27" s="394"/>
      <c r="BV27" s="410"/>
      <c r="BW27" s="410"/>
      <c r="BX27" s="410"/>
      <c r="BY27" s="410"/>
      <c r="BZ27" s="410"/>
      <c r="CA27" s="410"/>
      <c r="CB27" s="410"/>
      <c r="CC27" s="410"/>
      <c r="CD27" s="410"/>
      <c r="CE27" s="410"/>
      <c r="CF27" s="410"/>
      <c r="CG27" s="410"/>
      <c r="CH27" s="410"/>
      <c r="CI27" s="393"/>
      <c r="CJ27" s="394"/>
      <c r="CK27" s="394"/>
    </row>
    <row r="28" spans="2:89" hidden="1">
      <c r="B28" s="390"/>
      <c r="C28" s="390"/>
      <c r="D28" s="390"/>
      <c r="E28" s="410"/>
      <c r="F28" s="410"/>
      <c r="G28" s="410"/>
      <c r="H28" s="410"/>
      <c r="I28" s="410"/>
      <c r="J28" s="410"/>
      <c r="K28" s="410"/>
      <c r="L28" s="410"/>
      <c r="M28" s="410"/>
      <c r="N28" s="410"/>
      <c r="O28" s="410"/>
      <c r="P28" s="410"/>
      <c r="Q28" s="410"/>
      <c r="R28" s="393"/>
      <c r="S28" s="394"/>
      <c r="T28" s="410"/>
      <c r="U28" s="410"/>
      <c r="V28" s="410"/>
      <c r="W28" s="410"/>
      <c r="X28" s="410"/>
      <c r="Y28" s="410"/>
      <c r="Z28" s="410"/>
      <c r="AA28" s="410"/>
      <c r="AB28" s="410"/>
      <c r="AC28" s="410"/>
      <c r="AD28" s="410"/>
      <c r="AE28" s="410"/>
      <c r="AF28" s="410"/>
      <c r="AG28" s="393"/>
      <c r="AH28" s="394"/>
      <c r="AI28" s="394"/>
      <c r="AJ28" s="410"/>
      <c r="AK28" s="410"/>
      <c r="AL28" s="410"/>
      <c r="AM28" s="410"/>
      <c r="AN28" s="410"/>
      <c r="AO28" s="410"/>
      <c r="AP28" s="410"/>
      <c r="AQ28" s="410"/>
      <c r="AR28" s="410"/>
      <c r="AS28" s="410"/>
      <c r="AT28" s="410"/>
      <c r="AU28" s="410"/>
      <c r="AV28" s="410"/>
      <c r="AW28" s="393"/>
      <c r="AX28" s="394"/>
      <c r="AY28" s="394"/>
      <c r="AZ28" s="380"/>
      <c r="BA28" s="380"/>
      <c r="BB28" s="398"/>
      <c r="BC28" s="395"/>
      <c r="BD28" s="411"/>
      <c r="BE28" s="396"/>
      <c r="BF28" s="396"/>
      <c r="BG28" s="396"/>
      <c r="BH28" s="396"/>
      <c r="BI28" s="396"/>
      <c r="BJ28" s="396"/>
      <c r="BK28" s="396"/>
      <c r="BL28" s="396"/>
      <c r="BM28" s="396"/>
      <c r="BN28" s="396"/>
      <c r="BO28" s="396"/>
      <c r="BP28" s="410"/>
      <c r="BQ28" s="393"/>
      <c r="BR28" s="394"/>
      <c r="BS28" s="394"/>
      <c r="BV28" s="410"/>
      <c r="BW28" s="410"/>
      <c r="BX28" s="410"/>
      <c r="BY28" s="410"/>
      <c r="BZ28" s="410"/>
      <c r="CA28" s="410"/>
      <c r="CB28" s="410"/>
      <c r="CC28" s="410"/>
      <c r="CD28" s="410"/>
      <c r="CE28" s="410"/>
      <c r="CF28" s="410"/>
      <c r="CG28" s="410"/>
      <c r="CH28" s="410"/>
      <c r="CI28" s="393"/>
      <c r="CJ28" s="394"/>
      <c r="CK28" s="394"/>
    </row>
    <row r="29" spans="2:89" hidden="1">
      <c r="B29" s="380"/>
      <c r="C29" s="380"/>
      <c r="D29" s="380"/>
      <c r="E29" s="412"/>
      <c r="F29" s="412"/>
      <c r="G29" s="412"/>
      <c r="H29" s="412"/>
      <c r="I29" s="412"/>
      <c r="J29" s="412"/>
      <c r="K29" s="412"/>
      <c r="L29" s="412"/>
      <c r="M29" s="412"/>
      <c r="N29" s="412"/>
      <c r="O29" s="412"/>
      <c r="P29" s="412"/>
      <c r="Q29" s="412"/>
      <c r="R29" s="397"/>
      <c r="S29" s="380"/>
      <c r="T29" s="412"/>
      <c r="U29" s="412"/>
      <c r="V29" s="412"/>
      <c r="W29" s="412"/>
      <c r="X29" s="412"/>
      <c r="Y29" s="412"/>
      <c r="Z29" s="412"/>
      <c r="AA29" s="412"/>
      <c r="AB29" s="412"/>
      <c r="AC29" s="412"/>
      <c r="AD29" s="412"/>
      <c r="AE29" s="412"/>
      <c r="AF29" s="412"/>
      <c r="AG29" s="397"/>
      <c r="AH29" s="380"/>
      <c r="AI29" s="394"/>
      <c r="AJ29" s="412"/>
      <c r="AK29" s="412"/>
      <c r="AL29" s="412"/>
      <c r="AM29" s="412"/>
      <c r="AN29" s="412"/>
      <c r="AO29" s="412"/>
      <c r="AP29" s="412"/>
      <c r="AQ29" s="412"/>
      <c r="AR29" s="412"/>
      <c r="AS29" s="412"/>
      <c r="AT29" s="412"/>
      <c r="AU29" s="412"/>
      <c r="AV29" s="412"/>
      <c r="AW29" s="397"/>
      <c r="AX29" s="380"/>
      <c r="AY29" s="394"/>
      <c r="AZ29" s="380"/>
      <c r="BA29" s="397"/>
      <c r="BB29" s="398"/>
      <c r="BC29" s="398"/>
      <c r="BD29" s="413"/>
      <c r="BE29" s="413"/>
      <c r="BF29" s="413"/>
      <c r="BG29" s="413"/>
      <c r="BH29" s="413"/>
      <c r="BI29" s="413"/>
      <c r="BJ29" s="413"/>
      <c r="BK29" s="413"/>
      <c r="BL29" s="413"/>
      <c r="BM29" s="413"/>
      <c r="BN29" s="413"/>
      <c r="BO29" s="413"/>
      <c r="BP29" s="412"/>
      <c r="BQ29" s="397"/>
      <c r="BR29" s="380"/>
      <c r="BS29" s="394"/>
      <c r="BV29" s="412"/>
      <c r="BW29" s="412"/>
      <c r="BX29" s="412"/>
      <c r="BY29" s="412"/>
      <c r="BZ29" s="412"/>
      <c r="CA29" s="412"/>
      <c r="CB29" s="412"/>
      <c r="CC29" s="412"/>
      <c r="CD29" s="412"/>
      <c r="CE29" s="412"/>
      <c r="CF29" s="412"/>
      <c r="CG29" s="412"/>
      <c r="CH29" s="412"/>
      <c r="CI29" s="397"/>
      <c r="CJ29" s="380"/>
      <c r="CK29" s="394"/>
    </row>
    <row r="30" spans="2:89" hidden="1">
      <c r="B30" s="380"/>
      <c r="D30" s="380"/>
      <c r="E30" s="412"/>
      <c r="F30" s="412"/>
      <c r="G30" s="412"/>
      <c r="H30" s="412"/>
      <c r="I30" s="412"/>
      <c r="J30" s="412"/>
      <c r="K30" s="412"/>
      <c r="L30" s="412"/>
      <c r="M30" s="412"/>
      <c r="N30" s="412"/>
      <c r="O30" s="412"/>
      <c r="P30" s="412"/>
      <c r="Q30" s="412"/>
      <c r="R30" s="397"/>
      <c r="S30" s="380"/>
      <c r="T30" s="412"/>
      <c r="U30" s="412"/>
      <c r="V30" s="412"/>
      <c r="W30" s="412"/>
      <c r="X30" s="412"/>
      <c r="Y30" s="412"/>
      <c r="Z30" s="412"/>
      <c r="AA30" s="412"/>
      <c r="AB30" s="412"/>
      <c r="AC30" s="412"/>
      <c r="AD30" s="397"/>
      <c r="AE30" s="397"/>
      <c r="AF30" s="412"/>
      <c r="AG30" s="397"/>
      <c r="AH30" s="380"/>
      <c r="AI30" s="394"/>
      <c r="AJ30" s="412"/>
      <c r="AK30" s="412"/>
      <c r="AL30" s="412"/>
      <c r="AM30" s="412"/>
      <c r="AN30" s="412"/>
      <c r="AO30" s="412"/>
      <c r="AP30" s="412"/>
      <c r="AQ30" s="412"/>
      <c r="AR30" s="414"/>
      <c r="AS30" s="414"/>
      <c r="AT30" s="414"/>
      <c r="AU30" s="414"/>
      <c r="AV30" s="412"/>
      <c r="AW30" s="397"/>
      <c r="AX30" s="380"/>
      <c r="AY30" s="394"/>
      <c r="AZ30" s="380"/>
      <c r="BA30" s="397"/>
      <c r="BB30" s="398"/>
      <c r="BC30" s="398"/>
      <c r="BD30" s="413"/>
      <c r="BE30" s="413"/>
      <c r="BF30" s="413"/>
      <c r="BG30" s="413"/>
      <c r="BH30" s="413"/>
      <c r="BI30" s="413"/>
      <c r="BJ30" s="413"/>
      <c r="BK30" s="413"/>
      <c r="BL30" s="413"/>
      <c r="BM30" s="413"/>
      <c r="BN30" s="413"/>
      <c r="BO30" s="413"/>
      <c r="BP30" s="412"/>
      <c r="BQ30" s="397"/>
      <c r="BR30" s="380"/>
      <c r="BS30" s="394"/>
      <c r="BV30" s="412"/>
      <c r="BW30" s="412"/>
      <c r="BX30" s="412"/>
      <c r="BY30" s="412"/>
      <c r="BZ30" s="412"/>
      <c r="CA30" s="412"/>
      <c r="CB30" s="412"/>
      <c r="CC30" s="412"/>
      <c r="CD30" s="414"/>
      <c r="CE30" s="414"/>
      <c r="CF30" s="414"/>
      <c r="CG30" s="414"/>
      <c r="CH30" s="412"/>
      <c r="CI30" s="397"/>
      <c r="CJ30" s="380"/>
      <c r="CK30" s="394"/>
    </row>
    <row r="31" spans="2:89" hidden="1">
      <c r="B31" s="390"/>
      <c r="C31" s="390"/>
      <c r="D31" s="390"/>
      <c r="E31" s="410"/>
      <c r="F31" s="410"/>
      <c r="G31" s="410"/>
      <c r="H31" s="410"/>
      <c r="I31" s="410"/>
      <c r="J31" s="410"/>
      <c r="K31" s="410"/>
      <c r="L31" s="410"/>
      <c r="M31" s="410"/>
      <c r="N31" s="410"/>
      <c r="O31" s="410"/>
      <c r="P31" s="410"/>
      <c r="Q31" s="410"/>
      <c r="R31" s="393"/>
      <c r="S31" s="394"/>
      <c r="T31" s="410"/>
      <c r="U31" s="410"/>
      <c r="V31" s="410"/>
      <c r="W31" s="410"/>
      <c r="X31" s="410"/>
      <c r="Y31" s="410"/>
      <c r="Z31" s="410"/>
      <c r="AA31" s="410"/>
      <c r="AB31" s="410"/>
      <c r="AC31" s="410"/>
      <c r="AD31" s="410"/>
      <c r="AE31" s="410"/>
      <c r="AF31" s="410"/>
      <c r="AG31" s="393"/>
      <c r="AH31" s="394"/>
      <c r="AI31" s="394"/>
      <c r="AJ31" s="410"/>
      <c r="AK31" s="410"/>
      <c r="AL31" s="410"/>
      <c r="AM31" s="410"/>
      <c r="AN31" s="410"/>
      <c r="AO31" s="410"/>
      <c r="AP31" s="410"/>
      <c r="AQ31" s="410"/>
      <c r="AR31" s="410"/>
      <c r="AS31" s="410"/>
      <c r="AT31" s="410"/>
      <c r="AU31" s="410"/>
      <c r="AV31" s="410"/>
      <c r="AW31" s="393"/>
      <c r="AX31" s="394"/>
      <c r="AY31" s="394"/>
      <c r="AZ31" s="380"/>
      <c r="BA31" s="393"/>
      <c r="BB31" s="398"/>
      <c r="BC31" s="395"/>
      <c r="BD31" s="411"/>
      <c r="BE31" s="411"/>
      <c r="BF31" s="411"/>
      <c r="BG31" s="411"/>
      <c r="BH31" s="411"/>
      <c r="BI31" s="411"/>
      <c r="BJ31" s="411"/>
      <c r="BK31" s="411"/>
      <c r="BL31" s="411"/>
      <c r="BM31" s="411"/>
      <c r="BN31" s="411"/>
      <c r="BO31" s="411"/>
      <c r="BP31" s="410"/>
      <c r="BQ31" s="393"/>
      <c r="BR31" s="394"/>
      <c r="BS31" s="394"/>
      <c r="BV31" s="410"/>
      <c r="BW31" s="410"/>
      <c r="BX31" s="410"/>
      <c r="BY31" s="410"/>
      <c r="BZ31" s="410"/>
      <c r="CA31" s="410"/>
      <c r="CB31" s="410"/>
      <c r="CC31" s="410"/>
      <c r="CD31" s="410"/>
      <c r="CE31" s="410"/>
      <c r="CF31" s="410"/>
      <c r="CG31" s="410"/>
      <c r="CH31" s="410"/>
      <c r="CI31" s="393"/>
      <c r="CJ31" s="394"/>
      <c r="CK31" s="394"/>
    </row>
    <row r="32" spans="2:89" hidden="1">
      <c r="B32" s="390"/>
      <c r="C32" s="390"/>
      <c r="D32" s="390"/>
      <c r="E32" s="410"/>
      <c r="F32" s="410"/>
      <c r="G32" s="410"/>
      <c r="H32" s="410"/>
      <c r="I32" s="410"/>
      <c r="J32" s="410"/>
      <c r="K32" s="410"/>
      <c r="L32" s="410"/>
      <c r="M32" s="410"/>
      <c r="N32" s="410"/>
      <c r="O32" s="410"/>
      <c r="P32" s="410"/>
      <c r="Q32" s="410"/>
      <c r="R32" s="393"/>
      <c r="S32" s="394"/>
      <c r="T32" s="410"/>
      <c r="U32" s="410"/>
      <c r="V32" s="410"/>
      <c r="W32" s="410"/>
      <c r="X32" s="410"/>
      <c r="Y32" s="410"/>
      <c r="Z32" s="410"/>
      <c r="AA32" s="410"/>
      <c r="AB32" s="410"/>
      <c r="AC32" s="410"/>
      <c r="AD32" s="410"/>
      <c r="AE32" s="410"/>
      <c r="AF32" s="410"/>
      <c r="AG32" s="393"/>
      <c r="AH32" s="394"/>
      <c r="AI32" s="394"/>
      <c r="AJ32" s="410"/>
      <c r="AK32" s="410"/>
      <c r="AL32" s="410"/>
      <c r="AM32" s="410"/>
      <c r="AN32" s="410"/>
      <c r="AO32" s="410"/>
      <c r="AP32" s="410"/>
      <c r="AQ32" s="410"/>
      <c r="AR32" s="410"/>
      <c r="AS32" s="410"/>
      <c r="AT32" s="410"/>
      <c r="AU32" s="410"/>
      <c r="AV32" s="410"/>
      <c r="AW32" s="393"/>
      <c r="AX32" s="394"/>
      <c r="AY32" s="394"/>
      <c r="AZ32" s="380"/>
      <c r="BA32" s="393"/>
      <c r="BB32" s="398"/>
      <c r="BC32" s="395"/>
      <c r="BD32" s="411"/>
      <c r="BE32" s="411"/>
      <c r="BF32" s="411"/>
      <c r="BG32" s="411"/>
      <c r="BH32" s="411"/>
      <c r="BI32" s="411"/>
      <c r="BJ32" s="411"/>
      <c r="BK32" s="411"/>
      <c r="BL32" s="411"/>
      <c r="BM32" s="411"/>
      <c r="BN32" s="411"/>
      <c r="BO32" s="411"/>
      <c r="BP32" s="410"/>
      <c r="BQ32" s="393"/>
      <c r="BR32" s="394"/>
      <c r="BS32" s="394"/>
      <c r="BV32" s="410"/>
      <c r="BW32" s="410"/>
      <c r="BX32" s="410"/>
      <c r="BY32" s="410"/>
      <c r="BZ32" s="410"/>
      <c r="CA32" s="410"/>
      <c r="CB32" s="410"/>
      <c r="CC32" s="410"/>
      <c r="CD32" s="410"/>
      <c r="CE32" s="410"/>
      <c r="CF32" s="410"/>
      <c r="CG32" s="410"/>
      <c r="CH32" s="410"/>
      <c r="CI32" s="393"/>
      <c r="CJ32" s="394"/>
      <c r="CK32" s="394"/>
    </row>
    <row r="33" spans="2:89" hidden="1">
      <c r="B33" s="380"/>
      <c r="C33" s="380"/>
      <c r="D33" s="380"/>
      <c r="E33" s="412"/>
      <c r="F33" s="412"/>
      <c r="G33" s="412"/>
      <c r="H33" s="412"/>
      <c r="I33" s="412"/>
      <c r="J33" s="412"/>
      <c r="K33" s="412"/>
      <c r="L33" s="412"/>
      <c r="M33" s="412"/>
      <c r="N33" s="412"/>
      <c r="O33" s="412"/>
      <c r="P33" s="412"/>
      <c r="Q33" s="412"/>
      <c r="R33" s="397"/>
      <c r="S33" s="380"/>
      <c r="T33" s="412"/>
      <c r="U33" s="412"/>
      <c r="V33" s="412"/>
      <c r="W33" s="412"/>
      <c r="X33" s="412"/>
      <c r="Y33" s="412"/>
      <c r="Z33" s="412"/>
      <c r="AA33" s="412"/>
      <c r="AB33" s="412"/>
      <c r="AC33" s="412"/>
      <c r="AD33" s="412"/>
      <c r="AE33" s="412"/>
      <c r="AF33" s="412"/>
      <c r="AG33" s="397"/>
      <c r="AH33" s="380"/>
      <c r="AI33" s="394"/>
      <c r="AJ33" s="412"/>
      <c r="AK33" s="412"/>
      <c r="AL33" s="412"/>
      <c r="AM33" s="412"/>
      <c r="AN33" s="412"/>
      <c r="AO33" s="412"/>
      <c r="AP33" s="412"/>
      <c r="AQ33" s="412"/>
      <c r="AR33" s="412"/>
      <c r="AS33" s="412"/>
      <c r="AT33" s="412"/>
      <c r="AU33" s="412"/>
      <c r="AV33" s="412"/>
      <c r="AW33" s="397"/>
      <c r="AX33" s="380"/>
      <c r="AY33" s="394"/>
      <c r="AZ33" s="380"/>
      <c r="BA33" s="397"/>
      <c r="BB33" s="398"/>
      <c r="BC33" s="398"/>
      <c r="BD33" s="413"/>
      <c r="BE33" s="413"/>
      <c r="BF33" s="413"/>
      <c r="BG33" s="413"/>
      <c r="BH33" s="413"/>
      <c r="BI33" s="413"/>
      <c r="BJ33" s="413"/>
      <c r="BK33" s="413"/>
      <c r="BL33" s="413"/>
      <c r="BM33" s="413"/>
      <c r="BN33" s="413"/>
      <c r="BO33" s="413"/>
      <c r="BP33" s="412"/>
      <c r="BQ33" s="397"/>
      <c r="BR33" s="380"/>
      <c r="BS33" s="394"/>
      <c r="BV33" s="412"/>
      <c r="BW33" s="412"/>
      <c r="BX33" s="412"/>
      <c r="BY33" s="412"/>
      <c r="BZ33" s="412"/>
      <c r="CA33" s="412"/>
      <c r="CB33" s="412"/>
      <c r="CC33" s="412"/>
      <c r="CD33" s="412"/>
      <c r="CE33" s="412"/>
      <c r="CF33" s="412"/>
      <c r="CG33" s="412"/>
      <c r="CH33" s="412"/>
      <c r="CI33" s="397"/>
      <c r="CJ33" s="380"/>
      <c r="CK33" s="394"/>
    </row>
    <row r="34" spans="2:89">
      <c r="C34" s="372" t="s">
        <v>105</v>
      </c>
      <c r="E34" s="415"/>
      <c r="F34" s="415"/>
      <c r="G34" s="415"/>
      <c r="H34" s="415"/>
      <c r="I34" s="415"/>
      <c r="J34" s="415"/>
      <c r="K34" s="415"/>
      <c r="L34" s="415"/>
      <c r="M34" s="415"/>
      <c r="N34" s="415"/>
      <c r="O34" s="415"/>
      <c r="P34" s="415"/>
      <c r="Q34" s="415"/>
      <c r="R34" s="400"/>
      <c r="T34" s="415"/>
      <c r="U34" s="415"/>
      <c r="V34" s="415"/>
      <c r="W34" s="415"/>
      <c r="X34" s="415"/>
      <c r="Y34" s="415"/>
      <c r="Z34" s="415"/>
      <c r="AA34" s="415"/>
      <c r="AB34" s="415"/>
      <c r="AC34" s="415"/>
      <c r="AD34" s="415"/>
      <c r="AE34" s="415"/>
      <c r="AF34" s="415"/>
      <c r="AG34" s="400"/>
      <c r="AI34" s="394"/>
      <c r="AJ34" s="415"/>
      <c r="AK34" s="415"/>
      <c r="AL34" s="415"/>
      <c r="AM34" s="415"/>
      <c r="AN34" s="415"/>
      <c r="AO34" s="415"/>
      <c r="AP34" s="415"/>
      <c r="AQ34" s="415"/>
      <c r="AR34" s="416"/>
      <c r="AS34" s="416"/>
      <c r="AT34" s="416"/>
      <c r="AU34" s="416"/>
      <c r="AV34" s="415"/>
      <c r="AW34" s="400"/>
      <c r="AY34" s="394"/>
      <c r="AZ34" s="380"/>
      <c r="BA34" s="400"/>
      <c r="BB34" s="398"/>
      <c r="BC34" s="398"/>
      <c r="BD34" s="413"/>
      <c r="BE34" s="413"/>
      <c r="BF34" s="413"/>
      <c r="BG34" s="413"/>
      <c r="BH34" s="413"/>
      <c r="BI34" s="413"/>
      <c r="BJ34" s="413"/>
      <c r="BK34" s="413"/>
      <c r="BL34" s="413"/>
      <c r="BM34" s="413"/>
      <c r="BN34" s="413"/>
      <c r="BO34" s="413"/>
      <c r="BP34" s="415"/>
      <c r="BQ34" s="400"/>
      <c r="BS34" s="394"/>
      <c r="BV34" s="415"/>
      <c r="BW34" s="415"/>
      <c r="BX34" s="415"/>
      <c r="BY34" s="415"/>
      <c r="BZ34" s="415"/>
      <c r="CA34" s="415"/>
      <c r="CB34" s="415"/>
      <c r="CC34" s="415"/>
      <c r="CD34" s="416"/>
      <c r="CE34" s="416"/>
      <c r="CF34" s="416"/>
      <c r="CG34" s="416"/>
      <c r="CH34" s="415"/>
      <c r="CI34" s="400"/>
      <c r="CK34" s="394"/>
    </row>
    <row r="35" spans="2:89">
      <c r="B35" s="390"/>
      <c r="C35" s="390"/>
      <c r="D35" s="390" t="s">
        <v>103</v>
      </c>
      <c r="E35" s="410"/>
      <c r="F35" s="410"/>
      <c r="G35" s="410"/>
      <c r="H35" s="410"/>
      <c r="I35" s="410"/>
      <c r="J35" s="410"/>
      <c r="K35" s="410"/>
      <c r="L35" s="410"/>
      <c r="M35" s="410"/>
      <c r="N35" s="410"/>
      <c r="O35" s="410"/>
      <c r="P35" s="410"/>
      <c r="Q35" s="410">
        <f>SUM(E35:P35)</f>
        <v>0</v>
      </c>
      <c r="R35" s="393"/>
      <c r="S35" s="394" t="e">
        <f>Q35/Q37</f>
        <v>#DIV/0!</v>
      </c>
      <c r="T35" s="410"/>
      <c r="U35" s="410"/>
      <c r="V35" s="410"/>
      <c r="W35" s="410">
        <v>6.0294879999999997</v>
      </c>
      <c r="X35" s="410">
        <v>20913.589498000001</v>
      </c>
      <c r="Y35" s="410">
        <v>41317.813198999989</v>
      </c>
      <c r="Z35" s="410">
        <v>40693.308279999997</v>
      </c>
      <c r="AA35" s="410">
        <v>35884.606585000001</v>
      </c>
      <c r="AB35" s="410">
        <v>42398.665808999998</v>
      </c>
      <c r="AC35" s="410">
        <v>45180.523867999997</v>
      </c>
      <c r="AD35" s="410">
        <v>43541.150437999997</v>
      </c>
      <c r="AE35" s="410">
        <v>66631.719855999996</v>
      </c>
      <c r="AF35" s="410">
        <f>SUM(T35:AE35)</f>
        <v>336567.40702099993</v>
      </c>
      <c r="AG35" s="393"/>
      <c r="AH35" s="394">
        <f>AF35/AF37</f>
        <v>0.87778327941105505</v>
      </c>
      <c r="AI35" s="394" t="e">
        <f t="shared" ref="AI27:AI42" si="21">AF35/Q35</f>
        <v>#DIV/0!</v>
      </c>
      <c r="AJ35" s="410">
        <v>37802.617324999999</v>
      </c>
      <c r="AK35" s="410">
        <v>26928.673917</v>
      </c>
      <c r="AL35" s="410">
        <v>24944.528724</v>
      </c>
      <c r="AM35" s="410">
        <v>25417.427377</v>
      </c>
      <c r="AN35" s="410">
        <v>31322.45</v>
      </c>
      <c r="AO35" s="410">
        <v>35498.699999999997</v>
      </c>
      <c r="AP35" s="410">
        <v>39417.872330999999</v>
      </c>
      <c r="AQ35" s="410">
        <v>38460.339999999997</v>
      </c>
      <c r="AR35" s="410">
        <v>62245.521842000002</v>
      </c>
      <c r="AS35" s="410">
        <v>89882.654018999994</v>
      </c>
      <c r="AT35" s="410">
        <v>128822.43</v>
      </c>
      <c r="AU35" s="410">
        <v>192804.4</v>
      </c>
      <c r="AV35" s="410">
        <f>SUM(AJ35:AU35)</f>
        <v>733547.61553499999</v>
      </c>
      <c r="AW35" s="393"/>
      <c r="AX35" s="394">
        <f>AV35/AV37</f>
        <v>0.76007245666157131</v>
      </c>
      <c r="AY35" s="394">
        <f t="shared" ref="AY28:AY42" si="22">AV35/AF35</f>
        <v>2.1794968860108033</v>
      </c>
      <c r="AZ35" s="380"/>
      <c r="BA35" s="393"/>
      <c r="BB35" s="398">
        <f>AX35</f>
        <v>0.76007245666157131</v>
      </c>
      <c r="BC35" s="395">
        <f>AX35</f>
        <v>0.76007245666157131</v>
      </c>
      <c r="BD35" s="411">
        <f>BD37-BD36</f>
        <v>81235.802637893328</v>
      </c>
      <c r="BE35" s="411">
        <f t="shared" ref="BE35:BO35" si="23">BE37-BE36</f>
        <v>75993.783427330331</v>
      </c>
      <c r="BF35" s="411">
        <f t="shared" si="23"/>
        <v>89665.888922845799</v>
      </c>
      <c r="BG35" s="411">
        <f t="shared" si="23"/>
        <v>108003.44369406678</v>
      </c>
      <c r="BH35" s="411">
        <f t="shared" si="23"/>
        <v>112630.60736935651</v>
      </c>
      <c r="BI35" s="411">
        <f t="shared" si="23"/>
        <v>114521.0742892795</v>
      </c>
      <c r="BJ35" s="411">
        <f t="shared" si="23"/>
        <v>135049.98055312483</v>
      </c>
      <c r="BK35" s="411">
        <f t="shared" si="23"/>
        <v>140570.89161566587</v>
      </c>
      <c r="BL35" s="411">
        <f t="shared" si="23"/>
        <v>167190.2811631122</v>
      </c>
      <c r="BM35" s="411">
        <f t="shared" si="23"/>
        <v>216548.66300690334</v>
      </c>
      <c r="BN35" s="411">
        <f t="shared" si="23"/>
        <v>236613.07733293931</v>
      </c>
      <c r="BO35" s="411">
        <f t="shared" si="23"/>
        <v>295384.99291188107</v>
      </c>
      <c r="BP35" s="410">
        <f>SUM(BD35:BO35)</f>
        <v>1773408.4869243987</v>
      </c>
      <c r="BQ35" s="393"/>
      <c r="BR35" s="394">
        <f>BP35/BP37</f>
        <v>0.76007245666157119</v>
      </c>
      <c r="BS35" s="394">
        <f>BP35/AV35</f>
        <v>2.4175778768376128</v>
      </c>
      <c r="BV35" s="410">
        <f>'2018 VN YouTube View'!R30</f>
        <v>115656.79299999999</v>
      </c>
      <c r="BW35" s="410">
        <f>'2018 VN YouTube View'!S30</f>
        <v>94450.7</v>
      </c>
      <c r="BX35" s="410">
        <f>'2018 VN YouTube View'!T30</f>
        <v>125455.74999999999</v>
      </c>
      <c r="BY35" s="410">
        <f>'2018 VN YouTube View'!U30</f>
        <v>116613.42000000001</v>
      </c>
      <c r="BZ35" s="410">
        <f>'2018 VN YouTube View'!V30</f>
        <v>122478.54000000001</v>
      </c>
      <c r="CA35" s="410">
        <f>'2018 VN YouTube View'!W30</f>
        <v>123175.16000000003</v>
      </c>
      <c r="CB35" s="410">
        <f>'2018 VN YouTube View'!X30</f>
        <v>121549.84</v>
      </c>
      <c r="CC35" s="410">
        <f>'2018 VN YouTube View'!Y30</f>
        <v>151945.83000000729</v>
      </c>
      <c r="CD35" s="410">
        <f>'2018 VN YouTube View'!Z30</f>
        <v>0</v>
      </c>
      <c r="CE35" s="410">
        <f>'2018 VN YouTube View'!AA30</f>
        <v>0</v>
      </c>
      <c r="CF35" s="410">
        <f>'2018 VN YouTube View'!AB30</f>
        <v>0</v>
      </c>
      <c r="CG35" s="410">
        <f>'2018 VN YouTube View'!AC30</f>
        <v>0</v>
      </c>
      <c r="CH35" s="410">
        <f>SUM(BV35:CG35)</f>
        <v>971326.03300000727</v>
      </c>
      <c r="CI35" s="393"/>
      <c r="CJ35" s="394">
        <f>CH35/CH37</f>
        <v>0.65536954841230166</v>
      </c>
      <c r="CK35" s="394">
        <f t="shared" ref="CK35:CK37" si="24">CH35/AV35</f>
        <v>1.3241485793551218</v>
      </c>
    </row>
    <row r="36" spans="2:89">
      <c r="B36" s="390"/>
      <c r="C36" s="390"/>
      <c r="D36" s="390" t="s">
        <v>104</v>
      </c>
      <c r="E36" s="410"/>
      <c r="F36" s="410"/>
      <c r="G36" s="410"/>
      <c r="H36" s="410"/>
      <c r="I36" s="410"/>
      <c r="J36" s="410"/>
      <c r="K36" s="410"/>
      <c r="L36" s="410"/>
      <c r="M36" s="410"/>
      <c r="N36" s="410"/>
      <c r="O36" s="410"/>
      <c r="P36" s="410"/>
      <c r="Q36" s="410">
        <f>SUM(E36:P36)</f>
        <v>0</v>
      </c>
      <c r="R36" s="393"/>
      <c r="S36" s="394" t="e">
        <f>Q36/Q37</f>
        <v>#DIV/0!</v>
      </c>
      <c r="T36" s="410"/>
      <c r="U36" s="410"/>
      <c r="V36" s="410"/>
      <c r="W36" s="410">
        <v>3.8305119999999997</v>
      </c>
      <c r="X36" s="410">
        <v>3031.9305020000006</v>
      </c>
      <c r="Y36" s="410">
        <v>6033.9668010000096</v>
      </c>
      <c r="Z36" s="410">
        <v>5000.601698000004</v>
      </c>
      <c r="AA36" s="410">
        <v>5038.2134149999956</v>
      </c>
      <c r="AB36" s="410">
        <v>6936.804191000002</v>
      </c>
      <c r="AC36" s="410">
        <v>5942.1461319999999</v>
      </c>
      <c r="AD36" s="410">
        <v>6474.2895620000036</v>
      </c>
      <c r="AE36" s="410">
        <v>8399.6301440000043</v>
      </c>
      <c r="AF36" s="410">
        <f>SUM(T36:AE36)</f>
        <v>46861.412957000022</v>
      </c>
      <c r="AG36" s="393"/>
      <c r="AH36" s="394">
        <f>AF36/AF37</f>
        <v>0.12221672058894474</v>
      </c>
      <c r="AI36" s="394" t="e">
        <f t="shared" si="21"/>
        <v>#DIV/0!</v>
      </c>
      <c r="AJ36" s="410">
        <v>4809.6312289999996</v>
      </c>
      <c r="AK36" s="410">
        <v>5565.6233539999939</v>
      </c>
      <c r="AL36" s="410">
        <v>7747.4381760000051</v>
      </c>
      <c r="AM36" s="410">
        <v>7663.9250190000084</v>
      </c>
      <c r="AN36" s="410">
        <v>6565.876292999993</v>
      </c>
      <c r="AO36" s="410">
        <v>7317.6815769999876</v>
      </c>
      <c r="AP36" s="410">
        <v>8538.6450070000101</v>
      </c>
      <c r="AQ36" s="410">
        <v>8237.7700000000041</v>
      </c>
      <c r="AR36" s="410">
        <v>12999.158157999991</v>
      </c>
      <c r="AS36" s="410">
        <v>30150.075981000016</v>
      </c>
      <c r="AT36" s="410">
        <v>22419.510000000009</v>
      </c>
      <c r="AU36" s="410">
        <v>109539.26999999999</v>
      </c>
      <c r="AV36" s="410">
        <f>SUM(AJ36:AU36)</f>
        <v>231554.60479400001</v>
      </c>
      <c r="AW36" s="393"/>
      <c r="AX36" s="394">
        <f>AV36/AV37</f>
        <v>0.23992754333842883</v>
      </c>
      <c r="AY36" s="394">
        <f t="shared" si="22"/>
        <v>4.9412638284397072</v>
      </c>
      <c r="AZ36" s="380"/>
      <c r="BA36" s="393"/>
      <c r="BB36" s="398">
        <f>AX36</f>
        <v>0.23992754333842883</v>
      </c>
      <c r="BC36" s="395">
        <f>AX36</f>
        <v>0.23992754333842883</v>
      </c>
      <c r="BD36" s="411">
        <f>BD37*$BC$36</f>
        <v>25643.221757624626</v>
      </c>
      <c r="BE36" s="411">
        <f t="shared" ref="BE36:BO36" si="25">BE37*$BC$36</f>
        <v>23988.504789130089</v>
      </c>
      <c r="BF36" s="411">
        <f t="shared" si="25"/>
        <v>28304.296862705316</v>
      </c>
      <c r="BG36" s="411">
        <f t="shared" si="25"/>
        <v>34092.803509055135</v>
      </c>
      <c r="BH36" s="411">
        <f t="shared" si="25"/>
        <v>35553.432694479488</v>
      </c>
      <c r="BI36" s="411">
        <f t="shared" si="25"/>
        <v>36150.185122336035</v>
      </c>
      <c r="BJ36" s="411">
        <f t="shared" si="25"/>
        <v>42630.42263672132</v>
      </c>
      <c r="BK36" s="411">
        <f t="shared" si="25"/>
        <v>44373.175734292417</v>
      </c>
      <c r="BL36" s="411">
        <f t="shared" si="25"/>
        <v>52775.959815351671</v>
      </c>
      <c r="BM36" s="411">
        <f t="shared" si="25"/>
        <v>68356.626099400251</v>
      </c>
      <c r="BN36" s="411">
        <f t="shared" si="25"/>
        <v>74690.240211552809</v>
      </c>
      <c r="BO36" s="411">
        <f t="shared" si="25"/>
        <v>93242.420597202043</v>
      </c>
      <c r="BP36" s="410">
        <f>SUM(BD36:BO36)</f>
        <v>559801.28982985113</v>
      </c>
      <c r="BQ36" s="393"/>
      <c r="BR36" s="394">
        <f>BP36/BP37</f>
        <v>0.23992754333842883</v>
      </c>
      <c r="BS36" s="394">
        <f>BP36/AV36</f>
        <v>2.4175778768376128</v>
      </c>
      <c r="BV36" s="410">
        <f>'2018 VN YouTube View'!R31</f>
        <v>32712.477000000003</v>
      </c>
      <c r="BW36" s="410">
        <f>'2018 VN YouTube View'!S31</f>
        <v>23762.960000000003</v>
      </c>
      <c r="BX36" s="410">
        <f>'2018 VN YouTube View'!T31</f>
        <v>42691.080000000009</v>
      </c>
      <c r="BY36" s="410">
        <f>'2018 VN YouTube View'!U31</f>
        <v>53677.130000000005</v>
      </c>
      <c r="BZ36" s="410">
        <f>'2018 VN YouTube View'!V31</f>
        <v>84308.000000000015</v>
      </c>
      <c r="CA36" s="410">
        <f>'2018 VN YouTube View'!W31</f>
        <v>108927.82</v>
      </c>
      <c r="CB36" s="410">
        <f>'2018 VN YouTube View'!X31</f>
        <v>83338</v>
      </c>
      <c r="CC36" s="410">
        <f>'2018 VN YouTube View'!Y31</f>
        <v>81360.811000010523</v>
      </c>
      <c r="CD36" s="410">
        <f>'2018 VN YouTube View'!Z31</f>
        <v>0</v>
      </c>
      <c r="CE36" s="410">
        <f>'2018 VN YouTube View'!AA31</f>
        <v>0</v>
      </c>
      <c r="CF36" s="410">
        <f>'2018 VN YouTube View'!AB31</f>
        <v>0</v>
      </c>
      <c r="CG36" s="410">
        <f>'2018 VN YouTube View'!AC31</f>
        <v>0</v>
      </c>
      <c r="CH36" s="410">
        <f>SUM(BV36:CG36)</f>
        <v>510778.27800001058</v>
      </c>
      <c r="CI36" s="393"/>
      <c r="CJ36" s="394">
        <f>CH36/CH37</f>
        <v>0.34463045158769828</v>
      </c>
      <c r="CK36" s="394">
        <f t="shared" si="24"/>
        <v>2.2058653441784015</v>
      </c>
    </row>
    <row r="37" spans="2:89">
      <c r="B37" s="380"/>
      <c r="C37" s="380" t="s">
        <v>106</v>
      </c>
      <c r="D37" s="380"/>
      <c r="E37" s="412">
        <f>SUM(E35:E36)</f>
        <v>0</v>
      </c>
      <c r="F37" s="412">
        <f t="shared" ref="F37:P37" si="26">SUM(F35:F36)</f>
        <v>0</v>
      </c>
      <c r="G37" s="412">
        <f t="shared" si="26"/>
        <v>0</v>
      </c>
      <c r="H37" s="412">
        <f t="shared" si="26"/>
        <v>0</v>
      </c>
      <c r="I37" s="412">
        <f t="shared" si="26"/>
        <v>0</v>
      </c>
      <c r="J37" s="412">
        <f t="shared" si="26"/>
        <v>0</v>
      </c>
      <c r="K37" s="412">
        <f t="shared" si="26"/>
        <v>0</v>
      </c>
      <c r="L37" s="412">
        <f t="shared" si="26"/>
        <v>0</v>
      </c>
      <c r="M37" s="412">
        <f t="shared" si="26"/>
        <v>0</v>
      </c>
      <c r="N37" s="412">
        <f t="shared" si="26"/>
        <v>0</v>
      </c>
      <c r="O37" s="412">
        <f t="shared" si="26"/>
        <v>0</v>
      </c>
      <c r="P37" s="412">
        <f t="shared" si="26"/>
        <v>0</v>
      </c>
      <c r="Q37" s="412">
        <f>SUM(E37:P37)</f>
        <v>0</v>
      </c>
      <c r="R37" s="397" t="e">
        <f>Q37/$Q$42</f>
        <v>#DIV/0!</v>
      </c>
      <c r="S37" s="380"/>
      <c r="T37" s="412">
        <f t="shared" ref="T37:AE37" si="27">SUM(T35:T36)</f>
        <v>0</v>
      </c>
      <c r="U37" s="412">
        <f t="shared" si="27"/>
        <v>0</v>
      </c>
      <c r="V37" s="412">
        <f t="shared" si="27"/>
        <v>0</v>
      </c>
      <c r="W37" s="412">
        <f t="shared" si="27"/>
        <v>9.86</v>
      </c>
      <c r="X37" s="412">
        <f t="shared" si="27"/>
        <v>23945.52</v>
      </c>
      <c r="Y37" s="412">
        <f t="shared" si="27"/>
        <v>47351.78</v>
      </c>
      <c r="Z37" s="412">
        <f t="shared" si="27"/>
        <v>45693.909978000003</v>
      </c>
      <c r="AA37" s="412">
        <f t="shared" si="27"/>
        <v>40922.82</v>
      </c>
      <c r="AB37" s="412">
        <f t="shared" si="27"/>
        <v>49335.47</v>
      </c>
      <c r="AC37" s="412">
        <f t="shared" si="27"/>
        <v>51122.67</v>
      </c>
      <c r="AD37" s="412">
        <f t="shared" si="27"/>
        <v>50015.44</v>
      </c>
      <c r="AE37" s="412">
        <f t="shared" si="27"/>
        <v>75031.350000000006</v>
      </c>
      <c r="AF37" s="412">
        <f>SUM(T37:AE37)</f>
        <v>383428.81997800001</v>
      </c>
      <c r="AG37" s="397">
        <f>AF37/$AF$42</f>
        <v>0.89124594953492831</v>
      </c>
      <c r="AH37" s="380"/>
      <c r="AI37" s="394" t="e">
        <f t="shared" si="21"/>
        <v>#DIV/0!</v>
      </c>
      <c r="AJ37" s="412">
        <f t="shared" ref="AJ37:AU37" si="28">SUM(AJ35:AJ36)</f>
        <v>42612.248553999998</v>
      </c>
      <c r="AK37" s="412">
        <f t="shared" si="28"/>
        <v>32494.297270999996</v>
      </c>
      <c r="AL37" s="412">
        <f t="shared" si="28"/>
        <v>32691.966900000007</v>
      </c>
      <c r="AM37" s="412">
        <f t="shared" si="28"/>
        <v>33081.352396000009</v>
      </c>
      <c r="AN37" s="412">
        <f t="shared" si="28"/>
        <v>37888.326292999991</v>
      </c>
      <c r="AO37" s="412">
        <f t="shared" si="28"/>
        <v>42816.381576999986</v>
      </c>
      <c r="AP37" s="412">
        <f t="shared" si="28"/>
        <v>47956.517338000005</v>
      </c>
      <c r="AQ37" s="412">
        <f t="shared" si="28"/>
        <v>46698.11</v>
      </c>
      <c r="AR37" s="412">
        <f t="shared" si="28"/>
        <v>75244.679999999993</v>
      </c>
      <c r="AS37" s="412">
        <f t="shared" si="28"/>
        <v>120032.73000000001</v>
      </c>
      <c r="AT37" s="412">
        <f t="shared" si="28"/>
        <v>151241.94</v>
      </c>
      <c r="AU37" s="412">
        <f t="shared" si="28"/>
        <v>302343.67</v>
      </c>
      <c r="AV37" s="412">
        <f>SUM(AJ37:AU37)</f>
        <v>965102.22032899992</v>
      </c>
      <c r="AW37" s="397">
        <f>AV37/$AV$42</f>
        <v>0.86587311579998327</v>
      </c>
      <c r="AX37" s="380"/>
      <c r="AY37" s="394">
        <f t="shared" si="22"/>
        <v>2.5170309847454204</v>
      </c>
      <c r="AZ37" s="380"/>
      <c r="BA37" s="397"/>
      <c r="BB37" s="398"/>
      <c r="BC37" s="398"/>
      <c r="BD37" s="413">
        <f>BD62</f>
        <v>106879.02439551795</v>
      </c>
      <c r="BE37" s="413">
        <f t="shared" ref="BE37:BO37" si="29">BE62</f>
        <v>99982.288216460423</v>
      </c>
      <c r="BF37" s="413">
        <f t="shared" si="29"/>
        <v>117970.18578555112</v>
      </c>
      <c r="BG37" s="413">
        <f t="shared" si="29"/>
        <v>142096.24720312192</v>
      </c>
      <c r="BH37" s="413">
        <f t="shared" si="29"/>
        <v>148184.040063836</v>
      </c>
      <c r="BI37" s="413">
        <f t="shared" si="29"/>
        <v>150671.25941161552</v>
      </c>
      <c r="BJ37" s="413">
        <f t="shared" si="29"/>
        <v>177680.40318984614</v>
      </c>
      <c r="BK37" s="413">
        <f t="shared" si="29"/>
        <v>184944.06734995829</v>
      </c>
      <c r="BL37" s="413">
        <f t="shared" si="29"/>
        <v>219966.24097846387</v>
      </c>
      <c r="BM37" s="413">
        <f t="shared" si="29"/>
        <v>284905.28910630359</v>
      </c>
      <c r="BN37" s="413">
        <f t="shared" si="29"/>
        <v>311303.31754449214</v>
      </c>
      <c r="BO37" s="413">
        <f t="shared" si="29"/>
        <v>388627.4135090831</v>
      </c>
      <c r="BP37" s="412">
        <f>SUM(BD37:BO37)</f>
        <v>2333209.7767542498</v>
      </c>
      <c r="BQ37" s="397">
        <f>BP37/$BP$42</f>
        <v>0.91769730259094595</v>
      </c>
      <c r="BR37" s="380"/>
      <c r="BS37" s="394">
        <f>BP37/AV37</f>
        <v>2.4175778768376128</v>
      </c>
      <c r="BV37" s="412">
        <f t="shared" ref="BV37:CG37" si="30">SUM(BV35:BV36)</f>
        <v>148369.26999999999</v>
      </c>
      <c r="BW37" s="412">
        <f t="shared" si="30"/>
        <v>118213.66</v>
      </c>
      <c r="BX37" s="412">
        <f t="shared" si="30"/>
        <v>168146.83</v>
      </c>
      <c r="BY37" s="412">
        <f t="shared" si="30"/>
        <v>170290.55000000002</v>
      </c>
      <c r="BZ37" s="412">
        <f t="shared" si="30"/>
        <v>206786.54000000004</v>
      </c>
      <c r="CA37" s="412">
        <f t="shared" si="30"/>
        <v>232102.98000000004</v>
      </c>
      <c r="CB37" s="412">
        <f t="shared" si="30"/>
        <v>204887.84</v>
      </c>
      <c r="CC37" s="412">
        <f t="shared" si="30"/>
        <v>233306.64100001781</v>
      </c>
      <c r="CD37" s="412">
        <f t="shared" si="30"/>
        <v>0</v>
      </c>
      <c r="CE37" s="412">
        <f t="shared" si="30"/>
        <v>0</v>
      </c>
      <c r="CF37" s="412">
        <f t="shared" si="30"/>
        <v>0</v>
      </c>
      <c r="CG37" s="412">
        <f t="shared" si="30"/>
        <v>0</v>
      </c>
      <c r="CH37" s="412">
        <f>SUM(BV37:CG37)</f>
        <v>1482104.3110000179</v>
      </c>
      <c r="CI37" s="397">
        <f>CH37/$AV$42</f>
        <v>1.3297185009777468</v>
      </c>
      <c r="CJ37" s="380"/>
      <c r="CK37" s="394">
        <f t="shared" si="24"/>
        <v>1.5356967166594786</v>
      </c>
    </row>
    <row r="38" spans="2:89">
      <c r="B38" s="380"/>
      <c r="C38" s="372" t="s">
        <v>107</v>
      </c>
      <c r="D38" s="380"/>
      <c r="E38" s="412"/>
      <c r="F38" s="412"/>
      <c r="G38" s="412"/>
      <c r="H38" s="412"/>
      <c r="I38" s="412"/>
      <c r="J38" s="412"/>
      <c r="K38" s="412"/>
      <c r="L38" s="412"/>
      <c r="M38" s="412"/>
      <c r="N38" s="412"/>
      <c r="O38" s="412"/>
      <c r="P38" s="412"/>
      <c r="Q38" s="412"/>
      <c r="R38" s="397"/>
      <c r="S38" s="380"/>
      <c r="T38" s="412"/>
      <c r="U38" s="412"/>
      <c r="V38" s="412"/>
      <c r="W38" s="412"/>
      <c r="X38" s="412"/>
      <c r="Y38" s="412"/>
      <c r="Z38" s="412"/>
      <c r="AA38" s="412"/>
      <c r="AB38" s="412"/>
      <c r="AC38" s="412"/>
      <c r="AD38" s="412"/>
      <c r="AE38" s="412"/>
      <c r="AF38" s="412"/>
      <c r="AG38" s="397"/>
      <c r="AH38" s="380"/>
      <c r="AI38" s="394"/>
      <c r="AJ38" s="412"/>
      <c r="AK38" s="412"/>
      <c r="AL38" s="412"/>
      <c r="AM38" s="412"/>
      <c r="AN38" s="412"/>
      <c r="AO38" s="412"/>
      <c r="AP38" s="412"/>
      <c r="AQ38" s="412"/>
      <c r="AR38" s="414"/>
      <c r="AS38" s="414"/>
      <c r="AT38" s="414"/>
      <c r="AU38" s="414"/>
      <c r="AV38" s="412"/>
      <c r="AW38" s="397"/>
      <c r="AX38" s="380"/>
      <c r="AY38" s="394"/>
      <c r="AZ38" s="380"/>
      <c r="BA38" s="397"/>
      <c r="BB38" s="398"/>
      <c r="BC38" s="398"/>
      <c r="BD38" s="413"/>
      <c r="BE38" s="413"/>
      <c r="BF38" s="413"/>
      <c r="BG38" s="413"/>
      <c r="BH38" s="413"/>
      <c r="BI38" s="413"/>
      <c r="BJ38" s="413"/>
      <c r="BK38" s="413"/>
      <c r="BL38" s="413"/>
      <c r="BM38" s="413"/>
      <c r="BN38" s="413"/>
      <c r="BO38" s="413"/>
      <c r="BP38" s="412"/>
      <c r="BQ38" s="397"/>
      <c r="BR38" s="380"/>
      <c r="BS38" s="394"/>
      <c r="BV38" s="412"/>
      <c r="BW38" s="412"/>
      <c r="BX38" s="412"/>
      <c r="BY38" s="412"/>
      <c r="BZ38" s="412"/>
      <c r="CA38" s="412"/>
      <c r="CB38" s="412"/>
      <c r="CC38" s="412"/>
      <c r="CD38" s="414"/>
      <c r="CE38" s="414"/>
      <c r="CF38" s="414"/>
      <c r="CG38" s="414"/>
      <c r="CH38" s="412"/>
      <c r="CI38" s="397"/>
      <c r="CJ38" s="380"/>
      <c r="CK38" s="394"/>
    </row>
    <row r="39" spans="2:89">
      <c r="B39" s="390"/>
      <c r="C39" s="390"/>
      <c r="D39" s="390" t="s">
        <v>103</v>
      </c>
      <c r="E39" s="410"/>
      <c r="F39" s="410"/>
      <c r="G39" s="410"/>
      <c r="H39" s="410"/>
      <c r="I39" s="410"/>
      <c r="J39" s="410"/>
      <c r="K39" s="410"/>
      <c r="L39" s="410"/>
      <c r="M39" s="410"/>
      <c r="N39" s="410"/>
      <c r="O39" s="410"/>
      <c r="P39" s="410"/>
      <c r="Q39" s="410">
        <f>SUM(E39:P39)</f>
        <v>0</v>
      </c>
      <c r="R39" s="393"/>
      <c r="S39" s="394" t="e">
        <f>Q39/Q41</f>
        <v>#DIV/0!</v>
      </c>
      <c r="T39" s="410"/>
      <c r="U39" s="410"/>
      <c r="V39" s="410"/>
      <c r="W39" s="410">
        <v>143.760175</v>
      </c>
      <c r="X39" s="410">
        <v>737.38582300000007</v>
      </c>
      <c r="Y39" s="410">
        <v>1799.4152309999999</v>
      </c>
      <c r="Z39" s="410">
        <v>1636.361768</v>
      </c>
      <c r="AA39" s="410">
        <v>1552.5680259999999</v>
      </c>
      <c r="AB39" s="410">
        <v>1632.6815799999999</v>
      </c>
      <c r="AC39" s="410">
        <v>2060.7033240000001</v>
      </c>
      <c r="AD39" s="410">
        <v>1900.9547150000001</v>
      </c>
      <c r="AE39" s="410">
        <v>5012.7736539999996</v>
      </c>
      <c r="AF39" s="410">
        <f>SUM(T39:AE39)</f>
        <v>16476.604295999998</v>
      </c>
      <c r="AG39" s="393"/>
      <c r="AH39" s="394">
        <f>AF39/AF41</f>
        <v>0.35215599570828288</v>
      </c>
      <c r="AI39" s="394" t="e">
        <f t="shared" si="21"/>
        <v>#DIV/0!</v>
      </c>
      <c r="AJ39" s="410">
        <v>3385.6994340000001</v>
      </c>
      <c r="AK39" s="410">
        <v>2870.0342059999998</v>
      </c>
      <c r="AL39" s="410">
        <v>3837.8226330000002</v>
      </c>
      <c r="AM39" s="410">
        <v>4354.6676349999998</v>
      </c>
      <c r="AN39" s="410">
        <v>4913.2052640000002</v>
      </c>
      <c r="AO39" s="410">
        <v>4508.5</v>
      </c>
      <c r="AP39" s="410">
        <v>3893.9221480000001</v>
      </c>
      <c r="AQ39" s="410">
        <v>3520.83</v>
      </c>
      <c r="AR39" s="410">
        <v>3837.338812</v>
      </c>
      <c r="AS39" s="410">
        <v>4974.224158</v>
      </c>
      <c r="AT39" s="410">
        <v>9667.42</v>
      </c>
      <c r="AU39" s="410">
        <v>8233.6299999999992</v>
      </c>
      <c r="AV39" s="410">
        <f>SUM(AJ39:AU39)</f>
        <v>57997.294289999998</v>
      </c>
      <c r="AW39" s="393"/>
      <c r="AX39" s="394">
        <f>AV39/AV41</f>
        <v>0.38794739326829164</v>
      </c>
      <c r="AY39" s="394">
        <f t="shared" si="22"/>
        <v>3.519978585883738</v>
      </c>
      <c r="AZ39" s="380"/>
      <c r="BA39" s="393"/>
      <c r="BB39" s="398">
        <f>AX39</f>
        <v>0.38794739326829164</v>
      </c>
      <c r="BC39" s="395">
        <f>AX39</f>
        <v>0.38794739326829164</v>
      </c>
      <c r="BD39" s="411">
        <f>BD41-BD40</f>
        <v>3718.6040064149274</v>
      </c>
      <c r="BE39" s="411">
        <f t="shared" ref="BE39:BO39" si="31">BE41-BE40</f>
        <v>3478.6483094792657</v>
      </c>
      <c r="BF39" s="411">
        <f t="shared" si="31"/>
        <v>4104.4948527623364</v>
      </c>
      <c r="BG39" s="411">
        <f t="shared" si="31"/>
        <v>4943.9043548026048</v>
      </c>
      <c r="BH39" s="411">
        <f t="shared" si="31"/>
        <v>5155.7147736393317</v>
      </c>
      <c r="BI39" s="411">
        <f t="shared" si="31"/>
        <v>5242.2517146695827</v>
      </c>
      <c r="BJ39" s="411">
        <f t="shared" si="31"/>
        <v>6181.9712792109767</v>
      </c>
      <c r="BK39" s="411">
        <f t="shared" si="31"/>
        <v>6434.6933713128801</v>
      </c>
      <c r="BL39" s="411">
        <f t="shared" si="31"/>
        <v>7653.2074427585158</v>
      </c>
      <c r="BM39" s="411">
        <f t="shared" si="31"/>
        <v>9912.6087229135683</v>
      </c>
      <c r="BN39" s="411">
        <f t="shared" si="31"/>
        <v>10831.065968073639</v>
      </c>
      <c r="BO39" s="411">
        <f t="shared" si="31"/>
        <v>13521.375827024764</v>
      </c>
      <c r="BP39" s="410">
        <f>SUM(BD39:BO39)</f>
        <v>81178.540623062392</v>
      </c>
      <c r="BQ39" s="393"/>
      <c r="BR39" s="394">
        <f>BP39/BP41</f>
        <v>0.38794739326829158</v>
      </c>
      <c r="BS39" s="394">
        <f>BP39/AV39</f>
        <v>1.3996953067698428</v>
      </c>
      <c r="BV39" s="410">
        <f>'2018 VN YouTube View'!R34</f>
        <v>8851.1309999999994</v>
      </c>
      <c r="BW39" s="410">
        <f>'2018 VN YouTube View'!S34</f>
        <v>7885.42</v>
      </c>
      <c r="BX39" s="410">
        <f>'2018 VN YouTube View'!T34</f>
        <v>18017.339999999997</v>
      </c>
      <c r="BY39" s="410">
        <f>'2018 VN YouTube View'!U34</f>
        <v>23800.710000000006</v>
      </c>
      <c r="BZ39" s="410">
        <f>'2018 VN YouTube View'!V34</f>
        <v>22565.05</v>
      </c>
      <c r="CA39" s="410">
        <f>'2018 VN YouTube View'!W34</f>
        <v>15439.14</v>
      </c>
      <c r="CB39" s="410">
        <f>'2018 VN YouTube View'!X34</f>
        <v>14448.869999999999</v>
      </c>
      <c r="CC39" s="410">
        <f>'2018 VN YouTube View'!Y34</f>
        <v>13653.256999999603</v>
      </c>
      <c r="CD39" s="410">
        <f>'2018 VN YouTube View'!Z34</f>
        <v>0</v>
      </c>
      <c r="CE39" s="410">
        <f>'2018 VN YouTube View'!AA34</f>
        <v>0</v>
      </c>
      <c r="CF39" s="410">
        <f>'2018 VN YouTube View'!AB34</f>
        <v>0</v>
      </c>
      <c r="CG39" s="410">
        <f>'2018 VN YouTube View'!AC34</f>
        <v>0</v>
      </c>
      <c r="CH39" s="410">
        <f>SUM(BV39:CG39)</f>
        <v>124660.9179999996</v>
      </c>
      <c r="CI39" s="393"/>
      <c r="CJ39" s="394">
        <f>CH39/CH41</f>
        <v>0.24759598944880282</v>
      </c>
      <c r="CK39" s="394">
        <f t="shared" ref="CK39:CK42" si="32">CH39/AV39</f>
        <v>2.1494264435279677</v>
      </c>
    </row>
    <row r="40" spans="2:89">
      <c r="B40" s="390"/>
      <c r="C40" s="390"/>
      <c r="D40" s="390" t="s">
        <v>104</v>
      </c>
      <c r="E40" s="410"/>
      <c r="F40" s="410"/>
      <c r="G40" s="410"/>
      <c r="H40" s="410"/>
      <c r="I40" s="410"/>
      <c r="J40" s="410"/>
      <c r="K40" s="410"/>
      <c r="L40" s="410"/>
      <c r="M40" s="410"/>
      <c r="N40" s="410"/>
      <c r="O40" s="410"/>
      <c r="P40" s="410"/>
      <c r="Q40" s="410">
        <f>SUM(E40:P40)</f>
        <v>0</v>
      </c>
      <c r="R40" s="393"/>
      <c r="S40" s="394" t="e">
        <f>Q40/Q41</f>
        <v>#DIV/0!</v>
      </c>
      <c r="T40" s="410"/>
      <c r="U40" s="410"/>
      <c r="V40" s="410"/>
      <c r="W40" s="410">
        <v>111.339825</v>
      </c>
      <c r="X40" s="410">
        <v>469.79417699999988</v>
      </c>
      <c r="Y40" s="410">
        <v>977.68476899999996</v>
      </c>
      <c r="Z40" s="410">
        <v>684.53823200000022</v>
      </c>
      <c r="AA40" s="410">
        <v>529.77197399999989</v>
      </c>
      <c r="AB40" s="410">
        <v>788.98841999999991</v>
      </c>
      <c r="AC40" s="410">
        <v>2446.2666759999997</v>
      </c>
      <c r="AD40" s="410">
        <v>15478.305285</v>
      </c>
      <c r="AE40" s="410">
        <v>8824.5063460000019</v>
      </c>
      <c r="AF40" s="410">
        <f>SUM(T40:AE40)</f>
        <v>30311.195704000002</v>
      </c>
      <c r="AG40" s="393"/>
      <c r="AH40" s="394">
        <f>AF40/AF41</f>
        <v>0.64784400429171707</v>
      </c>
      <c r="AI40" s="394" t="e">
        <f t="shared" si="21"/>
        <v>#DIV/0!</v>
      </c>
      <c r="AJ40" s="410">
        <v>4104.4376300000004</v>
      </c>
      <c r="AK40" s="410">
        <v>4945.2703360000032</v>
      </c>
      <c r="AL40" s="410">
        <v>3852.1965309999996</v>
      </c>
      <c r="AM40" s="410">
        <v>3861.5742969999997</v>
      </c>
      <c r="AN40" s="410">
        <v>3899.9346380000006</v>
      </c>
      <c r="AO40" s="410">
        <v>8242.0007900000001</v>
      </c>
      <c r="AP40" s="410">
        <v>6407.8566289999999</v>
      </c>
      <c r="AQ40" s="410">
        <v>15016.390000000001</v>
      </c>
      <c r="AR40" s="410">
        <v>7885.1911880000007</v>
      </c>
      <c r="AS40" s="410">
        <v>9256.4558419999994</v>
      </c>
      <c r="AT40" s="410">
        <v>13190.089999999998</v>
      </c>
      <c r="AU40" s="410">
        <v>10839.140000000001</v>
      </c>
      <c r="AV40" s="410">
        <f>SUM(AJ40:AU40)</f>
        <v>91500.537880999997</v>
      </c>
      <c r="AW40" s="393"/>
      <c r="AX40" s="394">
        <f>AV40/AV41</f>
        <v>0.61205260673170836</v>
      </c>
      <c r="AY40" s="394">
        <f t="shared" si="22"/>
        <v>3.0187043353398684</v>
      </c>
      <c r="AZ40" s="380"/>
      <c r="BA40" s="393"/>
      <c r="BB40" s="398">
        <f>AX40</f>
        <v>0.61205260673170836</v>
      </c>
      <c r="BC40" s="395">
        <f>AX40</f>
        <v>0.61205260673170836</v>
      </c>
      <c r="BD40" s="411">
        <f>BD41*$BC$40</f>
        <v>5866.726558864224</v>
      </c>
      <c r="BE40" s="411">
        <f t="shared" ref="BE40:BO40" si="33">BE41*$BC$40</f>
        <v>5488.1558754209982</v>
      </c>
      <c r="BF40" s="411">
        <f t="shared" si="33"/>
        <v>6475.534615108847</v>
      </c>
      <c r="BG40" s="411">
        <f t="shared" si="33"/>
        <v>7799.8450312992454</v>
      </c>
      <c r="BH40" s="411">
        <f t="shared" si="33"/>
        <v>8134.0117797591311</v>
      </c>
      <c r="BI40" s="411">
        <f t="shared" si="33"/>
        <v>8270.5384358347001</v>
      </c>
      <c r="BJ40" s="411">
        <f t="shared" si="33"/>
        <v>9753.1049359699027</v>
      </c>
      <c r="BK40" s="411">
        <f t="shared" si="33"/>
        <v>10151.816766320286</v>
      </c>
      <c r="BL40" s="411">
        <f t="shared" si="33"/>
        <v>12074.228739460677</v>
      </c>
      <c r="BM40" s="411">
        <f t="shared" si="33"/>
        <v>15638.816276759868</v>
      </c>
      <c r="BN40" s="411">
        <f t="shared" si="33"/>
        <v>17087.837873054199</v>
      </c>
      <c r="BO40" s="411">
        <f t="shared" si="33"/>
        <v>21332.256551099825</v>
      </c>
      <c r="BP40" s="410">
        <f>SUM(BD40:BO40)</f>
        <v>128072.87343895191</v>
      </c>
      <c r="BQ40" s="393"/>
      <c r="BR40" s="394">
        <f>BP40/BP41</f>
        <v>0.61205260673170836</v>
      </c>
      <c r="BS40" s="394">
        <f>BP40/AV40</f>
        <v>1.3996953067698428</v>
      </c>
      <c r="BV40" s="410">
        <f>'2018 VN YouTube View'!R35</f>
        <v>8388.6749999999993</v>
      </c>
      <c r="BW40" s="410">
        <f>'2018 VN YouTube View'!S35</f>
        <v>8338.2300000000014</v>
      </c>
      <c r="BX40" s="410">
        <f>'2018 VN YouTube View'!T35</f>
        <v>20182.390000000003</v>
      </c>
      <c r="BY40" s="410">
        <f>'2018 VN YouTube View'!U35</f>
        <v>97815.059999999983</v>
      </c>
      <c r="BZ40" s="410">
        <f>'2018 VN YouTube View'!V35</f>
        <v>153462.91000000003</v>
      </c>
      <c r="CA40" s="410">
        <f>'2018 VN YouTube View'!W35</f>
        <v>36257.089999999997</v>
      </c>
      <c r="CB40" s="410">
        <f>'2018 VN YouTube View'!X35</f>
        <v>25754.969999999994</v>
      </c>
      <c r="CC40" s="410">
        <f>'2018 VN YouTube View'!Y35</f>
        <v>28624.963999997599</v>
      </c>
      <c r="CD40" s="410">
        <f>'2018 VN YouTube View'!Z35</f>
        <v>0</v>
      </c>
      <c r="CE40" s="410">
        <f>'2018 VN YouTube View'!AA35</f>
        <v>0</v>
      </c>
      <c r="CF40" s="410">
        <f>'2018 VN YouTube View'!AB35</f>
        <v>0</v>
      </c>
      <c r="CG40" s="410">
        <f>'2018 VN YouTube View'!AC35</f>
        <v>0</v>
      </c>
      <c r="CH40" s="410">
        <f>SUM(BV40:CG40)</f>
        <v>378824.28899999755</v>
      </c>
      <c r="CI40" s="393"/>
      <c r="CJ40" s="394">
        <f>CH40/CH41</f>
        <v>0.75240401055119721</v>
      </c>
      <c r="CK40" s="394">
        <f t="shared" si="32"/>
        <v>4.1401318262486422</v>
      </c>
    </row>
    <row r="41" spans="2:89">
      <c r="B41" s="380"/>
      <c r="C41" s="380" t="s">
        <v>108</v>
      </c>
      <c r="D41" s="380"/>
      <c r="E41" s="412">
        <f>SUM(E39:E40)</f>
        <v>0</v>
      </c>
      <c r="F41" s="412">
        <f t="shared" ref="F41:P41" si="34">SUM(F39:F40)</f>
        <v>0</v>
      </c>
      <c r="G41" s="412">
        <f t="shared" si="34"/>
        <v>0</v>
      </c>
      <c r="H41" s="412">
        <f t="shared" si="34"/>
        <v>0</v>
      </c>
      <c r="I41" s="412">
        <f t="shared" si="34"/>
        <v>0</v>
      </c>
      <c r="J41" s="412">
        <f t="shared" si="34"/>
        <v>0</v>
      </c>
      <c r="K41" s="412">
        <f t="shared" si="34"/>
        <v>0</v>
      </c>
      <c r="L41" s="412">
        <f t="shared" si="34"/>
        <v>0</v>
      </c>
      <c r="M41" s="412">
        <f t="shared" si="34"/>
        <v>0</v>
      </c>
      <c r="N41" s="412">
        <f t="shared" si="34"/>
        <v>0</v>
      </c>
      <c r="O41" s="412">
        <f t="shared" si="34"/>
        <v>0</v>
      </c>
      <c r="P41" s="412">
        <f t="shared" si="34"/>
        <v>0</v>
      </c>
      <c r="Q41" s="412">
        <f>SUM(E41:P41)</f>
        <v>0</v>
      </c>
      <c r="R41" s="397" t="e">
        <f>Q41/$Q$42</f>
        <v>#DIV/0!</v>
      </c>
      <c r="S41" s="380"/>
      <c r="T41" s="412">
        <f t="shared" ref="T41:AE41" si="35">SUM(T39:T40)</f>
        <v>0</v>
      </c>
      <c r="U41" s="412">
        <f t="shared" si="35"/>
        <v>0</v>
      </c>
      <c r="V41" s="412">
        <f t="shared" si="35"/>
        <v>0</v>
      </c>
      <c r="W41" s="412">
        <f t="shared" si="35"/>
        <v>255.10000000000002</v>
      </c>
      <c r="X41" s="412">
        <f t="shared" si="35"/>
        <v>1207.1799999999998</v>
      </c>
      <c r="Y41" s="412">
        <f t="shared" si="35"/>
        <v>2777.1</v>
      </c>
      <c r="Z41" s="412">
        <f t="shared" si="35"/>
        <v>2320.9</v>
      </c>
      <c r="AA41" s="412">
        <f t="shared" si="35"/>
        <v>2082.3399999999997</v>
      </c>
      <c r="AB41" s="412">
        <f t="shared" si="35"/>
        <v>2421.67</v>
      </c>
      <c r="AC41" s="412">
        <f t="shared" si="35"/>
        <v>4506.9699999999993</v>
      </c>
      <c r="AD41" s="412">
        <f t="shared" si="35"/>
        <v>17379.260000000002</v>
      </c>
      <c r="AE41" s="412">
        <f t="shared" si="35"/>
        <v>13837.280000000002</v>
      </c>
      <c r="AF41" s="412">
        <f>SUM(T41:AE41)</f>
        <v>46787.8</v>
      </c>
      <c r="AG41" s="397">
        <f>AF41/$AF$42</f>
        <v>0.10875405046507174</v>
      </c>
      <c r="AH41" s="380"/>
      <c r="AI41" s="394" t="e">
        <f t="shared" si="21"/>
        <v>#DIV/0!</v>
      </c>
      <c r="AJ41" s="412">
        <f t="shared" ref="AJ41:AU41" si="36">SUM(AJ39:AJ40)</f>
        <v>7490.1370640000005</v>
      </c>
      <c r="AK41" s="412">
        <f t="shared" si="36"/>
        <v>7815.3045420000035</v>
      </c>
      <c r="AL41" s="412">
        <f t="shared" si="36"/>
        <v>7690.0191639999994</v>
      </c>
      <c r="AM41" s="412">
        <f t="shared" si="36"/>
        <v>8216.241931999999</v>
      </c>
      <c r="AN41" s="412">
        <f t="shared" si="36"/>
        <v>8813.1399020000008</v>
      </c>
      <c r="AO41" s="412">
        <f t="shared" si="36"/>
        <v>12750.50079</v>
      </c>
      <c r="AP41" s="412">
        <f t="shared" si="36"/>
        <v>10301.778777</v>
      </c>
      <c r="AQ41" s="412">
        <f t="shared" si="36"/>
        <v>18537.22</v>
      </c>
      <c r="AR41" s="412">
        <f t="shared" si="36"/>
        <v>11722.53</v>
      </c>
      <c r="AS41" s="412">
        <f t="shared" si="36"/>
        <v>14230.68</v>
      </c>
      <c r="AT41" s="412">
        <f t="shared" si="36"/>
        <v>22857.51</v>
      </c>
      <c r="AU41" s="412">
        <f t="shared" si="36"/>
        <v>19072.77</v>
      </c>
      <c r="AV41" s="412">
        <f>SUM(AJ41:AU41)</f>
        <v>149497.83217099999</v>
      </c>
      <c r="AW41" s="397">
        <f>AV41/$AV$42</f>
        <v>0.13412688420001667</v>
      </c>
      <c r="AX41" s="380"/>
      <c r="AY41" s="394">
        <f t="shared" si="22"/>
        <v>3.1952310681630678</v>
      </c>
      <c r="AZ41" s="380"/>
      <c r="BA41" s="397"/>
      <c r="BB41" s="398"/>
      <c r="BC41" s="398"/>
      <c r="BD41" s="413">
        <f>BD68</f>
        <v>9585.3305652791514</v>
      </c>
      <c r="BE41" s="413">
        <f t="shared" ref="BE41:BO41" si="37">BE68</f>
        <v>8966.8041849002639</v>
      </c>
      <c r="BF41" s="413">
        <f t="shared" si="37"/>
        <v>10580.029467871183</v>
      </c>
      <c r="BG41" s="413">
        <f t="shared" si="37"/>
        <v>12743.74938610185</v>
      </c>
      <c r="BH41" s="413">
        <f t="shared" si="37"/>
        <v>13289.726553398463</v>
      </c>
      <c r="BI41" s="413">
        <f t="shared" si="37"/>
        <v>13512.790150504283</v>
      </c>
      <c r="BJ41" s="413">
        <f t="shared" si="37"/>
        <v>15935.076215180879</v>
      </c>
      <c r="BK41" s="413">
        <f t="shared" si="37"/>
        <v>16586.510137633166</v>
      </c>
      <c r="BL41" s="413">
        <f t="shared" si="37"/>
        <v>19727.436182219193</v>
      </c>
      <c r="BM41" s="413">
        <f t="shared" si="37"/>
        <v>25551.424999673436</v>
      </c>
      <c r="BN41" s="413">
        <f t="shared" si="37"/>
        <v>27918.903841127838</v>
      </c>
      <c r="BO41" s="413">
        <f t="shared" si="37"/>
        <v>34853.632378124588</v>
      </c>
      <c r="BP41" s="412">
        <f>SUM(BD41:BO41)</f>
        <v>209251.41406201432</v>
      </c>
      <c r="BQ41" s="397">
        <f>BP41/$BP$42</f>
        <v>8.230269740905409E-2</v>
      </c>
      <c r="BR41" s="397"/>
      <c r="BS41" s="394">
        <f>BP41/AV41</f>
        <v>1.399695306769843</v>
      </c>
      <c r="BV41" s="412">
        <f t="shared" ref="BV41:CG41" si="38">SUM(BV39:BV40)</f>
        <v>17239.805999999997</v>
      </c>
      <c r="BW41" s="412">
        <f t="shared" si="38"/>
        <v>16223.650000000001</v>
      </c>
      <c r="BX41" s="412">
        <f t="shared" si="38"/>
        <v>38199.729999999996</v>
      </c>
      <c r="BY41" s="412">
        <f t="shared" si="38"/>
        <v>121615.76999999999</v>
      </c>
      <c r="BZ41" s="412">
        <f t="shared" si="38"/>
        <v>176027.96000000002</v>
      </c>
      <c r="CA41" s="412">
        <f t="shared" si="38"/>
        <v>51696.229999999996</v>
      </c>
      <c r="CB41" s="412">
        <f t="shared" si="38"/>
        <v>40203.839999999997</v>
      </c>
      <c r="CC41" s="412">
        <f t="shared" si="38"/>
        <v>42278.220999997204</v>
      </c>
      <c r="CD41" s="412">
        <f t="shared" si="38"/>
        <v>0</v>
      </c>
      <c r="CE41" s="412">
        <f t="shared" si="38"/>
        <v>0</v>
      </c>
      <c r="CF41" s="412">
        <f t="shared" si="38"/>
        <v>0</v>
      </c>
      <c r="CG41" s="412">
        <f t="shared" si="38"/>
        <v>0</v>
      </c>
      <c r="CH41" s="412">
        <f>SUM(BV41:CG41)</f>
        <v>503485.20699999714</v>
      </c>
      <c r="CI41" s="397">
        <f>CH41/$AV$42</f>
        <v>0.45171826958979722</v>
      </c>
      <c r="CJ41" s="380"/>
      <c r="CK41" s="394">
        <f t="shared" si="32"/>
        <v>3.3678428622569996</v>
      </c>
    </row>
    <row r="42" spans="2:89">
      <c r="B42" s="380" t="s">
        <v>64</v>
      </c>
      <c r="C42" s="380"/>
      <c r="D42" s="380"/>
      <c r="E42" s="412">
        <f t="shared" ref="E42:Q42" si="39">SUM(E29+E33+E37+E41)</f>
        <v>0</v>
      </c>
      <c r="F42" s="412">
        <f t="shared" si="39"/>
        <v>0</v>
      </c>
      <c r="G42" s="412">
        <f t="shared" si="39"/>
        <v>0</v>
      </c>
      <c r="H42" s="412">
        <f t="shared" si="39"/>
        <v>0</v>
      </c>
      <c r="I42" s="412">
        <f t="shared" si="39"/>
        <v>0</v>
      </c>
      <c r="J42" s="412">
        <f t="shared" si="39"/>
        <v>0</v>
      </c>
      <c r="K42" s="412">
        <f t="shared" si="39"/>
        <v>0</v>
      </c>
      <c r="L42" s="412">
        <f t="shared" si="39"/>
        <v>0</v>
      </c>
      <c r="M42" s="412">
        <f t="shared" si="39"/>
        <v>0</v>
      </c>
      <c r="N42" s="412">
        <f t="shared" si="39"/>
        <v>0</v>
      </c>
      <c r="O42" s="412">
        <f t="shared" si="39"/>
        <v>0</v>
      </c>
      <c r="P42" s="412">
        <f t="shared" si="39"/>
        <v>0</v>
      </c>
      <c r="Q42" s="412">
        <f t="shared" si="39"/>
        <v>0</v>
      </c>
      <c r="R42" s="380"/>
      <c r="S42" s="380"/>
      <c r="T42" s="412">
        <f t="shared" ref="T42:AF42" si="40">SUM(T29+T33+T37+T41)</f>
        <v>0</v>
      </c>
      <c r="U42" s="412">
        <f t="shared" si="40"/>
        <v>0</v>
      </c>
      <c r="V42" s="412">
        <f t="shared" si="40"/>
        <v>0</v>
      </c>
      <c r="W42" s="412">
        <f t="shared" si="40"/>
        <v>264.96000000000004</v>
      </c>
      <c r="X42" s="412">
        <f t="shared" si="40"/>
        <v>25152.7</v>
      </c>
      <c r="Y42" s="412">
        <f t="shared" si="40"/>
        <v>50128.88</v>
      </c>
      <c r="Z42" s="412">
        <f t="shared" si="40"/>
        <v>48014.809978000005</v>
      </c>
      <c r="AA42" s="412">
        <f t="shared" si="40"/>
        <v>43005.159999999996</v>
      </c>
      <c r="AB42" s="412">
        <f t="shared" si="40"/>
        <v>51757.14</v>
      </c>
      <c r="AC42" s="412">
        <f t="shared" si="40"/>
        <v>55629.64</v>
      </c>
      <c r="AD42" s="412">
        <f t="shared" si="40"/>
        <v>67394.700000000012</v>
      </c>
      <c r="AE42" s="412">
        <f t="shared" si="40"/>
        <v>88868.63</v>
      </c>
      <c r="AF42" s="412">
        <f t="shared" si="40"/>
        <v>430216.619978</v>
      </c>
      <c r="AG42" s="380"/>
      <c r="AH42" s="380"/>
      <c r="AI42" s="394" t="e">
        <f t="shared" si="21"/>
        <v>#DIV/0!</v>
      </c>
      <c r="AJ42" s="412">
        <f t="shared" ref="AJ42:AV42" si="41">SUM(AJ29+AJ33+AJ37+AJ41)</f>
        <v>50102.385618</v>
      </c>
      <c r="AK42" s="412">
        <f t="shared" si="41"/>
        <v>40309.601813000001</v>
      </c>
      <c r="AL42" s="412">
        <f t="shared" si="41"/>
        <v>40381.986064000004</v>
      </c>
      <c r="AM42" s="412">
        <f t="shared" si="41"/>
        <v>41297.594328000006</v>
      </c>
      <c r="AN42" s="412">
        <f t="shared" si="41"/>
        <v>46701.466194999994</v>
      </c>
      <c r="AO42" s="412">
        <f t="shared" si="41"/>
        <v>55566.882366999984</v>
      </c>
      <c r="AP42" s="412">
        <f t="shared" si="41"/>
        <v>58258.296115000005</v>
      </c>
      <c r="AQ42" s="412">
        <f t="shared" si="41"/>
        <v>65235.33</v>
      </c>
      <c r="AR42" s="412">
        <f t="shared" si="41"/>
        <v>86967.209999999992</v>
      </c>
      <c r="AS42" s="412">
        <f t="shared" si="41"/>
        <v>134263.41</v>
      </c>
      <c r="AT42" s="412">
        <f t="shared" si="41"/>
        <v>174099.45</v>
      </c>
      <c r="AU42" s="412">
        <f t="shared" si="41"/>
        <v>321416.44</v>
      </c>
      <c r="AV42" s="412">
        <f t="shared" si="41"/>
        <v>1114600.0525</v>
      </c>
      <c r="AW42" s="380"/>
      <c r="AX42" s="380"/>
      <c r="AY42" s="394">
        <f t="shared" si="22"/>
        <v>2.5907879908428395</v>
      </c>
      <c r="AZ42" s="380"/>
      <c r="BA42" s="406"/>
      <c r="BB42" s="398"/>
      <c r="BC42" s="398"/>
      <c r="BD42" s="412">
        <f t="shared" ref="BD42:BP42" si="42">SUM(BD29+BD33+BD37+BD41)</f>
        <v>116464.35496079709</v>
      </c>
      <c r="BE42" s="412">
        <f t="shared" si="42"/>
        <v>108949.09240136069</v>
      </c>
      <c r="BF42" s="412">
        <f t="shared" si="42"/>
        <v>128550.2152534223</v>
      </c>
      <c r="BG42" s="412">
        <f t="shared" si="42"/>
        <v>154839.99658922377</v>
      </c>
      <c r="BH42" s="412">
        <f t="shared" si="42"/>
        <v>161473.76661723448</v>
      </c>
      <c r="BI42" s="412">
        <f t="shared" si="42"/>
        <v>164184.04956211982</v>
      </c>
      <c r="BJ42" s="412">
        <f t="shared" si="42"/>
        <v>193615.47940502703</v>
      </c>
      <c r="BK42" s="412">
        <f t="shared" si="42"/>
        <v>201530.57748759145</v>
      </c>
      <c r="BL42" s="412">
        <f t="shared" si="42"/>
        <v>239693.67716068306</v>
      </c>
      <c r="BM42" s="412">
        <f t="shared" si="42"/>
        <v>310456.71410597704</v>
      </c>
      <c r="BN42" s="412">
        <f t="shared" si="42"/>
        <v>339222.22138561995</v>
      </c>
      <c r="BO42" s="412">
        <f t="shared" si="42"/>
        <v>423481.04588720767</v>
      </c>
      <c r="BP42" s="412">
        <f t="shared" si="42"/>
        <v>2542461.1908162641</v>
      </c>
      <c r="BQ42" s="385"/>
      <c r="BR42" s="385"/>
      <c r="BS42" s="384"/>
      <c r="BV42" s="412">
        <f t="shared" ref="BV42:CH42" si="43">SUM(BV29+BV33+BV37+BV41)</f>
        <v>165609.076</v>
      </c>
      <c r="BW42" s="412">
        <f t="shared" si="43"/>
        <v>134437.31</v>
      </c>
      <c r="BX42" s="412">
        <f t="shared" si="43"/>
        <v>206346.56</v>
      </c>
      <c r="BY42" s="412">
        <f t="shared" si="43"/>
        <v>291906.32</v>
      </c>
      <c r="BZ42" s="412">
        <f t="shared" si="43"/>
        <v>382814.50000000006</v>
      </c>
      <c r="CA42" s="412">
        <f t="shared" si="43"/>
        <v>283799.21000000002</v>
      </c>
      <c r="CB42" s="412">
        <f t="shared" si="43"/>
        <v>245091.68</v>
      </c>
      <c r="CC42" s="412">
        <f t="shared" si="43"/>
        <v>275584.86200001504</v>
      </c>
      <c r="CD42" s="412">
        <f t="shared" si="43"/>
        <v>0</v>
      </c>
      <c r="CE42" s="412">
        <f t="shared" si="43"/>
        <v>0</v>
      </c>
      <c r="CF42" s="412">
        <f t="shared" si="43"/>
        <v>0</v>
      </c>
      <c r="CG42" s="412">
        <f t="shared" si="43"/>
        <v>0</v>
      </c>
      <c r="CH42" s="412">
        <f t="shared" si="43"/>
        <v>1985589.5180000151</v>
      </c>
      <c r="CI42" s="380"/>
      <c r="CJ42" s="380"/>
      <c r="CK42" s="394">
        <f t="shared" si="32"/>
        <v>1.781436770567544</v>
      </c>
    </row>
    <row r="43" spans="2:89">
      <c r="C43" s="380"/>
      <c r="D43" s="380"/>
      <c r="E43" s="380"/>
      <c r="F43" s="380"/>
      <c r="G43" s="380"/>
      <c r="H43" s="380"/>
      <c r="I43" s="380"/>
      <c r="J43" s="380"/>
      <c r="K43" s="380"/>
      <c r="L43" s="380"/>
      <c r="M43" s="380"/>
      <c r="N43" s="380"/>
      <c r="O43" s="380"/>
      <c r="P43" s="380"/>
      <c r="Q43" s="380"/>
      <c r="R43" s="380"/>
      <c r="S43" s="380"/>
      <c r="T43" s="381"/>
      <c r="U43" s="381"/>
      <c r="V43" s="381"/>
      <c r="W43" s="381"/>
      <c r="X43" s="381"/>
      <c r="Y43" s="381"/>
      <c r="Z43" s="381"/>
      <c r="AA43" s="381"/>
      <c r="AB43" s="381"/>
      <c r="AC43" s="381"/>
      <c r="AD43" s="381"/>
      <c r="AE43" s="399"/>
      <c r="AF43" s="381"/>
      <c r="AG43" s="380"/>
      <c r="AH43" s="380"/>
      <c r="AI43" s="380"/>
      <c r="AJ43" s="380"/>
      <c r="AK43" s="380"/>
      <c r="AL43" s="380"/>
      <c r="AM43" s="380"/>
      <c r="AN43" s="380"/>
      <c r="AO43" s="380"/>
      <c r="AP43" s="380"/>
      <c r="AQ43" s="380"/>
      <c r="AR43" s="380"/>
      <c r="AS43" s="380"/>
      <c r="AT43" s="380"/>
      <c r="AU43" s="380"/>
      <c r="AV43" s="380"/>
      <c r="AW43" s="380"/>
      <c r="AX43" s="380"/>
      <c r="AY43" s="380"/>
      <c r="AZ43" s="380"/>
      <c r="BA43" s="380"/>
      <c r="BB43" s="398"/>
      <c r="BC43" s="398"/>
      <c r="BD43" s="384"/>
      <c r="BE43" s="384"/>
      <c r="BF43" s="384"/>
      <c r="BG43" s="384"/>
      <c r="BH43" s="384"/>
      <c r="BI43" s="384"/>
      <c r="BJ43" s="384"/>
      <c r="BK43" s="384"/>
      <c r="BL43" s="384"/>
      <c r="BM43" s="384"/>
      <c r="BN43" s="384"/>
      <c r="BO43" s="384"/>
      <c r="BP43" s="384"/>
      <c r="BQ43" s="385"/>
      <c r="BR43" s="385"/>
      <c r="BS43" s="384"/>
      <c r="BV43" s="380"/>
      <c r="BW43" s="380"/>
      <c r="BX43" s="380"/>
      <c r="BY43" s="380"/>
      <c r="BZ43" s="380"/>
      <c r="CA43" s="380"/>
      <c r="CB43" s="380"/>
      <c r="CC43" s="380"/>
      <c r="CD43" s="380"/>
      <c r="CE43" s="380"/>
      <c r="CF43" s="380"/>
      <c r="CG43" s="380"/>
      <c r="CH43" s="380"/>
      <c r="CI43" s="380"/>
      <c r="CJ43" s="380"/>
      <c r="CK43" s="380"/>
    </row>
    <row r="44" spans="2:89">
      <c r="BB44" s="403"/>
      <c r="BC44" s="403"/>
      <c r="BD44" s="417"/>
      <c r="BE44" s="417"/>
      <c r="BF44" s="417"/>
      <c r="BG44" s="417"/>
      <c r="BH44" s="417"/>
      <c r="BI44" s="417"/>
      <c r="BJ44" s="417"/>
      <c r="BK44" s="417"/>
      <c r="BL44" s="417"/>
      <c r="BM44" s="417"/>
      <c r="BN44" s="417"/>
      <c r="BO44" s="417"/>
      <c r="BP44" s="417"/>
    </row>
    <row r="45" spans="2:89">
      <c r="B45" s="380" t="s">
        <v>121</v>
      </c>
    </row>
    <row r="46" spans="2:89" hidden="1">
      <c r="T46" s="385"/>
      <c r="U46" s="385"/>
      <c r="V46" s="385"/>
      <c r="W46" s="385"/>
      <c r="X46" s="385"/>
      <c r="Y46" s="385"/>
      <c r="Z46" s="385"/>
      <c r="AA46" s="385"/>
      <c r="AB46" s="385"/>
      <c r="AC46" s="385"/>
      <c r="AD46" s="385"/>
      <c r="AE46" s="385"/>
      <c r="AF46" s="385"/>
      <c r="AJ46" s="385"/>
      <c r="AK46" s="385"/>
      <c r="AL46" s="385"/>
      <c r="AM46" s="385"/>
      <c r="AN46" s="385"/>
      <c r="AO46" s="385"/>
      <c r="AP46" s="385"/>
      <c r="AQ46" s="385"/>
      <c r="AR46" s="385"/>
      <c r="AS46" s="385"/>
      <c r="AT46" s="385"/>
      <c r="AU46" s="385"/>
      <c r="AV46" s="385"/>
      <c r="BD46" s="417"/>
      <c r="BE46" s="417"/>
      <c r="BF46" s="417"/>
      <c r="BG46" s="417"/>
      <c r="BH46" s="417"/>
      <c r="BI46" s="417"/>
      <c r="BJ46" s="417"/>
      <c r="BK46" s="417"/>
      <c r="BL46" s="417"/>
      <c r="BM46" s="417"/>
      <c r="BN46" s="417"/>
      <c r="BO46" s="417"/>
      <c r="BP46" s="385"/>
      <c r="BS46" s="379"/>
      <c r="BV46" s="385"/>
      <c r="BW46" s="385"/>
      <c r="BX46" s="385"/>
      <c r="BY46" s="385"/>
      <c r="BZ46" s="385"/>
      <c r="CA46" s="385"/>
      <c r="CB46" s="385"/>
      <c r="CC46" s="385"/>
      <c r="CD46" s="385"/>
      <c r="CE46" s="385"/>
      <c r="CF46" s="385"/>
      <c r="CG46" s="385"/>
      <c r="CH46" s="385"/>
    </row>
    <row r="47" spans="2:89" hidden="1">
      <c r="T47" s="379"/>
      <c r="U47" s="379"/>
      <c r="V47" s="379"/>
      <c r="W47" s="379"/>
      <c r="X47" s="379"/>
      <c r="Y47" s="379"/>
      <c r="Z47" s="379"/>
      <c r="AA47" s="379"/>
      <c r="AB47" s="379"/>
      <c r="AC47" s="379"/>
      <c r="AD47" s="379"/>
      <c r="AE47" s="379"/>
      <c r="AF47" s="379"/>
      <c r="AG47" s="418"/>
      <c r="AJ47" s="379"/>
      <c r="AK47" s="379"/>
      <c r="AL47" s="379"/>
      <c r="AM47" s="379"/>
      <c r="AN47" s="379"/>
      <c r="AO47" s="379"/>
      <c r="AP47" s="379"/>
      <c r="AQ47" s="379"/>
      <c r="AR47" s="379"/>
      <c r="AS47" s="379"/>
      <c r="AT47" s="379"/>
      <c r="AU47" s="379"/>
      <c r="AV47" s="379"/>
      <c r="BA47" s="388"/>
      <c r="BB47" s="418"/>
      <c r="BC47" s="418"/>
      <c r="BD47" s="419"/>
      <c r="BE47" s="419"/>
      <c r="BF47" s="419"/>
      <c r="BG47" s="419"/>
      <c r="BH47" s="419"/>
      <c r="BI47" s="419"/>
      <c r="BJ47" s="419"/>
      <c r="BK47" s="419"/>
      <c r="BL47" s="419"/>
      <c r="BM47" s="419"/>
      <c r="BN47" s="419"/>
      <c r="BO47" s="419"/>
      <c r="BP47" s="379"/>
      <c r="BQ47" s="379"/>
      <c r="BR47" s="379"/>
      <c r="BS47" s="379"/>
      <c r="BV47" s="379"/>
      <c r="BW47" s="379"/>
      <c r="BX47" s="379"/>
      <c r="BY47" s="379"/>
      <c r="BZ47" s="379"/>
      <c r="CA47" s="379"/>
      <c r="CB47" s="379"/>
      <c r="CC47" s="379"/>
      <c r="CD47" s="379"/>
      <c r="CE47" s="379"/>
      <c r="CF47" s="379"/>
      <c r="CG47" s="379"/>
      <c r="CH47" s="379"/>
    </row>
    <row r="48" spans="2:89" hidden="1">
      <c r="T48" s="420"/>
      <c r="U48" s="420"/>
      <c r="V48" s="420"/>
      <c r="W48" s="420"/>
      <c r="X48" s="420"/>
      <c r="Y48" s="420"/>
      <c r="Z48" s="420"/>
      <c r="AA48" s="420"/>
      <c r="AB48" s="420"/>
      <c r="AC48" s="420"/>
      <c r="AD48" s="420"/>
      <c r="AE48" s="420"/>
      <c r="AF48" s="420"/>
      <c r="AJ48" s="420"/>
      <c r="AK48" s="420"/>
      <c r="AL48" s="420"/>
      <c r="AM48" s="420"/>
      <c r="AN48" s="420"/>
      <c r="AO48" s="420"/>
      <c r="AP48" s="420"/>
      <c r="AQ48" s="420"/>
      <c r="AR48" s="420"/>
      <c r="AS48" s="420"/>
      <c r="AT48" s="420"/>
      <c r="AU48" s="420"/>
      <c r="AV48" s="420"/>
      <c r="BA48" s="388"/>
      <c r="BB48" s="420"/>
      <c r="BC48" s="420"/>
      <c r="BD48" s="420"/>
      <c r="BE48" s="420"/>
      <c r="BF48" s="420"/>
      <c r="BG48" s="420"/>
      <c r="BH48" s="420"/>
      <c r="BI48" s="420"/>
      <c r="BJ48" s="420"/>
      <c r="BK48" s="420"/>
      <c r="BL48" s="420"/>
      <c r="BM48" s="420"/>
      <c r="BN48" s="420"/>
      <c r="BO48" s="420"/>
      <c r="BP48" s="420"/>
      <c r="BQ48" s="379"/>
      <c r="BR48" s="379"/>
      <c r="BS48" s="379"/>
      <c r="BV48" s="420"/>
      <c r="BW48" s="420"/>
      <c r="BX48" s="420"/>
      <c r="BY48" s="420"/>
      <c r="BZ48" s="420"/>
      <c r="CA48" s="420"/>
      <c r="CB48" s="420"/>
      <c r="CC48" s="420"/>
      <c r="CD48" s="420"/>
      <c r="CE48" s="420"/>
      <c r="CF48" s="420"/>
      <c r="CG48" s="420"/>
      <c r="CH48" s="420"/>
    </row>
    <row r="49" spans="1:86" hidden="1">
      <c r="D49" s="388"/>
      <c r="E49" s="388"/>
      <c r="F49" s="388"/>
      <c r="G49" s="388"/>
      <c r="H49" s="388"/>
      <c r="I49" s="388"/>
      <c r="J49" s="388"/>
      <c r="K49" s="388"/>
      <c r="L49" s="388"/>
      <c r="M49" s="388"/>
      <c r="N49" s="388"/>
      <c r="O49" s="388"/>
      <c r="P49" s="388"/>
      <c r="Q49" s="388"/>
      <c r="R49" s="388"/>
      <c r="S49" s="388"/>
      <c r="T49" s="420"/>
      <c r="U49" s="420"/>
      <c r="V49" s="420"/>
      <c r="W49" s="420"/>
      <c r="X49" s="420"/>
      <c r="Y49" s="420"/>
      <c r="Z49" s="420"/>
      <c r="AA49" s="420"/>
      <c r="AB49" s="420"/>
      <c r="AC49" s="420"/>
      <c r="AD49" s="420"/>
      <c r="AE49" s="420"/>
      <c r="AF49" s="420"/>
      <c r="AJ49" s="420"/>
      <c r="AK49" s="420"/>
      <c r="AL49" s="420"/>
      <c r="AM49" s="420"/>
      <c r="AN49" s="420"/>
      <c r="AO49" s="420"/>
      <c r="AP49" s="420"/>
      <c r="AQ49" s="420"/>
      <c r="AR49" s="420"/>
      <c r="AS49" s="420"/>
      <c r="AT49" s="420"/>
      <c r="AU49" s="420"/>
      <c r="AV49" s="420"/>
      <c r="BD49" s="415"/>
      <c r="BE49" s="415"/>
      <c r="BF49" s="415"/>
      <c r="BG49" s="415"/>
      <c r="BH49" s="415"/>
      <c r="BI49" s="415"/>
      <c r="BJ49" s="415"/>
      <c r="BK49" s="415"/>
      <c r="BL49" s="415"/>
      <c r="BM49" s="415"/>
      <c r="BN49" s="415"/>
      <c r="BO49" s="415"/>
      <c r="BP49" s="415"/>
      <c r="BV49" s="420"/>
      <c r="BW49" s="420"/>
      <c r="BX49" s="420"/>
      <c r="BY49" s="420"/>
      <c r="BZ49" s="420"/>
      <c r="CA49" s="420"/>
      <c r="CB49" s="420"/>
      <c r="CC49" s="420"/>
      <c r="CD49" s="420"/>
      <c r="CE49" s="420"/>
      <c r="CF49" s="420"/>
      <c r="CG49" s="420"/>
      <c r="CH49" s="420"/>
    </row>
    <row r="50" spans="1:86" s="380" customFormat="1" ht="13.2" hidden="1">
      <c r="D50" s="382"/>
      <c r="E50" s="382"/>
      <c r="F50" s="382"/>
      <c r="G50" s="382"/>
      <c r="H50" s="382"/>
      <c r="I50" s="382"/>
      <c r="J50" s="382"/>
      <c r="K50" s="382"/>
      <c r="L50" s="382"/>
      <c r="M50" s="382"/>
      <c r="N50" s="382"/>
      <c r="O50" s="382"/>
      <c r="P50" s="382"/>
      <c r="Q50" s="382"/>
      <c r="R50" s="382"/>
      <c r="S50" s="382"/>
      <c r="T50" s="422"/>
      <c r="U50" s="422"/>
      <c r="V50" s="422"/>
      <c r="W50" s="422"/>
      <c r="X50" s="422"/>
      <c r="Y50" s="422"/>
      <c r="Z50" s="422"/>
      <c r="AA50" s="422"/>
      <c r="AB50" s="422"/>
      <c r="AC50" s="422"/>
      <c r="AD50" s="422"/>
      <c r="AE50" s="422"/>
      <c r="AF50" s="422"/>
      <c r="AH50" s="382"/>
      <c r="AI50" s="382"/>
      <c r="AJ50" s="422"/>
      <c r="AK50" s="422"/>
      <c r="AL50" s="422"/>
      <c r="AM50" s="422"/>
      <c r="AN50" s="422"/>
      <c r="AO50" s="422"/>
      <c r="AP50" s="422"/>
      <c r="AQ50" s="422"/>
      <c r="AR50" s="422"/>
      <c r="AS50" s="422"/>
      <c r="AT50" s="422"/>
      <c r="AU50" s="422"/>
      <c r="AV50" s="422"/>
      <c r="BB50" s="382"/>
      <c r="BC50" s="382"/>
      <c r="BD50" s="413"/>
      <c r="BE50" s="413"/>
      <c r="BF50" s="413"/>
      <c r="BG50" s="413"/>
      <c r="BH50" s="413"/>
      <c r="BI50" s="413"/>
      <c r="BJ50" s="413"/>
      <c r="BK50" s="413"/>
      <c r="BL50" s="413"/>
      <c r="BM50" s="413"/>
      <c r="BN50" s="413"/>
      <c r="BO50" s="413"/>
      <c r="BP50" s="412"/>
      <c r="BU50" s="382"/>
      <c r="BV50" s="422"/>
      <c r="BW50" s="422"/>
      <c r="BX50" s="422"/>
      <c r="BY50" s="422"/>
      <c r="BZ50" s="422"/>
      <c r="CA50" s="422"/>
      <c r="CB50" s="422"/>
      <c r="CC50" s="422"/>
      <c r="CD50" s="422"/>
      <c r="CE50" s="422"/>
      <c r="CF50" s="422"/>
      <c r="CG50" s="422"/>
      <c r="CH50" s="422"/>
    </row>
    <row r="51" spans="1:86" s="380" customFormat="1" ht="13.2" hidden="1">
      <c r="D51" s="382"/>
      <c r="E51" s="382"/>
      <c r="F51" s="382"/>
      <c r="G51" s="382"/>
      <c r="H51" s="382"/>
      <c r="I51" s="382"/>
      <c r="J51" s="382"/>
      <c r="K51" s="382"/>
      <c r="L51" s="382"/>
      <c r="M51" s="382"/>
      <c r="N51" s="382"/>
      <c r="O51" s="382"/>
      <c r="P51" s="382"/>
      <c r="Q51" s="382"/>
      <c r="R51" s="382"/>
      <c r="S51" s="382"/>
      <c r="T51" s="422"/>
      <c r="U51" s="422"/>
      <c r="V51" s="422"/>
      <c r="W51" s="422"/>
      <c r="X51" s="422"/>
      <c r="Y51" s="422"/>
      <c r="Z51" s="422"/>
      <c r="AA51" s="422"/>
      <c r="AB51" s="422"/>
      <c r="AC51" s="422"/>
      <c r="AD51" s="422"/>
      <c r="AE51" s="422"/>
      <c r="AF51" s="422"/>
      <c r="AH51" s="382"/>
      <c r="AI51" s="382"/>
      <c r="AJ51" s="422"/>
      <c r="AK51" s="422"/>
      <c r="AL51" s="422"/>
      <c r="AM51" s="422"/>
      <c r="AN51" s="422"/>
      <c r="AO51" s="422"/>
      <c r="AP51" s="422"/>
      <c r="AQ51" s="422"/>
      <c r="AR51" s="422"/>
      <c r="AV51" s="422"/>
      <c r="BB51" s="382"/>
      <c r="BC51" s="382"/>
      <c r="BD51" s="423"/>
      <c r="BE51" s="423"/>
      <c r="BF51" s="423"/>
      <c r="BG51" s="423"/>
      <c r="BH51" s="423"/>
      <c r="BI51" s="423"/>
      <c r="BJ51" s="423"/>
      <c r="BK51" s="423"/>
      <c r="BL51" s="423"/>
      <c r="BM51" s="423"/>
      <c r="BN51" s="423"/>
      <c r="BO51" s="423"/>
      <c r="BP51" s="422"/>
      <c r="BV51" s="422"/>
      <c r="BW51" s="422"/>
      <c r="BX51" s="422"/>
      <c r="BY51" s="422"/>
      <c r="BZ51" s="422"/>
      <c r="CA51" s="422"/>
      <c r="CB51" s="422"/>
      <c r="CC51" s="422"/>
      <c r="CD51" s="422"/>
      <c r="CH51" s="422"/>
    </row>
    <row r="52" spans="1:86" hidden="1">
      <c r="T52" s="385"/>
      <c r="U52" s="385"/>
      <c r="V52" s="385"/>
      <c r="W52" s="385"/>
      <c r="X52" s="385"/>
      <c r="Y52" s="385"/>
      <c r="Z52" s="385"/>
      <c r="AA52" s="385"/>
      <c r="AB52" s="385"/>
      <c r="AC52" s="385"/>
      <c r="AD52" s="385"/>
      <c r="AE52" s="385"/>
      <c r="AF52" s="385"/>
      <c r="AJ52" s="385"/>
      <c r="AK52" s="385"/>
      <c r="AL52" s="385"/>
      <c r="AM52" s="385"/>
      <c r="AN52" s="385"/>
      <c r="AO52" s="385"/>
      <c r="AP52" s="385"/>
      <c r="AQ52" s="385"/>
      <c r="AR52" s="385"/>
      <c r="AS52" s="385"/>
      <c r="AT52" s="385"/>
      <c r="AU52" s="385"/>
      <c r="AV52" s="385"/>
      <c r="BD52" s="417"/>
      <c r="BE52" s="417"/>
      <c r="BF52" s="417"/>
      <c r="BG52" s="417"/>
      <c r="BH52" s="417"/>
      <c r="BI52" s="417"/>
      <c r="BJ52" s="417"/>
      <c r="BK52" s="417"/>
      <c r="BL52" s="417"/>
      <c r="BM52" s="417"/>
      <c r="BN52" s="417"/>
      <c r="BO52" s="417"/>
      <c r="BP52" s="385"/>
      <c r="BV52" s="385"/>
      <c r="BW52" s="385"/>
      <c r="BX52" s="385"/>
      <c r="BY52" s="385"/>
      <c r="BZ52" s="385"/>
      <c r="CA52" s="385"/>
      <c r="CB52" s="385"/>
      <c r="CC52" s="385"/>
      <c r="CD52" s="385"/>
      <c r="CE52" s="385"/>
      <c r="CF52" s="385"/>
      <c r="CG52" s="385"/>
      <c r="CH52" s="385"/>
    </row>
    <row r="53" spans="1:86" hidden="1">
      <c r="T53" s="379"/>
      <c r="U53" s="379"/>
      <c r="V53" s="379"/>
      <c r="W53" s="379"/>
      <c r="X53" s="379"/>
      <c r="Y53" s="379"/>
      <c r="Z53" s="379"/>
      <c r="AA53" s="379"/>
      <c r="AB53" s="379"/>
      <c r="AC53" s="379"/>
      <c r="AD53" s="379"/>
      <c r="AE53" s="379"/>
      <c r="AF53" s="379"/>
      <c r="AG53" s="418"/>
      <c r="AJ53" s="379"/>
      <c r="AK53" s="379"/>
      <c r="AL53" s="379"/>
      <c r="AM53" s="379"/>
      <c r="AN53" s="379"/>
      <c r="AO53" s="379"/>
      <c r="AP53" s="379"/>
      <c r="AQ53" s="379"/>
      <c r="AR53" s="379"/>
      <c r="AS53" s="379"/>
      <c r="AT53" s="379"/>
      <c r="AU53" s="379"/>
      <c r="AV53" s="379"/>
      <c r="BA53" s="388"/>
      <c r="BB53" s="418"/>
      <c r="BC53" s="418"/>
      <c r="BD53" s="419"/>
      <c r="BE53" s="419"/>
      <c r="BF53" s="419"/>
      <c r="BG53" s="419"/>
      <c r="BH53" s="419"/>
      <c r="BI53" s="419"/>
      <c r="BJ53" s="419"/>
      <c r="BK53" s="419"/>
      <c r="BL53" s="419"/>
      <c r="BM53" s="419"/>
      <c r="BN53" s="419"/>
      <c r="BO53" s="419"/>
      <c r="BP53" s="379"/>
      <c r="BQ53" s="379"/>
      <c r="BR53" s="379"/>
      <c r="BS53" s="379"/>
      <c r="BV53" s="379"/>
      <c r="BW53" s="379"/>
      <c r="BX53" s="379"/>
      <c r="BY53" s="379"/>
      <c r="BZ53" s="379"/>
      <c r="CA53" s="379"/>
      <c r="CB53" s="379"/>
      <c r="CC53" s="379"/>
      <c r="CD53" s="379"/>
      <c r="CE53" s="379"/>
      <c r="CF53" s="379"/>
      <c r="CG53" s="379"/>
      <c r="CH53" s="379"/>
    </row>
    <row r="54" spans="1:86" hidden="1">
      <c r="T54" s="420"/>
      <c r="U54" s="420"/>
      <c r="V54" s="420"/>
      <c r="W54" s="420"/>
      <c r="X54" s="420"/>
      <c r="Y54" s="420"/>
      <c r="Z54" s="420"/>
      <c r="AA54" s="420"/>
      <c r="AB54" s="420"/>
      <c r="AC54" s="420"/>
      <c r="AD54" s="420"/>
      <c r="AE54" s="420"/>
      <c r="AF54" s="420"/>
      <c r="AJ54" s="420"/>
      <c r="AK54" s="420"/>
      <c r="AL54" s="420"/>
      <c r="AM54" s="420"/>
      <c r="AN54" s="420"/>
      <c r="AO54" s="420"/>
      <c r="AP54" s="420"/>
      <c r="AQ54" s="420"/>
      <c r="AR54" s="420"/>
      <c r="AS54" s="420"/>
      <c r="AT54" s="420"/>
      <c r="AU54" s="420"/>
      <c r="AV54" s="420"/>
      <c r="BA54" s="388"/>
      <c r="BB54" s="420"/>
      <c r="BC54" s="420"/>
      <c r="BD54" s="420"/>
      <c r="BE54" s="420"/>
      <c r="BF54" s="420"/>
      <c r="BG54" s="420"/>
      <c r="BH54" s="420"/>
      <c r="BI54" s="420"/>
      <c r="BJ54" s="420"/>
      <c r="BK54" s="420"/>
      <c r="BL54" s="420"/>
      <c r="BM54" s="420"/>
      <c r="BN54" s="420"/>
      <c r="BO54" s="420"/>
      <c r="BP54" s="420"/>
      <c r="BQ54" s="379"/>
      <c r="BR54" s="379"/>
      <c r="BS54" s="379"/>
      <c r="BV54" s="420"/>
      <c r="BW54" s="420"/>
      <c r="BX54" s="420"/>
      <c r="BY54" s="420"/>
      <c r="BZ54" s="420"/>
      <c r="CA54" s="420"/>
      <c r="CB54" s="420"/>
      <c r="CC54" s="420"/>
      <c r="CD54" s="420"/>
      <c r="CE54" s="420"/>
      <c r="CF54" s="420"/>
      <c r="CG54" s="420"/>
      <c r="CH54" s="420"/>
    </row>
    <row r="55" spans="1:86" hidden="1">
      <c r="D55" s="388"/>
      <c r="E55" s="388"/>
      <c r="F55" s="388"/>
      <c r="G55" s="388"/>
      <c r="H55" s="388"/>
      <c r="I55" s="388"/>
      <c r="J55" s="388"/>
      <c r="K55" s="388"/>
      <c r="L55" s="388"/>
      <c r="M55" s="388"/>
      <c r="N55" s="388"/>
      <c r="O55" s="388"/>
      <c r="P55" s="388"/>
      <c r="Q55" s="388"/>
      <c r="R55" s="388"/>
      <c r="S55" s="388"/>
      <c r="T55" s="420"/>
      <c r="U55" s="420"/>
      <c r="V55" s="420"/>
      <c r="W55" s="420"/>
      <c r="X55" s="420"/>
      <c r="Y55" s="420"/>
      <c r="Z55" s="420"/>
      <c r="AA55" s="420"/>
      <c r="AB55" s="420"/>
      <c r="AC55" s="420"/>
      <c r="AD55" s="420"/>
      <c r="AE55" s="420"/>
      <c r="AF55" s="420"/>
      <c r="AJ55" s="420"/>
      <c r="AK55" s="420"/>
      <c r="AL55" s="420"/>
      <c r="AM55" s="420"/>
      <c r="AN55" s="420"/>
      <c r="AO55" s="420"/>
      <c r="AP55" s="420"/>
      <c r="AQ55" s="420"/>
      <c r="AR55" s="420"/>
      <c r="AS55" s="420"/>
      <c r="AT55" s="420"/>
      <c r="AU55" s="420"/>
      <c r="AV55" s="420"/>
      <c r="BD55" s="415"/>
      <c r="BE55" s="415"/>
      <c r="BF55" s="415"/>
      <c r="BG55" s="415"/>
      <c r="BH55" s="415"/>
      <c r="BI55" s="415"/>
      <c r="BJ55" s="415"/>
      <c r="BK55" s="415"/>
      <c r="BL55" s="415"/>
      <c r="BM55" s="415"/>
      <c r="BN55" s="415"/>
      <c r="BO55" s="415"/>
      <c r="BP55" s="415"/>
      <c r="BV55" s="420"/>
      <c r="BW55" s="420"/>
      <c r="BX55" s="420"/>
      <c r="BY55" s="420"/>
      <c r="BZ55" s="420"/>
      <c r="CA55" s="420"/>
      <c r="CB55" s="420"/>
      <c r="CC55" s="420"/>
      <c r="CD55" s="420"/>
      <c r="CE55" s="420"/>
      <c r="CF55" s="420"/>
      <c r="CG55" s="420"/>
      <c r="CH55" s="420"/>
    </row>
    <row r="56" spans="1:86" s="380" customFormat="1" ht="13.2" hidden="1">
      <c r="D56" s="382"/>
      <c r="E56" s="382"/>
      <c r="F56" s="382"/>
      <c r="G56" s="382"/>
      <c r="H56" s="382"/>
      <c r="I56" s="382"/>
      <c r="J56" s="382"/>
      <c r="K56" s="382"/>
      <c r="L56" s="382"/>
      <c r="M56" s="382"/>
      <c r="N56" s="382"/>
      <c r="O56" s="382"/>
      <c r="P56" s="382"/>
      <c r="Q56" s="382"/>
      <c r="R56" s="382"/>
      <c r="S56" s="382"/>
      <c r="T56" s="422"/>
      <c r="U56" s="422"/>
      <c r="V56" s="422"/>
      <c r="W56" s="422"/>
      <c r="X56" s="422"/>
      <c r="Y56" s="422"/>
      <c r="Z56" s="422"/>
      <c r="AA56" s="422"/>
      <c r="AB56" s="422"/>
      <c r="AC56" s="422"/>
      <c r="AD56" s="422"/>
      <c r="AE56" s="422"/>
      <c r="AF56" s="422"/>
      <c r="AH56" s="382"/>
      <c r="AI56" s="382"/>
      <c r="AJ56" s="422"/>
      <c r="AK56" s="422"/>
      <c r="AL56" s="422"/>
      <c r="AM56" s="422"/>
      <c r="AN56" s="422"/>
      <c r="AO56" s="422"/>
      <c r="AP56" s="422"/>
      <c r="AQ56" s="422"/>
      <c r="AR56" s="422"/>
      <c r="AS56" s="422"/>
      <c r="AT56" s="422"/>
      <c r="AU56" s="422"/>
      <c r="AV56" s="422"/>
      <c r="BB56" s="382"/>
      <c r="BC56" s="382"/>
      <c r="BD56" s="413"/>
      <c r="BE56" s="413"/>
      <c r="BF56" s="413"/>
      <c r="BG56" s="413"/>
      <c r="BH56" s="413"/>
      <c r="BI56" s="413"/>
      <c r="BJ56" s="413"/>
      <c r="BK56" s="413"/>
      <c r="BL56" s="413"/>
      <c r="BM56" s="413"/>
      <c r="BN56" s="413"/>
      <c r="BO56" s="413"/>
      <c r="BP56" s="412"/>
      <c r="BU56" s="382"/>
      <c r="BV56" s="422"/>
      <c r="BW56" s="422"/>
      <c r="BX56" s="422"/>
      <c r="BY56" s="422"/>
      <c r="BZ56" s="422"/>
      <c r="CA56" s="422"/>
      <c r="CB56" s="422"/>
      <c r="CC56" s="422"/>
      <c r="CD56" s="422"/>
      <c r="CE56" s="422"/>
      <c r="CF56" s="422"/>
      <c r="CG56" s="422"/>
      <c r="CH56" s="422"/>
    </row>
    <row r="57" spans="1:86" hidden="1"/>
    <row r="58" spans="1:86">
      <c r="A58" s="372" t="s">
        <v>73</v>
      </c>
      <c r="T58" s="385">
        <v>0</v>
      </c>
      <c r="U58" s="385">
        <v>0</v>
      </c>
      <c r="V58" s="385">
        <v>0</v>
      </c>
      <c r="W58" s="385">
        <v>86578</v>
      </c>
      <c r="X58" s="385">
        <v>89365210</v>
      </c>
      <c r="Y58" s="385">
        <v>161797166</v>
      </c>
      <c r="Z58" s="385">
        <v>155807609</v>
      </c>
      <c r="AA58" s="385">
        <v>155675208</v>
      </c>
      <c r="AB58" s="385">
        <v>155332773</v>
      </c>
      <c r="AC58" s="385">
        <v>171530898</v>
      </c>
      <c r="AD58" s="385">
        <v>179747828</v>
      </c>
      <c r="AE58" s="385">
        <v>192908953</v>
      </c>
      <c r="AF58" s="385">
        <f>SUM(T58:AE58)</f>
        <v>1262252223</v>
      </c>
      <c r="AJ58" s="385">
        <f>AJ17</f>
        <v>199821673</v>
      </c>
      <c r="AK58" s="385">
        <f t="shared" ref="AK58:AU58" si="44">AK17</f>
        <v>180432964</v>
      </c>
      <c r="AL58" s="385">
        <f t="shared" si="44"/>
        <v>213199294</v>
      </c>
      <c r="AM58" s="385">
        <f t="shared" si="44"/>
        <v>247646617</v>
      </c>
      <c r="AN58" s="385">
        <f t="shared" si="44"/>
        <v>259872566</v>
      </c>
      <c r="AO58" s="385">
        <f t="shared" si="44"/>
        <v>262823780</v>
      </c>
      <c r="AP58" s="385">
        <f t="shared" si="44"/>
        <v>324125360</v>
      </c>
      <c r="AQ58" s="385">
        <f t="shared" si="44"/>
        <v>319402886</v>
      </c>
      <c r="AR58" s="385">
        <f t="shared" si="44"/>
        <v>423005943</v>
      </c>
      <c r="AS58" s="385">
        <f t="shared" si="44"/>
        <v>564195619</v>
      </c>
      <c r="AT58" s="385">
        <f t="shared" si="44"/>
        <v>607896560</v>
      </c>
      <c r="AU58" s="385">
        <f t="shared" si="44"/>
        <v>790265528</v>
      </c>
      <c r="AV58" s="385">
        <f>SUM(AJ58:AU58)</f>
        <v>4392688790</v>
      </c>
      <c r="BD58" s="417">
        <f t="shared" ref="BD58:BO58" si="45">BD17</f>
        <v>503884939.99291492</v>
      </c>
      <c r="BE58" s="417">
        <f t="shared" si="45"/>
        <v>471370033.39280277</v>
      </c>
      <c r="BF58" s="417">
        <f t="shared" si="45"/>
        <v>556174612.57438505</v>
      </c>
      <c r="BG58" s="417">
        <f t="shared" si="45"/>
        <v>669917782.27876568</v>
      </c>
      <c r="BH58" s="417">
        <f t="shared" si="45"/>
        <v>698618896.99851084</v>
      </c>
      <c r="BI58" s="417">
        <f t="shared" si="45"/>
        <v>710344980.56723094</v>
      </c>
      <c r="BJ58" s="417">
        <f t="shared" si="45"/>
        <v>837680544.01315296</v>
      </c>
      <c r="BK58" s="417">
        <f t="shared" si="45"/>
        <v>871925345.55533755</v>
      </c>
      <c r="BL58" s="417">
        <f t="shared" si="45"/>
        <v>1037038621.5889556</v>
      </c>
      <c r="BM58" s="417">
        <f t="shared" si="45"/>
        <v>1343196060.3769705</v>
      </c>
      <c r="BN58" s="417">
        <f t="shared" si="45"/>
        <v>1467650498.9418654</v>
      </c>
      <c r="BO58" s="417">
        <f t="shared" si="45"/>
        <v>1832197683.7191079</v>
      </c>
      <c r="BP58" s="385">
        <f>SUM(BD58:BO58)</f>
        <v>11000000000.000002</v>
      </c>
      <c r="BU58" s="407"/>
      <c r="BV58" s="385">
        <f>BV17</f>
        <v>712243496</v>
      </c>
      <c r="BW58" s="385">
        <f t="shared" ref="BW58:CG58" si="46">BW17</f>
        <v>640353919</v>
      </c>
      <c r="BX58" s="385">
        <f t="shared" si="46"/>
        <v>663392460</v>
      </c>
      <c r="BY58" s="385">
        <f t="shared" si="46"/>
        <v>693831478</v>
      </c>
      <c r="BZ58" s="385">
        <f t="shared" si="46"/>
        <v>796396532</v>
      </c>
      <c r="CA58" s="385">
        <f t="shared" si="46"/>
        <v>913021074</v>
      </c>
      <c r="CB58" s="385">
        <f t="shared" si="46"/>
        <v>907602165</v>
      </c>
      <c r="CC58" s="385">
        <f t="shared" si="46"/>
        <v>810832920</v>
      </c>
      <c r="CD58" s="385">
        <f t="shared" si="46"/>
        <v>0</v>
      </c>
      <c r="CE58" s="385">
        <f t="shared" si="46"/>
        <v>0</v>
      </c>
      <c r="CF58" s="385">
        <f t="shared" si="46"/>
        <v>0</v>
      </c>
      <c r="CG58" s="385">
        <f t="shared" si="46"/>
        <v>0</v>
      </c>
      <c r="CH58" s="385">
        <f>SUM(BV58:CG58)</f>
        <v>6137674044</v>
      </c>
    </row>
    <row r="59" spans="1:86">
      <c r="C59" s="372" t="s">
        <v>110</v>
      </c>
      <c r="T59" s="379"/>
      <c r="U59" s="379"/>
      <c r="V59" s="379"/>
      <c r="W59" s="379">
        <v>0.27120053593291599</v>
      </c>
      <c r="X59" s="379">
        <v>0.28423989604008093</v>
      </c>
      <c r="Y59" s="379">
        <v>0.2940446126231902</v>
      </c>
      <c r="Z59" s="379">
        <v>0.3065690135839258</v>
      </c>
      <c r="AA59" s="379">
        <v>0.31538538878971661</v>
      </c>
      <c r="AB59" s="379">
        <v>0.29297909042596509</v>
      </c>
      <c r="AC59" s="379">
        <v>0.33256532592746058</v>
      </c>
      <c r="AD59" s="379">
        <v>0.33955481231183499</v>
      </c>
      <c r="AE59" s="379">
        <v>0.42386310685676121</v>
      </c>
      <c r="AF59" s="379">
        <f>AVERAGE(T59:AE59)</f>
        <v>0.31782242027687235</v>
      </c>
      <c r="AG59" s="418">
        <f>AVERAGE(T59:AB59)</f>
        <v>0.29406975623263243</v>
      </c>
      <c r="AJ59" s="379">
        <v>0.29061138428162392</v>
      </c>
      <c r="AK59" s="379">
        <v>0.24041750862324537</v>
      </c>
      <c r="AL59" s="379">
        <v>0.23957395582723651</v>
      </c>
      <c r="AM59" s="379">
        <v>0.20004740988080358</v>
      </c>
      <c r="AN59" s="379">
        <v>0.21859457955282294</v>
      </c>
      <c r="AO59" s="379">
        <v>0.20276847520544919</v>
      </c>
      <c r="AP59" s="379">
        <v>0.21734704772887697</v>
      </c>
      <c r="AQ59" s="379">
        <v>0.23374020804913453</v>
      </c>
      <c r="AR59" s="379">
        <v>0.28616009216749971</v>
      </c>
      <c r="AS59" s="379">
        <f>178329828/AS58</f>
        <v>0.31607800910627065</v>
      </c>
      <c r="AT59" s="379">
        <f>199045706/AT58</f>
        <v>0.32743351270156884</v>
      </c>
      <c r="AU59" s="379">
        <f>331144549/AU58</f>
        <v>0.41902947460970358</v>
      </c>
      <c r="AV59" s="379">
        <f>AVERAGE(AJ59:AU59)</f>
        <v>0.26598347147785301</v>
      </c>
      <c r="BA59" s="388">
        <v>0.02</v>
      </c>
      <c r="BB59" s="418">
        <f>AVERAGE(AJ59:AR59,AC59:AE59)*(100%+BA59)</f>
        <v>0.27414573204508369</v>
      </c>
      <c r="BC59" s="418"/>
      <c r="BD59" s="419">
        <f>BB59</f>
        <v>0.27414573204508369</v>
      </c>
      <c r="BE59" s="419">
        <f>BD59</f>
        <v>0.27414573204508369</v>
      </c>
      <c r="BF59" s="419">
        <f t="shared" ref="BF59:BO60" si="47">BE59</f>
        <v>0.27414573204508369</v>
      </c>
      <c r="BG59" s="419">
        <f t="shared" si="47"/>
        <v>0.27414573204508369</v>
      </c>
      <c r="BH59" s="419">
        <f t="shared" si="47"/>
        <v>0.27414573204508369</v>
      </c>
      <c r="BI59" s="419">
        <f t="shared" si="47"/>
        <v>0.27414573204508369</v>
      </c>
      <c r="BJ59" s="419">
        <f t="shared" si="47"/>
        <v>0.27414573204508369</v>
      </c>
      <c r="BK59" s="419">
        <f t="shared" si="47"/>
        <v>0.27414573204508369</v>
      </c>
      <c r="BL59" s="419">
        <f t="shared" si="47"/>
        <v>0.27414573204508369</v>
      </c>
      <c r="BM59" s="419">
        <f t="shared" si="47"/>
        <v>0.27414573204508369</v>
      </c>
      <c r="BN59" s="419">
        <f t="shared" si="47"/>
        <v>0.27414573204508369</v>
      </c>
      <c r="BO59" s="419">
        <f t="shared" si="47"/>
        <v>0.27414573204508369</v>
      </c>
      <c r="BP59" s="379">
        <f>AVERAGE(BD59:BO59)</f>
        <v>0.27414573204508363</v>
      </c>
      <c r="BQ59" s="379">
        <f>BP59/AV59</f>
        <v>1.030687096915758</v>
      </c>
      <c r="BR59" s="379"/>
      <c r="BS59" s="379">
        <f>BP59/AF59</f>
        <v>0.86257518209779038</v>
      </c>
      <c r="BV59" s="379">
        <f>211401438/BV58</f>
        <v>0.29681062612328862</v>
      </c>
      <c r="BW59" s="379">
        <f>201042041/BW58</f>
        <v>0.31395457267436511</v>
      </c>
      <c r="BX59" s="379">
        <f>249592267/BX58</f>
        <v>0.37623621317613409</v>
      </c>
      <c r="BY59" s="379">
        <f>288344463/BY58</f>
        <v>0.41558284993232897</v>
      </c>
      <c r="BZ59" s="379">
        <f>435482888/BZ58</f>
        <v>0.54681665539949886</v>
      </c>
      <c r="CA59" s="379">
        <f>371666896/CA58</f>
        <v>0.40707373201333136</v>
      </c>
      <c r="CB59" s="379">
        <f>342145979/CB58</f>
        <v>0.37697792292066645</v>
      </c>
      <c r="CC59" s="379">
        <f>317383669/CC58</f>
        <v>0.39142918494231832</v>
      </c>
      <c r="CD59" s="379"/>
      <c r="CE59" s="379"/>
      <c r="CF59" s="379"/>
      <c r="CG59" s="379"/>
      <c r="CH59" s="379">
        <f>AVERAGE(BV59:CG59)</f>
        <v>0.39061021964774151</v>
      </c>
    </row>
    <row r="60" spans="1:86">
      <c r="C60" s="372" t="s">
        <v>111</v>
      </c>
      <c r="T60" s="420"/>
      <c r="U60" s="420"/>
      <c r="V60" s="420"/>
      <c r="W60" s="420">
        <v>0.95599999999999996</v>
      </c>
      <c r="X60" s="420">
        <v>1.847</v>
      </c>
      <c r="Y60" s="420">
        <v>1.9650000000000001</v>
      </c>
      <c r="Z60" s="420">
        <v>1.869</v>
      </c>
      <c r="AA60" s="420">
        <v>1.641</v>
      </c>
      <c r="AB60" s="420">
        <v>2.12</v>
      </c>
      <c r="AC60" s="420">
        <v>1.752</v>
      </c>
      <c r="AD60" s="420">
        <v>1.6120000000000001</v>
      </c>
      <c r="AE60" s="420">
        <v>1.784</v>
      </c>
      <c r="AF60" s="420">
        <f>AVERAGE(T60:AE60)</f>
        <v>1.7273333333333334</v>
      </c>
      <c r="AJ60" s="420">
        <v>1.4370000000000001</v>
      </c>
      <c r="AK60" s="420">
        <v>1.472</v>
      </c>
      <c r="AL60" s="420">
        <v>1.2490000000000001</v>
      </c>
      <c r="AM60" s="420">
        <v>1.2490000000000001</v>
      </c>
      <c r="AN60" s="420">
        <v>1.2549999999999999</v>
      </c>
      <c r="AO60" s="420">
        <v>1.502</v>
      </c>
      <c r="AP60" s="420">
        <v>1.262</v>
      </c>
      <c r="AQ60" s="420">
        <v>1.1619999999999999</v>
      </c>
      <c r="AR60" s="420">
        <v>1.145</v>
      </c>
      <c r="AS60" s="420">
        <v>1.23</v>
      </c>
      <c r="AT60" s="420">
        <v>1.39</v>
      </c>
      <c r="AU60" s="420">
        <v>1.66</v>
      </c>
      <c r="AV60" s="420">
        <f>AVERAGE(AJ60:AU60)</f>
        <v>1.3344166666666668</v>
      </c>
      <c r="BA60" s="388"/>
      <c r="BB60" s="420">
        <f>AVERAGE(AJ60:AR60,AC60:AE60)*(100%+BA60)</f>
        <v>1.4067499999999999</v>
      </c>
      <c r="BC60" s="420"/>
      <c r="BD60" s="420">
        <f>BB60</f>
        <v>1.4067499999999999</v>
      </c>
      <c r="BE60" s="420">
        <f>BD60</f>
        <v>1.4067499999999999</v>
      </c>
      <c r="BF60" s="420">
        <f t="shared" si="47"/>
        <v>1.4067499999999999</v>
      </c>
      <c r="BG60" s="420">
        <f t="shared" si="47"/>
        <v>1.4067499999999999</v>
      </c>
      <c r="BH60" s="420">
        <f t="shared" si="47"/>
        <v>1.4067499999999999</v>
      </c>
      <c r="BI60" s="420">
        <f t="shared" si="47"/>
        <v>1.4067499999999999</v>
      </c>
      <c r="BJ60" s="420">
        <f t="shared" si="47"/>
        <v>1.4067499999999999</v>
      </c>
      <c r="BK60" s="420">
        <f t="shared" si="47"/>
        <v>1.4067499999999999</v>
      </c>
      <c r="BL60" s="420">
        <f t="shared" si="47"/>
        <v>1.4067499999999999</v>
      </c>
      <c r="BM60" s="420">
        <f t="shared" si="47"/>
        <v>1.4067499999999999</v>
      </c>
      <c r="BN60" s="420">
        <f t="shared" si="47"/>
        <v>1.4067499999999999</v>
      </c>
      <c r="BO60" s="420">
        <f t="shared" si="47"/>
        <v>1.4067499999999999</v>
      </c>
      <c r="BP60" s="420">
        <f>AVERAGE(BD60:BO60)</f>
        <v>1.4067500000000004</v>
      </c>
      <c r="BQ60" s="379">
        <f>BP60/AV60</f>
        <v>1.0542059576594018</v>
      </c>
      <c r="BR60" s="379"/>
      <c r="BS60" s="379">
        <f>BP60/AF60</f>
        <v>0.81440563489000406</v>
      </c>
      <c r="BV60" s="420">
        <v>1.27</v>
      </c>
      <c r="BW60" s="420">
        <v>1.06</v>
      </c>
      <c r="BX60" s="420">
        <v>1.21</v>
      </c>
      <c r="BY60" s="420">
        <v>1.06</v>
      </c>
      <c r="BZ60" s="420">
        <v>0.86</v>
      </c>
      <c r="CA60" s="420">
        <v>1.1299999999999999</v>
      </c>
      <c r="CB60" s="420">
        <v>1.08</v>
      </c>
      <c r="CC60" s="420">
        <v>1.33</v>
      </c>
      <c r="CD60" s="420"/>
      <c r="CE60" s="420"/>
      <c r="CF60" s="420"/>
      <c r="CG60" s="420"/>
      <c r="CH60" s="420">
        <f>AVERAGE(BV60:CG60)</f>
        <v>1.125</v>
      </c>
    </row>
    <row r="61" spans="1:86">
      <c r="C61" s="372" t="s">
        <v>112</v>
      </c>
      <c r="D61" s="388"/>
      <c r="E61" s="388"/>
      <c r="F61" s="388"/>
      <c r="G61" s="388"/>
      <c r="H61" s="388"/>
      <c r="I61" s="388"/>
      <c r="J61" s="388"/>
      <c r="K61" s="388"/>
      <c r="L61" s="388"/>
      <c r="M61" s="388"/>
      <c r="N61" s="388"/>
      <c r="O61" s="388"/>
      <c r="P61" s="388"/>
      <c r="Q61" s="388"/>
      <c r="R61" s="388"/>
      <c r="S61" s="388"/>
      <c r="T61" s="420">
        <f>T58*T59*T60/1000</f>
        <v>0</v>
      </c>
      <c r="U61" s="420">
        <f t="shared" ref="U61:AE61" si="48">U58*U59*U60/1000</f>
        <v>0</v>
      </c>
      <c r="V61" s="420">
        <f t="shared" si="48"/>
        <v>0</v>
      </c>
      <c r="W61" s="420">
        <f t="shared" si="48"/>
        <v>22.446879999999997</v>
      </c>
      <c r="X61" s="420">
        <f t="shared" si="48"/>
        <v>46915.938825999998</v>
      </c>
      <c r="Y61" s="420">
        <f t="shared" si="48"/>
        <v>93486.024525000001</v>
      </c>
      <c r="Z61" s="420">
        <f t="shared" si="48"/>
        <v>89274.252165000013</v>
      </c>
      <c r="AA61" s="420">
        <f t="shared" si="48"/>
        <v>80569.302725999994</v>
      </c>
      <c r="AB61" s="420">
        <f t="shared" si="48"/>
        <v>96479.619639391778</v>
      </c>
      <c r="AC61" s="420">
        <f t="shared" si="48"/>
        <v>99943.241207999992</v>
      </c>
      <c r="AD61" s="420">
        <f t="shared" si="48"/>
        <v>98387.19488000001</v>
      </c>
      <c r="AE61" s="420">
        <f t="shared" si="48"/>
        <v>145872.30687577181</v>
      </c>
      <c r="AF61" s="420">
        <f>SUM(T61:AE61)</f>
        <v>750950.32772516354</v>
      </c>
      <c r="AJ61" s="420">
        <f t="shared" ref="AJ61:AU61" si="49">AJ58*AJ59*AJ60/1000</f>
        <v>83447.240960999989</v>
      </c>
      <c r="AK61" s="420">
        <f t="shared" si="49"/>
        <v>63854.246694586735</v>
      </c>
      <c r="AL61" s="420">
        <f t="shared" si="49"/>
        <v>63795.170805699367</v>
      </c>
      <c r="AM61" s="420">
        <f t="shared" si="49"/>
        <v>61876.789306445142</v>
      </c>
      <c r="AN61" s="420">
        <f t="shared" si="49"/>
        <v>71292.451549114456</v>
      </c>
      <c r="AO61" s="420">
        <f t="shared" si="49"/>
        <v>80045.15043173531</v>
      </c>
      <c r="AP61" s="420">
        <f t="shared" si="49"/>
        <v>88904.984893654997</v>
      </c>
      <c r="AQ61" s="420">
        <f t="shared" si="49"/>
        <v>86751.779143205698</v>
      </c>
      <c r="AR61" s="420">
        <f t="shared" si="49"/>
        <v>138599.29548354074</v>
      </c>
      <c r="AS61" s="420">
        <f t="shared" si="49"/>
        <v>219345.68844</v>
      </c>
      <c r="AT61" s="420">
        <f t="shared" si="49"/>
        <v>276673.53133999999</v>
      </c>
      <c r="AU61" s="420">
        <f t="shared" si="49"/>
        <v>549699.95133999991</v>
      </c>
      <c r="AV61" s="420">
        <f>SUM(AJ61:AU61)</f>
        <v>1784286.2803889823</v>
      </c>
      <c r="BD61" s="415">
        <f t="shared" ref="BD61:BO61" si="50">BD58*BD59*BD60/1000</f>
        <v>194325.49890094172</v>
      </c>
      <c r="BE61" s="415">
        <f t="shared" si="50"/>
        <v>181785.97857538259</v>
      </c>
      <c r="BF61" s="415">
        <f t="shared" si="50"/>
        <v>214491.24688282021</v>
      </c>
      <c r="BG61" s="415">
        <f t="shared" si="50"/>
        <v>258356.81309658528</v>
      </c>
      <c r="BH61" s="415">
        <f t="shared" si="50"/>
        <v>269425.52738879272</v>
      </c>
      <c r="BI61" s="415">
        <f t="shared" si="50"/>
        <v>273947.7443847555</v>
      </c>
      <c r="BJ61" s="415">
        <f t="shared" si="50"/>
        <v>323055.27852699294</v>
      </c>
      <c r="BK61" s="415">
        <f t="shared" si="50"/>
        <v>336261.94063628779</v>
      </c>
      <c r="BL61" s="415">
        <f t="shared" si="50"/>
        <v>399938.61996084335</v>
      </c>
      <c r="BM61" s="415">
        <f t="shared" si="50"/>
        <v>518009.61655691563</v>
      </c>
      <c r="BN61" s="415">
        <f t="shared" si="50"/>
        <v>566006.03189907654</v>
      </c>
      <c r="BO61" s="415">
        <f t="shared" si="50"/>
        <v>706595.29728924192</v>
      </c>
      <c r="BP61" s="415">
        <f>SUM(BD61:BO61)</f>
        <v>4242199.5940986359</v>
      </c>
      <c r="BV61" s="420">
        <f t="shared" ref="BV61:CG61" si="51">BV58*BV59*BV60/1000</f>
        <v>268479.82626000006</v>
      </c>
      <c r="BW61" s="420">
        <f t="shared" si="51"/>
        <v>213104.56346</v>
      </c>
      <c r="BX61" s="420">
        <f t="shared" si="51"/>
        <v>302006.64306999999</v>
      </c>
      <c r="BY61" s="420">
        <f t="shared" si="51"/>
        <v>305645.13078000001</v>
      </c>
      <c r="BZ61" s="420">
        <f t="shared" si="51"/>
        <v>374515.28367999993</v>
      </c>
      <c r="CA61" s="420">
        <f t="shared" si="51"/>
        <v>419983.59247999993</v>
      </c>
      <c r="CB61" s="420">
        <f t="shared" si="51"/>
        <v>369517.65732000006</v>
      </c>
      <c r="CC61" s="420">
        <f t="shared" si="51"/>
        <v>422120.27977000002</v>
      </c>
      <c r="CD61" s="420">
        <f t="shared" si="51"/>
        <v>0</v>
      </c>
      <c r="CE61" s="420">
        <f t="shared" si="51"/>
        <v>0</v>
      </c>
      <c r="CF61" s="420">
        <f t="shared" si="51"/>
        <v>0</v>
      </c>
      <c r="CG61" s="420">
        <f t="shared" si="51"/>
        <v>0</v>
      </c>
      <c r="CH61" s="420">
        <f>SUM(BV61:CG61)</f>
        <v>2675372.97682</v>
      </c>
    </row>
    <row r="62" spans="1:86" s="380" customFormat="1" ht="13.2">
      <c r="C62" s="380" t="s">
        <v>113</v>
      </c>
      <c r="D62" s="382">
        <v>0.55000000000000004</v>
      </c>
      <c r="E62" s="382"/>
      <c r="F62" s="382"/>
      <c r="G62" s="382"/>
      <c r="H62" s="382"/>
      <c r="I62" s="382"/>
      <c r="J62" s="382"/>
      <c r="K62" s="382"/>
      <c r="L62" s="382"/>
      <c r="M62" s="382"/>
      <c r="N62" s="382"/>
      <c r="O62" s="382"/>
      <c r="P62" s="382"/>
      <c r="Q62" s="382"/>
      <c r="R62" s="382"/>
      <c r="S62" s="382"/>
      <c r="T62" s="422">
        <f>T61*$D$62</f>
        <v>0</v>
      </c>
      <c r="U62" s="422">
        <f t="shared" ref="U62:AE62" si="52">U61*$D$62</f>
        <v>0</v>
      </c>
      <c r="V62" s="422">
        <f t="shared" si="52"/>
        <v>0</v>
      </c>
      <c r="W62" s="422">
        <f t="shared" si="52"/>
        <v>12.345783999999998</v>
      </c>
      <c r="X62" s="422">
        <f t="shared" si="52"/>
        <v>25803.766354300002</v>
      </c>
      <c r="Y62" s="422">
        <f t="shared" si="52"/>
        <v>51417.313488750005</v>
      </c>
      <c r="Z62" s="422">
        <f t="shared" si="52"/>
        <v>49100.83869075001</v>
      </c>
      <c r="AA62" s="422">
        <f t="shared" si="52"/>
        <v>44313.116499299998</v>
      </c>
      <c r="AB62" s="422">
        <f t="shared" si="52"/>
        <v>53063.790801665484</v>
      </c>
      <c r="AC62" s="422">
        <f t="shared" si="52"/>
        <v>54968.782664400002</v>
      </c>
      <c r="AD62" s="422">
        <f t="shared" si="52"/>
        <v>54112.957184000014</v>
      </c>
      <c r="AE62" s="422">
        <f t="shared" si="52"/>
        <v>80229.768781674502</v>
      </c>
      <c r="AF62" s="422">
        <f>SUM(T62:AE62)</f>
        <v>413022.68024884001</v>
      </c>
      <c r="AH62" s="382">
        <v>0.55000000000000004</v>
      </c>
      <c r="AI62" s="382"/>
      <c r="AJ62" s="422">
        <f>AJ61*$AH$62</f>
        <v>45895.982528549997</v>
      </c>
      <c r="AK62" s="422">
        <f t="shared" ref="AK62:AU62" si="53">AK61*$AH$62</f>
        <v>35119.835682022705</v>
      </c>
      <c r="AL62" s="422">
        <f t="shared" si="53"/>
        <v>35087.343943134656</v>
      </c>
      <c r="AM62" s="422">
        <f t="shared" si="53"/>
        <v>34032.234118544831</v>
      </c>
      <c r="AN62" s="422">
        <f t="shared" si="53"/>
        <v>39210.848352012952</v>
      </c>
      <c r="AO62" s="422">
        <f t="shared" si="53"/>
        <v>44024.832737454424</v>
      </c>
      <c r="AP62" s="422">
        <f t="shared" si="53"/>
        <v>48897.741691510251</v>
      </c>
      <c r="AQ62" s="422">
        <f t="shared" si="53"/>
        <v>47713.478528763138</v>
      </c>
      <c r="AR62" s="422">
        <f t="shared" si="53"/>
        <v>76229.612515947418</v>
      </c>
      <c r="AS62" s="422">
        <f t="shared" si="53"/>
        <v>120640.12864200001</v>
      </c>
      <c r="AT62" s="422">
        <f t="shared" si="53"/>
        <v>152170.44223700001</v>
      </c>
      <c r="AU62" s="422">
        <f t="shared" si="53"/>
        <v>302334.973237</v>
      </c>
      <c r="AV62" s="422">
        <f>SUM(AJ62:AU62)</f>
        <v>981357.45421394031</v>
      </c>
      <c r="BB62" s="382">
        <v>0.55000000000000004</v>
      </c>
      <c r="BC62" s="382"/>
      <c r="BD62" s="413">
        <f>BD61*$BB$62</f>
        <v>106879.02439551795</v>
      </c>
      <c r="BE62" s="413">
        <f t="shared" ref="BE62:BO62" si="54">BE61*$BB$62</f>
        <v>99982.288216460423</v>
      </c>
      <c r="BF62" s="413">
        <f t="shared" si="54"/>
        <v>117970.18578555112</v>
      </c>
      <c r="BG62" s="413">
        <f t="shared" si="54"/>
        <v>142096.24720312192</v>
      </c>
      <c r="BH62" s="413">
        <f t="shared" si="54"/>
        <v>148184.040063836</v>
      </c>
      <c r="BI62" s="413">
        <f t="shared" si="54"/>
        <v>150671.25941161552</v>
      </c>
      <c r="BJ62" s="413">
        <f t="shared" si="54"/>
        <v>177680.40318984614</v>
      </c>
      <c r="BK62" s="413">
        <f t="shared" si="54"/>
        <v>184944.06734995829</v>
      </c>
      <c r="BL62" s="413">
        <f t="shared" si="54"/>
        <v>219966.24097846387</v>
      </c>
      <c r="BM62" s="413">
        <f t="shared" si="54"/>
        <v>284905.28910630359</v>
      </c>
      <c r="BN62" s="413">
        <f t="shared" si="54"/>
        <v>311303.31754449214</v>
      </c>
      <c r="BO62" s="413">
        <f t="shared" si="54"/>
        <v>388627.4135090831</v>
      </c>
      <c r="BP62" s="412">
        <f>SUM(BD62:BO62)</f>
        <v>2333209.7767542498</v>
      </c>
      <c r="BU62" s="382">
        <f>D62</f>
        <v>0.55000000000000004</v>
      </c>
      <c r="BV62" s="422">
        <f>BV61*$BU$62</f>
        <v>147663.90444300004</v>
      </c>
      <c r="BW62" s="422">
        <f>BW61*$BU$62</f>
        <v>117207.50990300001</v>
      </c>
      <c r="BX62" s="422">
        <f t="shared" ref="BX62:CG62" si="55">BX61*$AH$62</f>
        <v>166103.6536885</v>
      </c>
      <c r="BY62" s="422">
        <f t="shared" si="55"/>
        <v>168104.82192900003</v>
      </c>
      <c r="BZ62" s="422">
        <f t="shared" si="55"/>
        <v>205983.40602399997</v>
      </c>
      <c r="CA62" s="422">
        <f t="shared" si="55"/>
        <v>230990.97586399998</v>
      </c>
      <c r="CB62" s="422">
        <f t="shared" si="55"/>
        <v>203234.71152600006</v>
      </c>
      <c r="CC62" s="422">
        <f t="shared" si="55"/>
        <v>232166.15387350004</v>
      </c>
      <c r="CD62" s="422">
        <f t="shared" si="55"/>
        <v>0</v>
      </c>
      <c r="CE62" s="422">
        <f t="shared" si="55"/>
        <v>0</v>
      </c>
      <c r="CF62" s="422">
        <f t="shared" si="55"/>
        <v>0</v>
      </c>
      <c r="CG62" s="422">
        <f t="shared" si="55"/>
        <v>0</v>
      </c>
      <c r="CH62" s="422">
        <f>SUM(BV62:CG62)</f>
        <v>1471455.1372509999</v>
      </c>
    </row>
    <row r="64" spans="1:86">
      <c r="A64" s="372" t="s">
        <v>74</v>
      </c>
      <c r="T64" s="385">
        <v>0</v>
      </c>
      <c r="U64" s="385">
        <v>0</v>
      </c>
      <c r="V64" s="385">
        <v>0</v>
      </c>
      <c r="W64" s="385">
        <v>6240999</v>
      </c>
      <c r="X64" s="385">
        <v>18333170</v>
      </c>
      <c r="Y64" s="385">
        <v>33517850</v>
      </c>
      <c r="Z64" s="385">
        <v>36429467</v>
      </c>
      <c r="AA64" s="385">
        <v>33560453</v>
      </c>
      <c r="AB64" s="385">
        <v>35448297</v>
      </c>
      <c r="AC64" s="385">
        <v>35831765</v>
      </c>
      <c r="AD64" s="385">
        <v>53237176</v>
      </c>
      <c r="AE64" s="385">
        <v>40980258</v>
      </c>
      <c r="AF64" s="385">
        <f>SUM(T64:AE64)</f>
        <v>293579435</v>
      </c>
      <c r="AJ64" s="385">
        <f>AJ21</f>
        <v>46914018</v>
      </c>
      <c r="AK64" s="385">
        <f t="shared" ref="AK64:AU64" si="56">AK21</f>
        <v>50381259</v>
      </c>
      <c r="AL64" s="385">
        <f t="shared" si="56"/>
        <v>59140910</v>
      </c>
      <c r="AM64" s="385">
        <f t="shared" si="56"/>
        <v>80389833</v>
      </c>
      <c r="AN64" s="385">
        <f t="shared" si="56"/>
        <v>82217865</v>
      </c>
      <c r="AO64" s="385">
        <f t="shared" si="56"/>
        <v>85008524</v>
      </c>
      <c r="AP64" s="385">
        <f t="shared" si="56"/>
        <v>86058933</v>
      </c>
      <c r="AQ64" s="385">
        <f t="shared" si="56"/>
        <v>107549947</v>
      </c>
      <c r="AR64" s="385">
        <f t="shared" si="56"/>
        <v>84797368</v>
      </c>
      <c r="AS64" s="385">
        <f t="shared" si="56"/>
        <v>93522804</v>
      </c>
      <c r="AT64" s="385">
        <f t="shared" si="56"/>
        <v>110763061</v>
      </c>
      <c r="AU64" s="385">
        <f t="shared" si="56"/>
        <v>106900721</v>
      </c>
      <c r="AV64" s="385">
        <f>SUM(AJ64:AU64)</f>
        <v>993645243</v>
      </c>
      <c r="BD64" s="417">
        <f t="shared" ref="BD64:BO64" si="57">BD21</f>
        <v>57259652.271922149</v>
      </c>
      <c r="BE64" s="417">
        <f t="shared" si="57"/>
        <v>53564776.521909408</v>
      </c>
      <c r="BF64" s="417">
        <f t="shared" si="57"/>
        <v>63201660.519816488</v>
      </c>
      <c r="BG64" s="417">
        <f t="shared" si="57"/>
        <v>76127020.713496104</v>
      </c>
      <c r="BH64" s="417">
        <f t="shared" si="57"/>
        <v>79388511.022558048</v>
      </c>
      <c r="BI64" s="417">
        <f t="shared" si="57"/>
        <v>80721020.51900351</v>
      </c>
      <c r="BJ64" s="417">
        <f t="shared" si="57"/>
        <v>95190970.910585567</v>
      </c>
      <c r="BK64" s="417">
        <f t="shared" si="57"/>
        <v>99082425.631288365</v>
      </c>
      <c r="BL64" s="417">
        <f t="shared" si="57"/>
        <v>117845297.90783587</v>
      </c>
      <c r="BM64" s="417">
        <f t="shared" si="57"/>
        <v>152635915.95192847</v>
      </c>
      <c r="BN64" s="417">
        <f t="shared" si="57"/>
        <v>166778465.78884837</v>
      </c>
      <c r="BO64" s="417">
        <f t="shared" si="57"/>
        <v>208204282.24080771</v>
      </c>
      <c r="BP64" s="385">
        <f>SUM(BD64:BO64)</f>
        <v>1250000000</v>
      </c>
      <c r="BV64" s="385">
        <f>BV21</f>
        <v>125989099</v>
      </c>
      <c r="BW64" s="385">
        <f t="shared" ref="BW64:CG64" si="58">BW21</f>
        <v>100703382</v>
      </c>
      <c r="BX64" s="385">
        <f t="shared" si="58"/>
        <v>169816435</v>
      </c>
      <c r="BY64" s="385">
        <f t="shared" si="58"/>
        <v>358703577</v>
      </c>
      <c r="BZ64" s="385">
        <f t="shared" si="58"/>
        <v>401198859</v>
      </c>
      <c r="CA64" s="385">
        <f t="shared" si="58"/>
        <v>164515860</v>
      </c>
      <c r="CB64" s="385">
        <f>CB21</f>
        <v>214738755</v>
      </c>
      <c r="CC64" s="385">
        <f t="shared" si="58"/>
        <v>192008896</v>
      </c>
      <c r="CD64" s="385">
        <f t="shared" si="58"/>
        <v>0</v>
      </c>
      <c r="CE64" s="385">
        <f t="shared" si="58"/>
        <v>0</v>
      </c>
      <c r="CF64" s="385">
        <f t="shared" si="58"/>
        <v>0</v>
      </c>
      <c r="CG64" s="385">
        <f t="shared" si="58"/>
        <v>0</v>
      </c>
      <c r="CH64" s="385">
        <f>SUM(BV64:CG64)</f>
        <v>1727674863</v>
      </c>
    </row>
    <row r="65" spans="1:86">
      <c r="C65" s="372" t="s">
        <v>110</v>
      </c>
      <c r="T65" s="379"/>
      <c r="U65" s="379"/>
      <c r="V65" s="379">
        <v>0.13322742397206164</v>
      </c>
      <c r="W65" s="379">
        <v>9.2353308692273761E-2</v>
      </c>
      <c r="X65" s="379">
        <v>0.14259699768234299</v>
      </c>
      <c r="Y65" s="379">
        <v>0.1709116485693444</v>
      </c>
      <c r="Z65" s="379">
        <v>0.14784487513912845</v>
      </c>
      <c r="AA65" s="379">
        <v>0.14861149222270628</v>
      </c>
      <c r="AB65" s="379">
        <v>0.14889646179617599</v>
      </c>
      <c r="AC65" s="379">
        <v>0.15532888206874543</v>
      </c>
      <c r="AD65" s="379">
        <v>0.22358347858271069</v>
      </c>
      <c r="AE65" s="379">
        <v>0.21961516833472441</v>
      </c>
      <c r="AF65" s="379">
        <f>AVERAGE(T65:AE65)</f>
        <v>0.15829697370602142</v>
      </c>
      <c r="AG65" s="418">
        <f>AVERAGE(T65:AB65)</f>
        <v>0.14063460115343338</v>
      </c>
      <c r="AJ65" s="379">
        <v>0.16722990983206767</v>
      </c>
      <c r="AK65" s="379">
        <v>0.14466200598305476</v>
      </c>
      <c r="AL65" s="379">
        <v>0.13125655548988652</v>
      </c>
      <c r="AM65" s="379">
        <v>7.2620468099156441E-2</v>
      </c>
      <c r="AN65" s="379">
        <v>8.4964654275649837E-2</v>
      </c>
      <c r="AO65" s="379">
        <v>9.6838730626620045E-2</v>
      </c>
      <c r="AP65" s="379">
        <v>0.1204862218748972</v>
      </c>
      <c r="AQ65" s="379">
        <v>0.15117516426604477</v>
      </c>
      <c r="AR65" s="379">
        <v>0.14042567373504788</v>
      </c>
      <c r="AS65" s="379">
        <f>12606864/AS64</f>
        <v>0.13479989329661246</v>
      </c>
      <c r="AT65" s="379">
        <f>18636809/AT64</f>
        <v>0.16825834201169287</v>
      </c>
      <c r="AU65" s="379">
        <f>16884219/AU64</f>
        <v>0.1579429852489021</v>
      </c>
      <c r="AV65" s="379">
        <f>AVERAGE(AJ65:AU65)</f>
        <v>0.13088838372830272</v>
      </c>
      <c r="BA65" s="388"/>
      <c r="BB65" s="418">
        <f>AVERAGE(AJ65:AR65,AC65:AE65)*(100%+BA65)</f>
        <v>0.14234890943071715</v>
      </c>
      <c r="BC65" s="418"/>
      <c r="BD65" s="419">
        <f>BB65</f>
        <v>0.14234890943071715</v>
      </c>
      <c r="BE65" s="419">
        <f>BD65</f>
        <v>0.14234890943071715</v>
      </c>
      <c r="BF65" s="419">
        <f t="shared" ref="BF65:BO66" si="59">BE65</f>
        <v>0.14234890943071715</v>
      </c>
      <c r="BG65" s="419">
        <f t="shared" si="59"/>
        <v>0.14234890943071715</v>
      </c>
      <c r="BH65" s="419">
        <f t="shared" si="59"/>
        <v>0.14234890943071715</v>
      </c>
      <c r="BI65" s="419">
        <f t="shared" si="59"/>
        <v>0.14234890943071715</v>
      </c>
      <c r="BJ65" s="419">
        <f t="shared" si="59"/>
        <v>0.14234890943071715</v>
      </c>
      <c r="BK65" s="419">
        <f t="shared" si="59"/>
        <v>0.14234890943071715</v>
      </c>
      <c r="BL65" s="419">
        <f t="shared" si="59"/>
        <v>0.14234890943071715</v>
      </c>
      <c r="BM65" s="419">
        <f t="shared" si="59"/>
        <v>0.14234890943071715</v>
      </c>
      <c r="BN65" s="419">
        <f t="shared" si="59"/>
        <v>0.14234890943071715</v>
      </c>
      <c r="BO65" s="419">
        <f t="shared" si="59"/>
        <v>0.14234890943071715</v>
      </c>
      <c r="BP65" s="379">
        <f>AVERAGE(BD65:BO65)</f>
        <v>0.14234890943071712</v>
      </c>
      <c r="BQ65" s="379">
        <f>BP65/AV65</f>
        <v>1.0875595326030161</v>
      </c>
      <c r="BR65" s="379"/>
      <c r="BS65" s="379">
        <f>BP65/AF65</f>
        <v>0.8992522478356284</v>
      </c>
      <c r="BV65" s="379">
        <f>18531445/BV64</f>
        <v>0.14708768573700173</v>
      </c>
      <c r="BW65" s="379">
        <f>16660208/BW64</f>
        <v>0.16543841596104489</v>
      </c>
      <c r="BX65" s="379">
        <f>37382355/BX64</f>
        <v>0.22013390517825909</v>
      </c>
      <c r="BY65" s="379">
        <f>115861072/BY64</f>
        <v>0.3229994887951731</v>
      </c>
      <c r="BZ65" s="379">
        <f>188685775/BZ64</f>
        <v>0.47030486445127201</v>
      </c>
      <c r="CA65" s="379">
        <f>45675343/CA64</f>
        <v>0.27763489185784274</v>
      </c>
      <c r="CB65" s="379">
        <f>47996650/CB64</f>
        <v>0.22351182021149374</v>
      </c>
      <c r="CC65" s="379">
        <f>43117034/CC64</f>
        <v>0.22455748092005071</v>
      </c>
      <c r="CD65" s="379"/>
      <c r="CE65" s="379"/>
      <c r="CF65" s="379"/>
      <c r="CG65" s="379"/>
      <c r="CH65" s="379">
        <f>AVERAGE(BV65:CG65)</f>
        <v>0.25645856913901721</v>
      </c>
    </row>
    <row r="66" spans="1:86">
      <c r="C66" s="372" t="s">
        <v>111</v>
      </c>
      <c r="T66" s="420"/>
      <c r="U66" s="420"/>
      <c r="V66" s="420">
        <v>0.623</v>
      </c>
      <c r="W66" s="420">
        <v>0.75600000000000001</v>
      </c>
      <c r="X66" s="420">
        <v>0.89400000000000002</v>
      </c>
      <c r="Y66" s="420">
        <v>0.89</v>
      </c>
      <c r="Z66" s="420">
        <v>0.80100000000000005</v>
      </c>
      <c r="AA66" s="420">
        <v>0.79400000000000004</v>
      </c>
      <c r="AB66" s="420">
        <v>0.85399999999999998</v>
      </c>
      <c r="AC66" s="420">
        <v>1.4850000000000001</v>
      </c>
      <c r="AD66" s="420">
        <v>2.6240000000000001</v>
      </c>
      <c r="AE66" s="420">
        <v>2.8250000000000002</v>
      </c>
      <c r="AF66" s="420">
        <f>AVERAGE(T66:AE66)</f>
        <v>1.2546000000000004</v>
      </c>
      <c r="AJ66" s="420">
        <v>1.724</v>
      </c>
      <c r="AK66" s="420">
        <v>1.9330000000000001</v>
      </c>
      <c r="AL66" s="420">
        <v>1.7989999999999999</v>
      </c>
      <c r="AM66" s="420">
        <v>2.5339999999999998</v>
      </c>
      <c r="AN66" s="420">
        <v>2.2989999999999999</v>
      </c>
      <c r="AO66" s="420">
        <v>2.851</v>
      </c>
      <c r="AP66" s="420">
        <v>1.7789999999999999</v>
      </c>
      <c r="AQ66" s="420">
        <v>2.048</v>
      </c>
      <c r="AR66" s="420">
        <v>1.7569999999999999</v>
      </c>
      <c r="AS66" s="420">
        <v>2.0099999999999998</v>
      </c>
      <c r="AT66" s="420">
        <v>2.2000000000000002</v>
      </c>
      <c r="AU66" s="420">
        <v>2.0099999999999998</v>
      </c>
      <c r="AV66" s="420">
        <f>AVERAGE(AJ66:AU66)</f>
        <v>2.0786666666666669</v>
      </c>
      <c r="BA66" s="388"/>
      <c r="BB66" s="420">
        <f>AVERAGE(AJ66:AR66,AC66:AE66)*(100%+BA66)</f>
        <v>2.1381666666666663</v>
      </c>
      <c r="BC66" s="420"/>
      <c r="BD66" s="420">
        <f>BB66</f>
        <v>2.1381666666666663</v>
      </c>
      <c r="BE66" s="420">
        <f>BD66</f>
        <v>2.1381666666666663</v>
      </c>
      <c r="BF66" s="420">
        <f t="shared" si="59"/>
        <v>2.1381666666666663</v>
      </c>
      <c r="BG66" s="420">
        <f t="shared" si="59"/>
        <v>2.1381666666666663</v>
      </c>
      <c r="BH66" s="420">
        <f t="shared" si="59"/>
        <v>2.1381666666666663</v>
      </c>
      <c r="BI66" s="420">
        <f t="shared" si="59"/>
        <v>2.1381666666666663</v>
      </c>
      <c r="BJ66" s="420">
        <f t="shared" si="59"/>
        <v>2.1381666666666663</v>
      </c>
      <c r="BK66" s="420">
        <f t="shared" si="59"/>
        <v>2.1381666666666663</v>
      </c>
      <c r="BL66" s="420">
        <f t="shared" si="59"/>
        <v>2.1381666666666663</v>
      </c>
      <c r="BM66" s="420">
        <f t="shared" si="59"/>
        <v>2.1381666666666663</v>
      </c>
      <c r="BN66" s="420">
        <f t="shared" si="59"/>
        <v>2.1381666666666663</v>
      </c>
      <c r="BO66" s="420">
        <f t="shared" si="59"/>
        <v>2.1381666666666663</v>
      </c>
      <c r="BP66" s="420">
        <f>AVERAGE(BD66:BO66)</f>
        <v>2.1381666666666663</v>
      </c>
      <c r="BQ66" s="379">
        <f>BP66/AV66</f>
        <v>1.0286241180243743</v>
      </c>
      <c r="BR66" s="379"/>
      <c r="BS66" s="379">
        <f>BP66/AF66</f>
        <v>1.7042616504596411</v>
      </c>
      <c r="BV66" s="420">
        <v>1.48</v>
      </c>
      <c r="BW66" s="420">
        <v>1.71</v>
      </c>
      <c r="BX66" s="420">
        <v>1.77</v>
      </c>
      <c r="BY66" s="420">
        <v>2.02</v>
      </c>
      <c r="BZ66" s="420">
        <v>1.72</v>
      </c>
      <c r="CA66" s="420">
        <v>2.06</v>
      </c>
      <c r="CB66" s="420">
        <v>1.51</v>
      </c>
      <c r="CC66" s="420">
        <v>1.79</v>
      </c>
      <c r="CD66" s="420"/>
      <c r="CE66" s="420"/>
      <c r="CF66" s="420"/>
      <c r="CG66" s="420"/>
      <c r="CH66" s="420">
        <f>AVERAGE(BV66:CG66)</f>
        <v>1.7575000000000003</v>
      </c>
    </row>
    <row r="67" spans="1:86">
      <c r="C67" s="372" t="s">
        <v>112</v>
      </c>
      <c r="D67" s="388"/>
      <c r="E67" s="388"/>
      <c r="F67" s="388"/>
      <c r="G67" s="388"/>
      <c r="H67" s="388"/>
      <c r="I67" s="388"/>
      <c r="J67" s="388"/>
      <c r="K67" s="388"/>
      <c r="L67" s="388"/>
      <c r="M67" s="388"/>
      <c r="N67" s="388"/>
      <c r="O67" s="388"/>
      <c r="P67" s="388"/>
      <c r="Q67" s="388"/>
      <c r="R67" s="388"/>
      <c r="S67" s="388"/>
      <c r="T67" s="420">
        <f t="shared" ref="T67:AE67" si="60">T64*T65*T66/1000</f>
        <v>0</v>
      </c>
      <c r="U67" s="420">
        <f t="shared" si="60"/>
        <v>0</v>
      </c>
      <c r="V67" s="420">
        <f t="shared" si="60"/>
        <v>0</v>
      </c>
      <c r="W67" s="420">
        <f t="shared" si="60"/>
        <v>435.74094183954986</v>
      </c>
      <c r="X67" s="420">
        <f t="shared" si="60"/>
        <v>2337.1439700000001</v>
      </c>
      <c r="Y67" s="420">
        <f t="shared" si="60"/>
        <v>5098.4459900000002</v>
      </c>
      <c r="Z67" s="420">
        <f t="shared" si="60"/>
        <v>4314.11391</v>
      </c>
      <c r="AA67" s="420">
        <f t="shared" si="60"/>
        <v>3960.0503860000003</v>
      </c>
      <c r="AB67" s="420">
        <f t="shared" si="60"/>
        <v>4507.5196040000001</v>
      </c>
      <c r="AC67" s="420">
        <f t="shared" si="60"/>
        <v>8265.0763800000004</v>
      </c>
      <c r="AD67" s="420">
        <f t="shared" si="60"/>
        <v>31233.348672000004</v>
      </c>
      <c r="AE67" s="420">
        <f t="shared" si="60"/>
        <v>25424.678681873989</v>
      </c>
      <c r="AF67" s="420">
        <f>SUM(T67:AE67)</f>
        <v>85576.118535713555</v>
      </c>
      <c r="AJ67" s="420">
        <f t="shared" ref="AJ67:AU67" si="61">AJ64*AJ65*AJ66/1000</f>
        <v>13525.516148000001</v>
      </c>
      <c r="AK67" s="420">
        <f t="shared" si="61"/>
        <v>14088.19496439391</v>
      </c>
      <c r="AL67" s="420">
        <f t="shared" si="61"/>
        <v>13964.975211112154</v>
      </c>
      <c r="AM67" s="420">
        <f t="shared" si="61"/>
        <v>14793.358465480216</v>
      </c>
      <c r="AN67" s="420">
        <f t="shared" si="61"/>
        <v>16059.92308004121</v>
      </c>
      <c r="AO67" s="420">
        <f t="shared" si="61"/>
        <v>23469.767153873912</v>
      </c>
      <c r="AP67" s="420">
        <f t="shared" si="61"/>
        <v>18446.301022747986</v>
      </c>
      <c r="AQ67" s="420">
        <f t="shared" si="61"/>
        <v>33298.18809247623</v>
      </c>
      <c r="AR67" s="420">
        <f t="shared" si="61"/>
        <v>20921.877274354392</v>
      </c>
      <c r="AS67" s="420">
        <f t="shared" si="61"/>
        <v>25339.79664</v>
      </c>
      <c r="AT67" s="420">
        <f t="shared" si="61"/>
        <v>41000.979800000001</v>
      </c>
      <c r="AU67" s="420">
        <f t="shared" si="61"/>
        <v>33937.280189999998</v>
      </c>
      <c r="AV67" s="420">
        <f>SUM(AJ67:AU67)</f>
        <v>268846.15804248</v>
      </c>
      <c r="BD67" s="415">
        <f t="shared" ref="BD67:BO67" si="62">BD64*BD65*BD66/1000</f>
        <v>17427.873755053002</v>
      </c>
      <c r="BE67" s="415">
        <f t="shared" si="62"/>
        <v>16303.280336182295</v>
      </c>
      <c r="BF67" s="415">
        <f t="shared" si="62"/>
        <v>19236.417214311241</v>
      </c>
      <c r="BG67" s="415">
        <f t="shared" si="62"/>
        <v>23170.453429276091</v>
      </c>
      <c r="BH67" s="415">
        <f t="shared" si="62"/>
        <v>24163.139187997203</v>
      </c>
      <c r="BI67" s="415">
        <f t="shared" si="62"/>
        <v>24568.70936455324</v>
      </c>
      <c r="BJ67" s="415">
        <f t="shared" si="62"/>
        <v>28972.865845783414</v>
      </c>
      <c r="BK67" s="415">
        <f t="shared" si="62"/>
        <v>30157.291159333028</v>
      </c>
      <c r="BL67" s="415">
        <f t="shared" si="62"/>
        <v>35868.065785853076</v>
      </c>
      <c r="BM67" s="415">
        <f t="shared" si="62"/>
        <v>46457.136363042606</v>
      </c>
      <c r="BN67" s="415">
        <f t="shared" si="62"/>
        <v>50761.643347505153</v>
      </c>
      <c r="BO67" s="415">
        <f t="shared" si="62"/>
        <v>63370.240687499252</v>
      </c>
      <c r="BP67" s="415">
        <f>SUM(BD67:BO67)</f>
        <v>380457.11647638952</v>
      </c>
      <c r="BV67" s="420">
        <f t="shared" ref="BV67:CG67" si="63">BV64*BV65*BV66/1000</f>
        <v>27426.5386</v>
      </c>
      <c r="BW67" s="420">
        <f t="shared" si="63"/>
        <v>28488.955679999999</v>
      </c>
      <c r="BX67" s="420">
        <f t="shared" si="63"/>
        <v>66166.768349999998</v>
      </c>
      <c r="BY67" s="420">
        <f t="shared" si="63"/>
        <v>234039.36544000002</v>
      </c>
      <c r="BZ67" s="420">
        <f t="shared" si="63"/>
        <v>324539.533</v>
      </c>
      <c r="CA67" s="420">
        <f t="shared" si="63"/>
        <v>94091.206579999984</v>
      </c>
      <c r="CB67" s="420">
        <f t="shared" si="63"/>
        <v>72474.941500000001</v>
      </c>
      <c r="CC67" s="420">
        <f t="shared" si="63"/>
        <v>77179.490860000005</v>
      </c>
      <c r="CD67" s="420">
        <f t="shared" si="63"/>
        <v>0</v>
      </c>
      <c r="CE67" s="420">
        <f t="shared" si="63"/>
        <v>0</v>
      </c>
      <c r="CF67" s="420">
        <f t="shared" si="63"/>
        <v>0</v>
      </c>
      <c r="CG67" s="420">
        <f t="shared" si="63"/>
        <v>0</v>
      </c>
      <c r="CH67" s="420">
        <f>SUM(BV67:CG67)</f>
        <v>924406.80001000001</v>
      </c>
    </row>
    <row r="68" spans="1:86" s="380" customFormat="1" ht="13.2">
      <c r="C68" s="380" t="s">
        <v>113</v>
      </c>
      <c r="D68" s="382">
        <v>0.55000000000000004</v>
      </c>
      <c r="E68" s="382"/>
      <c r="F68" s="382"/>
      <c r="G68" s="382"/>
      <c r="H68" s="382"/>
      <c r="I68" s="382"/>
      <c r="J68" s="382"/>
      <c r="K68" s="382"/>
      <c r="L68" s="382"/>
      <c r="M68" s="382"/>
      <c r="N68" s="382"/>
      <c r="O68" s="382"/>
      <c r="P68" s="382"/>
      <c r="Q68" s="382"/>
      <c r="R68" s="382"/>
      <c r="S68" s="382"/>
      <c r="T68" s="422">
        <f>T67*$D$68</f>
        <v>0</v>
      </c>
      <c r="U68" s="422">
        <f t="shared" ref="U68:AE68" si="64">U67*$D$68</f>
        <v>0</v>
      </c>
      <c r="V68" s="422">
        <f t="shared" si="64"/>
        <v>0</v>
      </c>
      <c r="W68" s="422">
        <f t="shared" si="64"/>
        <v>239.65751801175244</v>
      </c>
      <c r="X68" s="422">
        <f t="shared" si="64"/>
        <v>1285.4291835000001</v>
      </c>
      <c r="Y68" s="422">
        <f t="shared" si="64"/>
        <v>2804.1452945000001</v>
      </c>
      <c r="Z68" s="422">
        <f t="shared" si="64"/>
        <v>2372.7626505000003</v>
      </c>
      <c r="AA68" s="422">
        <f t="shared" si="64"/>
        <v>2178.0277123000005</v>
      </c>
      <c r="AB68" s="422">
        <f t="shared" si="64"/>
        <v>2479.1357822000004</v>
      </c>
      <c r="AC68" s="422">
        <f t="shared" si="64"/>
        <v>4545.7920090000007</v>
      </c>
      <c r="AD68" s="422">
        <f t="shared" si="64"/>
        <v>17178.341769600003</v>
      </c>
      <c r="AE68" s="422">
        <f t="shared" si="64"/>
        <v>13983.573275030696</v>
      </c>
      <c r="AF68" s="422">
        <f>SUM(T68:AE68)</f>
        <v>47066.865194642451</v>
      </c>
      <c r="AH68" s="382">
        <v>0.55000000000000004</v>
      </c>
      <c r="AI68" s="382"/>
      <c r="AJ68" s="422">
        <f>AJ67*$AH$68</f>
        <v>7439.0338814000006</v>
      </c>
      <c r="AK68" s="422">
        <f t="shared" ref="AK68:AU68" si="65">AK67*$AH$68</f>
        <v>7748.5072304166506</v>
      </c>
      <c r="AL68" s="422">
        <f t="shared" si="65"/>
        <v>7680.7363661116851</v>
      </c>
      <c r="AM68" s="422">
        <f t="shared" si="65"/>
        <v>8136.3471560141197</v>
      </c>
      <c r="AN68" s="422">
        <f t="shared" si="65"/>
        <v>8832.9576940226652</v>
      </c>
      <c r="AO68" s="422">
        <f t="shared" si="65"/>
        <v>12908.371934630653</v>
      </c>
      <c r="AP68" s="422">
        <f t="shared" si="65"/>
        <v>10145.465562511394</v>
      </c>
      <c r="AQ68" s="422">
        <f t="shared" si="65"/>
        <v>18314.003450861928</v>
      </c>
      <c r="AR68" s="422">
        <f t="shared" si="65"/>
        <v>11507.032500894917</v>
      </c>
      <c r="AS68" s="422">
        <f t="shared" si="65"/>
        <v>13936.888152000001</v>
      </c>
      <c r="AT68" s="422">
        <f t="shared" si="65"/>
        <v>22550.538890000003</v>
      </c>
      <c r="AU68" s="422">
        <f t="shared" si="65"/>
        <v>18665.5041045</v>
      </c>
      <c r="AV68" s="422">
        <f>SUM(AJ68:AU68)</f>
        <v>147865.38692336401</v>
      </c>
      <c r="BB68" s="382">
        <v>0.55000000000000004</v>
      </c>
      <c r="BC68" s="382"/>
      <c r="BD68" s="413">
        <f>BD67*$BB$68</f>
        <v>9585.3305652791514</v>
      </c>
      <c r="BE68" s="413">
        <f t="shared" ref="BE68:BO68" si="66">BE67*$BB$68</f>
        <v>8966.8041849002639</v>
      </c>
      <c r="BF68" s="413">
        <f t="shared" si="66"/>
        <v>10580.029467871183</v>
      </c>
      <c r="BG68" s="413">
        <f t="shared" si="66"/>
        <v>12743.74938610185</v>
      </c>
      <c r="BH68" s="413">
        <f t="shared" si="66"/>
        <v>13289.726553398463</v>
      </c>
      <c r="BI68" s="413">
        <f t="shared" si="66"/>
        <v>13512.790150504283</v>
      </c>
      <c r="BJ68" s="413">
        <f t="shared" si="66"/>
        <v>15935.076215180879</v>
      </c>
      <c r="BK68" s="413">
        <f t="shared" si="66"/>
        <v>16586.510137633166</v>
      </c>
      <c r="BL68" s="413">
        <f t="shared" si="66"/>
        <v>19727.436182219193</v>
      </c>
      <c r="BM68" s="413">
        <f t="shared" si="66"/>
        <v>25551.424999673436</v>
      </c>
      <c r="BN68" s="413">
        <f t="shared" si="66"/>
        <v>27918.903841127838</v>
      </c>
      <c r="BO68" s="413">
        <f t="shared" si="66"/>
        <v>34853.632378124588</v>
      </c>
      <c r="BP68" s="412">
        <f>SUM(BD68:BO68)</f>
        <v>209251.41406201432</v>
      </c>
      <c r="BU68" s="382">
        <f>D68</f>
        <v>0.55000000000000004</v>
      </c>
      <c r="BV68" s="422">
        <f>BV67*$BU$68</f>
        <v>15084.596230000001</v>
      </c>
      <c r="BW68" s="422">
        <f>BW67*$BU$68</f>
        <v>15668.925624000001</v>
      </c>
      <c r="BX68" s="422">
        <f t="shared" ref="BX68:CG68" si="67">BX67*$AH$68</f>
        <v>36391.722592500002</v>
      </c>
      <c r="BY68" s="422">
        <f t="shared" si="67"/>
        <v>128721.65099200002</v>
      </c>
      <c r="BZ68" s="422">
        <f t="shared" si="67"/>
        <v>178496.74315000002</v>
      </c>
      <c r="CA68" s="422">
        <f t="shared" si="67"/>
        <v>51750.163618999992</v>
      </c>
      <c r="CB68" s="422">
        <f t="shared" si="67"/>
        <v>39861.217825000007</v>
      </c>
      <c r="CC68" s="422">
        <f t="shared" si="67"/>
        <v>42448.719973000007</v>
      </c>
      <c r="CD68" s="422">
        <f t="shared" si="67"/>
        <v>0</v>
      </c>
      <c r="CE68" s="422">
        <f t="shared" si="67"/>
        <v>0</v>
      </c>
      <c r="CF68" s="422">
        <f t="shared" si="67"/>
        <v>0</v>
      </c>
      <c r="CG68" s="422">
        <f t="shared" si="67"/>
        <v>0</v>
      </c>
      <c r="CH68" s="422">
        <f>SUM(BV68:CG68)</f>
        <v>508423.74000550009</v>
      </c>
    </row>
    <row r="69" spans="1:86">
      <c r="T69" s="420"/>
      <c r="U69" s="420"/>
      <c r="V69" s="420"/>
      <c r="W69" s="420"/>
      <c r="X69" s="420"/>
      <c r="Y69" s="420"/>
      <c r="Z69" s="420"/>
      <c r="AA69" s="420"/>
      <c r="AB69" s="420"/>
      <c r="AC69" s="420"/>
      <c r="AD69" s="420"/>
      <c r="AE69" s="420"/>
      <c r="AJ69" s="420"/>
      <c r="AK69" s="420"/>
      <c r="AL69" s="420"/>
      <c r="AM69" s="420"/>
      <c r="AN69" s="420"/>
      <c r="AO69" s="420"/>
      <c r="AP69" s="420"/>
      <c r="AQ69" s="420"/>
      <c r="AR69" s="420"/>
      <c r="BV69" s="420"/>
      <c r="BW69" s="420"/>
      <c r="BX69" s="420"/>
      <c r="BY69" s="420"/>
      <c r="BZ69" s="420"/>
      <c r="CA69" s="420"/>
      <c r="CB69" s="420"/>
      <c r="CC69" s="420"/>
      <c r="CD69" s="420"/>
    </row>
    <row r="70" spans="1:86" s="380" customFormat="1" ht="13.2">
      <c r="A70" s="380" t="s">
        <v>109</v>
      </c>
      <c r="T70" s="381">
        <f t="shared" ref="T70:AE70" si="68">SUM(T46,T52,T58,T64)</f>
        <v>0</v>
      </c>
      <c r="U70" s="381">
        <f t="shared" si="68"/>
        <v>0</v>
      </c>
      <c r="V70" s="381">
        <f t="shared" si="68"/>
        <v>0</v>
      </c>
      <c r="W70" s="381">
        <f t="shared" si="68"/>
        <v>6327577</v>
      </c>
      <c r="X70" s="381">
        <f t="shared" si="68"/>
        <v>107698380</v>
      </c>
      <c r="Y70" s="381">
        <f t="shared" si="68"/>
        <v>195315016</v>
      </c>
      <c r="Z70" s="381">
        <f t="shared" si="68"/>
        <v>192237076</v>
      </c>
      <c r="AA70" s="381">
        <f t="shared" si="68"/>
        <v>189235661</v>
      </c>
      <c r="AB70" s="381">
        <f t="shared" si="68"/>
        <v>190781070</v>
      </c>
      <c r="AC70" s="381">
        <f t="shared" si="68"/>
        <v>207362663</v>
      </c>
      <c r="AD70" s="381">
        <f t="shared" si="68"/>
        <v>232985004</v>
      </c>
      <c r="AE70" s="381">
        <f t="shared" si="68"/>
        <v>233889211</v>
      </c>
      <c r="AF70" s="381">
        <f>SUM(T70:AE70)</f>
        <v>1555831658</v>
      </c>
      <c r="AJ70" s="381">
        <f t="shared" ref="AJ70:AR70" si="69">SUM(AJ46,AJ52,AJ58,AJ64)</f>
        <v>246735691</v>
      </c>
      <c r="AK70" s="381">
        <f t="shared" si="69"/>
        <v>230814223</v>
      </c>
      <c r="AL70" s="381">
        <f t="shared" si="69"/>
        <v>272340204</v>
      </c>
      <c r="AM70" s="381">
        <f t="shared" si="69"/>
        <v>328036450</v>
      </c>
      <c r="AN70" s="381">
        <f t="shared" si="69"/>
        <v>342090431</v>
      </c>
      <c r="AO70" s="381">
        <f t="shared" si="69"/>
        <v>347832304</v>
      </c>
      <c r="AP70" s="381">
        <f t="shared" si="69"/>
        <v>410184293</v>
      </c>
      <c r="AQ70" s="381">
        <f t="shared" si="69"/>
        <v>426952833</v>
      </c>
      <c r="AR70" s="381">
        <f t="shared" si="69"/>
        <v>507803311</v>
      </c>
      <c r="AS70" s="381">
        <f t="shared" ref="AS70:AU70" si="70">SUM(AS46,AS52,AS58,AS64)</f>
        <v>657718423</v>
      </c>
      <c r="AT70" s="381">
        <f t="shared" si="70"/>
        <v>718659621</v>
      </c>
      <c r="AU70" s="381">
        <f t="shared" si="70"/>
        <v>897166249</v>
      </c>
      <c r="AV70" s="381">
        <f>SUM(AJ70:AU70)</f>
        <v>5386334033</v>
      </c>
      <c r="BD70" s="381">
        <f t="shared" ref="BD70:BO70" si="71">SUM(BD46,BD52,BD58,BD64)</f>
        <v>561144592.26483703</v>
      </c>
      <c r="BE70" s="381">
        <f t="shared" si="71"/>
        <v>524934809.91471219</v>
      </c>
      <c r="BF70" s="381">
        <f t="shared" si="71"/>
        <v>619376273.09420156</v>
      </c>
      <c r="BG70" s="381">
        <f t="shared" si="71"/>
        <v>746044802.99226177</v>
      </c>
      <c r="BH70" s="381">
        <f t="shared" si="71"/>
        <v>778007408.02106893</v>
      </c>
      <c r="BI70" s="381">
        <f t="shared" si="71"/>
        <v>791066001.08623445</v>
      </c>
      <c r="BJ70" s="381">
        <f t="shared" si="71"/>
        <v>932871514.92373848</v>
      </c>
      <c r="BK70" s="381">
        <f t="shared" si="71"/>
        <v>971007771.18662596</v>
      </c>
      <c r="BL70" s="381">
        <f t="shared" si="71"/>
        <v>1154883919.4967916</v>
      </c>
      <c r="BM70" s="381">
        <f t="shared" si="71"/>
        <v>1495831976.3288989</v>
      </c>
      <c r="BN70" s="381">
        <f t="shared" si="71"/>
        <v>1634428964.7307138</v>
      </c>
      <c r="BO70" s="381">
        <f t="shared" si="71"/>
        <v>2040401965.9599156</v>
      </c>
      <c r="BP70" s="381">
        <f>SUM(BD70:BO70)</f>
        <v>12250000000</v>
      </c>
      <c r="BV70" s="381">
        <f t="shared" ref="BV70:CG70" si="72">SUM(BV46,BV52,BV58,BV64)</f>
        <v>838232595</v>
      </c>
      <c r="BW70" s="381">
        <f t="shared" si="72"/>
        <v>741057301</v>
      </c>
      <c r="BX70" s="381">
        <f t="shared" si="72"/>
        <v>833208895</v>
      </c>
      <c r="BY70" s="381">
        <f t="shared" si="72"/>
        <v>1052535055</v>
      </c>
      <c r="BZ70" s="381">
        <f t="shared" si="72"/>
        <v>1197595391</v>
      </c>
      <c r="CA70" s="381">
        <f t="shared" si="72"/>
        <v>1077536934</v>
      </c>
      <c r="CB70" s="381">
        <f t="shared" si="72"/>
        <v>1122340920</v>
      </c>
      <c r="CC70" s="381">
        <f t="shared" si="72"/>
        <v>1002841816</v>
      </c>
      <c r="CD70" s="381">
        <f t="shared" si="72"/>
        <v>0</v>
      </c>
      <c r="CE70" s="381">
        <f t="shared" si="72"/>
        <v>0</v>
      </c>
      <c r="CF70" s="381">
        <f t="shared" si="72"/>
        <v>0</v>
      </c>
      <c r="CG70" s="381">
        <f t="shared" si="72"/>
        <v>0</v>
      </c>
      <c r="CH70" s="381">
        <f>SUM(BV70:CG70)</f>
        <v>7865348907</v>
      </c>
    </row>
    <row r="71" spans="1:86" s="380" customFormat="1" ht="13.2">
      <c r="A71" s="380" t="s">
        <v>114</v>
      </c>
      <c r="D71" s="382"/>
      <c r="E71" s="382"/>
      <c r="F71" s="382"/>
      <c r="G71" s="382"/>
      <c r="H71" s="382"/>
      <c r="I71" s="382"/>
      <c r="J71" s="382"/>
      <c r="K71" s="382"/>
      <c r="L71" s="382"/>
      <c r="M71" s="382"/>
      <c r="N71" s="382"/>
      <c r="O71" s="382"/>
      <c r="P71" s="382"/>
      <c r="Q71" s="382"/>
      <c r="R71" s="382"/>
      <c r="S71" s="382"/>
      <c r="T71" s="422">
        <f t="shared" ref="T71:AE71" si="73">SUM(T50,T56,T62,T68)</f>
        <v>0</v>
      </c>
      <c r="U71" s="422">
        <f t="shared" si="73"/>
        <v>0</v>
      </c>
      <c r="V71" s="422">
        <f t="shared" si="73"/>
        <v>0</v>
      </c>
      <c r="W71" s="422">
        <f t="shared" si="73"/>
        <v>252.00330201175245</v>
      </c>
      <c r="X71" s="422">
        <f t="shared" si="73"/>
        <v>27089.195537800002</v>
      </c>
      <c r="Y71" s="422">
        <f t="shared" si="73"/>
        <v>54221.458783250004</v>
      </c>
      <c r="Z71" s="422">
        <f t="shared" si="73"/>
        <v>51473.601341250011</v>
      </c>
      <c r="AA71" s="422">
        <f t="shared" si="73"/>
        <v>46491.144211599996</v>
      </c>
      <c r="AB71" s="422">
        <f t="shared" si="73"/>
        <v>55542.926583865483</v>
      </c>
      <c r="AC71" s="422">
        <f t="shared" si="73"/>
        <v>59514.574673399999</v>
      </c>
      <c r="AD71" s="422">
        <f t="shared" si="73"/>
        <v>71291.298953600024</v>
      </c>
      <c r="AE71" s="422">
        <f t="shared" si="73"/>
        <v>94213.342056705194</v>
      </c>
      <c r="AF71" s="422">
        <f>SUM(T71:AE71)</f>
        <v>460089.54544348241</v>
      </c>
      <c r="AH71" s="382"/>
      <c r="AI71" s="382"/>
      <c r="AJ71" s="422">
        <f t="shared" ref="AJ71:AR71" si="74">SUM(AJ50,AJ56,AJ62,AJ68)</f>
        <v>53335.016409949996</v>
      </c>
      <c r="AK71" s="422">
        <f t="shared" si="74"/>
        <v>42868.342912439359</v>
      </c>
      <c r="AL71" s="422">
        <f t="shared" si="74"/>
        <v>42768.080309246339</v>
      </c>
      <c r="AM71" s="422">
        <f t="shared" si="74"/>
        <v>42168.58127455895</v>
      </c>
      <c r="AN71" s="422">
        <f t="shared" si="74"/>
        <v>48043.806046035621</v>
      </c>
      <c r="AO71" s="422">
        <f t="shared" si="74"/>
        <v>56933.204672085078</v>
      </c>
      <c r="AP71" s="422">
        <f t="shared" si="74"/>
        <v>59043.207254021647</v>
      </c>
      <c r="AQ71" s="422">
        <f t="shared" si="74"/>
        <v>66027.481979625067</v>
      </c>
      <c r="AR71" s="422">
        <f t="shared" si="74"/>
        <v>87736.645016842333</v>
      </c>
      <c r="AS71" s="422">
        <f t="shared" ref="AS71:AU71" si="75">SUM(AS50,AS56,AS62,AS68)</f>
        <v>134577.01679400002</v>
      </c>
      <c r="AT71" s="422">
        <f t="shared" si="75"/>
        <v>174720.98112700001</v>
      </c>
      <c r="AU71" s="422">
        <f t="shared" si="75"/>
        <v>321000.47734149999</v>
      </c>
      <c r="AV71" s="422">
        <f>SUM(AJ71:AU71)</f>
        <v>1129222.8411373044</v>
      </c>
      <c r="BB71" s="382"/>
      <c r="BC71" s="382"/>
      <c r="BD71" s="413">
        <f t="shared" ref="BD71:BO71" si="76">SUM(BD50,BD56,BD62,BD68)</f>
        <v>116464.35496079709</v>
      </c>
      <c r="BE71" s="413">
        <f t="shared" si="76"/>
        <v>108949.09240136069</v>
      </c>
      <c r="BF71" s="413">
        <f t="shared" si="76"/>
        <v>128550.2152534223</v>
      </c>
      <c r="BG71" s="413">
        <f t="shared" si="76"/>
        <v>154839.99658922377</v>
      </c>
      <c r="BH71" s="413">
        <f t="shared" si="76"/>
        <v>161473.76661723448</v>
      </c>
      <c r="BI71" s="413">
        <f t="shared" si="76"/>
        <v>164184.04956211982</v>
      </c>
      <c r="BJ71" s="413">
        <f t="shared" si="76"/>
        <v>193615.47940502703</v>
      </c>
      <c r="BK71" s="413">
        <f t="shared" si="76"/>
        <v>201530.57748759145</v>
      </c>
      <c r="BL71" s="413">
        <f t="shared" si="76"/>
        <v>239693.67716068306</v>
      </c>
      <c r="BM71" s="413">
        <f t="shared" si="76"/>
        <v>310456.71410597704</v>
      </c>
      <c r="BN71" s="413">
        <f t="shared" si="76"/>
        <v>339222.22138561995</v>
      </c>
      <c r="BO71" s="413">
        <f t="shared" si="76"/>
        <v>423481.04588720767</v>
      </c>
      <c r="BP71" s="412">
        <f>SUM(BD71:BO71)</f>
        <v>2542461.1908162641</v>
      </c>
      <c r="BV71" s="422">
        <f t="shared" ref="BV71:CG71" si="77">SUM(BV50,BV56,BV62,BV68)</f>
        <v>162748.50067300003</v>
      </c>
      <c r="BW71" s="422">
        <f t="shared" si="77"/>
        <v>132876.43552700002</v>
      </c>
      <c r="BX71" s="422">
        <f t="shared" si="77"/>
        <v>202495.376281</v>
      </c>
      <c r="BY71" s="422">
        <f t="shared" si="77"/>
        <v>296826.47292100004</v>
      </c>
      <c r="BZ71" s="422">
        <f t="shared" si="77"/>
        <v>384480.14917400002</v>
      </c>
      <c r="CA71" s="422">
        <f t="shared" si="77"/>
        <v>282741.13948299998</v>
      </c>
      <c r="CB71" s="422">
        <f t="shared" si="77"/>
        <v>243095.92935100006</v>
      </c>
      <c r="CC71" s="422">
        <f t="shared" si="77"/>
        <v>274614.87384650006</v>
      </c>
      <c r="CD71" s="422">
        <f t="shared" si="77"/>
        <v>0</v>
      </c>
      <c r="CE71" s="422">
        <f t="shared" si="77"/>
        <v>0</v>
      </c>
      <c r="CF71" s="422">
        <f t="shared" si="77"/>
        <v>0</v>
      </c>
      <c r="CG71" s="422">
        <f t="shared" si="77"/>
        <v>0</v>
      </c>
      <c r="CH71" s="422">
        <f>SUM(BV71:CG71)</f>
        <v>1979878.8772565001</v>
      </c>
    </row>
    <row r="72" spans="1:86">
      <c r="AQ72" s="420">
        <f t="shared" ref="AQ72:AU72" si="78">SUM(AQ49,AQ55,AQ61,AQ67)</f>
        <v>120049.96723568192</v>
      </c>
      <c r="AR72" s="420">
        <f t="shared" si="78"/>
        <v>159521.17275789514</v>
      </c>
      <c r="AS72" s="420">
        <f t="shared" si="78"/>
        <v>244685.48508000001</v>
      </c>
      <c r="AT72" s="420">
        <f t="shared" si="78"/>
        <v>317674.51113999996</v>
      </c>
      <c r="AU72" s="420">
        <f t="shared" si="78"/>
        <v>583637.23152999987</v>
      </c>
      <c r="AV72" s="420">
        <f>SUM(AV49,AV55,AV61,AV67)</f>
        <v>2053132.4384314623</v>
      </c>
      <c r="AW72" s="432"/>
      <c r="BP72" s="415"/>
    </row>
    <row r="73" spans="1:86">
      <c r="AQ73" s="432">
        <f t="shared" ref="AQ73:AU73" si="79">AQ71/AQ72</f>
        <v>0.55000000000000004</v>
      </c>
      <c r="AR73" s="432">
        <f t="shared" si="79"/>
        <v>0.55000000000000004</v>
      </c>
      <c r="AS73" s="432">
        <f t="shared" si="79"/>
        <v>0.55000000000000004</v>
      </c>
      <c r="AT73" s="432">
        <f t="shared" si="79"/>
        <v>0.55000000000000004</v>
      </c>
      <c r="AU73" s="432">
        <f t="shared" si="79"/>
        <v>0.55000000000000016</v>
      </c>
      <c r="AV73" s="432">
        <f>AV71/AV72</f>
        <v>0.55000000000000004</v>
      </c>
    </row>
    <row r="74" spans="1:86">
      <c r="A74" s="408" t="s">
        <v>115</v>
      </c>
      <c r="B74" s="408"/>
    </row>
    <row r="75" spans="1:86" hidden="1">
      <c r="A75" s="636" t="s">
        <v>29</v>
      </c>
      <c r="B75" s="424"/>
      <c r="C75" s="372" t="s">
        <v>71</v>
      </c>
      <c r="T75" s="420">
        <v>133013.47999999998</v>
      </c>
      <c r="U75" s="420">
        <v>111329.26</v>
      </c>
      <c r="V75" s="420">
        <v>147074.18210700003</v>
      </c>
      <c r="W75" s="420">
        <v>117467.23999999999</v>
      </c>
      <c r="X75" s="420">
        <v>120293.79</v>
      </c>
      <c r="Y75" s="420">
        <v>125274.22</v>
      </c>
      <c r="Z75" s="420">
        <v>112221.019765</v>
      </c>
      <c r="AA75" s="420">
        <v>123094.10999999999</v>
      </c>
      <c r="AB75" s="420">
        <v>125985.84</v>
      </c>
      <c r="AC75" s="420">
        <v>143067.22</v>
      </c>
      <c r="AD75" s="420">
        <v>154111.26</v>
      </c>
      <c r="AE75" s="420">
        <v>226126.25248899998</v>
      </c>
      <c r="AF75" s="420">
        <f>SUM(T75:AE75)</f>
        <v>1639057.874361</v>
      </c>
      <c r="AJ75" s="420">
        <f>AJ29</f>
        <v>0</v>
      </c>
      <c r="AK75" s="420">
        <f t="shared" ref="AK75:AU75" si="80">AK29</f>
        <v>0</v>
      </c>
      <c r="AL75" s="420">
        <f t="shared" si="80"/>
        <v>0</v>
      </c>
      <c r="AM75" s="420">
        <f t="shared" si="80"/>
        <v>0</v>
      </c>
      <c r="AN75" s="420">
        <f t="shared" si="80"/>
        <v>0</v>
      </c>
      <c r="AO75" s="420">
        <f t="shared" si="80"/>
        <v>0</v>
      </c>
      <c r="AP75" s="420">
        <f t="shared" si="80"/>
        <v>0</v>
      </c>
      <c r="AQ75" s="420">
        <f t="shared" si="80"/>
        <v>0</v>
      </c>
      <c r="AR75" s="420">
        <f t="shared" si="80"/>
        <v>0</v>
      </c>
      <c r="AS75" s="420">
        <f t="shared" si="80"/>
        <v>0</v>
      </c>
      <c r="AT75" s="420">
        <f t="shared" si="80"/>
        <v>0</v>
      </c>
      <c r="AU75" s="420">
        <f t="shared" si="80"/>
        <v>0</v>
      </c>
      <c r="AV75" s="420">
        <f>SUM(AJ75:AU75)</f>
        <v>0</v>
      </c>
      <c r="BV75" s="420">
        <f>BV29</f>
        <v>0</v>
      </c>
      <c r="BW75" s="420">
        <f t="shared" ref="BW75:CG75" si="81">BW29</f>
        <v>0</v>
      </c>
      <c r="BX75" s="420">
        <f t="shared" si="81"/>
        <v>0</v>
      </c>
      <c r="BY75" s="420">
        <f t="shared" si="81"/>
        <v>0</v>
      </c>
      <c r="BZ75" s="420">
        <f t="shared" si="81"/>
        <v>0</v>
      </c>
      <c r="CA75" s="420">
        <f t="shared" si="81"/>
        <v>0</v>
      </c>
      <c r="CB75" s="420">
        <f t="shared" si="81"/>
        <v>0</v>
      </c>
      <c r="CC75" s="420">
        <f t="shared" si="81"/>
        <v>0</v>
      </c>
      <c r="CD75" s="420">
        <f t="shared" si="81"/>
        <v>0</v>
      </c>
      <c r="CE75" s="420">
        <f t="shared" si="81"/>
        <v>0</v>
      </c>
      <c r="CF75" s="420">
        <f t="shared" si="81"/>
        <v>0</v>
      </c>
      <c r="CG75" s="420">
        <f t="shared" si="81"/>
        <v>0</v>
      </c>
      <c r="CH75" s="420">
        <f>SUM(BV75:CG75)</f>
        <v>0</v>
      </c>
    </row>
    <row r="76" spans="1:86" hidden="1">
      <c r="A76" s="636"/>
      <c r="B76" s="424"/>
      <c r="C76" s="372" t="s">
        <v>116</v>
      </c>
      <c r="T76" s="420">
        <v>208150.11000000002</v>
      </c>
      <c r="U76" s="420">
        <v>175207.92</v>
      </c>
      <c r="V76" s="420">
        <v>184642.69</v>
      </c>
      <c r="W76" s="420">
        <v>140120.44</v>
      </c>
      <c r="X76" s="420">
        <v>206937.71</v>
      </c>
      <c r="Y76" s="420">
        <v>224787.26</v>
      </c>
      <c r="Z76" s="420">
        <v>181055.464561</v>
      </c>
      <c r="AA76" s="420">
        <v>178715.53999999998</v>
      </c>
      <c r="AB76" s="420">
        <v>189461.84</v>
      </c>
      <c r="AC76" s="420">
        <v>208037.56</v>
      </c>
      <c r="AD76" s="420">
        <v>239690.10000000003</v>
      </c>
      <c r="AE76" s="420">
        <v>391918.05000000005</v>
      </c>
      <c r="AF76" s="420">
        <f>SUM(T76:AE76)</f>
        <v>2528724.6845610002</v>
      </c>
      <c r="AJ76" s="420">
        <f>AJ33</f>
        <v>0</v>
      </c>
      <c r="AK76" s="420">
        <f t="shared" ref="AK76:AU76" si="82">AK33</f>
        <v>0</v>
      </c>
      <c r="AL76" s="420">
        <f t="shared" si="82"/>
        <v>0</v>
      </c>
      <c r="AM76" s="420">
        <f t="shared" si="82"/>
        <v>0</v>
      </c>
      <c r="AN76" s="420">
        <f t="shared" si="82"/>
        <v>0</v>
      </c>
      <c r="AO76" s="420">
        <f t="shared" si="82"/>
        <v>0</v>
      </c>
      <c r="AP76" s="420">
        <f t="shared" si="82"/>
        <v>0</v>
      </c>
      <c r="AQ76" s="420">
        <f t="shared" si="82"/>
        <v>0</v>
      </c>
      <c r="AR76" s="420">
        <f t="shared" si="82"/>
        <v>0</v>
      </c>
      <c r="AS76" s="420">
        <f t="shared" si="82"/>
        <v>0</v>
      </c>
      <c r="AT76" s="420">
        <f t="shared" si="82"/>
        <v>0</v>
      </c>
      <c r="AU76" s="420">
        <f t="shared" si="82"/>
        <v>0</v>
      </c>
      <c r="AV76" s="420">
        <f>SUM(AJ76:AU76)</f>
        <v>0</v>
      </c>
      <c r="BV76" s="420">
        <f>BV33</f>
        <v>0</v>
      </c>
      <c r="BW76" s="420">
        <f t="shared" ref="BW76:CG76" si="83">BW33</f>
        <v>0</v>
      </c>
      <c r="BX76" s="420">
        <f t="shared" si="83"/>
        <v>0</v>
      </c>
      <c r="BY76" s="420">
        <f t="shared" si="83"/>
        <v>0</v>
      </c>
      <c r="BZ76" s="420">
        <f t="shared" si="83"/>
        <v>0</v>
      </c>
      <c r="CA76" s="420">
        <f t="shared" si="83"/>
        <v>0</v>
      </c>
      <c r="CB76" s="420">
        <f t="shared" si="83"/>
        <v>0</v>
      </c>
      <c r="CC76" s="420">
        <f t="shared" si="83"/>
        <v>0</v>
      </c>
      <c r="CD76" s="420">
        <f t="shared" si="83"/>
        <v>0</v>
      </c>
      <c r="CE76" s="420">
        <f t="shared" si="83"/>
        <v>0</v>
      </c>
      <c r="CF76" s="420">
        <f t="shared" si="83"/>
        <v>0</v>
      </c>
      <c r="CG76" s="420">
        <f t="shared" si="83"/>
        <v>0</v>
      </c>
      <c r="CH76" s="420">
        <f>SUM(BV76:CG76)</f>
        <v>0</v>
      </c>
    </row>
    <row r="77" spans="1:86">
      <c r="A77" s="636"/>
      <c r="B77" s="424"/>
      <c r="C77" s="372" t="s">
        <v>73</v>
      </c>
      <c r="T77" s="420">
        <v>0</v>
      </c>
      <c r="U77" s="420">
        <v>0</v>
      </c>
      <c r="V77" s="420">
        <v>0</v>
      </c>
      <c r="W77" s="420">
        <v>9.86</v>
      </c>
      <c r="X77" s="420">
        <v>23945.52</v>
      </c>
      <c r="Y77" s="420">
        <v>47351.78</v>
      </c>
      <c r="Z77" s="420">
        <v>45693.909978000003</v>
      </c>
      <c r="AA77" s="420">
        <v>40922.82</v>
      </c>
      <c r="AB77" s="420">
        <v>49335.47</v>
      </c>
      <c r="AC77" s="420">
        <v>51122.67</v>
      </c>
      <c r="AD77" s="420">
        <v>50015.44</v>
      </c>
      <c r="AE77" s="420">
        <v>75031.350000000006</v>
      </c>
      <c r="AF77" s="420">
        <f>SUM(T77:AE77)</f>
        <v>383428.81997800001</v>
      </c>
      <c r="AJ77" s="420">
        <f>AJ37</f>
        <v>42612.248553999998</v>
      </c>
      <c r="AK77" s="420">
        <f t="shared" ref="AK77:AU77" si="84">AK37</f>
        <v>32494.297270999996</v>
      </c>
      <c r="AL77" s="420">
        <f t="shared" si="84"/>
        <v>32691.966900000007</v>
      </c>
      <c r="AM77" s="420">
        <f t="shared" si="84"/>
        <v>33081.352396000009</v>
      </c>
      <c r="AN77" s="420">
        <f t="shared" si="84"/>
        <v>37888.326292999991</v>
      </c>
      <c r="AO77" s="420">
        <f t="shared" si="84"/>
        <v>42816.381576999986</v>
      </c>
      <c r="AP77" s="420">
        <f t="shared" si="84"/>
        <v>47956.517338000005</v>
      </c>
      <c r="AQ77" s="420">
        <f t="shared" si="84"/>
        <v>46698.11</v>
      </c>
      <c r="AR77" s="420">
        <f t="shared" si="84"/>
        <v>75244.679999999993</v>
      </c>
      <c r="AS77" s="420">
        <f t="shared" si="84"/>
        <v>120032.73000000001</v>
      </c>
      <c r="AT77" s="420">
        <f t="shared" si="84"/>
        <v>151241.94</v>
      </c>
      <c r="AU77" s="420">
        <f t="shared" si="84"/>
        <v>302343.67</v>
      </c>
      <c r="AV77" s="420">
        <f>SUM(AJ77:AU77)</f>
        <v>965102.22032899992</v>
      </c>
      <c r="BV77" s="420">
        <f>BV37</f>
        <v>148369.26999999999</v>
      </c>
      <c r="BW77" s="420">
        <f t="shared" ref="BW77:CG77" si="85">BW37</f>
        <v>118213.66</v>
      </c>
      <c r="BX77" s="420">
        <f t="shared" si="85"/>
        <v>168146.83</v>
      </c>
      <c r="BY77" s="420">
        <f t="shared" si="85"/>
        <v>170290.55000000002</v>
      </c>
      <c r="BZ77" s="420">
        <f t="shared" si="85"/>
        <v>206786.54000000004</v>
      </c>
      <c r="CA77" s="420">
        <f t="shared" si="85"/>
        <v>232102.98000000004</v>
      </c>
      <c r="CB77" s="420">
        <f t="shared" si="85"/>
        <v>204887.84</v>
      </c>
      <c r="CC77" s="420">
        <f t="shared" si="85"/>
        <v>233306.64100001781</v>
      </c>
      <c r="CD77" s="420">
        <f t="shared" si="85"/>
        <v>0</v>
      </c>
      <c r="CE77" s="420">
        <f t="shared" si="85"/>
        <v>0</v>
      </c>
      <c r="CF77" s="420">
        <f t="shared" si="85"/>
        <v>0</v>
      </c>
      <c r="CG77" s="420">
        <f t="shared" si="85"/>
        <v>0</v>
      </c>
      <c r="CH77" s="420">
        <f>SUM(BV77:CG77)</f>
        <v>1482104.3110000179</v>
      </c>
    </row>
    <row r="78" spans="1:86">
      <c r="A78" s="636"/>
      <c r="B78" s="424"/>
      <c r="C78" s="372" t="s">
        <v>117</v>
      </c>
      <c r="T78" s="420">
        <v>0</v>
      </c>
      <c r="U78" s="420">
        <v>0</v>
      </c>
      <c r="V78" s="420">
        <v>0</v>
      </c>
      <c r="W78" s="420">
        <v>255.10000000000002</v>
      </c>
      <c r="X78" s="420">
        <v>1207.1799999999998</v>
      </c>
      <c r="Y78" s="420">
        <v>2777.1</v>
      </c>
      <c r="Z78" s="420">
        <v>2320.9</v>
      </c>
      <c r="AA78" s="420">
        <v>2082.3399999999997</v>
      </c>
      <c r="AB78" s="420">
        <v>2421.67</v>
      </c>
      <c r="AC78" s="420">
        <v>4506.9699999999993</v>
      </c>
      <c r="AD78" s="420">
        <v>17379.260000000002</v>
      </c>
      <c r="AE78" s="420">
        <v>13837.280000000002</v>
      </c>
      <c r="AF78" s="420">
        <f>SUM(T78:AE78)</f>
        <v>46787.8</v>
      </c>
      <c r="AJ78" s="420">
        <f>AJ41</f>
        <v>7490.1370640000005</v>
      </c>
      <c r="AK78" s="420">
        <f t="shared" ref="AK78:AU78" si="86">AK41</f>
        <v>7815.3045420000035</v>
      </c>
      <c r="AL78" s="420">
        <f t="shared" si="86"/>
        <v>7690.0191639999994</v>
      </c>
      <c r="AM78" s="420">
        <f t="shared" si="86"/>
        <v>8216.241931999999</v>
      </c>
      <c r="AN78" s="420">
        <f t="shared" si="86"/>
        <v>8813.1399020000008</v>
      </c>
      <c r="AO78" s="420">
        <f t="shared" si="86"/>
        <v>12750.50079</v>
      </c>
      <c r="AP78" s="420">
        <f t="shared" si="86"/>
        <v>10301.778777</v>
      </c>
      <c r="AQ78" s="420">
        <f t="shared" si="86"/>
        <v>18537.22</v>
      </c>
      <c r="AR78" s="420">
        <f t="shared" si="86"/>
        <v>11722.53</v>
      </c>
      <c r="AS78" s="420">
        <f t="shared" si="86"/>
        <v>14230.68</v>
      </c>
      <c r="AT78" s="420">
        <f t="shared" si="86"/>
        <v>22857.51</v>
      </c>
      <c r="AU78" s="420">
        <f t="shared" si="86"/>
        <v>19072.77</v>
      </c>
      <c r="AV78" s="420">
        <f>SUM(AJ78:AU78)</f>
        <v>149497.83217099999</v>
      </c>
      <c r="BV78" s="420">
        <f>BV41</f>
        <v>17239.805999999997</v>
      </c>
      <c r="BW78" s="420">
        <f t="shared" ref="BW78:CG78" si="87">BW41</f>
        <v>16223.650000000001</v>
      </c>
      <c r="BX78" s="420">
        <f t="shared" si="87"/>
        <v>38199.729999999996</v>
      </c>
      <c r="BY78" s="420">
        <f t="shared" si="87"/>
        <v>121615.76999999999</v>
      </c>
      <c r="BZ78" s="420">
        <f t="shared" si="87"/>
        <v>176027.96000000002</v>
      </c>
      <c r="CA78" s="420">
        <f t="shared" si="87"/>
        <v>51696.229999999996</v>
      </c>
      <c r="CB78" s="420">
        <f t="shared" si="87"/>
        <v>40203.839999999997</v>
      </c>
      <c r="CC78" s="420">
        <f t="shared" si="87"/>
        <v>42278.220999997204</v>
      </c>
      <c r="CD78" s="420">
        <f t="shared" si="87"/>
        <v>0</v>
      </c>
      <c r="CE78" s="420">
        <f t="shared" si="87"/>
        <v>0</v>
      </c>
      <c r="CF78" s="420">
        <f t="shared" si="87"/>
        <v>0</v>
      </c>
      <c r="CG78" s="420">
        <f t="shared" si="87"/>
        <v>0</v>
      </c>
      <c r="CH78" s="420">
        <f>SUM(BV78:CG78)</f>
        <v>503485.20699999714</v>
      </c>
    </row>
    <row r="79" spans="1:86">
      <c r="A79" s="636"/>
      <c r="B79" s="424"/>
      <c r="C79" s="372" t="s">
        <v>47</v>
      </c>
      <c r="T79" s="420">
        <f>SUM(T75:T78)</f>
        <v>341163.58999999997</v>
      </c>
      <c r="U79" s="420">
        <f t="shared" ref="U79:AF79" si="88">SUM(U75:U78)</f>
        <v>286537.18</v>
      </c>
      <c r="V79" s="420">
        <f t="shared" si="88"/>
        <v>331716.87210700003</v>
      </c>
      <c r="W79" s="420">
        <f t="shared" si="88"/>
        <v>257852.63999999998</v>
      </c>
      <c r="X79" s="420">
        <f t="shared" si="88"/>
        <v>352384.2</v>
      </c>
      <c r="Y79" s="420">
        <f t="shared" si="88"/>
        <v>400190.36</v>
      </c>
      <c r="Z79" s="420">
        <f t="shared" si="88"/>
        <v>341291.29430399998</v>
      </c>
      <c r="AA79" s="420">
        <f t="shared" si="88"/>
        <v>344814.81</v>
      </c>
      <c r="AB79" s="420">
        <f t="shared" si="88"/>
        <v>367204.82</v>
      </c>
      <c r="AC79" s="420">
        <f t="shared" si="88"/>
        <v>406734.42</v>
      </c>
      <c r="AD79" s="420">
        <f t="shared" si="88"/>
        <v>461196.06000000006</v>
      </c>
      <c r="AE79" s="420">
        <f t="shared" si="88"/>
        <v>706912.93248900003</v>
      </c>
      <c r="AF79" s="420">
        <f t="shared" si="88"/>
        <v>4597999.1788999997</v>
      </c>
      <c r="AJ79" s="420">
        <f t="shared" ref="AJ79:AV79" si="89">SUM(AJ75:AJ78)</f>
        <v>50102.385618</v>
      </c>
      <c r="AK79" s="420">
        <f t="shared" si="89"/>
        <v>40309.601813000001</v>
      </c>
      <c r="AL79" s="420">
        <f t="shared" si="89"/>
        <v>40381.986064000004</v>
      </c>
      <c r="AM79" s="420">
        <f t="shared" si="89"/>
        <v>41297.594328000006</v>
      </c>
      <c r="AN79" s="420">
        <f t="shared" si="89"/>
        <v>46701.466194999994</v>
      </c>
      <c r="AO79" s="420">
        <f t="shared" si="89"/>
        <v>55566.882366999984</v>
      </c>
      <c r="AP79" s="420">
        <f t="shared" si="89"/>
        <v>58258.296115000005</v>
      </c>
      <c r="AQ79" s="420">
        <f t="shared" si="89"/>
        <v>65235.33</v>
      </c>
      <c r="AR79" s="420">
        <f t="shared" si="89"/>
        <v>86967.209999999992</v>
      </c>
      <c r="AS79" s="420">
        <f t="shared" si="89"/>
        <v>134263.41</v>
      </c>
      <c r="AT79" s="420">
        <f t="shared" si="89"/>
        <v>174099.45</v>
      </c>
      <c r="AU79" s="420">
        <f t="shared" si="89"/>
        <v>321416.44</v>
      </c>
      <c r="AV79" s="420">
        <f t="shared" si="89"/>
        <v>1114600.0525</v>
      </c>
      <c r="BV79" s="420">
        <f t="shared" ref="BV79:CH79" si="90">SUM(BV75:BV78)</f>
        <v>165609.076</v>
      </c>
      <c r="BW79" s="420">
        <f t="shared" si="90"/>
        <v>134437.31</v>
      </c>
      <c r="BX79" s="420">
        <f t="shared" si="90"/>
        <v>206346.56</v>
      </c>
      <c r="BY79" s="420">
        <f t="shared" si="90"/>
        <v>291906.32</v>
      </c>
      <c r="BZ79" s="420">
        <f t="shared" si="90"/>
        <v>382814.50000000006</v>
      </c>
      <c r="CA79" s="420">
        <f t="shared" si="90"/>
        <v>283799.21000000002</v>
      </c>
      <c r="CB79" s="420">
        <f t="shared" si="90"/>
        <v>245091.68</v>
      </c>
      <c r="CC79" s="420">
        <f t="shared" si="90"/>
        <v>275584.86200001504</v>
      </c>
      <c r="CD79" s="420">
        <f t="shared" si="90"/>
        <v>0</v>
      </c>
      <c r="CE79" s="420">
        <f t="shared" si="90"/>
        <v>0</v>
      </c>
      <c r="CF79" s="420">
        <f t="shared" si="90"/>
        <v>0</v>
      </c>
      <c r="CG79" s="420">
        <f t="shared" si="90"/>
        <v>0</v>
      </c>
      <c r="CH79" s="420">
        <f t="shared" si="90"/>
        <v>1985589.5180000151</v>
      </c>
    </row>
    <row r="82" spans="1:89" hidden="1">
      <c r="A82" s="637" t="s">
        <v>65</v>
      </c>
      <c r="B82" s="425"/>
      <c r="C82" s="372" t="s">
        <v>71</v>
      </c>
      <c r="T82" s="426">
        <f t="shared" ref="T82:AE82" si="91">T50-T75</f>
        <v>-133013.47999999998</v>
      </c>
      <c r="U82" s="426">
        <f t="shared" si="91"/>
        <v>-111329.26</v>
      </c>
      <c r="V82" s="426">
        <f t="shared" si="91"/>
        <v>-147074.18210700003</v>
      </c>
      <c r="W82" s="426">
        <f t="shared" si="91"/>
        <v>-117467.23999999999</v>
      </c>
      <c r="X82" s="426">
        <f t="shared" si="91"/>
        <v>-120293.79</v>
      </c>
      <c r="Y82" s="426">
        <f t="shared" si="91"/>
        <v>-125274.22</v>
      </c>
      <c r="Z82" s="426">
        <f t="shared" si="91"/>
        <v>-112221.019765</v>
      </c>
      <c r="AA82" s="426">
        <f t="shared" si="91"/>
        <v>-123094.10999999999</v>
      </c>
      <c r="AB82" s="426">
        <f t="shared" si="91"/>
        <v>-125985.84</v>
      </c>
      <c r="AC82" s="426">
        <f t="shared" si="91"/>
        <v>-143067.22</v>
      </c>
      <c r="AD82" s="426">
        <f t="shared" si="91"/>
        <v>-154111.26</v>
      </c>
      <c r="AE82" s="426">
        <f t="shared" si="91"/>
        <v>-226126.25248899998</v>
      </c>
      <c r="AF82" s="426">
        <f>SUM(T82:AE82)</f>
        <v>-1639057.874361</v>
      </c>
      <c r="AG82" s="426"/>
      <c r="AH82" s="426"/>
      <c r="AI82" s="426"/>
      <c r="AJ82" s="426">
        <f t="shared" ref="AJ82" si="92">AJ50-AJ75</f>
        <v>0</v>
      </c>
      <c r="AK82" s="426">
        <f t="shared" ref="AK82:AU82" si="93">AK50-AK75</f>
        <v>0</v>
      </c>
      <c r="AL82" s="426">
        <f t="shared" si="93"/>
        <v>0</v>
      </c>
      <c r="AM82" s="426">
        <f t="shared" si="93"/>
        <v>0</v>
      </c>
      <c r="AN82" s="426">
        <f t="shared" si="93"/>
        <v>0</v>
      </c>
      <c r="AO82" s="426">
        <f t="shared" si="93"/>
        <v>0</v>
      </c>
      <c r="AP82" s="426">
        <f t="shared" si="93"/>
        <v>0</v>
      </c>
      <c r="AQ82" s="426">
        <f t="shared" si="93"/>
        <v>0</v>
      </c>
      <c r="AR82" s="426">
        <f t="shared" si="93"/>
        <v>0</v>
      </c>
      <c r="AS82" s="426">
        <f t="shared" si="93"/>
        <v>0</v>
      </c>
      <c r="AT82" s="426">
        <f t="shared" si="93"/>
        <v>0</v>
      </c>
      <c r="AU82" s="426">
        <f t="shared" si="93"/>
        <v>0</v>
      </c>
      <c r="AV82" s="426">
        <f>SUM(AJ82:AU82)</f>
        <v>0</v>
      </c>
      <c r="BV82" s="426">
        <f t="shared" ref="BV82:CG82" si="94">BV50-BV75</f>
        <v>0</v>
      </c>
      <c r="BW82" s="426">
        <f t="shared" si="94"/>
        <v>0</v>
      </c>
      <c r="BX82" s="426">
        <f t="shared" si="94"/>
        <v>0</v>
      </c>
      <c r="BY82" s="426">
        <f t="shared" si="94"/>
        <v>0</v>
      </c>
      <c r="BZ82" s="426">
        <f t="shared" si="94"/>
        <v>0</v>
      </c>
      <c r="CA82" s="426">
        <f t="shared" si="94"/>
        <v>0</v>
      </c>
      <c r="CB82" s="426">
        <f t="shared" si="94"/>
        <v>0</v>
      </c>
      <c r="CC82" s="426">
        <f t="shared" si="94"/>
        <v>0</v>
      </c>
      <c r="CD82" s="426">
        <f t="shared" si="94"/>
        <v>0</v>
      </c>
      <c r="CE82" s="426">
        <f t="shared" si="94"/>
        <v>0</v>
      </c>
      <c r="CF82" s="426">
        <f t="shared" si="94"/>
        <v>0</v>
      </c>
      <c r="CG82" s="426">
        <f t="shared" si="94"/>
        <v>0</v>
      </c>
      <c r="CH82" s="426">
        <f>SUM(BV82:CG82)</f>
        <v>0</v>
      </c>
    </row>
    <row r="83" spans="1:89" hidden="1">
      <c r="A83" s="637"/>
      <c r="B83" s="425"/>
      <c r="C83" s="372" t="s">
        <v>116</v>
      </c>
      <c r="T83" s="426">
        <f t="shared" ref="T83:AE83" si="95">T56-T76</f>
        <v>-208150.11000000002</v>
      </c>
      <c r="U83" s="426">
        <f t="shared" si="95"/>
        <v>-175207.92</v>
      </c>
      <c r="V83" s="426">
        <f t="shared" si="95"/>
        <v>-184642.69</v>
      </c>
      <c r="W83" s="426">
        <f t="shared" si="95"/>
        <v>-140120.44</v>
      </c>
      <c r="X83" s="426">
        <f t="shared" si="95"/>
        <v>-206937.71</v>
      </c>
      <c r="Y83" s="426">
        <f t="shared" si="95"/>
        <v>-224787.26</v>
      </c>
      <c r="Z83" s="426">
        <f t="shared" si="95"/>
        <v>-181055.464561</v>
      </c>
      <c r="AA83" s="426">
        <f t="shared" si="95"/>
        <v>-178715.53999999998</v>
      </c>
      <c r="AB83" s="426">
        <f t="shared" si="95"/>
        <v>-189461.84</v>
      </c>
      <c r="AC83" s="426">
        <f t="shared" si="95"/>
        <v>-208037.56</v>
      </c>
      <c r="AD83" s="426">
        <f t="shared" si="95"/>
        <v>-239690.10000000003</v>
      </c>
      <c r="AE83" s="426">
        <f t="shared" si="95"/>
        <v>-391918.05000000005</v>
      </c>
      <c r="AF83" s="426">
        <f>SUM(T83:AE83)</f>
        <v>-2528724.6845610002</v>
      </c>
      <c r="AG83" s="426"/>
      <c r="AH83" s="426"/>
      <c r="AI83" s="426"/>
      <c r="AJ83" s="426">
        <f>AJ56-AJ76</f>
        <v>0</v>
      </c>
      <c r="AK83" s="426">
        <f t="shared" ref="AK83:AU83" si="96">AK56-AK76</f>
        <v>0</v>
      </c>
      <c r="AL83" s="426">
        <f t="shared" si="96"/>
        <v>0</v>
      </c>
      <c r="AM83" s="426">
        <f t="shared" si="96"/>
        <v>0</v>
      </c>
      <c r="AN83" s="426">
        <f t="shared" si="96"/>
        <v>0</v>
      </c>
      <c r="AO83" s="426">
        <f t="shared" si="96"/>
        <v>0</v>
      </c>
      <c r="AP83" s="426">
        <f t="shared" si="96"/>
        <v>0</v>
      </c>
      <c r="AQ83" s="426">
        <f t="shared" si="96"/>
        <v>0</v>
      </c>
      <c r="AR83" s="426">
        <f t="shared" si="96"/>
        <v>0</v>
      </c>
      <c r="AS83" s="426">
        <f t="shared" si="96"/>
        <v>0</v>
      </c>
      <c r="AT83" s="426">
        <f t="shared" si="96"/>
        <v>0</v>
      </c>
      <c r="AU83" s="426">
        <f t="shared" si="96"/>
        <v>0</v>
      </c>
      <c r="AV83" s="426">
        <f>SUM(AJ83:AU83)</f>
        <v>0</v>
      </c>
      <c r="BV83" s="426">
        <f>BV56-BV76</f>
        <v>0</v>
      </c>
      <c r="BW83" s="426">
        <f t="shared" ref="BW83:CG83" si="97">BW56-BW76</f>
        <v>0</v>
      </c>
      <c r="BX83" s="426">
        <f t="shared" si="97"/>
        <v>0</v>
      </c>
      <c r="BY83" s="426">
        <f t="shared" si="97"/>
        <v>0</v>
      </c>
      <c r="BZ83" s="426">
        <f t="shared" si="97"/>
        <v>0</v>
      </c>
      <c r="CA83" s="426">
        <f t="shared" si="97"/>
        <v>0</v>
      </c>
      <c r="CB83" s="426">
        <f t="shared" si="97"/>
        <v>0</v>
      </c>
      <c r="CC83" s="426">
        <f t="shared" si="97"/>
        <v>0</v>
      </c>
      <c r="CD83" s="426">
        <f t="shared" si="97"/>
        <v>0</v>
      </c>
      <c r="CE83" s="426">
        <f t="shared" si="97"/>
        <v>0</v>
      </c>
      <c r="CF83" s="426">
        <f t="shared" si="97"/>
        <v>0</v>
      </c>
      <c r="CG83" s="426">
        <f t="shared" si="97"/>
        <v>0</v>
      </c>
      <c r="CH83" s="426">
        <f>SUM(BV83:CG83)</f>
        <v>0</v>
      </c>
    </row>
    <row r="84" spans="1:89">
      <c r="A84" s="637"/>
      <c r="B84" s="425"/>
      <c r="C84" s="372" t="s">
        <v>73</v>
      </c>
      <c r="T84" s="426">
        <f t="shared" ref="T84:AE84" si="98">T62-T77</f>
        <v>0</v>
      </c>
      <c r="U84" s="426">
        <f t="shared" si="98"/>
        <v>0</v>
      </c>
      <c r="V84" s="426">
        <f t="shared" si="98"/>
        <v>0</v>
      </c>
      <c r="W84" s="426">
        <f t="shared" si="98"/>
        <v>2.4857839999999989</v>
      </c>
      <c r="X84" s="426">
        <f t="shared" si="98"/>
        <v>1858.2463543000013</v>
      </c>
      <c r="Y84" s="426">
        <f t="shared" si="98"/>
        <v>4065.5334887500067</v>
      </c>
      <c r="Z84" s="426">
        <f t="shared" si="98"/>
        <v>3406.9287127500065</v>
      </c>
      <c r="AA84" s="426">
        <f t="shared" si="98"/>
        <v>3390.2964992999987</v>
      </c>
      <c r="AB84" s="426">
        <f t="shared" si="98"/>
        <v>3728.3208016654826</v>
      </c>
      <c r="AC84" s="426">
        <f t="shared" si="98"/>
        <v>3846.1126644000033</v>
      </c>
      <c r="AD84" s="426">
        <f t="shared" si="98"/>
        <v>4097.5171840000112</v>
      </c>
      <c r="AE84" s="426">
        <f t="shared" si="98"/>
        <v>5198.4187816744961</v>
      </c>
      <c r="AF84" s="426">
        <f>SUM(T84:AE84)</f>
        <v>29593.860270840007</v>
      </c>
      <c r="AG84" s="426"/>
      <c r="AH84" s="426"/>
      <c r="AI84" s="426"/>
      <c r="AJ84" s="426">
        <f>AJ62-AJ77</f>
        <v>3283.7339745499994</v>
      </c>
      <c r="AK84" s="426">
        <f t="shared" ref="AK84:AU84" si="99">AK62-AK77</f>
        <v>2625.5384110227096</v>
      </c>
      <c r="AL84" s="426">
        <f t="shared" si="99"/>
        <v>2395.3770431346493</v>
      </c>
      <c r="AM84" s="426">
        <f t="shared" si="99"/>
        <v>950.88172254482197</v>
      </c>
      <c r="AN84" s="426">
        <f t="shared" si="99"/>
        <v>1322.5220590129611</v>
      </c>
      <c r="AO84" s="426">
        <f t="shared" si="99"/>
        <v>1208.4511604544387</v>
      </c>
      <c r="AP84" s="426">
        <f t="shared" si="99"/>
        <v>941.22435351024615</v>
      </c>
      <c r="AQ84" s="426">
        <f t="shared" si="99"/>
        <v>1015.3685287631379</v>
      </c>
      <c r="AR84" s="426">
        <f t="shared" si="99"/>
        <v>984.93251594742469</v>
      </c>
      <c r="AS84" s="426">
        <f t="shared" si="99"/>
        <v>607.39864200000011</v>
      </c>
      <c r="AT84" s="426">
        <f t="shared" si="99"/>
        <v>928.50223700000788</v>
      </c>
      <c r="AU84" s="426">
        <f t="shared" si="99"/>
        <v>-8.6967629999853671</v>
      </c>
      <c r="AV84" s="426">
        <f>SUM(AJ84:AU84)</f>
        <v>16255.233884940411</v>
      </c>
      <c r="BV84" s="426">
        <f>BV62-BV77</f>
        <v>-705.3655569999537</v>
      </c>
      <c r="BW84" s="426">
        <f t="shared" ref="BW84:CG84" si="100">BW62-BW77</f>
        <v>-1006.1500969999906</v>
      </c>
      <c r="BX84" s="426">
        <f t="shared" si="100"/>
        <v>-2043.1763114999922</v>
      </c>
      <c r="BY84" s="426">
        <f t="shared" si="100"/>
        <v>-2185.7280709999905</v>
      </c>
      <c r="BZ84" s="426">
        <f t="shared" si="100"/>
        <v>-803.13397600007011</v>
      </c>
      <c r="CA84" s="426">
        <f t="shared" si="100"/>
        <v>-1112.0041360000614</v>
      </c>
      <c r="CB84" s="426">
        <f t="shared" si="100"/>
        <v>-1653.1284739999392</v>
      </c>
      <c r="CC84" s="426">
        <f t="shared" si="100"/>
        <v>-1140.487126517779</v>
      </c>
      <c r="CD84" s="426">
        <f t="shared" si="100"/>
        <v>0</v>
      </c>
      <c r="CE84" s="426">
        <f t="shared" si="100"/>
        <v>0</v>
      </c>
      <c r="CF84" s="426">
        <f t="shared" si="100"/>
        <v>0</v>
      </c>
      <c r="CG84" s="426">
        <f t="shared" si="100"/>
        <v>0</v>
      </c>
      <c r="CH84" s="426">
        <f>SUM(BV84:CG84)</f>
        <v>-10649.173749017777</v>
      </c>
    </row>
    <row r="85" spans="1:89">
      <c r="A85" s="637"/>
      <c r="B85" s="425"/>
      <c r="C85" s="372" t="s">
        <v>117</v>
      </c>
      <c r="T85" s="426">
        <f t="shared" ref="T85:AE85" si="101">T68-T78</f>
        <v>0</v>
      </c>
      <c r="U85" s="426">
        <f t="shared" si="101"/>
        <v>0</v>
      </c>
      <c r="V85" s="426">
        <f t="shared" si="101"/>
        <v>0</v>
      </c>
      <c r="W85" s="426">
        <f t="shared" si="101"/>
        <v>-15.442481988247579</v>
      </c>
      <c r="X85" s="426">
        <f t="shared" si="101"/>
        <v>78.249183500000299</v>
      </c>
      <c r="Y85" s="426">
        <f t="shared" si="101"/>
        <v>27.045294500000182</v>
      </c>
      <c r="Z85" s="426">
        <f t="shared" si="101"/>
        <v>51.8626505000002</v>
      </c>
      <c r="AA85" s="426">
        <f t="shared" si="101"/>
        <v>95.68771230000084</v>
      </c>
      <c r="AB85" s="426">
        <f t="shared" si="101"/>
        <v>57.465782200000376</v>
      </c>
      <c r="AC85" s="426">
        <f t="shared" si="101"/>
        <v>38.822009000001344</v>
      </c>
      <c r="AD85" s="426">
        <f t="shared" si="101"/>
        <v>-200.91823039999872</v>
      </c>
      <c r="AE85" s="426">
        <f t="shared" si="101"/>
        <v>146.29327503069362</v>
      </c>
      <c r="AF85" s="426">
        <f>SUM(T85:AE85)</f>
        <v>279.06519464245059</v>
      </c>
      <c r="AG85" s="426"/>
      <c r="AH85" s="426"/>
      <c r="AI85" s="426"/>
      <c r="AJ85" s="426">
        <f>AJ68-AJ78</f>
        <v>-51.103182599999855</v>
      </c>
      <c r="AK85" s="426">
        <f t="shared" ref="AK85:AU85" si="102">AK68-AK78</f>
        <v>-66.797311583352894</v>
      </c>
      <c r="AL85" s="426">
        <f t="shared" si="102"/>
        <v>-9.282797888314235</v>
      </c>
      <c r="AM85" s="426">
        <f t="shared" si="102"/>
        <v>-79.894775985879278</v>
      </c>
      <c r="AN85" s="426">
        <f t="shared" si="102"/>
        <v>19.817792022664435</v>
      </c>
      <c r="AO85" s="426">
        <f t="shared" si="102"/>
        <v>157.87114463065336</v>
      </c>
      <c r="AP85" s="426">
        <f t="shared" si="102"/>
        <v>-156.31321448860581</v>
      </c>
      <c r="AQ85" s="426">
        <f t="shared" si="102"/>
        <v>-223.21654913807288</v>
      </c>
      <c r="AR85" s="426">
        <f t="shared" si="102"/>
        <v>-215.49749910508399</v>
      </c>
      <c r="AS85" s="426">
        <f t="shared" si="102"/>
        <v>-293.79184799999894</v>
      </c>
      <c r="AT85" s="426">
        <f t="shared" si="102"/>
        <v>-306.97110999999495</v>
      </c>
      <c r="AU85" s="426">
        <f t="shared" si="102"/>
        <v>-407.26589550000062</v>
      </c>
      <c r="AV85" s="426">
        <f>SUM(AJ85:AU85)</f>
        <v>-1632.4452476359857</v>
      </c>
      <c r="BV85" s="426">
        <f>BV68-BV78</f>
        <v>-2155.2097699999958</v>
      </c>
      <c r="BW85" s="426">
        <f t="shared" ref="BW85:CG85" si="103">BW68-BW78</f>
        <v>-554.72437600000012</v>
      </c>
      <c r="BX85" s="426">
        <f t="shared" si="103"/>
        <v>-1808.0074074999939</v>
      </c>
      <c r="BY85" s="426">
        <f t="shared" si="103"/>
        <v>7105.8809920000349</v>
      </c>
      <c r="BZ85" s="426">
        <f t="shared" si="103"/>
        <v>2468.7831500000029</v>
      </c>
      <c r="CA85" s="426">
        <f t="shared" si="103"/>
        <v>53.933618999995815</v>
      </c>
      <c r="CB85" s="426">
        <f t="shared" si="103"/>
        <v>-342.62217499998951</v>
      </c>
      <c r="CC85" s="426">
        <f t="shared" si="103"/>
        <v>170.49897300280281</v>
      </c>
      <c r="CD85" s="426">
        <f t="shared" si="103"/>
        <v>0</v>
      </c>
      <c r="CE85" s="426">
        <f t="shared" si="103"/>
        <v>0</v>
      </c>
      <c r="CF85" s="426">
        <f t="shared" si="103"/>
        <v>0</v>
      </c>
      <c r="CG85" s="426">
        <f t="shared" si="103"/>
        <v>0</v>
      </c>
      <c r="CH85" s="426">
        <f>SUM(BV85:CG85)</f>
        <v>4938.5330055028571</v>
      </c>
    </row>
    <row r="86" spans="1:89" s="380" customFormat="1">
      <c r="A86" s="637"/>
      <c r="B86" s="425"/>
      <c r="C86" s="380" t="s">
        <v>47</v>
      </c>
      <c r="T86" s="427">
        <f t="shared" ref="T86:AF86" si="104">SUM(T82:T85)</f>
        <v>-341163.58999999997</v>
      </c>
      <c r="U86" s="427">
        <f t="shared" si="104"/>
        <v>-286537.18</v>
      </c>
      <c r="V86" s="427">
        <f t="shared" si="104"/>
        <v>-331716.87210700003</v>
      </c>
      <c r="W86" s="427">
        <f t="shared" si="104"/>
        <v>-257600.63669798826</v>
      </c>
      <c r="X86" s="427">
        <f t="shared" si="104"/>
        <v>-325295.00446219998</v>
      </c>
      <c r="Y86" s="427">
        <f t="shared" si="104"/>
        <v>-345968.90121674997</v>
      </c>
      <c r="Z86" s="427">
        <f t="shared" si="104"/>
        <v>-289817.69296274992</v>
      </c>
      <c r="AA86" s="427">
        <f t="shared" si="104"/>
        <v>-298323.66578839999</v>
      </c>
      <c r="AB86" s="427">
        <f t="shared" si="104"/>
        <v>-311661.89341613452</v>
      </c>
      <c r="AC86" s="427">
        <f t="shared" si="104"/>
        <v>-347219.84532660001</v>
      </c>
      <c r="AD86" s="427">
        <f t="shared" si="104"/>
        <v>-389904.76104640006</v>
      </c>
      <c r="AE86" s="427">
        <f t="shared" si="104"/>
        <v>-612699.59043229488</v>
      </c>
      <c r="AF86" s="427">
        <f t="shared" si="104"/>
        <v>-4137909.6334565175</v>
      </c>
      <c r="AG86" s="427"/>
      <c r="AH86" s="427"/>
      <c r="AI86" s="427"/>
      <c r="AJ86" s="427">
        <f t="shared" ref="AJ86:AV86" si="105">SUM(AJ82:AJ85)</f>
        <v>3232.6307919499995</v>
      </c>
      <c r="AK86" s="427">
        <f t="shared" si="105"/>
        <v>2558.7410994393567</v>
      </c>
      <c r="AL86" s="427">
        <f t="shared" si="105"/>
        <v>2386.094245246335</v>
      </c>
      <c r="AM86" s="427">
        <f t="shared" si="105"/>
        <v>870.98694655894269</v>
      </c>
      <c r="AN86" s="427">
        <f t="shared" si="105"/>
        <v>1342.3398510356255</v>
      </c>
      <c r="AO86" s="427">
        <f t="shared" si="105"/>
        <v>1366.322305085092</v>
      </c>
      <c r="AP86" s="427">
        <f t="shared" si="105"/>
        <v>784.91113902164034</v>
      </c>
      <c r="AQ86" s="427">
        <f t="shared" si="105"/>
        <v>792.151979625065</v>
      </c>
      <c r="AR86" s="427">
        <f t="shared" si="105"/>
        <v>769.4350168423407</v>
      </c>
      <c r="AS86" s="427">
        <f t="shared" si="105"/>
        <v>313.60679400000117</v>
      </c>
      <c r="AT86" s="427">
        <f t="shared" si="105"/>
        <v>621.53112700001293</v>
      </c>
      <c r="AU86" s="427">
        <f t="shared" si="105"/>
        <v>-415.96265849998599</v>
      </c>
      <c r="AV86" s="427">
        <f t="shared" si="105"/>
        <v>14622.788637304426</v>
      </c>
      <c r="AW86" s="379">
        <f>AV86/AV79</f>
        <v>1.3119314506137103E-2</v>
      </c>
      <c r="AX86" s="379"/>
      <c r="AY86" s="379"/>
      <c r="AZ86" s="379"/>
      <c r="BD86" s="428"/>
      <c r="BE86" s="428"/>
      <c r="BF86" s="428"/>
      <c r="BG86" s="428"/>
      <c r="BH86" s="428"/>
      <c r="BI86" s="428"/>
      <c r="BJ86" s="428"/>
      <c r="BK86" s="428"/>
      <c r="BL86" s="428"/>
      <c r="BM86" s="428"/>
      <c r="BN86" s="428"/>
      <c r="BO86" s="428"/>
      <c r="BV86" s="427">
        <f t="shared" ref="BV86:CH86" si="106">SUM(BV82:BV85)</f>
        <v>-2860.5753269999495</v>
      </c>
      <c r="BW86" s="427">
        <f t="shared" si="106"/>
        <v>-1560.8744729999908</v>
      </c>
      <c r="BX86" s="427">
        <f t="shared" si="106"/>
        <v>-3851.183718999986</v>
      </c>
      <c r="BY86" s="427">
        <f t="shared" si="106"/>
        <v>4920.1529210000444</v>
      </c>
      <c r="BZ86" s="427">
        <f t="shared" si="106"/>
        <v>1665.6491739999328</v>
      </c>
      <c r="CA86" s="427">
        <f t="shared" si="106"/>
        <v>-1058.0705170000656</v>
      </c>
      <c r="CB86" s="427">
        <f t="shared" si="106"/>
        <v>-1995.7506489999287</v>
      </c>
      <c r="CC86" s="427">
        <f t="shared" si="106"/>
        <v>-969.98815351497615</v>
      </c>
      <c r="CD86" s="427">
        <f t="shared" si="106"/>
        <v>0</v>
      </c>
      <c r="CE86" s="427">
        <f t="shared" si="106"/>
        <v>0</v>
      </c>
      <c r="CF86" s="427">
        <f t="shared" si="106"/>
        <v>0</v>
      </c>
      <c r="CG86" s="427">
        <f t="shared" si="106"/>
        <v>0</v>
      </c>
      <c r="CH86" s="427">
        <f t="shared" si="106"/>
        <v>-5710.6407435149194</v>
      </c>
      <c r="CI86" s="379">
        <f>CH86/CH79</f>
        <v>-2.8760429543700262E-3</v>
      </c>
      <c r="CJ86" s="379"/>
      <c r="CK86" s="379"/>
    </row>
    <row r="87" spans="1:89">
      <c r="BV87" s="379">
        <f>BV86/BV79</f>
        <v>-1.727305891737449E-2</v>
      </c>
      <c r="BW87" s="379">
        <f>BW86/BW79</f>
        <v>-1.1610426249974734E-2</v>
      </c>
    </row>
    <row r="88" spans="1:89">
      <c r="U88" s="379"/>
      <c r="V88" s="379"/>
      <c r="W88" s="379"/>
      <c r="X88" s="379"/>
      <c r="Y88" s="379"/>
      <c r="Z88" s="379"/>
      <c r="AA88" s="379"/>
      <c r="AB88" s="379"/>
      <c r="AC88" s="379"/>
      <c r="AD88" s="379"/>
      <c r="AE88" s="379"/>
      <c r="AJ88" s="379"/>
      <c r="AK88" s="379"/>
      <c r="AL88" s="379"/>
      <c r="AM88" s="379"/>
      <c r="AN88" s="379"/>
      <c r="AO88" s="379"/>
      <c r="AP88" s="379"/>
      <c r="AQ88" s="379"/>
      <c r="AR88" s="379"/>
      <c r="AS88" s="379"/>
      <c r="AT88" s="379"/>
      <c r="AU88" s="379"/>
      <c r="AV88" s="379"/>
      <c r="BD88" s="385"/>
      <c r="BE88" s="385"/>
      <c r="BF88" s="385"/>
      <c r="BG88" s="385"/>
      <c r="BH88" s="385"/>
      <c r="BI88" s="385"/>
      <c r="BJ88" s="385"/>
      <c r="BK88" s="385"/>
      <c r="BL88" s="385"/>
      <c r="BM88" s="385"/>
      <c r="BN88" s="385"/>
      <c r="BO88" s="385"/>
      <c r="BP88" s="385"/>
      <c r="BQ88" s="379"/>
      <c r="BR88" s="379"/>
      <c r="BV88" s="379"/>
      <c r="BW88" s="379"/>
      <c r="BX88" s="379"/>
      <c r="BY88" s="379"/>
      <c r="BZ88" s="379"/>
      <c r="CA88" s="379"/>
      <c r="CB88" s="379"/>
      <c r="CC88" s="379"/>
      <c r="CD88" s="379"/>
      <c r="CE88" s="379"/>
      <c r="CF88" s="379"/>
      <c r="CG88" s="379"/>
      <c r="CH88" s="379"/>
    </row>
    <row r="89" spans="1:89">
      <c r="B89" s="372" t="s">
        <v>118</v>
      </c>
      <c r="U89" s="379"/>
      <c r="V89" s="379"/>
      <c r="W89" s="379"/>
      <c r="X89" s="379"/>
      <c r="Y89" s="379"/>
      <c r="Z89" s="379"/>
      <c r="AA89" s="379"/>
      <c r="AB89" s="379"/>
      <c r="AC89" s="379"/>
      <c r="AD89" s="379"/>
      <c r="AE89" s="379"/>
      <c r="AJ89" s="379"/>
      <c r="AK89" s="379"/>
      <c r="AL89" s="379"/>
      <c r="AM89" s="379"/>
      <c r="AN89" s="379"/>
      <c r="AO89" s="379"/>
      <c r="AP89" s="379"/>
      <c r="AQ89" s="379"/>
      <c r="AR89" s="379"/>
      <c r="AS89" s="379"/>
      <c r="AT89" s="379"/>
      <c r="AU89" s="379"/>
      <c r="AV89" s="379"/>
      <c r="BD89" s="385"/>
      <c r="BE89" s="385"/>
      <c r="BF89" s="385"/>
      <c r="BG89" s="385"/>
      <c r="BH89" s="385"/>
      <c r="BI89" s="385"/>
      <c r="BJ89" s="385"/>
      <c r="BK89" s="385"/>
      <c r="BL89" s="385"/>
      <c r="BM89" s="385"/>
      <c r="BN89" s="385"/>
      <c r="BO89" s="385"/>
      <c r="BP89" s="385" t="s">
        <v>119</v>
      </c>
      <c r="BQ89" s="385" t="s">
        <v>120</v>
      </c>
      <c r="BR89" s="379"/>
      <c r="BS89" s="372">
        <v>2016</v>
      </c>
      <c r="BV89" s="379"/>
      <c r="BW89" s="379"/>
      <c r="BX89" s="379"/>
      <c r="BY89" s="379"/>
      <c r="BZ89" s="379"/>
      <c r="CA89" s="379"/>
      <c r="CB89" s="379"/>
      <c r="CC89" s="379"/>
      <c r="CD89" s="379"/>
      <c r="CE89" s="379"/>
      <c r="CF89" s="379"/>
      <c r="CG89" s="379"/>
      <c r="CH89" s="379"/>
    </row>
    <row r="90" spans="1:89" hidden="1">
      <c r="U90" s="379"/>
      <c r="V90" s="379"/>
      <c r="W90" s="379"/>
      <c r="X90" s="379"/>
      <c r="Y90" s="379"/>
      <c r="Z90" s="379"/>
      <c r="AA90" s="379"/>
      <c r="AB90" s="379"/>
      <c r="AC90" s="379"/>
      <c r="AD90" s="379"/>
      <c r="AE90" s="379"/>
      <c r="AJ90" s="379"/>
      <c r="AK90" s="379"/>
      <c r="AL90" s="379"/>
      <c r="AM90" s="379"/>
      <c r="AN90" s="379"/>
      <c r="AO90" s="379"/>
      <c r="AP90" s="379"/>
      <c r="AQ90" s="379"/>
      <c r="AR90" s="379"/>
      <c r="AS90" s="379"/>
      <c r="AT90" s="379"/>
      <c r="AU90" s="379"/>
      <c r="AV90" s="379"/>
      <c r="BD90" s="385"/>
      <c r="BE90" s="385"/>
      <c r="BF90" s="385"/>
      <c r="BG90" s="385"/>
      <c r="BH90" s="385"/>
      <c r="BI90" s="385"/>
      <c r="BJ90" s="385"/>
      <c r="BK90" s="385"/>
      <c r="BL90" s="385"/>
      <c r="BM90" s="385"/>
      <c r="BN90" s="385"/>
      <c r="BO90" s="385"/>
      <c r="BP90" s="385"/>
      <c r="BQ90" s="379"/>
      <c r="BR90" s="379"/>
      <c r="BV90" s="379"/>
      <c r="BW90" s="379"/>
      <c r="BX90" s="379"/>
      <c r="BY90" s="379"/>
      <c r="BZ90" s="379"/>
      <c r="CA90" s="379"/>
      <c r="CB90" s="379"/>
      <c r="CC90" s="379"/>
      <c r="CD90" s="379"/>
      <c r="CE90" s="379"/>
      <c r="CF90" s="379"/>
      <c r="CG90" s="379"/>
      <c r="CH90" s="379"/>
    </row>
    <row r="91" spans="1:89" hidden="1">
      <c r="C91" s="390"/>
      <c r="D91" s="390"/>
      <c r="U91" s="379"/>
      <c r="V91" s="379"/>
      <c r="W91" s="379"/>
      <c r="X91" s="379"/>
      <c r="Y91" s="379"/>
      <c r="Z91" s="379"/>
      <c r="AA91" s="379"/>
      <c r="AB91" s="379"/>
      <c r="AC91" s="379"/>
      <c r="AD91" s="379"/>
      <c r="AE91" s="379"/>
      <c r="AJ91" s="379"/>
      <c r="AK91" s="379"/>
      <c r="AL91" s="379"/>
      <c r="AM91" s="379"/>
      <c r="AN91" s="379"/>
      <c r="AO91" s="379"/>
      <c r="AP91" s="379"/>
      <c r="AQ91" s="379"/>
      <c r="AR91" s="379"/>
      <c r="AS91" s="429"/>
      <c r="AT91" s="429"/>
      <c r="AU91" s="429"/>
      <c r="AV91" s="379"/>
      <c r="BD91" s="416"/>
      <c r="BE91" s="416"/>
      <c r="BF91" s="416"/>
      <c r="BG91" s="416"/>
      <c r="BH91" s="416"/>
      <c r="BI91" s="416"/>
      <c r="BJ91" s="416"/>
      <c r="BK91" s="416"/>
      <c r="BL91" s="416"/>
      <c r="BM91" s="416"/>
      <c r="BN91" s="416"/>
      <c r="BO91" s="416"/>
      <c r="BP91" s="430"/>
      <c r="BQ91" s="430"/>
      <c r="BR91" s="379"/>
      <c r="BS91" s="416"/>
      <c r="BV91" s="429"/>
      <c r="BW91" s="429"/>
      <c r="BX91" s="429"/>
      <c r="BY91" s="429"/>
      <c r="BZ91" s="429"/>
      <c r="CA91" s="429"/>
      <c r="CB91" s="429"/>
      <c r="CC91" s="429"/>
      <c r="CD91" s="429"/>
      <c r="CE91" s="429"/>
      <c r="CF91" s="429"/>
      <c r="CG91" s="429"/>
      <c r="CH91" s="379"/>
    </row>
    <row r="92" spans="1:89" hidden="1">
      <c r="C92" s="390"/>
      <c r="D92" s="390"/>
      <c r="AS92" s="429"/>
      <c r="AT92" s="429"/>
      <c r="AU92" s="429"/>
      <c r="BD92" s="416"/>
      <c r="BE92" s="416"/>
      <c r="BF92" s="416"/>
      <c r="BG92" s="416"/>
      <c r="BH92" s="416"/>
      <c r="BI92" s="416"/>
      <c r="BJ92" s="416"/>
      <c r="BK92" s="416"/>
      <c r="BL92" s="416"/>
      <c r="BM92" s="416"/>
      <c r="BN92" s="416"/>
      <c r="BO92" s="416"/>
      <c r="BP92" s="430"/>
      <c r="BQ92" s="430"/>
      <c r="BS92" s="416"/>
      <c r="BV92" s="429"/>
      <c r="BW92" s="429"/>
      <c r="BX92" s="429"/>
      <c r="BY92" s="429"/>
      <c r="BZ92" s="429"/>
      <c r="CA92" s="429"/>
      <c r="CB92" s="429"/>
      <c r="CC92" s="429"/>
      <c r="CD92" s="429"/>
      <c r="CE92" s="429"/>
      <c r="CF92" s="429"/>
      <c r="CG92" s="429"/>
    </row>
    <row r="93" spans="1:89" hidden="1">
      <c r="C93" s="380"/>
      <c r="D93" s="380"/>
      <c r="AS93" s="373"/>
      <c r="AT93" s="373"/>
      <c r="AU93" s="373"/>
      <c r="BS93" s="374"/>
      <c r="BV93" s="373"/>
      <c r="BW93" s="373"/>
      <c r="BX93" s="373"/>
      <c r="BY93" s="373"/>
      <c r="BZ93" s="373"/>
      <c r="CA93" s="373"/>
      <c r="CB93" s="373"/>
      <c r="CC93" s="373"/>
      <c r="CD93" s="373"/>
      <c r="CE93" s="373"/>
      <c r="CF93" s="373"/>
      <c r="CG93" s="373"/>
    </row>
    <row r="94" spans="1:89" hidden="1">
      <c r="D94" s="380"/>
      <c r="AS94" s="373"/>
      <c r="AT94" s="373"/>
      <c r="AU94" s="373"/>
      <c r="BS94" s="374"/>
      <c r="BV94" s="373"/>
      <c r="BW94" s="373"/>
      <c r="BX94" s="373"/>
      <c r="BY94" s="373"/>
      <c r="BZ94" s="373"/>
      <c r="CA94" s="373"/>
      <c r="CB94" s="373"/>
      <c r="CC94" s="373"/>
      <c r="CD94" s="373"/>
      <c r="CE94" s="373"/>
      <c r="CF94" s="373"/>
      <c r="CG94" s="373"/>
    </row>
    <row r="95" spans="1:89" hidden="1">
      <c r="C95" s="390"/>
      <c r="D95" s="390"/>
      <c r="AS95" s="420"/>
      <c r="AT95" s="420"/>
      <c r="AU95" s="420"/>
      <c r="BD95" s="416"/>
      <c r="BE95" s="416"/>
      <c r="BF95" s="416"/>
      <c r="BG95" s="416"/>
      <c r="BH95" s="416"/>
      <c r="BI95" s="416"/>
      <c r="BJ95" s="416"/>
      <c r="BK95" s="416"/>
      <c r="BL95" s="416"/>
      <c r="BM95" s="416"/>
      <c r="BN95" s="416"/>
      <c r="BO95" s="416"/>
      <c r="BP95" s="430"/>
      <c r="BQ95" s="430"/>
      <c r="BS95" s="416"/>
      <c r="BV95" s="420"/>
      <c r="BW95" s="420"/>
      <c r="BX95" s="420"/>
      <c r="BY95" s="420"/>
      <c r="BZ95" s="420"/>
      <c r="CA95" s="420"/>
      <c r="CB95" s="420"/>
      <c r="CC95" s="420"/>
      <c r="CD95" s="420"/>
      <c r="CE95" s="420"/>
      <c r="CF95" s="420"/>
      <c r="CG95" s="420"/>
    </row>
    <row r="96" spans="1:89" hidden="1">
      <c r="C96" s="390"/>
      <c r="D96" s="390"/>
      <c r="AS96" s="420"/>
      <c r="AT96" s="420"/>
      <c r="AU96" s="420"/>
      <c r="BD96" s="416"/>
      <c r="BE96" s="416"/>
      <c r="BF96" s="416"/>
      <c r="BG96" s="416"/>
      <c r="BH96" s="416"/>
      <c r="BI96" s="416"/>
      <c r="BJ96" s="416"/>
      <c r="BK96" s="416"/>
      <c r="BL96" s="416"/>
      <c r="BM96" s="416"/>
      <c r="BN96" s="416"/>
      <c r="BO96" s="416"/>
      <c r="BP96" s="430"/>
      <c r="BQ96" s="430"/>
      <c r="BS96" s="416"/>
      <c r="BV96" s="420"/>
      <c r="BW96" s="420"/>
      <c r="BX96" s="420"/>
      <c r="BY96" s="420"/>
      <c r="BZ96" s="420"/>
      <c r="CA96" s="420"/>
      <c r="CB96" s="420"/>
      <c r="CC96" s="420"/>
      <c r="CD96" s="420"/>
      <c r="CE96" s="420"/>
      <c r="CF96" s="420"/>
      <c r="CG96" s="420"/>
    </row>
    <row r="97" spans="3:85" hidden="1">
      <c r="C97" s="380"/>
      <c r="D97" s="380"/>
      <c r="AS97" s="373"/>
      <c r="AT97" s="373"/>
      <c r="AU97" s="373"/>
      <c r="BD97" s="416"/>
      <c r="BE97" s="416"/>
      <c r="BF97" s="416"/>
      <c r="BG97" s="416"/>
      <c r="BH97" s="416"/>
      <c r="BI97" s="416"/>
      <c r="BJ97" s="416"/>
      <c r="BK97" s="416"/>
      <c r="BL97" s="416"/>
      <c r="BM97" s="416"/>
      <c r="BN97" s="416"/>
      <c r="BO97" s="416"/>
      <c r="BS97" s="416"/>
      <c r="BV97" s="373"/>
      <c r="BW97" s="373"/>
      <c r="BX97" s="373"/>
      <c r="BY97" s="373"/>
      <c r="BZ97" s="373"/>
      <c r="CA97" s="373"/>
      <c r="CB97" s="373"/>
      <c r="CC97" s="373"/>
      <c r="CD97" s="373"/>
      <c r="CE97" s="373"/>
      <c r="CF97" s="373"/>
      <c r="CG97" s="373"/>
    </row>
    <row r="98" spans="3:85">
      <c r="C98" s="372" t="s">
        <v>105</v>
      </c>
      <c r="AS98" s="373"/>
      <c r="AT98" s="373"/>
      <c r="AU98" s="373"/>
      <c r="BD98" s="416"/>
      <c r="BE98" s="416"/>
      <c r="BF98" s="416"/>
      <c r="BG98" s="416"/>
      <c r="BH98" s="416"/>
      <c r="BI98" s="416"/>
      <c r="BJ98" s="416"/>
      <c r="BK98" s="416"/>
      <c r="BL98" s="416"/>
      <c r="BM98" s="416"/>
      <c r="BN98" s="416"/>
      <c r="BO98" s="416"/>
      <c r="BS98" s="416"/>
      <c r="BV98" s="373"/>
      <c r="BW98" s="373"/>
      <c r="BX98" s="373"/>
      <c r="BY98" s="373"/>
      <c r="BZ98" s="373"/>
      <c r="CA98" s="373"/>
      <c r="CB98" s="373"/>
      <c r="CC98" s="373"/>
      <c r="CD98" s="373"/>
      <c r="CE98" s="373"/>
      <c r="CF98" s="373"/>
      <c r="CG98" s="373"/>
    </row>
    <row r="99" spans="3:85">
      <c r="C99" s="390"/>
      <c r="D99" s="390" t="s">
        <v>103</v>
      </c>
      <c r="AS99" s="420">
        <f t="shared" ref="AS99:AU100" si="107">AS35/AS15*1000</f>
        <v>0.1758900388983777</v>
      </c>
      <c r="AT99" s="420">
        <f t="shared" si="107"/>
        <v>0.23952828833550885</v>
      </c>
      <c r="AU99" s="420">
        <f t="shared" si="107"/>
        <v>0.29364757797085184</v>
      </c>
      <c r="BD99" s="416">
        <f>BD35/BD15</f>
        <v>1.747868278911829E-4</v>
      </c>
      <c r="BE99" s="416">
        <f t="shared" ref="BE99:BO100" si="108">BE35/BE15</f>
        <v>1.747868278911829E-4</v>
      </c>
      <c r="BF99" s="416">
        <f t="shared" si="108"/>
        <v>1.747868278911829E-4</v>
      </c>
      <c r="BG99" s="416">
        <f t="shared" si="108"/>
        <v>1.747868278911829E-4</v>
      </c>
      <c r="BH99" s="416">
        <f t="shared" si="108"/>
        <v>1.7478682789118295E-4</v>
      </c>
      <c r="BI99" s="416">
        <f t="shared" si="108"/>
        <v>1.747868278911829E-4</v>
      </c>
      <c r="BJ99" s="416">
        <f t="shared" si="108"/>
        <v>1.7478682789118295E-4</v>
      </c>
      <c r="BK99" s="416">
        <f t="shared" si="108"/>
        <v>1.747868278911829E-4</v>
      </c>
      <c r="BL99" s="416">
        <f t="shared" si="108"/>
        <v>1.7478682789118293E-4</v>
      </c>
      <c r="BM99" s="416">
        <f t="shared" si="108"/>
        <v>1.747868278911829E-4</v>
      </c>
      <c r="BN99" s="416">
        <f t="shared" si="108"/>
        <v>1.747868278911829E-4</v>
      </c>
      <c r="BO99" s="416">
        <f t="shared" si="108"/>
        <v>1.7478682789118293E-4</v>
      </c>
      <c r="BP99" s="430">
        <f t="shared" ref="BP99:BP100" si="109">BO99/BS99</f>
        <v>0.63377519545296868</v>
      </c>
      <c r="BQ99" s="430" t="e">
        <f>BO99/#REF!</f>
        <v>#REF!</v>
      </c>
      <c r="BS99" s="416">
        <v>2.7578679182333751E-4</v>
      </c>
      <c r="BV99" s="420">
        <f t="shared" ref="BV99:BX99" si="110">BV35/BV15*1000</f>
        <v>0.19271916338608014</v>
      </c>
      <c r="BW99" s="420">
        <f t="shared" si="110"/>
        <v>0.16871166583865785</v>
      </c>
      <c r="BX99" s="420">
        <f t="shared" si="110"/>
        <v>0.22733137532162853</v>
      </c>
      <c r="BY99" s="420">
        <f t="shared" ref="BY99:CG99" si="111">BY35/BY15*1000</f>
        <v>0.21281263206471984</v>
      </c>
      <c r="BZ99" s="420">
        <f t="shared" si="111"/>
        <v>0.21120000493311708</v>
      </c>
      <c r="CA99" s="420">
        <f t="shared" si="111"/>
        <v>0.17995667180769137</v>
      </c>
      <c r="CB99" s="420">
        <f t="shared" si="111"/>
        <v>0.17864254528916715</v>
      </c>
      <c r="CC99" s="420">
        <f t="shared" si="111"/>
        <v>0.24553827143304791</v>
      </c>
      <c r="CD99" s="420" t="e">
        <f t="shared" si="111"/>
        <v>#DIV/0!</v>
      </c>
      <c r="CE99" s="420" t="e">
        <f t="shared" si="111"/>
        <v>#DIV/0!</v>
      </c>
      <c r="CF99" s="420" t="e">
        <f t="shared" si="111"/>
        <v>#DIV/0!</v>
      </c>
      <c r="CG99" s="420" t="e">
        <f t="shared" si="111"/>
        <v>#DIV/0!</v>
      </c>
    </row>
    <row r="100" spans="3:85">
      <c r="C100" s="390"/>
      <c r="D100" s="390" t="s">
        <v>104</v>
      </c>
      <c r="AS100" s="420">
        <f t="shared" si="107"/>
        <v>0.5669497625107025</v>
      </c>
      <c r="AT100" s="420">
        <f t="shared" si="107"/>
        <v>0.31991595701183073</v>
      </c>
      <c r="AU100" s="420">
        <f t="shared" si="107"/>
        <v>0.92424720221824841</v>
      </c>
      <c r="BD100" s="416">
        <f>BD36/BD16</f>
        <v>6.55598711571045E-4</v>
      </c>
      <c r="BE100" s="416">
        <f t="shared" si="108"/>
        <v>6.55598711571045E-4</v>
      </c>
      <c r="BF100" s="416">
        <f t="shared" si="108"/>
        <v>6.55598711571045E-4</v>
      </c>
      <c r="BG100" s="416">
        <f t="shared" si="108"/>
        <v>6.5559871157104522E-4</v>
      </c>
      <c r="BH100" s="416">
        <f t="shared" si="108"/>
        <v>6.5559871157104522E-4</v>
      </c>
      <c r="BI100" s="416">
        <f t="shared" si="108"/>
        <v>6.55598711571045E-4</v>
      </c>
      <c r="BJ100" s="416">
        <f t="shared" si="108"/>
        <v>6.5559871157104522E-4</v>
      </c>
      <c r="BK100" s="416">
        <f t="shared" si="108"/>
        <v>6.55598711571045E-4</v>
      </c>
      <c r="BL100" s="416">
        <f t="shared" si="108"/>
        <v>6.5559871157104533E-4</v>
      </c>
      <c r="BM100" s="416">
        <f t="shared" si="108"/>
        <v>6.5559871157104522E-4</v>
      </c>
      <c r="BN100" s="416">
        <f t="shared" si="108"/>
        <v>6.5559871157104522E-4</v>
      </c>
      <c r="BO100" s="416">
        <f t="shared" si="108"/>
        <v>6.5559871157104533E-4</v>
      </c>
      <c r="BP100" s="430">
        <f t="shared" si="109"/>
        <v>0.58566105796501899</v>
      </c>
      <c r="BQ100" s="430" t="e">
        <f>BO100/#REF!</f>
        <v>#REF!</v>
      </c>
      <c r="BS100" s="416">
        <v>1.1194166022392487E-3</v>
      </c>
      <c r="BV100" s="420">
        <f t="shared" ref="BV100:BX100" si="112">BV36/BV16*1000</f>
        <v>0.29178327116334657</v>
      </c>
      <c r="BW100" s="420">
        <f t="shared" si="112"/>
        <v>0.29512278932005181</v>
      </c>
      <c r="BX100" s="420">
        <f t="shared" si="112"/>
        <v>0.38277813124159038</v>
      </c>
      <c r="BY100" s="420">
        <f t="shared" ref="BY100:CG100" si="113">BY36/BY16*1000</f>
        <v>0.36798273207660837</v>
      </c>
      <c r="BZ100" s="420">
        <f t="shared" si="113"/>
        <v>0.38945078219425927</v>
      </c>
      <c r="CA100" s="420">
        <f t="shared" si="113"/>
        <v>0.47660416729444727</v>
      </c>
      <c r="CB100" s="420">
        <f t="shared" si="113"/>
        <v>0.36681420633770506</v>
      </c>
      <c r="CC100" s="420">
        <f t="shared" si="113"/>
        <v>0.42374222013580837</v>
      </c>
      <c r="CD100" s="420" t="e">
        <f t="shared" si="113"/>
        <v>#DIV/0!</v>
      </c>
      <c r="CE100" s="420" t="e">
        <f t="shared" si="113"/>
        <v>#DIV/0!</v>
      </c>
      <c r="CF100" s="420" t="e">
        <f t="shared" si="113"/>
        <v>#DIV/0!</v>
      </c>
      <c r="CG100" s="420" t="e">
        <f t="shared" si="113"/>
        <v>#DIV/0!</v>
      </c>
    </row>
    <row r="101" spans="3:85">
      <c r="C101" s="380" t="s">
        <v>106</v>
      </c>
      <c r="D101" s="380"/>
      <c r="AS101" s="373"/>
      <c r="AT101" s="373"/>
      <c r="AU101" s="373"/>
      <c r="BD101" s="416"/>
      <c r="BE101" s="416"/>
      <c r="BF101" s="416"/>
      <c r="BG101" s="416"/>
      <c r="BH101" s="416"/>
      <c r="BI101" s="416"/>
      <c r="BJ101" s="416"/>
      <c r="BK101" s="416"/>
      <c r="BL101" s="416"/>
      <c r="BM101" s="416"/>
      <c r="BN101" s="416"/>
      <c r="BO101" s="416"/>
      <c r="BS101" s="416"/>
      <c r="BV101" s="373"/>
      <c r="BW101" s="373"/>
      <c r="BX101" s="373"/>
      <c r="BY101" s="373"/>
      <c r="BZ101" s="373"/>
      <c r="CA101" s="373"/>
      <c r="CB101" s="373"/>
      <c r="CC101" s="373"/>
      <c r="CD101" s="373"/>
      <c r="CE101" s="373"/>
      <c r="CF101" s="373"/>
      <c r="CG101" s="373"/>
    </row>
    <row r="102" spans="3:85">
      <c r="C102" s="372" t="s">
        <v>107</v>
      </c>
      <c r="D102" s="380"/>
      <c r="AS102" s="373"/>
      <c r="AT102" s="373"/>
      <c r="AU102" s="373"/>
      <c r="BD102" s="416"/>
      <c r="BE102" s="416"/>
      <c r="BF102" s="416"/>
      <c r="BG102" s="416"/>
      <c r="BH102" s="416"/>
      <c r="BI102" s="416"/>
      <c r="BJ102" s="416"/>
      <c r="BK102" s="416"/>
      <c r="BL102" s="416"/>
      <c r="BM102" s="416"/>
      <c r="BN102" s="416"/>
      <c r="BO102" s="416"/>
      <c r="BS102" s="416"/>
      <c r="BV102" s="373"/>
      <c r="BW102" s="373"/>
      <c r="BX102" s="373"/>
      <c r="BY102" s="373"/>
      <c r="BZ102" s="373"/>
      <c r="CA102" s="373"/>
      <c r="CB102" s="373"/>
      <c r="CC102" s="373"/>
      <c r="CD102" s="373"/>
      <c r="CE102" s="373"/>
      <c r="CF102" s="373"/>
      <c r="CG102" s="373"/>
    </row>
    <row r="103" spans="3:85">
      <c r="C103" s="390"/>
      <c r="D103" s="390" t="s">
        <v>103</v>
      </c>
      <c r="AS103" s="421">
        <f t="shared" ref="AS103:AU104" si="114">AS39/AS19*1000</f>
        <v>5.8767138689029434E-2</v>
      </c>
      <c r="AT103" s="421">
        <f t="shared" si="114"/>
        <v>0.10861675321811042</v>
      </c>
      <c r="AU103" s="421">
        <f t="shared" si="114"/>
        <v>0.10211186094343941</v>
      </c>
      <c r="BD103" s="416">
        <f>BD39/BD19</f>
        <v>7.4914339417660679E-5</v>
      </c>
      <c r="BE103" s="416">
        <f t="shared" ref="BE103:BO104" si="115">BE39/BE19</f>
        <v>7.4914339417660679E-5</v>
      </c>
      <c r="BF103" s="416">
        <f t="shared" si="115"/>
        <v>7.4914339417660666E-5</v>
      </c>
      <c r="BG103" s="416">
        <f t="shared" si="115"/>
        <v>7.4914339417660679E-5</v>
      </c>
      <c r="BH103" s="416">
        <f t="shared" si="115"/>
        <v>7.4914339417660679E-5</v>
      </c>
      <c r="BI103" s="416">
        <f t="shared" si="115"/>
        <v>7.4914339417660666E-5</v>
      </c>
      <c r="BJ103" s="416">
        <f t="shared" si="115"/>
        <v>7.4914339417660666E-5</v>
      </c>
      <c r="BK103" s="416">
        <f t="shared" si="115"/>
        <v>7.4914339417660666E-5</v>
      </c>
      <c r="BL103" s="416">
        <f t="shared" si="115"/>
        <v>7.4914339417660679E-5</v>
      </c>
      <c r="BM103" s="416">
        <f t="shared" si="115"/>
        <v>7.4914339417660666E-5</v>
      </c>
      <c r="BN103" s="416">
        <f t="shared" si="115"/>
        <v>7.4914339417660679E-5</v>
      </c>
      <c r="BO103" s="416">
        <f t="shared" si="115"/>
        <v>7.4914339417660666E-5</v>
      </c>
      <c r="BP103" s="430">
        <f t="shared" ref="BP103:BP104" si="116">BO103/BS103</f>
        <v>1.1490419728170143</v>
      </c>
      <c r="BQ103" s="430" t="e">
        <f>BO103/#REF!</f>
        <v>#REF!</v>
      </c>
      <c r="BS103" s="416">
        <v>6.5197217499374E-5</v>
      </c>
      <c r="BV103" s="421">
        <f t="shared" ref="BV103:BX103" si="117">BV39/BV19*1000</f>
        <v>8.7903661872718919E-2</v>
      </c>
      <c r="BW103" s="421">
        <f t="shared" si="117"/>
        <v>8.9887832571540802E-2</v>
      </c>
      <c r="BX103" s="421">
        <f t="shared" si="117"/>
        <v>0.11728003459816153</v>
      </c>
      <c r="BY103" s="421">
        <f t="shared" ref="BY103:CG103" si="118">BY39/BY19*1000</f>
        <v>0.12885129777050489</v>
      </c>
      <c r="BZ103" s="421">
        <f t="shared" si="118"/>
        <v>0.1439468790561321</v>
      </c>
      <c r="CA103" s="421">
        <f t="shared" si="118"/>
        <v>0.12555853584834473</v>
      </c>
      <c r="CB103" s="421">
        <f t="shared" si="118"/>
        <v>9.4165052913135081E-2</v>
      </c>
      <c r="CC103" s="421">
        <f t="shared" si="118"/>
        <v>0.10841008968075988</v>
      </c>
      <c r="CD103" s="421" t="e">
        <f t="shared" si="118"/>
        <v>#DIV/0!</v>
      </c>
      <c r="CE103" s="421" t="e">
        <f t="shared" si="118"/>
        <v>#DIV/0!</v>
      </c>
      <c r="CF103" s="421" t="e">
        <f t="shared" si="118"/>
        <v>#DIV/0!</v>
      </c>
      <c r="CG103" s="421" t="e">
        <f t="shared" si="118"/>
        <v>#DIV/0!</v>
      </c>
    </row>
    <row r="104" spans="3:85">
      <c r="C104" s="390"/>
      <c r="D104" s="390" t="s">
        <v>104</v>
      </c>
      <c r="AS104" s="421">
        <f t="shared" si="114"/>
        <v>1.0424111668089926</v>
      </c>
      <c r="AT104" s="421">
        <f t="shared" si="114"/>
        <v>0.60621262126065534</v>
      </c>
      <c r="AU104" s="421">
        <f t="shared" si="114"/>
        <v>0.41264786881111865</v>
      </c>
      <c r="BD104" s="416">
        <f>BD40/BD20</f>
        <v>7.6975283986546272E-4</v>
      </c>
      <c r="BE104" s="416">
        <f t="shared" si="115"/>
        <v>7.6975283986546294E-4</v>
      </c>
      <c r="BF104" s="416">
        <f t="shared" si="115"/>
        <v>7.6975283986546262E-4</v>
      </c>
      <c r="BG104" s="416">
        <f t="shared" si="115"/>
        <v>7.6975283986546283E-4</v>
      </c>
      <c r="BH104" s="416">
        <f t="shared" si="115"/>
        <v>7.6975283986546272E-4</v>
      </c>
      <c r="BI104" s="416">
        <f t="shared" si="115"/>
        <v>7.6975283986546262E-4</v>
      </c>
      <c r="BJ104" s="416">
        <f t="shared" si="115"/>
        <v>7.6975283986546283E-4</v>
      </c>
      <c r="BK104" s="416">
        <f t="shared" si="115"/>
        <v>7.6975283986546272E-4</v>
      </c>
      <c r="BL104" s="416">
        <f t="shared" si="115"/>
        <v>7.6975283986546283E-4</v>
      </c>
      <c r="BM104" s="416">
        <f t="shared" si="115"/>
        <v>7.6975283986546283E-4</v>
      </c>
      <c r="BN104" s="416">
        <f t="shared" si="115"/>
        <v>7.6975283986546283E-4</v>
      </c>
      <c r="BO104" s="416">
        <f t="shared" si="115"/>
        <v>7.6975283986546251E-4</v>
      </c>
      <c r="BP104" s="430">
        <f t="shared" si="116"/>
        <v>1.037639606674706</v>
      </c>
      <c r="BQ104" s="430" t="e">
        <f>BO104/#REF!</f>
        <v>#REF!</v>
      </c>
      <c r="BS104" s="416">
        <v>7.4183062685152074E-4</v>
      </c>
      <c r="BV104" s="421">
        <f t="shared" ref="BV104:BX104" si="119">BV40/BV20*1000</f>
        <v>0.33159658378644519</v>
      </c>
      <c r="BW104" s="421">
        <f t="shared" si="119"/>
        <v>0.64247613241577928</v>
      </c>
      <c r="BX104" s="421">
        <f t="shared" si="119"/>
        <v>1.2466133717114662</v>
      </c>
      <c r="BY104" s="421">
        <f t="shared" ref="BY104:CG104" si="120">BY40/BY20*1000</f>
        <v>0.56219098373809473</v>
      </c>
      <c r="BZ104" s="421">
        <f t="shared" si="120"/>
        <v>0.62781603915197037</v>
      </c>
      <c r="CA104" s="421">
        <f t="shared" si="120"/>
        <v>0.87256775980714552</v>
      </c>
      <c r="CB104" s="421">
        <f t="shared" si="120"/>
        <v>0.42016827697916609</v>
      </c>
      <c r="CC104" s="421">
        <f t="shared" si="120"/>
        <v>0.43326476818304177</v>
      </c>
      <c r="CD104" s="421" t="e">
        <f t="shared" si="120"/>
        <v>#DIV/0!</v>
      </c>
      <c r="CE104" s="421" t="e">
        <f t="shared" si="120"/>
        <v>#DIV/0!</v>
      </c>
      <c r="CF104" s="421" t="e">
        <f t="shared" si="120"/>
        <v>#DIV/0!</v>
      </c>
      <c r="CG104" s="421" t="e">
        <f t="shared" si="120"/>
        <v>#DIV/0!</v>
      </c>
    </row>
    <row r="105" spans="3:85">
      <c r="C105" s="380" t="s">
        <v>108</v>
      </c>
      <c r="D105" s="380"/>
      <c r="CE105" s="379"/>
      <c r="CF105" s="379"/>
      <c r="CG105" s="379"/>
    </row>
    <row r="108" spans="3:85">
      <c r="BY108" s="597"/>
    </row>
    <row r="109" spans="3:85">
      <c r="BY109" s="388"/>
    </row>
    <row r="110" spans="3:85">
      <c r="BY110" s="597"/>
    </row>
    <row r="111" spans="3:85">
      <c r="BY111" s="420"/>
    </row>
    <row r="112" spans="3:85">
      <c r="BY112" s="598"/>
    </row>
  </sheetData>
  <mergeCells count="2">
    <mergeCell ref="A75:A79"/>
    <mergeCell ref="A82:A86"/>
  </mergeCells>
  <pageMargins left="0.7" right="0.7" top="0.75" bottom="0.75" header="0.3" footer="0.3"/>
  <pageSetup paperSize="9"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 tint="-0.499984740745262"/>
  </sheetPr>
  <dimension ref="A1:V65"/>
  <sheetViews>
    <sheetView showGridLines="0" workbookViewId="0">
      <pane xSplit="4" ySplit="2" topLeftCell="E3" activePane="bottomRight" state="frozen"/>
      <selection pane="topRight" activeCell="D1" sqref="D1"/>
      <selection pane="bottomLeft" activeCell="A5" sqref="A5"/>
      <selection pane="bottomRight" activeCell="E3" sqref="E3"/>
    </sheetView>
  </sheetViews>
  <sheetFormatPr defaultColWidth="10.44140625" defaultRowHeight="14.4"/>
  <cols>
    <col min="1" max="1" width="2.77734375" customWidth="1"/>
    <col min="2" max="2" width="17" customWidth="1"/>
    <col min="3" max="3" width="20.109375" customWidth="1"/>
    <col min="4" max="4" width="12.6640625" bestFit="1" customWidth="1"/>
    <col min="5" max="17" width="12.109375" customWidth="1"/>
    <col min="18" max="18" width="1.44140625" customWidth="1"/>
    <col min="19" max="22" width="12.109375" customWidth="1"/>
  </cols>
  <sheetData>
    <row r="1" spans="2:22">
      <c r="E1" s="528" t="s">
        <v>11</v>
      </c>
    </row>
    <row r="2" spans="2:22">
      <c r="E2" s="542">
        <v>42736</v>
      </c>
      <c r="F2" s="543">
        <v>42767</v>
      </c>
      <c r="G2" s="543">
        <v>42795</v>
      </c>
      <c r="H2" s="543">
        <v>42826</v>
      </c>
      <c r="I2" s="543">
        <v>42856</v>
      </c>
      <c r="J2" s="543">
        <v>42887</v>
      </c>
      <c r="K2" s="543">
        <v>42917</v>
      </c>
      <c r="L2" s="543">
        <v>42948</v>
      </c>
      <c r="M2" s="543">
        <v>42979</v>
      </c>
      <c r="N2" s="543">
        <v>43009</v>
      </c>
      <c r="O2" s="543">
        <v>43040</v>
      </c>
      <c r="P2" s="543">
        <v>43070</v>
      </c>
      <c r="Q2" s="543" t="s">
        <v>0</v>
      </c>
      <c r="S2" s="543" t="s">
        <v>156</v>
      </c>
      <c r="T2" s="543" t="s">
        <v>157</v>
      </c>
      <c r="U2" s="543" t="s">
        <v>158</v>
      </c>
      <c r="V2" s="543" t="s">
        <v>159</v>
      </c>
    </row>
    <row r="3" spans="2:22">
      <c r="B3" s="355" t="s">
        <v>128</v>
      </c>
      <c r="C3" s="536" t="s">
        <v>135</v>
      </c>
      <c r="D3" s="537"/>
      <c r="E3" s="544">
        <f>SUBTOTAL(9,E4:E7)</f>
        <v>49073.995618000001</v>
      </c>
      <c r="F3" s="545">
        <f t="shared" ref="F3:G3" si="0">SUBTOTAL(9,F4:F7)</f>
        <v>38869.381813</v>
      </c>
      <c r="G3" s="545">
        <f t="shared" si="0"/>
        <v>38573.476064000002</v>
      </c>
      <c r="H3" s="545">
        <f>SUBTOTAL(9,H4:H7)</f>
        <v>38733.002745000005</v>
      </c>
      <c r="I3" s="545">
        <f t="shared" ref="I3:J3" si="1">SUBTOTAL(9,I4:I7)</f>
        <v>46701.466194999994</v>
      </c>
      <c r="J3" s="545">
        <f t="shared" si="1"/>
        <v>55566.882366999984</v>
      </c>
      <c r="K3" s="545">
        <f>SUBTOTAL(9,K4:K7)</f>
        <v>58258.296115000005</v>
      </c>
      <c r="L3" s="545">
        <f t="shared" ref="L3:M3" si="2">SUBTOTAL(9,L4:L7)</f>
        <v>65192.39</v>
      </c>
      <c r="M3" s="545">
        <f t="shared" si="2"/>
        <v>86967.209999999992</v>
      </c>
      <c r="N3" s="545">
        <f>SUBTOTAL(9,N4:N7)</f>
        <v>134263.41</v>
      </c>
      <c r="O3" s="545">
        <f t="shared" ref="O3:Q3" si="3">SUBTOTAL(9,O4:O7)</f>
        <v>174099.45</v>
      </c>
      <c r="P3" s="545">
        <f t="shared" si="3"/>
        <v>321416.43966899998</v>
      </c>
      <c r="Q3" s="545">
        <f t="shared" si="3"/>
        <v>1107715.4005860002</v>
      </c>
      <c r="S3" s="545">
        <f t="shared" ref="S3:V3" si="4">SUBTOTAL(9,S4:S7)</f>
        <v>126516.853495</v>
      </c>
      <c r="T3" s="545">
        <f t="shared" si="4"/>
        <v>141001.35130699998</v>
      </c>
      <c r="U3" s="545">
        <f t="shared" si="4"/>
        <v>210417.89611499998</v>
      </c>
      <c r="V3" s="545">
        <f t="shared" si="4"/>
        <v>629779.29966899997</v>
      </c>
    </row>
    <row r="4" spans="2:22" hidden="1">
      <c r="C4" s="538"/>
      <c r="D4" s="539"/>
      <c r="E4" s="546"/>
      <c r="F4" s="547"/>
      <c r="G4" s="547"/>
      <c r="H4" s="547"/>
      <c r="I4" s="547"/>
      <c r="J4" s="547"/>
      <c r="K4" s="547"/>
      <c r="L4" s="547"/>
      <c r="M4" s="547"/>
      <c r="N4" s="547"/>
      <c r="O4" s="547"/>
      <c r="P4" s="547"/>
      <c r="Q4" s="548"/>
      <c r="R4" s="468"/>
      <c r="S4" s="547"/>
      <c r="T4" s="547"/>
      <c r="U4" s="547"/>
      <c r="V4" s="547"/>
    </row>
    <row r="5" spans="2:22" hidden="1">
      <c r="C5" s="538"/>
      <c r="D5" s="539"/>
      <c r="E5" s="546"/>
      <c r="F5" s="547"/>
      <c r="G5" s="547"/>
      <c r="H5" s="547"/>
      <c r="I5" s="547"/>
      <c r="J5" s="547"/>
      <c r="K5" s="547"/>
      <c r="L5" s="547"/>
      <c r="M5" s="547"/>
      <c r="N5" s="547"/>
      <c r="O5" s="547"/>
      <c r="P5" s="547"/>
      <c r="Q5" s="548"/>
      <c r="R5" s="468"/>
      <c r="S5" s="547"/>
      <c r="T5" s="547"/>
      <c r="U5" s="547"/>
      <c r="V5" s="547"/>
    </row>
    <row r="6" spans="2:22">
      <c r="C6" s="538" t="s">
        <v>147</v>
      </c>
      <c r="D6" s="539" t="s">
        <v>73</v>
      </c>
      <c r="E6" s="546">
        <v>41583.858553999999</v>
      </c>
      <c r="F6" s="547">
        <v>31054.077270999995</v>
      </c>
      <c r="G6" s="547">
        <v>30883.456900000005</v>
      </c>
      <c r="H6" s="547">
        <v>30516.760813000008</v>
      </c>
      <c r="I6" s="547">
        <v>37888.326292999991</v>
      </c>
      <c r="J6" s="547">
        <v>42816.381576999986</v>
      </c>
      <c r="K6" s="547">
        <v>47956.517338000005</v>
      </c>
      <c r="L6" s="547">
        <v>46660.800000000003</v>
      </c>
      <c r="M6" s="547">
        <v>75244.679999999993</v>
      </c>
      <c r="N6" s="547">
        <v>120032.73000000001</v>
      </c>
      <c r="O6" s="547">
        <v>151241.94</v>
      </c>
      <c r="P6" s="547">
        <v>302343.66956000001</v>
      </c>
      <c r="Q6" s="548">
        <f t="shared" ref="Q5:Q7" si="5">SUM(E6:P6)</f>
        <v>958223.19830600009</v>
      </c>
      <c r="R6" s="468"/>
      <c r="S6" s="547">
        <f t="shared" ref="S5:S7" si="6">SUM(E6:G6)</f>
        <v>103521.392725</v>
      </c>
      <c r="T6" s="547">
        <f t="shared" ref="T5:T7" si="7">SUM(H6:J6)</f>
        <v>111221.46868299998</v>
      </c>
      <c r="U6" s="547">
        <f t="shared" ref="U6:U7" si="8">SUM(K6:M6)</f>
        <v>169861.99733799999</v>
      </c>
      <c r="V6" s="547">
        <f t="shared" ref="V5:V7" si="9">SUM(N6:P6)</f>
        <v>573618.33955999999</v>
      </c>
    </row>
    <row r="7" spans="2:22">
      <c r="C7" s="540" t="s">
        <v>147</v>
      </c>
      <c r="D7" s="541" t="s">
        <v>74</v>
      </c>
      <c r="E7" s="549">
        <v>7490.1370640000005</v>
      </c>
      <c r="F7" s="550">
        <v>7815.3045420000035</v>
      </c>
      <c r="G7" s="550">
        <v>7690.0191639999994</v>
      </c>
      <c r="H7" s="551">
        <v>8216.241931999999</v>
      </c>
      <c r="I7" s="551">
        <v>8813.1399020000008</v>
      </c>
      <c r="J7" s="551">
        <v>12750.50079</v>
      </c>
      <c r="K7" s="551">
        <v>10301.778777</v>
      </c>
      <c r="L7" s="551">
        <v>18531.59</v>
      </c>
      <c r="M7" s="551">
        <v>11722.53</v>
      </c>
      <c r="N7" s="551">
        <v>14230.68</v>
      </c>
      <c r="O7" s="551">
        <v>22857.51</v>
      </c>
      <c r="P7" s="551">
        <v>19072.770109000001</v>
      </c>
      <c r="Q7" s="552">
        <f t="shared" si="5"/>
        <v>149492.20228</v>
      </c>
      <c r="R7" s="468"/>
      <c r="S7" s="551">
        <f t="shared" si="6"/>
        <v>22995.460770000005</v>
      </c>
      <c r="T7" s="551">
        <f t="shared" si="7"/>
        <v>29779.882623999998</v>
      </c>
      <c r="U7" s="551">
        <f t="shared" si="8"/>
        <v>40555.898777000002</v>
      </c>
      <c r="V7" s="551">
        <f t="shared" si="9"/>
        <v>56160.960109000007</v>
      </c>
    </row>
    <row r="8" spans="2:22">
      <c r="E8" s="595">
        <f>IF(MONTH(E2)&lt;='Current month'!$B$2,1,0)</f>
        <v>1</v>
      </c>
      <c r="F8" s="595">
        <f>IF(MONTH(F2)&lt;='Current month'!$B$2,1,0)</f>
        <v>1</v>
      </c>
      <c r="G8" s="595">
        <f>IF(MONTH(G2)&lt;='Current month'!$B$2,1,0)</f>
        <v>1</v>
      </c>
      <c r="H8" s="595">
        <f>IF(MONTH(H2)&lt;='Current month'!$B$2,1,0)</f>
        <v>1</v>
      </c>
      <c r="I8" s="595">
        <f>IF(MONTH(I2)&lt;='Current month'!$B$2,1,0)</f>
        <v>1</v>
      </c>
      <c r="J8" s="595">
        <f>IF(MONTH(J2)&lt;='Current month'!$B$2,1,0)</f>
        <v>1</v>
      </c>
      <c r="K8" s="595">
        <f>IF(MONTH(K2)&lt;='Current month'!$B$2,1,0)</f>
        <v>1</v>
      </c>
      <c r="L8" s="595">
        <f>IF(MONTH(L2)&lt;='Current month'!$B$2,1,0)</f>
        <v>1</v>
      </c>
      <c r="M8" s="595">
        <f>IF(MONTH(M2)&lt;='Current month'!$B$2,1,0)</f>
        <v>0</v>
      </c>
      <c r="N8" s="595">
        <f>IF(MONTH(N2)&lt;='Current month'!$B$2,1,0)</f>
        <v>0</v>
      </c>
      <c r="O8" s="595">
        <f>IF(MONTH(O2)&lt;='Current month'!$B$2,1,0)</f>
        <v>0</v>
      </c>
      <c r="P8" s="595">
        <f>IF(MONTH(P2)&lt;='Current month'!$B$2,1,0)</f>
        <v>0</v>
      </c>
    </row>
    <row r="9" spans="2:22" hidden="1">
      <c r="B9" s="355"/>
      <c r="C9" s="536"/>
      <c r="D9" s="537"/>
      <c r="E9" s="553"/>
      <c r="F9" s="553"/>
      <c r="G9" s="553"/>
      <c r="H9" s="553"/>
      <c r="I9" s="553"/>
      <c r="J9" s="553"/>
      <c r="K9" s="553"/>
      <c r="L9" s="553"/>
      <c r="M9" s="553"/>
      <c r="N9" s="553"/>
      <c r="O9" s="553"/>
      <c r="P9" s="553"/>
      <c r="Q9" s="553"/>
      <c r="S9" s="553"/>
      <c r="T9" s="553"/>
      <c r="U9" s="553"/>
      <c r="V9" s="553"/>
    </row>
    <row r="10" spans="2:22" s="468" customFormat="1" hidden="1">
      <c r="C10" s="540"/>
      <c r="D10" s="541"/>
      <c r="E10" s="586"/>
      <c r="F10" s="586"/>
      <c r="G10" s="586"/>
      <c r="H10" s="586"/>
      <c r="I10" s="586"/>
      <c r="J10" s="586"/>
      <c r="K10" s="586"/>
      <c r="L10" s="586"/>
      <c r="M10" s="586"/>
      <c r="N10" s="586"/>
      <c r="O10" s="586"/>
      <c r="P10" s="586"/>
      <c r="Q10" s="552"/>
      <c r="S10" s="551"/>
      <c r="T10" s="551"/>
      <c r="U10" s="551"/>
      <c r="V10" s="551"/>
    </row>
    <row r="11" spans="2:22" hidden="1"/>
    <row r="12" spans="2:22">
      <c r="B12" s="355"/>
      <c r="C12" s="536" t="s">
        <v>137</v>
      </c>
      <c r="D12" s="537"/>
      <c r="E12" s="553">
        <f>SUBTOTAL(9,E13:E16)</f>
        <v>0</v>
      </c>
      <c r="F12" s="553">
        <f t="shared" ref="F12:G12" si="10">SUBTOTAL(9,F13:F16)</f>
        <v>0</v>
      </c>
      <c r="G12" s="553">
        <f t="shared" si="10"/>
        <v>0</v>
      </c>
      <c r="H12" s="553">
        <f>SUBTOTAL(9,H13:H16)</f>
        <v>0</v>
      </c>
      <c r="I12" s="553">
        <f t="shared" ref="I12:J12" si="11">SUBTOTAL(9,I13:I16)</f>
        <v>0</v>
      </c>
      <c r="J12" s="553">
        <f t="shared" si="11"/>
        <v>0</v>
      </c>
      <c r="K12" s="553">
        <f>SUBTOTAL(9,K13:K16)</f>
        <v>0</v>
      </c>
      <c r="L12" s="553">
        <f t="shared" ref="L12:M12" si="12">SUBTOTAL(9,L13:L16)</f>
        <v>0</v>
      </c>
      <c r="M12" s="553">
        <f t="shared" si="12"/>
        <v>0</v>
      </c>
      <c r="N12" s="553">
        <f>SUBTOTAL(9,N13:N16)</f>
        <v>0</v>
      </c>
      <c r="O12" s="553">
        <f t="shared" ref="O12:Q12" si="13">SUBTOTAL(9,O13:O16)</f>
        <v>0</v>
      </c>
      <c r="P12" s="553">
        <f t="shared" si="13"/>
        <v>0</v>
      </c>
      <c r="Q12" s="553">
        <f t="shared" si="13"/>
        <v>0</v>
      </c>
      <c r="S12" s="553">
        <f t="shared" ref="S12:V12" si="14">SUBTOTAL(9,S13:S16)</f>
        <v>0</v>
      </c>
      <c r="T12" s="553">
        <f t="shared" si="14"/>
        <v>0</v>
      </c>
      <c r="U12" s="553">
        <f t="shared" si="14"/>
        <v>0</v>
      </c>
      <c r="V12" s="553">
        <f t="shared" si="14"/>
        <v>0</v>
      </c>
    </row>
    <row r="13" spans="2:22" hidden="1">
      <c r="C13" s="538"/>
      <c r="D13" s="539"/>
      <c r="E13" s="547"/>
      <c r="F13" s="547"/>
      <c r="G13" s="547"/>
      <c r="H13" s="547"/>
      <c r="I13" s="547"/>
      <c r="J13" s="547"/>
      <c r="K13" s="547"/>
      <c r="L13" s="547"/>
      <c r="M13" s="547"/>
      <c r="N13" s="547"/>
      <c r="O13" s="547"/>
      <c r="P13" s="547"/>
      <c r="Q13" s="548"/>
      <c r="R13" s="468"/>
      <c r="S13" s="547"/>
      <c r="T13" s="547"/>
      <c r="U13" s="547"/>
      <c r="V13" s="547"/>
    </row>
    <row r="14" spans="2:22" hidden="1">
      <c r="C14" s="538"/>
      <c r="D14" s="539"/>
      <c r="E14" s="547"/>
      <c r="F14" s="547"/>
      <c r="G14" s="547"/>
      <c r="H14" s="547"/>
      <c r="I14" s="547"/>
      <c r="J14" s="547"/>
      <c r="K14" s="547"/>
      <c r="L14" s="547"/>
      <c r="M14" s="547"/>
      <c r="N14" s="547"/>
      <c r="O14" s="547"/>
      <c r="P14" s="547"/>
      <c r="Q14" s="548"/>
      <c r="R14" s="468"/>
      <c r="S14" s="547"/>
      <c r="T14" s="547"/>
      <c r="U14" s="547"/>
      <c r="V14" s="547"/>
    </row>
    <row r="15" spans="2:22" s="596" customFormat="1">
      <c r="C15" s="540" t="s">
        <v>136</v>
      </c>
      <c r="D15" s="541" t="s">
        <v>73</v>
      </c>
      <c r="E15" s="550">
        <v>0</v>
      </c>
      <c r="F15" s="550">
        <v>0</v>
      </c>
      <c r="G15" s="550">
        <v>0</v>
      </c>
      <c r="H15" s="551">
        <v>0</v>
      </c>
      <c r="I15" s="551">
        <v>0</v>
      </c>
      <c r="J15" s="551">
        <v>0</v>
      </c>
      <c r="K15" s="551">
        <v>0</v>
      </c>
      <c r="L15" s="551">
        <v>0</v>
      </c>
      <c r="M15" s="551">
        <v>0</v>
      </c>
      <c r="N15" s="551">
        <v>0</v>
      </c>
      <c r="O15" s="551">
        <v>0</v>
      </c>
      <c r="P15" s="551">
        <v>0</v>
      </c>
      <c r="Q15" s="552">
        <f t="shared" ref="Q14:Q16" si="15">SUM(E15:P15)</f>
        <v>0</v>
      </c>
      <c r="R15" s="468"/>
      <c r="S15" s="551">
        <f t="shared" ref="S13:S16" si="16">SUM(E15:G15)</f>
        <v>0</v>
      </c>
      <c r="T15" s="551">
        <f t="shared" ref="T13:T16" si="17">SUM(H15:J15)</f>
        <v>0</v>
      </c>
      <c r="U15" s="551">
        <f t="shared" ref="U13:U16" si="18">SUM(K15:M15)</f>
        <v>0</v>
      </c>
      <c r="V15" s="551">
        <f t="shared" ref="V13:V16" si="19">SUM(N15:P15)</f>
        <v>0</v>
      </c>
    </row>
    <row r="16" spans="2:22" hidden="1">
      <c r="C16" s="540"/>
      <c r="D16" s="541"/>
      <c r="E16" s="550"/>
      <c r="F16" s="550"/>
      <c r="G16" s="550"/>
      <c r="H16" s="551"/>
      <c r="I16" s="551"/>
      <c r="J16" s="551"/>
      <c r="K16" s="551"/>
      <c r="L16" s="551"/>
      <c r="M16" s="551"/>
      <c r="N16" s="551"/>
      <c r="O16" s="551"/>
      <c r="P16" s="551"/>
      <c r="Q16" s="552"/>
      <c r="R16" s="468"/>
      <c r="S16" s="551"/>
      <c r="T16" s="551"/>
      <c r="U16" s="551"/>
      <c r="V16" s="551"/>
    </row>
    <row r="18" spans="1:22">
      <c r="B18" s="355"/>
      <c r="C18" s="536" t="s">
        <v>138</v>
      </c>
      <c r="D18" s="537"/>
      <c r="E18" s="553">
        <f>SUBTOTAL(9,E19:E19)</f>
        <v>0</v>
      </c>
      <c r="F18" s="553">
        <f t="shared" ref="F18:G18" si="20">SUBTOTAL(9,F19:F19)</f>
        <v>0</v>
      </c>
      <c r="G18" s="553">
        <f t="shared" si="20"/>
        <v>0</v>
      </c>
      <c r="H18" s="553">
        <f>SUBTOTAL(9,H19:H19)</f>
        <v>0</v>
      </c>
      <c r="I18" s="553">
        <f t="shared" ref="I18:J18" si="21">SUBTOTAL(9,I19:I19)</f>
        <v>0</v>
      </c>
      <c r="J18" s="553">
        <f t="shared" si="21"/>
        <v>0</v>
      </c>
      <c r="K18" s="553">
        <f>SUBTOTAL(9,K19:K19)</f>
        <v>0</v>
      </c>
      <c r="L18" s="553">
        <f t="shared" ref="L18:M18" si="22">SUBTOTAL(9,L19:L19)</f>
        <v>0</v>
      </c>
      <c r="M18" s="553">
        <f t="shared" si="22"/>
        <v>0</v>
      </c>
      <c r="N18" s="553">
        <f>SUBTOTAL(9,N19:N19)</f>
        <v>0</v>
      </c>
      <c r="O18" s="553">
        <f t="shared" ref="O18:Q18" si="23">SUBTOTAL(9,O19:O19)</f>
        <v>0</v>
      </c>
      <c r="P18" s="553">
        <f t="shared" si="23"/>
        <v>1186.74</v>
      </c>
      <c r="Q18" s="553">
        <f t="shared" si="23"/>
        <v>1186.74</v>
      </c>
      <c r="S18" s="553">
        <f t="shared" ref="S18:V18" si="24">SUBTOTAL(9,S19:S19)</f>
        <v>0</v>
      </c>
      <c r="T18" s="553">
        <f t="shared" si="24"/>
        <v>0</v>
      </c>
      <c r="U18" s="553">
        <f t="shared" si="24"/>
        <v>0</v>
      </c>
      <c r="V18" s="553">
        <f t="shared" si="24"/>
        <v>1186.74</v>
      </c>
    </row>
    <row r="19" spans="1:22" s="468" customFormat="1">
      <c r="C19" s="540" t="s">
        <v>136</v>
      </c>
      <c r="D19" s="541" t="s">
        <v>73</v>
      </c>
      <c r="E19" s="551">
        <v>0</v>
      </c>
      <c r="F19" s="551">
        <v>0</v>
      </c>
      <c r="G19" s="551">
        <v>0</v>
      </c>
      <c r="H19" s="551">
        <v>0</v>
      </c>
      <c r="I19" s="551">
        <v>0</v>
      </c>
      <c r="J19" s="551">
        <v>0</v>
      </c>
      <c r="K19" s="551">
        <v>0</v>
      </c>
      <c r="L19" s="551">
        <v>0</v>
      </c>
      <c r="M19" s="551">
        <v>0</v>
      </c>
      <c r="N19" s="551">
        <v>0</v>
      </c>
      <c r="O19" s="551">
        <v>0</v>
      </c>
      <c r="P19" s="551">
        <v>1186.74</v>
      </c>
      <c r="Q19" s="552">
        <f>SUM(E19:P19)</f>
        <v>1186.74</v>
      </c>
      <c r="S19" s="551">
        <f t="shared" ref="S19" si="25">SUM(E19:G19)</f>
        <v>0</v>
      </c>
      <c r="T19" s="551">
        <f>SUM(H19:J19)</f>
        <v>0</v>
      </c>
      <c r="U19" s="551">
        <f>SUM(K19:M19)</f>
        <v>0</v>
      </c>
      <c r="V19" s="551">
        <f>SUM(N19:P19)</f>
        <v>1186.74</v>
      </c>
    </row>
    <row r="21" spans="1:22">
      <c r="C21" s="469" t="s">
        <v>140</v>
      </c>
      <c r="D21" s="501"/>
      <c r="E21" s="475">
        <f>E18+E12+E9+E3</f>
        <v>49073.995618000001</v>
      </c>
      <c r="F21" s="475">
        <f t="shared" ref="F21:G21" si="26">F18+F12+F9+F3</f>
        <v>38869.381813</v>
      </c>
      <c r="G21" s="475">
        <f t="shared" si="26"/>
        <v>38573.476064000002</v>
      </c>
      <c r="H21" s="475">
        <f>H18+H12+H9+H3</f>
        <v>38733.002745000005</v>
      </c>
      <c r="I21" s="475">
        <f t="shared" ref="I21:J21" si="27">I18+I12+I9+I3</f>
        <v>46701.466194999994</v>
      </c>
      <c r="J21" s="475">
        <f t="shared" si="27"/>
        <v>55566.882366999984</v>
      </c>
      <c r="K21" s="475">
        <f>K18+K12+K9+K3</f>
        <v>58258.296115000005</v>
      </c>
      <c r="L21" s="475">
        <f t="shared" ref="L21:M21" si="28">L18+L12+L9+L3</f>
        <v>65192.39</v>
      </c>
      <c r="M21" s="475">
        <f t="shared" si="28"/>
        <v>86967.209999999992</v>
      </c>
      <c r="N21" s="475">
        <f>N18+N12+N9+N3</f>
        <v>134263.41</v>
      </c>
      <c r="O21" s="475">
        <f t="shared" ref="O21:Q21" si="29">O18+O12+O9+O3</f>
        <v>174099.45</v>
      </c>
      <c r="P21" s="475">
        <f t="shared" si="29"/>
        <v>322603.17966899998</v>
      </c>
      <c r="Q21" s="475">
        <f t="shared" si="29"/>
        <v>1108902.1405860002</v>
      </c>
      <c r="S21" s="475">
        <f t="shared" ref="S21:V21" si="30">S18+S12+S9+S3</f>
        <v>126516.853495</v>
      </c>
      <c r="T21" s="475">
        <f t="shared" si="30"/>
        <v>141001.35130699998</v>
      </c>
      <c r="U21" s="475">
        <f t="shared" si="30"/>
        <v>210417.89611499998</v>
      </c>
      <c r="V21" s="475">
        <f t="shared" si="30"/>
        <v>630966.03966899996</v>
      </c>
    </row>
    <row r="22" spans="1:22" hidden="1">
      <c r="C22" s="471"/>
      <c r="D22" s="505"/>
      <c r="E22" s="524"/>
      <c r="F22" s="524"/>
      <c r="G22" s="524"/>
      <c r="H22" s="524"/>
      <c r="I22" s="524"/>
      <c r="J22" s="524"/>
      <c r="K22" s="524"/>
      <c r="L22" s="524"/>
      <c r="M22" s="524"/>
      <c r="N22" s="524"/>
      <c r="O22" s="524"/>
      <c r="P22" s="524"/>
      <c r="Q22" s="525"/>
      <c r="S22" s="524"/>
      <c r="T22" s="524"/>
      <c r="U22" s="524"/>
      <c r="V22" s="524"/>
    </row>
    <row r="23" spans="1:22" hidden="1">
      <c r="C23" s="471"/>
      <c r="D23" s="505"/>
      <c r="E23" s="524"/>
      <c r="F23" s="524"/>
      <c r="G23" s="524"/>
      <c r="H23" s="524"/>
      <c r="I23" s="524"/>
      <c r="J23" s="524"/>
      <c r="K23" s="524"/>
      <c r="L23" s="524"/>
      <c r="M23" s="524"/>
      <c r="N23" s="524"/>
      <c r="O23" s="524"/>
      <c r="P23" s="524"/>
      <c r="Q23" s="525"/>
      <c r="S23" s="524"/>
      <c r="T23" s="524"/>
      <c r="U23" s="524"/>
      <c r="V23" s="524"/>
    </row>
    <row r="24" spans="1:22">
      <c r="C24" s="471" t="s">
        <v>136</v>
      </c>
      <c r="D24" s="505" t="s">
        <v>73</v>
      </c>
      <c r="E24" s="524">
        <f t="shared" ref="E22:P26" si="31">SUMIF($D$4:$D$19,$D24,E$4:E$19)</f>
        <v>41583.858553999999</v>
      </c>
      <c r="F24" s="524">
        <f t="shared" si="31"/>
        <v>31054.077270999995</v>
      </c>
      <c r="G24" s="524">
        <f t="shared" si="31"/>
        <v>30883.456900000005</v>
      </c>
      <c r="H24" s="524">
        <f t="shared" si="31"/>
        <v>30516.760813000008</v>
      </c>
      <c r="I24" s="524">
        <f t="shared" si="31"/>
        <v>37888.326292999991</v>
      </c>
      <c r="J24" s="524">
        <f t="shared" si="31"/>
        <v>42816.381576999986</v>
      </c>
      <c r="K24" s="524">
        <f t="shared" si="31"/>
        <v>47956.517338000005</v>
      </c>
      <c r="L24" s="524">
        <f t="shared" si="31"/>
        <v>46660.800000000003</v>
      </c>
      <c r="M24" s="524">
        <f t="shared" si="31"/>
        <v>75244.679999999993</v>
      </c>
      <c r="N24" s="524">
        <f t="shared" si="31"/>
        <v>120032.73000000001</v>
      </c>
      <c r="O24" s="524">
        <f t="shared" si="31"/>
        <v>151241.94</v>
      </c>
      <c r="P24" s="524">
        <f t="shared" si="31"/>
        <v>303530.40956</v>
      </c>
      <c r="Q24" s="525">
        <f t="shared" ref="Q23:Q26" si="32">SUM(E24:P24)</f>
        <v>959409.93830600008</v>
      </c>
      <c r="S24" s="524">
        <f t="shared" ref="S22:V26" si="33">SUMIF($D$4:$D$19,$D24,S$4:S$19)</f>
        <v>103521.392725</v>
      </c>
      <c r="T24" s="524">
        <f t="shared" si="33"/>
        <v>111221.46868299998</v>
      </c>
      <c r="U24" s="524">
        <f t="shared" si="33"/>
        <v>169861.99733799999</v>
      </c>
      <c r="V24" s="524">
        <f t="shared" si="33"/>
        <v>574805.07955999998</v>
      </c>
    </row>
    <row r="25" spans="1:22" s="596" customFormat="1">
      <c r="C25" s="473" t="s">
        <v>136</v>
      </c>
      <c r="D25" s="506" t="s">
        <v>74</v>
      </c>
      <c r="E25" s="526">
        <f t="shared" si="31"/>
        <v>7490.1370640000005</v>
      </c>
      <c r="F25" s="526">
        <f t="shared" si="31"/>
        <v>7815.3045420000035</v>
      </c>
      <c r="G25" s="526">
        <f t="shared" si="31"/>
        <v>7690.0191639999994</v>
      </c>
      <c r="H25" s="526">
        <f t="shared" si="31"/>
        <v>8216.241931999999</v>
      </c>
      <c r="I25" s="526">
        <f t="shared" si="31"/>
        <v>8813.1399020000008</v>
      </c>
      <c r="J25" s="526">
        <f t="shared" si="31"/>
        <v>12750.50079</v>
      </c>
      <c r="K25" s="526">
        <f t="shared" si="31"/>
        <v>10301.778777</v>
      </c>
      <c r="L25" s="526">
        <f t="shared" si="31"/>
        <v>18531.59</v>
      </c>
      <c r="M25" s="526">
        <f t="shared" si="31"/>
        <v>11722.53</v>
      </c>
      <c r="N25" s="526">
        <f t="shared" si="31"/>
        <v>14230.68</v>
      </c>
      <c r="O25" s="526">
        <f t="shared" si="31"/>
        <v>22857.51</v>
      </c>
      <c r="P25" s="526">
        <f t="shared" si="31"/>
        <v>19072.770109000001</v>
      </c>
      <c r="Q25" s="527">
        <f t="shared" si="32"/>
        <v>149492.20228</v>
      </c>
      <c r="S25" s="526">
        <f t="shared" si="33"/>
        <v>22995.460770000005</v>
      </c>
      <c r="T25" s="526">
        <f t="shared" si="33"/>
        <v>29779.882623999998</v>
      </c>
      <c r="U25" s="526">
        <f t="shared" si="33"/>
        <v>40555.898777000002</v>
      </c>
      <c r="V25" s="526">
        <f t="shared" si="33"/>
        <v>56160.960109000007</v>
      </c>
    </row>
    <row r="26" spans="1:22" hidden="1">
      <c r="C26" s="473"/>
      <c r="D26" s="506"/>
      <c r="E26" s="526"/>
      <c r="F26" s="526"/>
      <c r="G26" s="526"/>
      <c r="H26" s="526"/>
      <c r="I26" s="526"/>
      <c r="J26" s="526"/>
      <c r="K26" s="526"/>
      <c r="L26" s="526"/>
      <c r="M26" s="526"/>
      <c r="N26" s="526"/>
      <c r="O26" s="526"/>
      <c r="P26" s="526"/>
      <c r="Q26" s="527"/>
      <c r="S26" s="526"/>
      <c r="T26" s="526"/>
      <c r="U26" s="526"/>
      <c r="V26" s="526"/>
    </row>
    <row r="27" spans="1:22">
      <c r="C27" s="493"/>
      <c r="D27" s="494"/>
      <c r="E27" s="368"/>
      <c r="F27" s="368"/>
      <c r="G27" s="368"/>
      <c r="H27" s="368"/>
      <c r="I27" s="368"/>
      <c r="J27" s="368"/>
      <c r="K27" s="368"/>
      <c r="L27" s="368"/>
      <c r="M27" s="368"/>
      <c r="N27" s="368"/>
      <c r="O27" s="368"/>
      <c r="P27" s="368"/>
      <c r="Q27" s="495"/>
      <c r="S27" s="368"/>
      <c r="T27" s="368"/>
      <c r="U27" s="368"/>
      <c r="V27" s="368"/>
    </row>
    <row r="28" spans="1:22" ht="2.5499999999999998" customHeight="1">
      <c r="A28" s="496"/>
      <c r="B28" s="496"/>
      <c r="C28" s="497"/>
      <c r="D28" s="498"/>
      <c r="E28" s="499"/>
      <c r="F28" s="499"/>
      <c r="G28" s="499"/>
      <c r="H28" s="499"/>
      <c r="I28" s="499"/>
      <c r="J28" s="499"/>
      <c r="K28" s="499"/>
      <c r="L28" s="499"/>
      <c r="M28" s="499"/>
      <c r="N28" s="499"/>
      <c r="O28" s="499"/>
      <c r="P28" s="499"/>
      <c r="Q28" s="500"/>
      <c r="R28" s="496"/>
      <c r="S28" s="499"/>
      <c r="T28" s="499"/>
      <c r="U28" s="499"/>
      <c r="V28" s="499"/>
    </row>
    <row r="29" spans="1:22" hidden="1"/>
    <row r="30" spans="1:22" hidden="1">
      <c r="B30" s="355"/>
      <c r="C30" s="536"/>
      <c r="D30" s="537"/>
      <c r="E30" s="544"/>
      <c r="F30" s="545"/>
      <c r="G30" s="545"/>
      <c r="H30" s="545"/>
      <c r="I30" s="545"/>
      <c r="J30" s="545"/>
      <c r="K30" s="545"/>
      <c r="L30" s="545"/>
      <c r="M30" s="545"/>
      <c r="N30" s="545"/>
      <c r="O30" s="545"/>
      <c r="P30" s="545"/>
      <c r="Q30" s="545"/>
      <c r="S30" s="545"/>
      <c r="T30" s="545"/>
      <c r="U30" s="545"/>
      <c r="V30" s="545"/>
    </row>
    <row r="31" spans="1:22" hidden="1">
      <c r="C31" s="538"/>
      <c r="D31" s="539"/>
      <c r="E31" s="546"/>
      <c r="F31" s="547"/>
      <c r="G31" s="547"/>
      <c r="H31" s="547"/>
      <c r="I31" s="547"/>
      <c r="J31" s="547"/>
      <c r="K31" s="547"/>
      <c r="L31" s="547"/>
      <c r="M31" s="547"/>
      <c r="N31" s="547"/>
      <c r="O31" s="547"/>
      <c r="P31" s="547"/>
      <c r="Q31" s="548"/>
      <c r="R31" s="468"/>
      <c r="S31" s="547"/>
      <c r="T31" s="547"/>
      <c r="U31" s="547"/>
      <c r="V31" s="547"/>
    </row>
    <row r="32" spans="1:22" hidden="1">
      <c r="C32" s="538"/>
      <c r="D32" s="539"/>
      <c r="E32" s="546"/>
      <c r="F32" s="547"/>
      <c r="G32" s="547"/>
      <c r="H32" s="547"/>
      <c r="I32" s="547"/>
      <c r="J32" s="547"/>
      <c r="K32" s="547"/>
      <c r="L32" s="547"/>
      <c r="M32" s="547"/>
      <c r="N32" s="547"/>
      <c r="O32" s="547"/>
      <c r="P32" s="547"/>
      <c r="Q32" s="548"/>
      <c r="R32" s="468"/>
      <c r="S32" s="547"/>
      <c r="T32" s="547"/>
      <c r="U32" s="547"/>
      <c r="V32" s="547"/>
    </row>
    <row r="33" spans="2:22" hidden="1">
      <c r="C33" s="538"/>
      <c r="D33" s="539"/>
      <c r="E33" s="546"/>
      <c r="F33" s="547"/>
      <c r="G33" s="547"/>
      <c r="H33" s="547"/>
      <c r="I33" s="547"/>
      <c r="J33" s="547"/>
      <c r="K33" s="547"/>
      <c r="L33" s="547"/>
      <c r="M33" s="547"/>
      <c r="N33" s="547"/>
      <c r="O33" s="547"/>
      <c r="P33" s="547"/>
      <c r="Q33" s="548"/>
      <c r="R33" s="468"/>
      <c r="S33" s="547"/>
      <c r="T33" s="547"/>
      <c r="U33" s="547"/>
      <c r="V33" s="547"/>
    </row>
    <row r="34" spans="2:22" hidden="1">
      <c r="C34" s="540"/>
      <c r="D34" s="541"/>
      <c r="E34" s="549"/>
      <c r="F34" s="550"/>
      <c r="G34" s="550"/>
      <c r="H34" s="551"/>
      <c r="I34" s="551"/>
      <c r="J34" s="551"/>
      <c r="K34" s="551"/>
      <c r="L34" s="551"/>
      <c r="M34" s="551"/>
      <c r="N34" s="551"/>
      <c r="O34" s="551"/>
      <c r="P34" s="551"/>
      <c r="Q34" s="552"/>
      <c r="R34" s="468"/>
      <c r="S34" s="551"/>
      <c r="T34" s="551"/>
      <c r="U34" s="551"/>
      <c r="V34" s="551"/>
    </row>
    <row r="35" spans="2:22" hidden="1"/>
    <row r="36" spans="2:22" hidden="1">
      <c r="B36" s="355"/>
      <c r="C36" s="536"/>
      <c r="D36" s="537"/>
      <c r="E36" s="553"/>
      <c r="F36" s="553"/>
      <c r="G36" s="553"/>
      <c r="H36" s="553"/>
      <c r="I36" s="553"/>
      <c r="J36" s="553"/>
      <c r="K36" s="553"/>
      <c r="L36" s="553"/>
      <c r="M36" s="553"/>
      <c r="N36" s="553"/>
      <c r="O36" s="553"/>
      <c r="P36" s="553"/>
      <c r="Q36" s="553"/>
      <c r="S36" s="553"/>
      <c r="T36" s="553"/>
      <c r="U36" s="553"/>
      <c r="V36" s="553"/>
    </row>
    <row r="37" spans="2:22" s="468" customFormat="1" hidden="1">
      <c r="C37" s="540"/>
      <c r="D37" s="541"/>
      <c r="E37" s="554"/>
      <c r="F37" s="554"/>
      <c r="G37" s="554"/>
      <c r="H37" s="551"/>
      <c r="I37" s="551"/>
      <c r="J37" s="551"/>
      <c r="K37" s="551"/>
      <c r="L37" s="551"/>
      <c r="M37" s="551"/>
      <c r="N37" s="551"/>
      <c r="O37" s="551"/>
      <c r="P37" s="551"/>
      <c r="Q37" s="552"/>
      <c r="S37" s="551"/>
      <c r="T37" s="551"/>
      <c r="U37" s="551"/>
      <c r="V37" s="551"/>
    </row>
    <row r="38" spans="2:22" hidden="1"/>
    <row r="39" spans="2:22" hidden="1">
      <c r="B39" s="355"/>
      <c r="C39" s="536"/>
      <c r="D39" s="537"/>
      <c r="E39" s="553"/>
      <c r="F39" s="553"/>
      <c r="G39" s="553"/>
      <c r="H39" s="553"/>
      <c r="I39" s="553"/>
      <c r="J39" s="553"/>
      <c r="K39" s="553"/>
      <c r="L39" s="553"/>
      <c r="M39" s="553"/>
      <c r="N39" s="553"/>
      <c r="O39" s="553"/>
      <c r="P39" s="553"/>
      <c r="Q39" s="553"/>
      <c r="S39" s="553"/>
      <c r="T39" s="553"/>
      <c r="U39" s="553"/>
      <c r="V39" s="553"/>
    </row>
    <row r="40" spans="2:22" hidden="1">
      <c r="C40" s="538"/>
      <c r="D40" s="539"/>
      <c r="E40" s="547"/>
      <c r="F40" s="547"/>
      <c r="G40" s="547"/>
      <c r="H40" s="547"/>
      <c r="I40" s="547"/>
      <c r="J40" s="547"/>
      <c r="K40" s="547"/>
      <c r="L40" s="547"/>
      <c r="M40" s="547"/>
      <c r="N40" s="547"/>
      <c r="O40" s="547"/>
      <c r="P40" s="547"/>
      <c r="Q40" s="548"/>
      <c r="R40" s="468"/>
      <c r="S40" s="547"/>
      <c r="T40" s="547"/>
      <c r="U40" s="547"/>
      <c r="V40" s="547"/>
    </row>
    <row r="41" spans="2:22" hidden="1">
      <c r="C41" s="538"/>
      <c r="D41" s="539"/>
      <c r="E41" s="547"/>
      <c r="F41" s="547"/>
      <c r="G41" s="547"/>
      <c r="H41" s="547"/>
      <c r="I41" s="547"/>
      <c r="J41" s="547"/>
      <c r="K41" s="547"/>
      <c r="L41" s="547"/>
      <c r="M41" s="547"/>
      <c r="N41" s="547"/>
      <c r="O41" s="547"/>
      <c r="P41" s="547"/>
      <c r="Q41" s="548"/>
      <c r="R41" s="468"/>
      <c r="S41" s="547"/>
      <c r="T41" s="547"/>
      <c r="U41" s="547"/>
      <c r="V41" s="547"/>
    </row>
    <row r="42" spans="2:22" hidden="1">
      <c r="C42" s="538"/>
      <c r="D42" s="539"/>
      <c r="E42" s="547"/>
      <c r="F42" s="547"/>
      <c r="G42" s="547"/>
      <c r="H42" s="547"/>
      <c r="I42" s="547"/>
      <c r="J42" s="547"/>
      <c r="K42" s="547"/>
      <c r="L42" s="547"/>
      <c r="M42" s="547"/>
      <c r="N42" s="547"/>
      <c r="O42" s="547"/>
      <c r="P42" s="547"/>
      <c r="Q42" s="548"/>
      <c r="R42" s="468"/>
      <c r="S42" s="547"/>
      <c r="T42" s="547"/>
      <c r="U42" s="547"/>
      <c r="V42" s="547"/>
    </row>
    <row r="43" spans="2:22" hidden="1">
      <c r="C43" s="540"/>
      <c r="D43" s="541"/>
      <c r="E43" s="550"/>
      <c r="F43" s="550"/>
      <c r="G43" s="550"/>
      <c r="H43" s="551"/>
      <c r="I43" s="551"/>
      <c r="J43" s="551"/>
      <c r="K43" s="551"/>
      <c r="L43" s="551"/>
      <c r="M43" s="551"/>
      <c r="N43" s="551"/>
      <c r="O43" s="551"/>
      <c r="P43" s="551"/>
      <c r="Q43" s="552"/>
      <c r="R43" s="468"/>
      <c r="S43" s="551"/>
      <c r="T43" s="551"/>
      <c r="U43" s="551"/>
      <c r="V43" s="551"/>
    </row>
    <row r="44" spans="2:22" hidden="1"/>
    <row r="45" spans="2:22" hidden="1">
      <c r="B45" s="355"/>
      <c r="C45" s="536"/>
      <c r="D45" s="537"/>
      <c r="E45" s="553"/>
      <c r="F45" s="553"/>
      <c r="G45" s="553"/>
      <c r="H45" s="553"/>
      <c r="I45" s="553"/>
      <c r="J45" s="553"/>
      <c r="K45" s="553"/>
      <c r="L45" s="553"/>
      <c r="M45" s="553"/>
      <c r="N45" s="553"/>
      <c r="O45" s="553"/>
      <c r="P45" s="553"/>
      <c r="Q45" s="553"/>
      <c r="S45" s="553"/>
      <c r="T45" s="553"/>
      <c r="U45" s="553"/>
      <c r="V45" s="553"/>
    </row>
    <row r="46" spans="2:22" s="468" customFormat="1" hidden="1">
      <c r="C46" s="540"/>
      <c r="D46" s="541"/>
      <c r="E46" s="554"/>
      <c r="F46" s="554"/>
      <c r="G46" s="554"/>
      <c r="H46" s="551"/>
      <c r="I46" s="551"/>
      <c r="J46" s="551"/>
      <c r="K46" s="551"/>
      <c r="L46" s="551"/>
      <c r="M46" s="551"/>
      <c r="N46" s="551"/>
      <c r="O46" s="551"/>
      <c r="P46" s="551"/>
      <c r="Q46" s="552"/>
      <c r="S46" s="551"/>
      <c r="T46" s="551"/>
      <c r="U46" s="551"/>
      <c r="V46" s="551"/>
    </row>
    <row r="47" spans="2:22" hidden="1"/>
    <row r="48" spans="2:22" hidden="1">
      <c r="C48" s="469"/>
      <c r="D48" s="501"/>
      <c r="E48" s="475"/>
      <c r="F48" s="475"/>
      <c r="G48" s="475"/>
      <c r="H48" s="475"/>
      <c r="I48" s="475"/>
      <c r="J48" s="475"/>
      <c r="K48" s="475"/>
      <c r="L48" s="475"/>
      <c r="M48" s="475"/>
      <c r="N48" s="475"/>
      <c r="O48" s="475"/>
      <c r="P48" s="475"/>
      <c r="Q48" s="475"/>
      <c r="S48" s="475"/>
      <c r="T48" s="475"/>
      <c r="U48" s="475"/>
      <c r="V48" s="475"/>
    </row>
    <row r="49" spans="1:22" hidden="1">
      <c r="C49" s="471"/>
      <c r="D49" s="505"/>
      <c r="E49" s="524"/>
      <c r="F49" s="524"/>
      <c r="G49" s="524"/>
      <c r="H49" s="524"/>
      <c r="I49" s="524"/>
      <c r="J49" s="524"/>
      <c r="K49" s="524"/>
      <c r="L49" s="524"/>
      <c r="M49" s="524"/>
      <c r="N49" s="524"/>
      <c r="O49" s="524"/>
      <c r="P49" s="524"/>
      <c r="Q49" s="525"/>
      <c r="S49" s="524"/>
      <c r="T49" s="524"/>
      <c r="U49" s="524"/>
      <c r="V49" s="524"/>
    </row>
    <row r="50" spans="1:22" hidden="1">
      <c r="C50" s="471"/>
      <c r="D50" s="505"/>
      <c r="E50" s="524"/>
      <c r="F50" s="524"/>
      <c r="G50" s="524"/>
      <c r="H50" s="524"/>
      <c r="I50" s="524"/>
      <c r="J50" s="524"/>
      <c r="K50" s="524"/>
      <c r="L50" s="524"/>
      <c r="M50" s="524"/>
      <c r="N50" s="524"/>
      <c r="O50" s="524"/>
      <c r="P50" s="524"/>
      <c r="Q50" s="525"/>
      <c r="S50" s="524"/>
      <c r="T50" s="524"/>
      <c r="U50" s="524"/>
      <c r="V50" s="524"/>
    </row>
    <row r="51" spans="1:22" hidden="1">
      <c r="C51" s="471"/>
      <c r="D51" s="505"/>
      <c r="E51" s="524"/>
      <c r="F51" s="524"/>
      <c r="G51" s="524"/>
      <c r="H51" s="524"/>
      <c r="I51" s="524"/>
      <c r="J51" s="524"/>
      <c r="K51" s="524"/>
      <c r="L51" s="524"/>
      <c r="M51" s="524"/>
      <c r="N51" s="524"/>
      <c r="O51" s="524"/>
      <c r="P51" s="524"/>
      <c r="Q51" s="525"/>
      <c r="S51" s="524"/>
      <c r="T51" s="524"/>
      <c r="U51" s="524"/>
      <c r="V51" s="524"/>
    </row>
    <row r="52" spans="1:22" hidden="1">
      <c r="C52" s="471"/>
      <c r="D52" s="505"/>
      <c r="E52" s="524"/>
      <c r="F52" s="524"/>
      <c r="G52" s="524"/>
      <c r="H52" s="524"/>
      <c r="I52" s="524"/>
      <c r="J52" s="524"/>
      <c r="K52" s="524"/>
      <c r="L52" s="524"/>
      <c r="M52" s="524"/>
      <c r="N52" s="524"/>
      <c r="O52" s="524"/>
      <c r="P52" s="524"/>
      <c r="Q52" s="525"/>
      <c r="S52" s="524"/>
      <c r="T52" s="524"/>
      <c r="U52" s="524"/>
      <c r="V52" s="524"/>
    </row>
    <row r="53" spans="1:22" hidden="1">
      <c r="C53" s="473"/>
      <c r="D53" s="506"/>
      <c r="E53" s="526"/>
      <c r="F53" s="526"/>
      <c r="G53" s="526"/>
      <c r="H53" s="526"/>
      <c r="I53" s="526"/>
      <c r="J53" s="526"/>
      <c r="K53" s="526"/>
      <c r="L53" s="526"/>
      <c r="M53" s="526"/>
      <c r="N53" s="526"/>
      <c r="O53" s="526"/>
      <c r="P53" s="526"/>
      <c r="Q53" s="527"/>
      <c r="S53" s="526"/>
      <c r="T53" s="526"/>
      <c r="U53" s="526"/>
      <c r="V53" s="526"/>
    </row>
    <row r="54" spans="1:22" hidden="1"/>
    <row r="55" spans="1:22" ht="2.5499999999999998" hidden="1" customHeight="1">
      <c r="A55" s="496"/>
      <c r="B55" s="496"/>
      <c r="C55" s="497"/>
      <c r="D55" s="498"/>
      <c r="E55" s="499"/>
      <c r="F55" s="499"/>
      <c r="G55" s="499"/>
      <c r="H55" s="499"/>
      <c r="I55" s="499"/>
      <c r="J55" s="499"/>
      <c r="K55" s="499"/>
      <c r="L55" s="499"/>
      <c r="M55" s="499"/>
      <c r="N55" s="499"/>
      <c r="O55" s="499"/>
      <c r="P55" s="499"/>
      <c r="Q55" s="500"/>
      <c r="R55" s="496"/>
      <c r="S55" s="499"/>
      <c r="T55" s="499"/>
      <c r="U55" s="499"/>
      <c r="V55" s="499"/>
    </row>
    <row r="56" spans="1:22" hidden="1">
      <c r="B56" s="355"/>
    </row>
    <row r="57" spans="1:22" hidden="1">
      <c r="B57" s="100"/>
      <c r="C57" s="477"/>
      <c r="D57" s="478"/>
      <c r="E57" s="479"/>
      <c r="F57" s="479"/>
      <c r="G57" s="479"/>
      <c r="H57" s="479"/>
      <c r="I57" s="479"/>
      <c r="J57" s="479"/>
      <c r="K57" s="479"/>
      <c r="L57" s="479"/>
      <c r="M57" s="479"/>
      <c r="N57" s="479"/>
      <c r="O57" s="479"/>
      <c r="P57" s="479"/>
      <c r="Q57" s="479"/>
      <c r="S57" s="479"/>
      <c r="T57" s="479"/>
      <c r="U57" s="479"/>
      <c r="V57" s="479"/>
    </row>
    <row r="58" spans="1:22" hidden="1">
      <c r="C58" s="481"/>
      <c r="D58" s="482"/>
      <c r="E58" s="483"/>
      <c r="F58" s="483"/>
      <c r="G58" s="483"/>
      <c r="H58" s="483"/>
      <c r="I58" s="483"/>
      <c r="J58" s="483"/>
      <c r="K58" s="483"/>
      <c r="L58" s="483"/>
      <c r="M58" s="483"/>
      <c r="N58" s="483"/>
      <c r="O58" s="483"/>
      <c r="P58" s="483"/>
      <c r="Q58" s="489"/>
      <c r="S58" s="483"/>
      <c r="T58" s="483"/>
      <c r="U58" s="483"/>
      <c r="V58" s="483"/>
    </row>
    <row r="59" spans="1:22" hidden="1">
      <c r="C59" s="481"/>
      <c r="D59" s="482"/>
      <c r="E59" s="483"/>
      <c r="F59" s="483"/>
      <c r="G59" s="483"/>
      <c r="H59" s="483"/>
      <c r="I59" s="483"/>
      <c r="J59" s="483"/>
      <c r="K59" s="483"/>
      <c r="L59" s="483"/>
      <c r="M59" s="483"/>
      <c r="N59" s="483"/>
      <c r="O59" s="483"/>
      <c r="P59" s="483"/>
      <c r="Q59" s="489"/>
      <c r="S59" s="483"/>
      <c r="T59" s="483"/>
      <c r="U59" s="483"/>
      <c r="V59" s="483"/>
    </row>
    <row r="60" spans="1:22" hidden="1">
      <c r="C60" s="481"/>
      <c r="D60" s="482"/>
      <c r="E60" s="483"/>
      <c r="F60" s="483"/>
      <c r="G60" s="483"/>
      <c r="H60" s="483"/>
      <c r="I60" s="483"/>
      <c r="J60" s="483"/>
      <c r="K60" s="483"/>
      <c r="L60" s="483"/>
      <c r="M60" s="483"/>
      <c r="N60" s="483"/>
      <c r="O60" s="483"/>
      <c r="P60" s="483"/>
      <c r="Q60" s="489"/>
      <c r="S60" s="483"/>
      <c r="T60" s="483"/>
      <c r="U60" s="483"/>
      <c r="V60" s="483"/>
    </row>
    <row r="61" spans="1:22" hidden="1">
      <c r="C61" s="481"/>
      <c r="D61" s="482"/>
      <c r="E61" s="483"/>
      <c r="F61" s="483"/>
      <c r="G61" s="483"/>
      <c r="H61" s="483"/>
      <c r="I61" s="483"/>
      <c r="J61" s="483"/>
      <c r="K61" s="483"/>
      <c r="L61" s="483"/>
      <c r="M61" s="483"/>
      <c r="N61" s="483"/>
      <c r="O61" s="483"/>
      <c r="P61" s="483"/>
      <c r="Q61" s="489"/>
      <c r="S61" s="483"/>
      <c r="T61" s="483"/>
      <c r="U61" s="483"/>
      <c r="V61" s="483"/>
    </row>
    <row r="62" spans="1:22" hidden="1">
      <c r="C62" s="485"/>
      <c r="D62" s="486"/>
      <c r="E62" s="487"/>
      <c r="F62" s="487"/>
      <c r="G62" s="487"/>
      <c r="H62" s="487"/>
      <c r="I62" s="487"/>
      <c r="J62" s="487"/>
      <c r="K62" s="487"/>
      <c r="L62" s="487"/>
      <c r="M62" s="487"/>
      <c r="N62" s="487"/>
      <c r="O62" s="487"/>
      <c r="P62" s="487"/>
      <c r="Q62" s="490"/>
      <c r="S62" s="487"/>
      <c r="T62" s="487"/>
      <c r="U62" s="487"/>
      <c r="V62" s="487"/>
    </row>
    <row r="63" spans="1:22" hidden="1"/>
    <row r="65" spans="5:16">
      <c r="E65" s="587"/>
      <c r="F65" s="587"/>
      <c r="G65" s="587"/>
      <c r="H65" s="587"/>
      <c r="I65" s="587"/>
      <c r="J65" s="587"/>
      <c r="K65" s="587"/>
      <c r="L65" s="587"/>
      <c r="M65" s="587"/>
      <c r="N65" s="587"/>
      <c r="O65" s="587"/>
      <c r="P65" s="587"/>
    </row>
  </sheetData>
  <pageMargins left="0.7" right="0.7" top="0.75" bottom="0.75" header="0.3" footer="0.3"/>
  <pageSetup orientation="portrait" r:id="rId1"/>
  <ignoredErrors>
    <ignoredError sqref="S6:V7 S12:V12 S15:V15 S17:V21 S24:V25" formulaRange="1"/>
  </ignoredError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>
    <pageSetUpPr fitToPage="1"/>
  </sheetPr>
  <dimension ref="A1:CJ84"/>
  <sheetViews>
    <sheetView workbookViewId="0">
      <pane xSplit="2" ySplit="3" topLeftCell="C12" activePane="bottomRight" state="frozen"/>
      <selection activeCell="R6" sqref="R6"/>
      <selection pane="topRight" activeCell="R6" sqref="R6"/>
      <selection pane="bottomLeft" activeCell="R6" sqref="R6"/>
      <selection pane="bottomRight" activeCell="C12" sqref="C12"/>
    </sheetView>
  </sheetViews>
  <sheetFormatPr defaultColWidth="9.44140625" defaultRowHeight="15"/>
  <cols>
    <col min="1" max="1" width="17.109375" style="129" customWidth="1"/>
    <col min="2" max="2" width="26.44140625" style="129" customWidth="1"/>
    <col min="3" max="3" width="2.44140625" style="130" customWidth="1"/>
    <col min="4" max="15" width="15.44140625" style="129" hidden="1" customWidth="1"/>
    <col min="16" max="16" width="16.44140625" style="129" hidden="1" customWidth="1"/>
    <col min="17" max="17" width="8.44140625" style="133" hidden="1" customWidth="1"/>
    <col min="18" max="19" width="16.44140625" style="129" bestFit="1" customWidth="1"/>
    <col min="20" max="20" width="16.77734375" style="129" bestFit="1" customWidth="1"/>
    <col min="21" max="21" width="16.44140625" style="129" customWidth="1"/>
    <col min="22" max="22" width="16.77734375" style="129" bestFit="1" customWidth="1"/>
    <col min="23" max="23" width="16.6640625" style="129" bestFit="1" customWidth="1"/>
    <col min="24" max="24" width="16.77734375" style="129" bestFit="1" customWidth="1"/>
    <col min="25" max="27" width="18.109375" style="129" bestFit="1" customWidth="1"/>
    <col min="28" max="28" width="16.109375" style="129" customWidth="1"/>
    <col min="29" max="29" width="16.44140625" style="129" customWidth="1"/>
    <col min="30" max="30" width="16.77734375" style="129" customWidth="1"/>
    <col min="31" max="31" width="2.77734375" style="133" customWidth="1"/>
    <col min="32" max="33" width="18.44140625" style="129" bestFit="1" customWidth="1"/>
    <col min="34" max="43" width="16.109375" style="129" bestFit="1" customWidth="1"/>
    <col min="44" max="44" width="17.44140625" style="129" bestFit="1" customWidth="1"/>
    <col min="45" max="45" width="4.44140625" style="133" customWidth="1"/>
    <col min="46" max="49" width="12.77734375" style="129" customWidth="1"/>
    <col min="50" max="50" width="13" style="129" customWidth="1"/>
    <col min="51" max="57" width="9.44140625" style="129" customWidth="1"/>
    <col min="58" max="58" width="12.109375" style="129" customWidth="1"/>
    <col min="59" max="59" width="17" style="129" customWidth="1"/>
    <col min="60" max="64" width="17" style="135" customWidth="1"/>
    <col min="65" max="65" width="17" style="129" customWidth="1"/>
    <col min="66" max="70" width="17" style="135" customWidth="1"/>
    <col min="71" max="71" width="17" style="129" customWidth="1"/>
    <col min="72" max="75" width="17" style="135" customWidth="1"/>
    <col min="76" max="80" width="17" style="129" customWidth="1"/>
    <col min="81" max="83" width="9.44140625" style="129" customWidth="1"/>
    <col min="84" max="84" width="9.44140625" style="129"/>
    <col min="85" max="85" width="20" style="129" bestFit="1" customWidth="1"/>
    <col min="86" max="86" width="16.44140625" style="129" customWidth="1"/>
    <col min="87" max="88" width="15.44140625" style="129" bestFit="1" customWidth="1"/>
    <col min="89" max="16384" width="9.44140625" style="129"/>
  </cols>
  <sheetData>
    <row r="1" spans="1:88">
      <c r="F1" s="131"/>
      <c r="G1" s="132"/>
      <c r="H1" s="132"/>
      <c r="I1" s="132"/>
      <c r="J1" s="132"/>
      <c r="M1" s="131"/>
      <c r="N1" s="131"/>
      <c r="O1" s="131"/>
      <c r="AD1" s="134"/>
    </row>
    <row r="2" spans="1:88" ht="15.6">
      <c r="D2" s="136" t="s">
        <v>28</v>
      </c>
      <c r="K2" s="137"/>
      <c r="L2" s="138"/>
      <c r="O2" s="131"/>
      <c r="P2" s="138"/>
      <c r="Q2" s="139"/>
      <c r="R2" s="136" t="s">
        <v>29</v>
      </c>
      <c r="U2" s="132"/>
      <c r="V2" s="132"/>
      <c r="W2" s="132"/>
      <c r="X2" s="132"/>
      <c r="Y2" s="132"/>
      <c r="Z2" s="140"/>
      <c r="AA2" s="140"/>
      <c r="AF2" s="136" t="s">
        <v>30</v>
      </c>
      <c r="AT2" s="129" t="s">
        <v>31</v>
      </c>
      <c r="BH2" s="141" t="s">
        <v>32</v>
      </c>
      <c r="BN2" s="141" t="s">
        <v>33</v>
      </c>
      <c r="BT2" s="135" t="s">
        <v>34</v>
      </c>
    </row>
    <row r="3" spans="1:88" ht="15.6">
      <c r="A3" s="142"/>
      <c r="B3" s="143"/>
      <c r="C3" s="144"/>
      <c r="D3" s="145" t="s">
        <v>35</v>
      </c>
      <c r="E3" s="145" t="s">
        <v>36</v>
      </c>
      <c r="F3" s="145" t="s">
        <v>37</v>
      </c>
      <c r="G3" s="145" t="s">
        <v>38</v>
      </c>
      <c r="H3" s="145" t="s">
        <v>39</v>
      </c>
      <c r="I3" s="145" t="s">
        <v>40</v>
      </c>
      <c r="J3" s="145" t="s">
        <v>41</v>
      </c>
      <c r="K3" s="145" t="s">
        <v>42</v>
      </c>
      <c r="L3" s="145" t="s">
        <v>43</v>
      </c>
      <c r="M3" s="145" t="s">
        <v>44</v>
      </c>
      <c r="N3" s="145" t="s">
        <v>45</v>
      </c>
      <c r="O3" s="145" t="s">
        <v>46</v>
      </c>
      <c r="P3" s="145" t="s">
        <v>47</v>
      </c>
      <c r="Q3" s="139"/>
      <c r="R3" s="146" t="s">
        <v>35</v>
      </c>
      <c r="S3" s="146" t="s">
        <v>36</v>
      </c>
      <c r="T3" s="146" t="s">
        <v>37</v>
      </c>
      <c r="U3" s="146" t="s">
        <v>38</v>
      </c>
      <c r="V3" s="146" t="s">
        <v>39</v>
      </c>
      <c r="W3" s="146" t="s">
        <v>40</v>
      </c>
      <c r="X3" s="146" t="s">
        <v>41</v>
      </c>
      <c r="Y3" s="146" t="s">
        <v>42</v>
      </c>
      <c r="Z3" s="146" t="s">
        <v>43</v>
      </c>
      <c r="AA3" s="146" t="s">
        <v>44</v>
      </c>
      <c r="AB3" s="146" t="s">
        <v>45</v>
      </c>
      <c r="AC3" s="146" t="s">
        <v>46</v>
      </c>
      <c r="AD3" s="146" t="s">
        <v>47</v>
      </c>
      <c r="AE3" s="147"/>
      <c r="AF3" s="148" t="s">
        <v>35</v>
      </c>
      <c r="AG3" s="148" t="s">
        <v>36</v>
      </c>
      <c r="AH3" s="148" t="s">
        <v>37</v>
      </c>
      <c r="AI3" s="148" t="s">
        <v>38</v>
      </c>
      <c r="AJ3" s="148" t="s">
        <v>39</v>
      </c>
      <c r="AK3" s="148" t="s">
        <v>40</v>
      </c>
      <c r="AL3" s="148" t="s">
        <v>41</v>
      </c>
      <c r="AM3" s="148" t="s">
        <v>42</v>
      </c>
      <c r="AN3" s="148" t="s">
        <v>43</v>
      </c>
      <c r="AO3" s="148" t="s">
        <v>44</v>
      </c>
      <c r="AP3" s="148" t="s">
        <v>45</v>
      </c>
      <c r="AQ3" s="148" t="s">
        <v>46</v>
      </c>
      <c r="AR3" s="148" t="s">
        <v>47</v>
      </c>
      <c r="AS3" s="147"/>
      <c r="AT3" s="146" t="s">
        <v>35</v>
      </c>
      <c r="AU3" s="146" t="s">
        <v>36</v>
      </c>
      <c r="AV3" s="146" t="s">
        <v>37</v>
      </c>
      <c r="AW3" s="146" t="s">
        <v>38</v>
      </c>
      <c r="AX3" s="146" t="s">
        <v>39</v>
      </c>
      <c r="AY3" s="146" t="s">
        <v>40</v>
      </c>
      <c r="AZ3" s="146" t="s">
        <v>41</v>
      </c>
      <c r="BA3" s="146" t="s">
        <v>42</v>
      </c>
      <c r="BB3" s="146" t="s">
        <v>43</v>
      </c>
      <c r="BC3" s="146" t="s">
        <v>44</v>
      </c>
      <c r="BD3" s="146" t="s">
        <v>45</v>
      </c>
      <c r="BE3" s="146" t="s">
        <v>46</v>
      </c>
      <c r="BF3" s="146" t="s">
        <v>47</v>
      </c>
      <c r="BH3" s="149" t="s">
        <v>48</v>
      </c>
      <c r="BI3" s="149" t="s">
        <v>49</v>
      </c>
      <c r="BJ3" s="149" t="s">
        <v>50</v>
      </c>
      <c r="BK3" s="149" t="s">
        <v>51</v>
      </c>
      <c r="BL3" s="149" t="s">
        <v>47</v>
      </c>
      <c r="BN3" s="149" t="s">
        <v>48</v>
      </c>
      <c r="BO3" s="149" t="s">
        <v>49</v>
      </c>
      <c r="BP3" s="149" t="s">
        <v>50</v>
      </c>
      <c r="BQ3" s="149" t="s">
        <v>51</v>
      </c>
      <c r="BR3" s="149" t="s">
        <v>47</v>
      </c>
      <c r="BT3" s="149" t="s">
        <v>48</v>
      </c>
      <c r="BU3" s="149" t="s">
        <v>49</v>
      </c>
      <c r="BV3" s="149" t="s">
        <v>50</v>
      </c>
      <c r="BW3" s="149" t="s">
        <v>51</v>
      </c>
      <c r="BX3" s="149" t="s">
        <v>47</v>
      </c>
    </row>
    <row r="4" spans="1:88" hidden="1">
      <c r="A4" s="640" t="s">
        <v>8</v>
      </c>
      <c r="B4" s="150"/>
      <c r="C4" s="151"/>
      <c r="D4" s="152"/>
      <c r="E4" s="152"/>
      <c r="F4" s="152"/>
      <c r="G4" s="152"/>
      <c r="H4" s="152"/>
      <c r="I4" s="152"/>
      <c r="J4" s="152"/>
      <c r="K4" s="152"/>
      <c r="L4" s="152"/>
      <c r="M4" s="152"/>
      <c r="N4" s="152"/>
      <c r="O4" s="152"/>
      <c r="P4" s="152"/>
      <c r="Q4" s="139"/>
      <c r="R4" s="153"/>
      <c r="S4" s="153"/>
      <c r="T4" s="153"/>
      <c r="U4" s="153"/>
      <c r="V4" s="153"/>
      <c r="W4" s="153"/>
      <c r="X4" s="153"/>
      <c r="Y4" s="153"/>
      <c r="Z4" s="153"/>
      <c r="AA4" s="153"/>
      <c r="AB4" s="153"/>
      <c r="AC4" s="153"/>
      <c r="AD4" s="152"/>
      <c r="AE4" s="151"/>
      <c r="AF4" s="152"/>
      <c r="AG4" s="152"/>
      <c r="AH4" s="152"/>
      <c r="AI4" s="152"/>
      <c r="AJ4" s="152"/>
      <c r="AK4" s="152"/>
      <c r="AL4" s="152"/>
      <c r="AM4" s="152"/>
      <c r="AN4" s="152"/>
      <c r="AO4" s="152"/>
      <c r="AP4" s="152"/>
      <c r="AQ4" s="152"/>
      <c r="AR4" s="152"/>
      <c r="AS4" s="151"/>
      <c r="AT4" s="154"/>
      <c r="AU4" s="154"/>
      <c r="AV4" s="154"/>
      <c r="AW4" s="154"/>
      <c r="AX4" s="154"/>
      <c r="AY4" s="154"/>
      <c r="AZ4" s="154"/>
      <c r="BA4" s="154"/>
      <c r="BB4" s="154"/>
      <c r="BC4" s="154"/>
      <c r="BD4" s="154"/>
      <c r="BE4" s="154"/>
      <c r="BF4" s="154"/>
      <c r="BH4" s="155"/>
      <c r="BI4" s="155"/>
      <c r="BJ4" s="155"/>
      <c r="BK4" s="155"/>
      <c r="BL4" s="155"/>
      <c r="BN4" s="155"/>
      <c r="BO4" s="155"/>
      <c r="BP4" s="155"/>
      <c r="BQ4" s="155"/>
      <c r="BR4" s="155"/>
      <c r="BT4" s="156"/>
      <c r="BU4" s="156"/>
      <c r="BV4" s="156"/>
      <c r="BW4" s="156"/>
      <c r="BX4" s="156"/>
      <c r="BZ4" s="138"/>
      <c r="CA4" s="138"/>
    </row>
    <row r="5" spans="1:88" hidden="1">
      <c r="A5" s="641"/>
      <c r="B5" s="157"/>
      <c r="C5" s="158"/>
      <c r="D5" s="159"/>
      <c r="E5" s="159"/>
      <c r="F5" s="159"/>
      <c r="G5" s="159"/>
      <c r="H5" s="159"/>
      <c r="I5" s="159"/>
      <c r="J5" s="159"/>
      <c r="K5" s="159"/>
      <c r="L5" s="159"/>
      <c r="M5" s="159"/>
      <c r="N5" s="159"/>
      <c r="O5" s="159"/>
      <c r="P5" s="159"/>
      <c r="Q5" s="139"/>
      <c r="R5" s="153"/>
      <c r="S5" s="153"/>
      <c r="T5" s="153"/>
      <c r="U5" s="153"/>
      <c r="V5" s="153"/>
      <c r="W5" s="153"/>
      <c r="X5" s="153"/>
      <c r="Y5" s="160"/>
      <c r="Z5" s="160"/>
      <c r="AA5" s="160"/>
      <c r="AB5" s="160"/>
      <c r="AC5" s="153"/>
      <c r="AD5" s="159"/>
      <c r="AE5" s="151"/>
      <c r="AF5" s="159"/>
      <c r="AG5" s="159"/>
      <c r="AH5" s="159"/>
      <c r="AI5" s="159"/>
      <c r="AJ5" s="159"/>
      <c r="AK5" s="159"/>
      <c r="AL5" s="159"/>
      <c r="AM5" s="159"/>
      <c r="AN5" s="159"/>
      <c r="AO5" s="159"/>
      <c r="AP5" s="159"/>
      <c r="AQ5" s="159"/>
      <c r="AR5" s="159"/>
      <c r="AS5" s="151"/>
      <c r="AT5" s="161"/>
      <c r="AU5" s="161"/>
      <c r="AV5" s="161"/>
      <c r="AW5" s="161"/>
      <c r="AX5" s="161"/>
      <c r="AY5" s="161"/>
      <c r="AZ5" s="161"/>
      <c r="BA5" s="161"/>
      <c r="BB5" s="161"/>
      <c r="BC5" s="161"/>
      <c r="BD5" s="161"/>
      <c r="BE5" s="161"/>
      <c r="BF5" s="161"/>
      <c r="BH5" s="162"/>
      <c r="BI5" s="162"/>
      <c r="BJ5" s="162"/>
      <c r="BK5" s="162"/>
      <c r="BL5" s="162"/>
      <c r="BN5" s="162"/>
      <c r="BO5" s="162"/>
      <c r="BP5" s="162"/>
      <c r="BQ5" s="162"/>
      <c r="BR5" s="162"/>
      <c r="BT5" s="163"/>
      <c r="BU5" s="163"/>
      <c r="BV5" s="163"/>
      <c r="BW5" s="163"/>
      <c r="BX5" s="163"/>
      <c r="BZ5" s="138"/>
      <c r="CA5" s="138"/>
    </row>
    <row r="6" spans="1:88" ht="16.2" hidden="1" thickBot="1">
      <c r="A6" s="641"/>
      <c r="B6" s="164"/>
      <c r="C6" s="165"/>
      <c r="D6" s="166"/>
      <c r="E6" s="166"/>
      <c r="F6" s="166"/>
      <c r="G6" s="166"/>
      <c r="H6" s="166"/>
      <c r="I6" s="166"/>
      <c r="J6" s="166"/>
      <c r="K6" s="166"/>
      <c r="L6" s="166"/>
      <c r="M6" s="166"/>
      <c r="N6" s="166"/>
      <c r="O6" s="166"/>
      <c r="P6" s="166"/>
      <c r="Q6" s="139"/>
      <c r="R6" s="167"/>
      <c r="S6" s="167"/>
      <c r="T6" s="167"/>
      <c r="U6" s="167"/>
      <c r="V6" s="167"/>
      <c r="W6" s="167"/>
      <c r="X6" s="167"/>
      <c r="Y6" s="167"/>
      <c r="Z6" s="167"/>
      <c r="AA6" s="167"/>
      <c r="AB6" s="167"/>
      <c r="AC6" s="167"/>
      <c r="AD6" s="167"/>
      <c r="AE6" s="168"/>
      <c r="AF6" s="166"/>
      <c r="AG6" s="166"/>
      <c r="AH6" s="166"/>
      <c r="AI6" s="166"/>
      <c r="AJ6" s="166"/>
      <c r="AK6" s="166"/>
      <c r="AL6" s="166"/>
      <c r="AM6" s="166"/>
      <c r="AN6" s="166"/>
      <c r="AO6" s="166"/>
      <c r="AP6" s="166"/>
      <c r="AQ6" s="166"/>
      <c r="AR6" s="169"/>
      <c r="AS6" s="151"/>
      <c r="AT6" s="170"/>
      <c r="AU6" s="170"/>
      <c r="AV6" s="170"/>
      <c r="AW6" s="170"/>
      <c r="AX6" s="170"/>
      <c r="AY6" s="170"/>
      <c r="AZ6" s="170"/>
      <c r="BA6" s="170"/>
      <c r="BB6" s="170"/>
      <c r="BC6" s="170"/>
      <c r="BD6" s="170"/>
      <c r="BE6" s="170"/>
      <c r="BF6" s="170"/>
      <c r="BH6" s="171"/>
      <c r="BI6" s="171"/>
      <c r="BJ6" s="171"/>
      <c r="BK6" s="171"/>
      <c r="BL6" s="171"/>
      <c r="BN6" s="171"/>
      <c r="BO6" s="171"/>
      <c r="BP6" s="171"/>
      <c r="BQ6" s="171"/>
      <c r="BR6" s="171"/>
      <c r="BT6" s="172"/>
      <c r="BU6" s="172"/>
      <c r="BV6" s="172"/>
      <c r="BW6" s="172"/>
      <c r="BX6" s="172"/>
      <c r="BZ6" s="138"/>
      <c r="CA6" s="138"/>
      <c r="CI6" s="137"/>
      <c r="CJ6" s="173"/>
    </row>
    <row r="7" spans="1:88" ht="15.6" hidden="1" thickTop="1">
      <c r="A7" s="641"/>
      <c r="B7" s="174"/>
      <c r="D7" s="137"/>
      <c r="E7" s="137"/>
      <c r="F7" s="137"/>
      <c r="G7" s="137"/>
      <c r="H7" s="137"/>
      <c r="I7" s="137"/>
      <c r="J7" s="137"/>
      <c r="K7" s="137"/>
      <c r="L7" s="137"/>
      <c r="M7" s="137"/>
      <c r="N7" s="137"/>
      <c r="O7" s="137"/>
      <c r="P7" s="175"/>
      <c r="Q7" s="139"/>
      <c r="AG7" s="138"/>
      <c r="BH7" s="176"/>
      <c r="BI7" s="176"/>
      <c r="BJ7" s="176"/>
      <c r="BK7" s="176"/>
      <c r="BL7" s="176"/>
      <c r="BR7" s="176"/>
      <c r="BT7" s="177"/>
      <c r="BU7" s="177"/>
      <c r="BV7" s="177"/>
      <c r="BW7" s="177"/>
      <c r="BX7" s="177"/>
      <c r="CI7" s="137"/>
      <c r="CJ7" s="173"/>
    </row>
    <row r="8" spans="1:88" hidden="1">
      <c r="A8" s="641"/>
      <c r="B8" s="150"/>
      <c r="C8" s="151"/>
      <c r="D8" s="152"/>
      <c r="E8" s="152"/>
      <c r="F8" s="152"/>
      <c r="G8" s="152"/>
      <c r="H8" s="152"/>
      <c r="I8" s="152"/>
      <c r="J8" s="152"/>
      <c r="K8" s="152"/>
      <c r="L8" s="152"/>
      <c r="M8" s="152"/>
      <c r="N8" s="152"/>
      <c r="O8" s="152"/>
      <c r="P8" s="152"/>
      <c r="Q8" s="139"/>
      <c r="R8" s="153"/>
      <c r="S8" s="153"/>
      <c r="T8" s="153"/>
      <c r="U8" s="153"/>
      <c r="V8" s="153"/>
      <c r="W8" s="153"/>
      <c r="X8" s="153"/>
      <c r="Y8" s="153"/>
      <c r="Z8" s="153"/>
      <c r="AA8" s="153"/>
      <c r="AB8" s="153"/>
      <c r="AC8" s="153"/>
      <c r="AD8" s="153"/>
      <c r="AE8" s="151"/>
      <c r="AF8" s="152"/>
      <c r="AG8" s="152"/>
      <c r="AH8" s="152"/>
      <c r="AI8" s="152"/>
      <c r="AJ8" s="152"/>
      <c r="AK8" s="152"/>
      <c r="AL8" s="152"/>
      <c r="AM8" s="152"/>
      <c r="AN8" s="152"/>
      <c r="AO8" s="152"/>
      <c r="AP8" s="152"/>
      <c r="AQ8" s="152"/>
      <c r="AR8" s="152"/>
      <c r="AS8" s="151"/>
      <c r="AT8" s="154"/>
      <c r="AU8" s="154"/>
      <c r="AV8" s="154"/>
      <c r="AW8" s="154"/>
      <c r="AX8" s="154"/>
      <c r="AY8" s="154"/>
      <c r="AZ8" s="154"/>
      <c r="BA8" s="154"/>
      <c r="BB8" s="154"/>
      <c r="BC8" s="154"/>
      <c r="BD8" s="154"/>
      <c r="BE8" s="154"/>
      <c r="BF8" s="154"/>
      <c r="BH8" s="155"/>
      <c r="BI8" s="155"/>
      <c r="BJ8" s="155"/>
      <c r="BK8" s="155"/>
      <c r="BL8" s="155"/>
      <c r="BN8" s="155"/>
      <c r="BO8" s="155"/>
      <c r="BP8" s="155"/>
      <c r="BQ8" s="155"/>
      <c r="BR8" s="155"/>
      <c r="BT8" s="156"/>
      <c r="BU8" s="156"/>
      <c r="BV8" s="156"/>
      <c r="BW8" s="156"/>
      <c r="BX8" s="156"/>
      <c r="BZ8" s="178"/>
      <c r="CA8" s="178"/>
      <c r="CI8" s="137"/>
      <c r="CJ8" s="173"/>
    </row>
    <row r="9" spans="1:88" hidden="1">
      <c r="A9" s="641"/>
      <c r="B9" s="157"/>
      <c r="C9" s="158"/>
      <c r="D9" s="159"/>
      <c r="E9" s="159"/>
      <c r="F9" s="159"/>
      <c r="G9" s="159"/>
      <c r="H9" s="159"/>
      <c r="I9" s="159"/>
      <c r="J9" s="159"/>
      <c r="K9" s="159"/>
      <c r="L9" s="159"/>
      <c r="M9" s="159"/>
      <c r="N9" s="159"/>
      <c r="O9" s="159"/>
      <c r="P9" s="159"/>
      <c r="Q9" s="139"/>
      <c r="R9" s="153"/>
      <c r="S9" s="153"/>
      <c r="T9" s="153"/>
      <c r="U9" s="153"/>
      <c r="V9" s="153"/>
      <c r="W9" s="153"/>
      <c r="X9" s="153"/>
      <c r="Y9" s="153"/>
      <c r="Z9" s="153"/>
      <c r="AA9" s="153"/>
      <c r="AB9" s="153"/>
      <c r="AC9" s="153"/>
      <c r="AD9" s="153"/>
      <c r="AE9" s="151"/>
      <c r="AF9" s="159"/>
      <c r="AG9" s="159"/>
      <c r="AH9" s="159"/>
      <c r="AI9" s="159"/>
      <c r="AJ9" s="159"/>
      <c r="AK9" s="159"/>
      <c r="AL9" s="159"/>
      <c r="AM9" s="159"/>
      <c r="AN9" s="159"/>
      <c r="AO9" s="159"/>
      <c r="AP9" s="159"/>
      <c r="AQ9" s="159"/>
      <c r="AR9" s="159"/>
      <c r="AS9" s="151"/>
      <c r="AT9" s="161"/>
      <c r="AU9" s="161"/>
      <c r="AV9" s="161"/>
      <c r="AW9" s="161"/>
      <c r="AX9" s="161"/>
      <c r="AY9" s="161"/>
      <c r="AZ9" s="161"/>
      <c r="BA9" s="161"/>
      <c r="BB9" s="161"/>
      <c r="BC9" s="161"/>
      <c r="BD9" s="161"/>
      <c r="BE9" s="161"/>
      <c r="BF9" s="161"/>
      <c r="BH9" s="162"/>
      <c r="BI9" s="162"/>
      <c r="BJ9" s="162"/>
      <c r="BK9" s="162"/>
      <c r="BL9" s="162"/>
      <c r="BN9" s="162"/>
      <c r="BO9" s="162"/>
      <c r="BP9" s="162"/>
      <c r="BQ9" s="162"/>
      <c r="BR9" s="162"/>
      <c r="BT9" s="163"/>
      <c r="BU9" s="163"/>
      <c r="BV9" s="163"/>
      <c r="BW9" s="163"/>
      <c r="BX9" s="163"/>
      <c r="BZ9" s="178"/>
      <c r="CA9" s="178"/>
      <c r="CI9" s="137"/>
      <c r="CJ9" s="173"/>
    </row>
    <row r="10" spans="1:88" ht="16.2" hidden="1" thickBot="1">
      <c r="A10" s="641"/>
      <c r="B10" s="179"/>
      <c r="C10" s="165"/>
      <c r="D10" s="166"/>
      <c r="E10" s="166"/>
      <c r="F10" s="166"/>
      <c r="G10" s="166"/>
      <c r="H10" s="166"/>
      <c r="I10" s="166"/>
      <c r="J10" s="166"/>
      <c r="K10" s="166"/>
      <c r="L10" s="166"/>
      <c r="M10" s="166"/>
      <c r="N10" s="166"/>
      <c r="O10" s="166"/>
      <c r="P10" s="166"/>
      <c r="Q10" s="139"/>
      <c r="R10" s="167"/>
      <c r="S10" s="180"/>
      <c r="T10" s="167"/>
      <c r="U10" s="167"/>
      <c r="V10" s="167"/>
      <c r="W10" s="167"/>
      <c r="X10" s="167"/>
      <c r="Y10" s="167"/>
      <c r="Z10" s="167"/>
      <c r="AA10" s="167"/>
      <c r="AB10" s="167"/>
      <c r="AC10" s="167"/>
      <c r="AD10" s="167"/>
      <c r="AE10" s="168"/>
      <c r="AF10" s="166"/>
      <c r="AG10" s="166"/>
      <c r="AH10" s="166"/>
      <c r="AI10" s="166"/>
      <c r="AJ10" s="166"/>
      <c r="AK10" s="166"/>
      <c r="AL10" s="166"/>
      <c r="AM10" s="166"/>
      <c r="AN10" s="166"/>
      <c r="AO10" s="166"/>
      <c r="AP10" s="166"/>
      <c r="AQ10" s="166"/>
      <c r="AR10" s="169"/>
      <c r="AS10" s="151"/>
      <c r="AT10" s="170"/>
      <c r="AU10" s="170"/>
      <c r="AV10" s="170"/>
      <c r="AW10" s="170"/>
      <c r="AX10" s="170"/>
      <c r="AY10" s="170"/>
      <c r="AZ10" s="170"/>
      <c r="BA10" s="170"/>
      <c r="BB10" s="170"/>
      <c r="BC10" s="170"/>
      <c r="BD10" s="170"/>
      <c r="BE10" s="170"/>
      <c r="BF10" s="170"/>
      <c r="BH10" s="171"/>
      <c r="BI10" s="171"/>
      <c r="BJ10" s="171"/>
      <c r="BK10" s="171"/>
      <c r="BL10" s="171"/>
      <c r="BN10" s="171"/>
      <c r="BO10" s="171"/>
      <c r="BP10" s="171"/>
      <c r="BQ10" s="171"/>
      <c r="BR10" s="171"/>
      <c r="BT10" s="172"/>
      <c r="BU10" s="172"/>
      <c r="BV10" s="172"/>
      <c r="BW10" s="172"/>
      <c r="BX10" s="172"/>
      <c r="BZ10" s="138"/>
      <c r="CA10" s="138"/>
      <c r="CI10" s="137"/>
      <c r="CJ10" s="173"/>
    </row>
    <row r="11" spans="1:88" ht="16.2" hidden="1" thickTop="1">
      <c r="A11" s="641"/>
      <c r="B11" s="181"/>
      <c r="C11" s="151"/>
      <c r="D11" s="152"/>
      <c r="E11" s="152"/>
      <c r="F11" s="152"/>
      <c r="G11" s="152"/>
      <c r="H11" s="152"/>
      <c r="I11" s="152"/>
      <c r="J11" s="152"/>
      <c r="K11" s="137"/>
      <c r="L11" s="138"/>
      <c r="M11" s="152"/>
      <c r="N11" s="152"/>
      <c r="O11" s="152"/>
      <c r="P11" s="152"/>
      <c r="Q11" s="139"/>
      <c r="R11" s="182"/>
      <c r="S11" s="182"/>
      <c r="T11" s="182"/>
      <c r="U11" s="182"/>
      <c r="V11" s="182"/>
      <c r="W11" s="182"/>
      <c r="X11" s="182"/>
      <c r="Y11" s="182"/>
      <c r="Z11" s="182"/>
      <c r="AA11" s="182"/>
      <c r="AB11" s="182"/>
      <c r="AC11" s="182"/>
      <c r="AD11" s="182"/>
      <c r="AE11" s="168"/>
      <c r="AF11" s="152"/>
      <c r="AG11" s="152"/>
      <c r="AH11" s="152"/>
      <c r="AI11" s="152"/>
      <c r="AJ11" s="152"/>
      <c r="AK11" s="152"/>
      <c r="AL11" s="152"/>
      <c r="AM11" s="152"/>
      <c r="AN11" s="152"/>
      <c r="AO11" s="152"/>
      <c r="AP11" s="152"/>
      <c r="AQ11" s="152"/>
      <c r="AR11" s="152"/>
      <c r="AS11" s="151"/>
      <c r="AT11" s="183"/>
      <c r="AU11" s="183"/>
      <c r="AV11" s="183"/>
      <c r="AW11" s="183"/>
      <c r="AX11" s="183"/>
      <c r="AY11" s="183"/>
      <c r="AZ11" s="183"/>
      <c r="BA11" s="183"/>
      <c r="BB11" s="183"/>
      <c r="BC11" s="183"/>
      <c r="BD11" s="183"/>
      <c r="BE11" s="183"/>
      <c r="BF11" s="183"/>
      <c r="BH11" s="155"/>
      <c r="BI11" s="155"/>
      <c r="BJ11" s="155"/>
      <c r="BK11" s="155"/>
      <c r="BL11" s="155"/>
      <c r="BN11" s="155"/>
      <c r="BO11" s="155"/>
      <c r="BP11" s="155"/>
      <c r="BQ11" s="155"/>
      <c r="BR11" s="155"/>
      <c r="BT11" s="156"/>
      <c r="BU11" s="156"/>
      <c r="BV11" s="156"/>
      <c r="BW11" s="156"/>
      <c r="BX11" s="156"/>
    </row>
    <row r="12" spans="1:88">
      <c r="A12" s="641"/>
      <c r="B12" s="150" t="s">
        <v>52</v>
      </c>
      <c r="C12" s="151"/>
      <c r="D12" s="152">
        <v>687588782.13245916</v>
      </c>
      <c r="E12" s="152">
        <v>613678886.04919231</v>
      </c>
      <c r="F12" s="152">
        <v>757406146.67173564</v>
      </c>
      <c r="G12" s="152">
        <v>795277370.04269695</v>
      </c>
      <c r="H12" s="152">
        <v>861582083.96473932</v>
      </c>
      <c r="I12" s="152">
        <v>845550144.6004405</v>
      </c>
      <c r="J12" s="152">
        <v>912919211.32480443</v>
      </c>
      <c r="K12" s="152">
        <v>904397272.62822151</v>
      </c>
      <c r="L12" s="152">
        <v>954190283.40038431</v>
      </c>
      <c r="M12" s="152">
        <v>1023834511.4615556</v>
      </c>
      <c r="N12" s="152">
        <v>977193660.53463864</v>
      </c>
      <c r="O12" s="152">
        <v>1030428283.8062721</v>
      </c>
      <c r="P12" s="152">
        <f>SUM(D12:O12)</f>
        <v>10364046636.61714</v>
      </c>
      <c r="Q12" s="139"/>
      <c r="R12" s="153">
        <f>'VN_YouTube Performance'!R6</f>
        <v>600131253</v>
      </c>
      <c r="S12" s="153">
        <f>'VN_YouTube Performance'!R7</f>
        <v>559835027</v>
      </c>
      <c r="T12" s="153">
        <f>'VN_YouTube Performance'!R8</f>
        <v>551862891</v>
      </c>
      <c r="U12" s="153">
        <f>'VN_YouTube Performance'!R9</f>
        <v>547962867</v>
      </c>
      <c r="V12" s="153">
        <f>'VN_YouTube Performance'!R10</f>
        <v>579917316</v>
      </c>
      <c r="W12" s="153">
        <f>'VN_YouTube Performance'!R11</f>
        <v>684471205</v>
      </c>
      <c r="X12" s="153">
        <f>'VN_YouTube Performance'!R12</f>
        <v>680408129</v>
      </c>
      <c r="Y12" s="153">
        <f>'VN_YouTube Performance'!R13</f>
        <v>618827481</v>
      </c>
      <c r="Z12" s="153">
        <f>'VN_YouTube Performance'!R14</f>
        <v>0</v>
      </c>
      <c r="AA12" s="153">
        <f>'VN_YouTube Performance'!R15</f>
        <v>0</v>
      </c>
      <c r="AB12" s="153">
        <f>'VN_YouTube Performance'!R16</f>
        <v>0</v>
      </c>
      <c r="AC12" s="153">
        <f>'VN_YouTube Performance'!R17</f>
        <v>0</v>
      </c>
      <c r="AD12" s="153">
        <f>SUM(R12:AC12)</f>
        <v>4823416169</v>
      </c>
      <c r="AE12" s="151"/>
      <c r="AF12" s="152">
        <f t="shared" ref="AF12:AQ13" si="0">R12-D12</f>
        <v>-87457529.132459164</v>
      </c>
      <c r="AG12" s="152">
        <f t="shared" si="0"/>
        <v>-53843859.049192309</v>
      </c>
      <c r="AH12" s="152">
        <f t="shared" si="0"/>
        <v>-205543255.67173564</v>
      </c>
      <c r="AI12" s="152">
        <f t="shared" si="0"/>
        <v>-247314503.04269695</v>
      </c>
      <c r="AJ12" s="152">
        <f t="shared" si="0"/>
        <v>-281664767.96473932</v>
      </c>
      <c r="AK12" s="152">
        <f t="shared" si="0"/>
        <v>-161078939.6004405</v>
      </c>
      <c r="AL12" s="152">
        <f t="shared" si="0"/>
        <v>-232511082.32480443</v>
      </c>
      <c r="AM12" s="152">
        <f t="shared" si="0"/>
        <v>-285569791.62822151</v>
      </c>
      <c r="AN12" s="152">
        <f t="shared" si="0"/>
        <v>-954190283.40038431</v>
      </c>
      <c r="AO12" s="152">
        <f t="shared" si="0"/>
        <v>-1023834511.4615556</v>
      </c>
      <c r="AP12" s="152">
        <f t="shared" si="0"/>
        <v>-977193660.53463864</v>
      </c>
      <c r="AQ12" s="152">
        <f t="shared" si="0"/>
        <v>-1030428283.8062721</v>
      </c>
      <c r="AR12" s="152">
        <f>SUM(AF12:AQ12)</f>
        <v>-5540630467.6171408</v>
      </c>
      <c r="AS12" s="151"/>
      <c r="AT12" s="154">
        <f t="shared" ref="AT12:BE14" si="1">R12/D12</f>
        <v>0.8728054741364133</v>
      </c>
      <c r="AU12" s="154">
        <f t="shared" si="1"/>
        <v>0.91226053189505329</v>
      </c>
      <c r="AV12" s="154">
        <f t="shared" si="1"/>
        <v>0.72862214470406284</v>
      </c>
      <c r="AW12" s="154">
        <f t="shared" si="1"/>
        <v>0.68902107320189543</v>
      </c>
      <c r="AX12" s="154">
        <f t="shared" si="1"/>
        <v>0.67308423282364049</v>
      </c>
      <c r="AY12" s="154">
        <f t="shared" si="1"/>
        <v>0.80949806391842394</v>
      </c>
      <c r="AZ12" s="154">
        <f t="shared" si="1"/>
        <v>0.74531034133087148</v>
      </c>
      <c r="BA12" s="154">
        <f t="shared" si="1"/>
        <v>0.68424297565787418</v>
      </c>
      <c r="BB12" s="154">
        <f t="shared" si="1"/>
        <v>0</v>
      </c>
      <c r="BC12" s="154">
        <f t="shared" si="1"/>
        <v>0</v>
      </c>
      <c r="BD12" s="154">
        <f t="shared" si="1"/>
        <v>0</v>
      </c>
      <c r="BE12" s="154">
        <f t="shared" si="1"/>
        <v>0</v>
      </c>
      <c r="BF12" s="154">
        <f>AD12/P12</f>
        <v>0.46539892554694057</v>
      </c>
      <c r="BH12" s="155">
        <f>SUM(D12:F12)</f>
        <v>2058673814.8533874</v>
      </c>
      <c r="BI12" s="155">
        <f>SUM(G12:I12)</f>
        <v>2502409598.6078768</v>
      </c>
      <c r="BJ12" s="155">
        <f>SUM(J12:L12)</f>
        <v>2771506767.3534102</v>
      </c>
      <c r="BK12" s="155">
        <f>SUM(M12:O12)</f>
        <v>3031456455.8024664</v>
      </c>
      <c r="BL12" s="155">
        <f t="shared" ref="BL12:BL14" si="2">SUM(BH12:BK12)</f>
        <v>10364046636.617142</v>
      </c>
      <c r="BN12" s="155">
        <f>SUM(R12:T12)</f>
        <v>1711829171</v>
      </c>
      <c r="BO12" s="155">
        <f>SUM(U12:W12)</f>
        <v>1812351388</v>
      </c>
      <c r="BP12" s="155">
        <f>SUM(X12:Z12)</f>
        <v>1299235610</v>
      </c>
      <c r="BQ12" s="155">
        <f>SUM(AA12:AC12)</f>
        <v>0</v>
      </c>
      <c r="BR12" s="155">
        <f t="shared" ref="BR12:BR14" si="3">SUM(BN12:BQ12)</f>
        <v>4823416169</v>
      </c>
      <c r="BT12" s="156">
        <f t="shared" ref="BT12:BX14" si="4">BN12/BH12</f>
        <v>0.83152034996953195</v>
      </c>
      <c r="BU12" s="156">
        <f t="shared" si="4"/>
        <v>0.72424250171044535</v>
      </c>
      <c r="BV12" s="156">
        <f t="shared" si="4"/>
        <v>0.46878312739632116</v>
      </c>
      <c r="BW12" s="156">
        <f t="shared" si="4"/>
        <v>0</v>
      </c>
      <c r="BX12" s="156">
        <f t="shared" si="4"/>
        <v>0.46539892554694046</v>
      </c>
      <c r="BZ12" s="138"/>
      <c r="CA12" s="138"/>
      <c r="CI12" s="137"/>
      <c r="CJ12" s="137"/>
    </row>
    <row r="13" spans="1:88">
      <c r="A13" s="641"/>
      <c r="B13" s="157" t="s">
        <v>53</v>
      </c>
      <c r="C13" s="158"/>
      <c r="D13" s="159">
        <v>42191473.461392097</v>
      </c>
      <c r="E13" s="159">
        <v>37656251.974124335</v>
      </c>
      <c r="F13" s="159">
        <v>46475571.107615404</v>
      </c>
      <c r="G13" s="159">
        <v>48799405.872416086</v>
      </c>
      <c r="H13" s="159">
        <v>52867962.036364861</v>
      </c>
      <c r="I13" s="159">
        <v>51884218.319479793</v>
      </c>
      <c r="J13" s="159">
        <v>56018084.759249873</v>
      </c>
      <c r="K13" s="159">
        <v>55495165.887244157</v>
      </c>
      <c r="L13" s="159">
        <v>58550539.312681757</v>
      </c>
      <c r="M13" s="159">
        <v>62824013.04631225</v>
      </c>
      <c r="N13" s="159">
        <v>59962060.851576373</v>
      </c>
      <c r="O13" s="159">
        <v>63228616.754403256</v>
      </c>
      <c r="P13" s="159">
        <f>SUM(D13:O13)</f>
        <v>635953363.38286018</v>
      </c>
      <c r="Q13" s="139"/>
      <c r="R13" s="153">
        <f>'VN_YouTube Performance'!AC6</f>
        <v>112112243</v>
      </c>
      <c r="S13" s="153">
        <f>'VN_YouTube Performance'!AC7</f>
        <v>80518892</v>
      </c>
      <c r="T13" s="153">
        <f>'VN_YouTube Performance'!AC8</f>
        <v>111529569</v>
      </c>
      <c r="U13" s="153">
        <f>'VN_YouTube Performance'!AC9</f>
        <v>145868611</v>
      </c>
      <c r="V13" s="153">
        <f>'VN_YouTube Performance'!AC10</f>
        <v>216479216</v>
      </c>
      <c r="W13" s="153">
        <f>'VN_YouTube Performance'!AC11</f>
        <v>228549869</v>
      </c>
      <c r="X13" s="153">
        <f>'VN_YouTube Performance'!AC12</f>
        <v>227194036</v>
      </c>
      <c r="Y13" s="153">
        <f>'VN_YouTube Performance'!AC13</f>
        <v>192005439</v>
      </c>
      <c r="Z13" s="153">
        <f>'VN_YouTube Performance'!AC14</f>
        <v>0</v>
      </c>
      <c r="AA13" s="153">
        <f>'VN_YouTube Performance'!AC15</f>
        <v>0</v>
      </c>
      <c r="AB13" s="153">
        <f>'VN_YouTube Performance'!AC16</f>
        <v>0</v>
      </c>
      <c r="AC13" s="153">
        <f>'VN_YouTube Performance'!AC17</f>
        <v>0</v>
      </c>
      <c r="AD13" s="153">
        <f>SUM(R13:AC13)</f>
        <v>1314257875</v>
      </c>
      <c r="AE13" s="151"/>
      <c r="AF13" s="159">
        <f t="shared" si="0"/>
        <v>69920769.538607895</v>
      </c>
      <c r="AG13" s="159">
        <f t="shared" si="0"/>
        <v>42862640.025875665</v>
      </c>
      <c r="AH13" s="159">
        <f t="shared" si="0"/>
        <v>65053997.892384596</v>
      </c>
      <c r="AI13" s="159">
        <f t="shared" si="0"/>
        <v>97069205.127583921</v>
      </c>
      <c r="AJ13" s="159">
        <f t="shared" si="0"/>
        <v>163611253.96363515</v>
      </c>
      <c r="AK13" s="159">
        <f t="shared" si="0"/>
        <v>176665650.68052021</v>
      </c>
      <c r="AL13" s="159">
        <f t="shared" si="0"/>
        <v>171175951.24075013</v>
      </c>
      <c r="AM13" s="159">
        <f t="shared" si="0"/>
        <v>136510273.11275584</v>
      </c>
      <c r="AN13" s="159">
        <f t="shared" si="0"/>
        <v>-58550539.312681757</v>
      </c>
      <c r="AO13" s="159">
        <f t="shared" si="0"/>
        <v>-62824013.04631225</v>
      </c>
      <c r="AP13" s="159">
        <f t="shared" si="0"/>
        <v>-59962060.851576373</v>
      </c>
      <c r="AQ13" s="159">
        <f t="shared" si="0"/>
        <v>-63228616.754403256</v>
      </c>
      <c r="AR13" s="159">
        <f>SUM(AF13:AQ13)</f>
        <v>678304511.6171397</v>
      </c>
      <c r="AS13" s="151"/>
      <c r="AT13" s="161">
        <f t="shared" si="1"/>
        <v>2.6572251168850478</v>
      </c>
      <c r="AU13" s="161">
        <f t="shared" si="1"/>
        <v>2.1382609202670761</v>
      </c>
      <c r="AV13" s="161">
        <f t="shared" si="1"/>
        <v>2.3997460674931861</v>
      </c>
      <c r="AW13" s="161">
        <f t="shared" si="1"/>
        <v>2.9891472732550701</v>
      </c>
      <c r="AX13" s="161">
        <f t="shared" si="1"/>
        <v>4.0947145995734857</v>
      </c>
      <c r="AY13" s="161">
        <f t="shared" si="1"/>
        <v>4.4049978279077502</v>
      </c>
      <c r="AZ13" s="161">
        <f t="shared" si="1"/>
        <v>4.0557265921606689</v>
      </c>
      <c r="BA13" s="161">
        <f t="shared" si="1"/>
        <v>3.4598588170746134</v>
      </c>
      <c r="BB13" s="161">
        <f t="shared" si="1"/>
        <v>0</v>
      </c>
      <c r="BC13" s="161">
        <f t="shared" si="1"/>
        <v>0</v>
      </c>
      <c r="BD13" s="161">
        <f t="shared" si="1"/>
        <v>0</v>
      </c>
      <c r="BE13" s="161">
        <f t="shared" si="1"/>
        <v>0</v>
      </c>
      <c r="BF13" s="161">
        <f>AD13/P13</f>
        <v>2.0665947389742527</v>
      </c>
      <c r="BH13" s="162">
        <f>SUM(D13:F13)</f>
        <v>126323296.54313183</v>
      </c>
      <c r="BI13" s="162">
        <f>SUM(G13:I13)</f>
        <v>153551586.22826076</v>
      </c>
      <c r="BJ13" s="162">
        <f>SUM(J13:L13)</f>
        <v>170063789.9591758</v>
      </c>
      <c r="BK13" s="162">
        <f>SUM(M13:O13)</f>
        <v>186014690.65229189</v>
      </c>
      <c r="BL13" s="162">
        <f t="shared" si="2"/>
        <v>635953363.3828603</v>
      </c>
      <c r="BN13" s="162">
        <f>SUM(R13:T13)</f>
        <v>304160704</v>
      </c>
      <c r="BO13" s="162">
        <f>SUM(U13:W13)</f>
        <v>590897696</v>
      </c>
      <c r="BP13" s="162">
        <f>SUM(X13:Z13)</f>
        <v>419199475</v>
      </c>
      <c r="BQ13" s="162">
        <f>SUM(AA13:AC13)</f>
        <v>0</v>
      </c>
      <c r="BR13" s="162">
        <f t="shared" si="3"/>
        <v>1314257875</v>
      </c>
      <c r="BT13" s="163">
        <f t="shared" si="4"/>
        <v>2.4077958090346967</v>
      </c>
      <c r="BU13" s="163">
        <f t="shared" si="4"/>
        <v>3.8482031382053341</v>
      </c>
      <c r="BV13" s="163">
        <f t="shared" si="4"/>
        <v>2.4649543274357804</v>
      </c>
      <c r="BW13" s="163">
        <f t="shared" si="4"/>
        <v>0</v>
      </c>
      <c r="BX13" s="163">
        <f t="shared" si="4"/>
        <v>2.0665947389742523</v>
      </c>
      <c r="BZ13" s="138"/>
      <c r="CA13" s="138"/>
    </row>
    <row r="14" spans="1:88" ht="16.2" thickBot="1">
      <c r="A14" s="641"/>
      <c r="B14" s="164" t="s">
        <v>54</v>
      </c>
      <c r="C14" s="165"/>
      <c r="D14" s="166">
        <f t="shared" ref="D14:P14" si="5">SUM(D12:D13)</f>
        <v>729780255.59385121</v>
      </c>
      <c r="E14" s="166">
        <f t="shared" si="5"/>
        <v>651335138.02331662</v>
      </c>
      <c r="F14" s="166">
        <f t="shared" si="5"/>
        <v>803881717.779351</v>
      </c>
      <c r="G14" s="166">
        <f t="shared" si="5"/>
        <v>844076775.91511309</v>
      </c>
      <c r="H14" s="166">
        <f t="shared" si="5"/>
        <v>914450046.00110424</v>
      </c>
      <c r="I14" s="166">
        <f t="shared" si="5"/>
        <v>897434362.91992033</v>
      </c>
      <c r="J14" s="166">
        <f t="shared" si="5"/>
        <v>968937296.08405435</v>
      </c>
      <c r="K14" s="166">
        <f t="shared" si="5"/>
        <v>959892438.51546562</v>
      </c>
      <c r="L14" s="166">
        <f t="shared" si="5"/>
        <v>1012740822.7130661</v>
      </c>
      <c r="M14" s="166">
        <f t="shared" si="5"/>
        <v>1086658524.5078678</v>
      </c>
      <c r="N14" s="166">
        <f t="shared" si="5"/>
        <v>1037155721.386215</v>
      </c>
      <c r="O14" s="166">
        <f t="shared" si="5"/>
        <v>1093656900.5606754</v>
      </c>
      <c r="P14" s="166">
        <f t="shared" si="5"/>
        <v>11000000000</v>
      </c>
      <c r="Q14" s="139"/>
      <c r="R14" s="167">
        <f t="shared" ref="R14:AD14" si="6">SUM(R12:R13)</f>
        <v>712243496</v>
      </c>
      <c r="S14" s="167">
        <f t="shared" si="6"/>
        <v>640353919</v>
      </c>
      <c r="T14" s="167">
        <f t="shared" si="6"/>
        <v>663392460</v>
      </c>
      <c r="U14" s="167">
        <f t="shared" si="6"/>
        <v>693831478</v>
      </c>
      <c r="V14" s="167">
        <f t="shared" si="6"/>
        <v>796396532</v>
      </c>
      <c r="W14" s="167">
        <f t="shared" si="6"/>
        <v>913021074</v>
      </c>
      <c r="X14" s="167">
        <f t="shared" si="6"/>
        <v>907602165</v>
      </c>
      <c r="Y14" s="167">
        <f t="shared" si="6"/>
        <v>810832920</v>
      </c>
      <c r="Z14" s="167">
        <f t="shared" si="6"/>
        <v>0</v>
      </c>
      <c r="AA14" s="167">
        <f t="shared" si="6"/>
        <v>0</v>
      </c>
      <c r="AB14" s="167">
        <f t="shared" si="6"/>
        <v>0</v>
      </c>
      <c r="AC14" s="167">
        <f t="shared" si="6"/>
        <v>0</v>
      </c>
      <c r="AD14" s="167">
        <f t="shared" si="6"/>
        <v>6137674044</v>
      </c>
      <c r="AE14" s="168"/>
      <c r="AF14" s="166">
        <f t="shared" ref="AF14:AR14" si="7">SUM(AF12:AF13)</f>
        <v>-17536759.593851268</v>
      </c>
      <c r="AG14" s="166">
        <f t="shared" si="7"/>
        <v>-10981219.023316644</v>
      </c>
      <c r="AH14" s="166">
        <f t="shared" si="7"/>
        <v>-140489257.77935106</v>
      </c>
      <c r="AI14" s="166">
        <f t="shared" si="7"/>
        <v>-150245297.91511303</v>
      </c>
      <c r="AJ14" s="166">
        <f t="shared" si="7"/>
        <v>-118053514.00110418</v>
      </c>
      <c r="AK14" s="166">
        <f t="shared" si="7"/>
        <v>15586711.080079705</v>
      </c>
      <c r="AL14" s="166">
        <f t="shared" si="7"/>
        <v>-61335131.084054291</v>
      </c>
      <c r="AM14" s="166">
        <f t="shared" si="7"/>
        <v>-149059518.51546568</v>
      </c>
      <c r="AN14" s="166">
        <f t="shared" si="7"/>
        <v>-1012740822.7130661</v>
      </c>
      <c r="AO14" s="166">
        <f t="shared" si="7"/>
        <v>-1086658524.5078678</v>
      </c>
      <c r="AP14" s="166">
        <f t="shared" si="7"/>
        <v>-1037155721.386215</v>
      </c>
      <c r="AQ14" s="166">
        <f t="shared" si="7"/>
        <v>-1093656900.5606754</v>
      </c>
      <c r="AR14" s="169">
        <f t="shared" si="7"/>
        <v>-4862325956.000001</v>
      </c>
      <c r="AS14" s="151"/>
      <c r="AT14" s="170">
        <f t="shared" si="1"/>
        <v>0.97596980809027112</v>
      </c>
      <c r="AU14" s="170">
        <f t="shared" si="1"/>
        <v>0.98314044739449702</v>
      </c>
      <c r="AV14" s="170">
        <f t="shared" si="1"/>
        <v>0.82523640646109031</v>
      </c>
      <c r="AW14" s="170">
        <f t="shared" si="1"/>
        <v>0.82200043621360941</v>
      </c>
      <c r="AX14" s="170">
        <f t="shared" si="1"/>
        <v>0.8709021728225036</v>
      </c>
      <c r="AY14" s="170">
        <f t="shared" si="1"/>
        <v>1.0173680791867232</v>
      </c>
      <c r="AZ14" s="170">
        <f t="shared" si="1"/>
        <v>0.93669855486837039</v>
      </c>
      <c r="BA14" s="170">
        <f t="shared" si="1"/>
        <v>0.84471226927675813</v>
      </c>
      <c r="BB14" s="170">
        <f t="shared" si="1"/>
        <v>0</v>
      </c>
      <c r="BC14" s="170">
        <f t="shared" si="1"/>
        <v>0</v>
      </c>
      <c r="BD14" s="170">
        <f t="shared" si="1"/>
        <v>0</v>
      </c>
      <c r="BE14" s="170">
        <f t="shared" si="1"/>
        <v>0</v>
      </c>
      <c r="BF14" s="170">
        <f>AD14/P14</f>
        <v>0.55797036763636365</v>
      </c>
      <c r="BH14" s="171">
        <f>SUM(BH12:BH13)</f>
        <v>2184997111.3965192</v>
      </c>
      <c r="BI14" s="171">
        <f>SUM(BI12:BI13)</f>
        <v>2655961184.8361378</v>
      </c>
      <c r="BJ14" s="171">
        <f>SUM(BJ12:BJ13)</f>
        <v>2941570557.3125858</v>
      </c>
      <c r="BK14" s="171">
        <f>SUM(BK12:BK13)</f>
        <v>3217471146.4547582</v>
      </c>
      <c r="BL14" s="171">
        <f t="shared" si="2"/>
        <v>11000000000</v>
      </c>
      <c r="BN14" s="171">
        <f>SUM(BN12:BN13)</f>
        <v>2015989875</v>
      </c>
      <c r="BO14" s="171">
        <f>SUM(BO12:BO13)</f>
        <v>2403249084</v>
      </c>
      <c r="BP14" s="171">
        <f>SUM(BP12:BP13)</f>
        <v>1718435085</v>
      </c>
      <c r="BQ14" s="171">
        <f>SUM(BQ12:BQ13)</f>
        <v>0</v>
      </c>
      <c r="BR14" s="171">
        <f t="shared" si="3"/>
        <v>6137674044</v>
      </c>
      <c r="BT14" s="172">
        <f t="shared" si="4"/>
        <v>0.92265104813410947</v>
      </c>
      <c r="BU14" s="172">
        <f t="shared" si="4"/>
        <v>0.90485098115177121</v>
      </c>
      <c r="BV14" s="172">
        <f t="shared" si="4"/>
        <v>0.58418965362842068</v>
      </c>
      <c r="BW14" s="172">
        <f t="shared" si="4"/>
        <v>0</v>
      </c>
      <c r="BX14" s="172">
        <f t="shared" si="4"/>
        <v>0.55797036763636365</v>
      </c>
      <c r="BZ14" s="138"/>
      <c r="CA14" s="138"/>
    </row>
    <row r="15" spans="1:88" ht="15" customHeight="1" thickTop="1">
      <c r="A15" s="641"/>
      <c r="B15" s="181"/>
      <c r="C15" s="151"/>
      <c r="D15" s="152"/>
      <c r="E15" s="152"/>
      <c r="F15" s="152"/>
      <c r="G15" s="152"/>
      <c r="H15" s="152"/>
      <c r="I15" s="152"/>
      <c r="J15" s="152"/>
      <c r="K15" s="137"/>
      <c r="L15" s="138"/>
      <c r="M15" s="152"/>
      <c r="N15" s="152"/>
      <c r="O15" s="152"/>
      <c r="P15" s="152"/>
      <c r="Q15" s="139"/>
      <c r="R15" s="182"/>
      <c r="S15" s="182"/>
      <c r="T15" s="182"/>
      <c r="U15" s="182"/>
      <c r="V15" s="182"/>
      <c r="W15" s="182"/>
      <c r="X15" s="182"/>
      <c r="Y15" s="182"/>
      <c r="Z15" s="182"/>
      <c r="AA15" s="182"/>
      <c r="AB15" s="182"/>
      <c r="AC15" s="182"/>
      <c r="AD15" s="182"/>
      <c r="AE15" s="168"/>
      <c r="AF15" s="152"/>
      <c r="AG15" s="152"/>
      <c r="AH15" s="152"/>
      <c r="AI15" s="152"/>
      <c r="AJ15" s="152"/>
      <c r="AK15" s="152"/>
      <c r="AL15" s="152"/>
      <c r="AM15" s="152"/>
      <c r="AN15" s="152"/>
      <c r="AO15" s="152"/>
      <c r="AP15" s="152"/>
      <c r="AQ15" s="152"/>
      <c r="AR15" s="152"/>
      <c r="AS15" s="151"/>
      <c r="AT15" s="183"/>
      <c r="AU15" s="183"/>
      <c r="AV15" s="183"/>
      <c r="AW15" s="183"/>
      <c r="AX15" s="183"/>
      <c r="AY15" s="183"/>
      <c r="AZ15" s="183"/>
      <c r="BA15" s="183"/>
      <c r="BB15" s="183"/>
      <c r="BC15" s="183"/>
      <c r="BD15" s="183"/>
      <c r="BE15" s="183"/>
      <c r="BF15" s="183"/>
      <c r="BH15" s="155"/>
      <c r="BI15" s="155"/>
      <c r="BJ15" s="155"/>
      <c r="BK15" s="155"/>
      <c r="BL15" s="155"/>
      <c r="BN15" s="155"/>
      <c r="BO15" s="155"/>
      <c r="BP15" s="155"/>
      <c r="BQ15" s="155"/>
      <c r="BR15" s="155"/>
      <c r="BT15" s="156"/>
      <c r="BU15" s="156"/>
      <c r="BV15" s="156"/>
      <c r="BW15" s="156"/>
      <c r="BX15" s="156"/>
    </row>
    <row r="16" spans="1:88">
      <c r="A16" s="641"/>
      <c r="B16" s="150" t="s">
        <v>52</v>
      </c>
      <c r="C16" s="151"/>
      <c r="D16" s="152">
        <v>73188834.001311421</v>
      </c>
      <c r="E16" s="152">
        <v>65321662.145022586</v>
      </c>
      <c r="F16" s="152">
        <v>80620385.586296082</v>
      </c>
      <c r="G16" s="152">
        <v>84651502.37113902</v>
      </c>
      <c r="H16" s="152">
        <v>91709157.79956916</v>
      </c>
      <c r="I16" s="152">
        <v>90002674.245236352</v>
      </c>
      <c r="J16" s="152">
        <v>97173622.302330866</v>
      </c>
      <c r="K16" s="152">
        <v>96266523.796885192</v>
      </c>
      <c r="L16" s="152">
        <v>101566628.29906611</v>
      </c>
      <c r="M16" s="152">
        <v>108979750.76291776</v>
      </c>
      <c r="N16" s="152">
        <v>104015170.79175639</v>
      </c>
      <c r="O16" s="152">
        <v>109681609.95858878</v>
      </c>
      <c r="P16" s="152">
        <f>SUM(D16:O16)</f>
        <v>1103177522.0601196</v>
      </c>
      <c r="Q16" s="151"/>
      <c r="R16" s="153">
        <f>'VN_YouTube Performance'!V6</f>
        <v>100691266</v>
      </c>
      <c r="S16" s="153">
        <f>'VN_YouTube Performance'!V7</f>
        <v>87725110</v>
      </c>
      <c r="T16" s="153">
        <f>'VN_YouTube Performance'!V8</f>
        <v>153626660</v>
      </c>
      <c r="U16" s="153">
        <f>'VN_YouTube Performance'!V9</f>
        <v>184714554</v>
      </c>
      <c r="V16" s="153">
        <f>'VN_YouTube Performance'!V10</f>
        <v>156759564</v>
      </c>
      <c r="W16" s="153">
        <f>'VN_YouTube Performance'!V11</f>
        <v>122963683</v>
      </c>
      <c r="X16" s="153">
        <f>'VN_YouTube Performance'!V12</f>
        <v>153441957</v>
      </c>
      <c r="Y16" s="153">
        <f>'VN_YouTube Performance'!V13</f>
        <v>125940833</v>
      </c>
      <c r="Z16" s="153">
        <f>'VN_YouTube Performance'!V14</f>
        <v>0</v>
      </c>
      <c r="AA16" s="153">
        <f>'VN_YouTube Performance'!V15</f>
        <v>0</v>
      </c>
      <c r="AB16" s="153">
        <f>'VN_YouTube Performance'!V16</f>
        <v>0</v>
      </c>
      <c r="AC16" s="153">
        <f>'VN_YouTube Performance'!V17</f>
        <v>0</v>
      </c>
      <c r="AD16" s="153">
        <f>SUM(R16:AC16)</f>
        <v>1085863627</v>
      </c>
      <c r="AE16" s="151"/>
      <c r="AF16" s="152">
        <f t="shared" ref="AF16:AQ17" si="8">R16-D16</f>
        <v>27502431.998688579</v>
      </c>
      <c r="AG16" s="152">
        <f t="shared" si="8"/>
        <v>22403447.854977414</v>
      </c>
      <c r="AH16" s="152">
        <f t="shared" si="8"/>
        <v>73006274.413703918</v>
      </c>
      <c r="AI16" s="152">
        <f t="shared" si="8"/>
        <v>100063051.62886098</v>
      </c>
      <c r="AJ16" s="152">
        <f t="shared" si="8"/>
        <v>65050406.20043084</v>
      </c>
      <c r="AK16" s="152">
        <f t="shared" si="8"/>
        <v>32961008.754763648</v>
      </c>
      <c r="AL16" s="152">
        <f t="shared" si="8"/>
        <v>56268334.697669134</v>
      </c>
      <c r="AM16" s="152">
        <f t="shared" si="8"/>
        <v>29674309.203114808</v>
      </c>
      <c r="AN16" s="152">
        <f t="shared" si="8"/>
        <v>-101566628.29906611</v>
      </c>
      <c r="AO16" s="152">
        <f t="shared" si="8"/>
        <v>-108979750.76291776</v>
      </c>
      <c r="AP16" s="152">
        <f t="shared" si="8"/>
        <v>-104015170.79175639</v>
      </c>
      <c r="AQ16" s="152">
        <f t="shared" si="8"/>
        <v>-109681609.95858878</v>
      </c>
      <c r="AR16" s="152">
        <f>SUM(AF16:AQ16)</f>
        <v>-17313895.060119748</v>
      </c>
      <c r="AS16" s="151"/>
      <c r="AT16" s="154">
        <f>R16/D16</f>
        <v>1.3757736050036784</v>
      </c>
      <c r="AU16" s="154">
        <f t="shared" ref="AT16:AU18" si="9">S16/E16</f>
        <v>1.3429711847386683</v>
      </c>
      <c r="AV16" s="184">
        <f t="shared" ref="AV16:BE18" si="10">(T16-F16)/F16</f>
        <v>0.90555600649612356</v>
      </c>
      <c r="AW16" s="184">
        <f t="shared" si="10"/>
        <v>1.1820587801283531</v>
      </c>
      <c r="AX16" s="184">
        <f t="shared" si="10"/>
        <v>0.70931200069025646</v>
      </c>
      <c r="AY16" s="184">
        <f t="shared" si="10"/>
        <v>0.36622254873174731</v>
      </c>
      <c r="AZ16" s="184">
        <f t="shared" si="10"/>
        <v>0.57904947211502111</v>
      </c>
      <c r="BA16" s="184">
        <f t="shared" si="10"/>
        <v>0.30825159185892359</v>
      </c>
      <c r="BB16" s="184">
        <f t="shared" si="10"/>
        <v>-1</v>
      </c>
      <c r="BC16" s="184">
        <f t="shared" si="10"/>
        <v>-1</v>
      </c>
      <c r="BD16" s="184">
        <f t="shared" si="10"/>
        <v>-1</v>
      </c>
      <c r="BE16" s="184">
        <f t="shared" si="10"/>
        <v>-1</v>
      </c>
      <c r="BF16" s="154">
        <f>AD16/P16</f>
        <v>0.98430543161558715</v>
      </c>
      <c r="BH16" s="155">
        <f>SUM(D16:F16)</f>
        <v>219130881.73263007</v>
      </c>
      <c r="BI16" s="155">
        <f>SUM(G16:I16)</f>
        <v>266363334.41594452</v>
      </c>
      <c r="BJ16" s="155">
        <f>SUM(J16:L16)</f>
        <v>295006774.39828217</v>
      </c>
      <c r="BK16" s="155">
        <f>SUM(M16:O16)</f>
        <v>322676531.51326293</v>
      </c>
      <c r="BL16" s="155">
        <f>SUM(BH16:BK16)</f>
        <v>1103177522.0601196</v>
      </c>
      <c r="BN16" s="155">
        <f>SUM(R16:T16)</f>
        <v>342043036</v>
      </c>
      <c r="BO16" s="155">
        <f>SUM(U16:W16)</f>
        <v>464437801</v>
      </c>
      <c r="BP16" s="155">
        <f>SUM(X16:Z16)</f>
        <v>279382790</v>
      </c>
      <c r="BQ16" s="155">
        <f>SUM(AA16:AC16)</f>
        <v>0</v>
      </c>
      <c r="BR16" s="155">
        <f>SUM(BN16:BQ16)</f>
        <v>1085863627</v>
      </c>
      <c r="BT16" s="156">
        <f t="shared" ref="BT16:BX18" si="11">BN16/BH16</f>
        <v>1.5609074964492669</v>
      </c>
      <c r="BU16" s="156">
        <f t="shared" si="11"/>
        <v>1.7436251202455242</v>
      </c>
      <c r="BV16" s="156">
        <f t="shared" si="11"/>
        <v>0.9470385572326262</v>
      </c>
      <c r="BW16" s="156">
        <f t="shared" si="11"/>
        <v>0</v>
      </c>
      <c r="BX16" s="156">
        <f t="shared" si="11"/>
        <v>0.98430543161558715</v>
      </c>
      <c r="BZ16" s="138"/>
      <c r="CA16" s="138"/>
    </row>
    <row r="17" spans="1:79">
      <c r="A17" s="641"/>
      <c r="B17" s="157" t="s">
        <v>53</v>
      </c>
      <c r="C17" s="158"/>
      <c r="D17" s="159">
        <v>9740740.4979898669</v>
      </c>
      <c r="E17" s="159">
        <v>8693694.4485361259</v>
      </c>
      <c r="F17" s="159">
        <v>10729809.615902904</v>
      </c>
      <c r="G17" s="159">
        <v>11266313.073760189</v>
      </c>
      <c r="H17" s="159">
        <v>12205620.155101798</v>
      </c>
      <c r="I17" s="159">
        <v>11978503.35930006</v>
      </c>
      <c r="J17" s="159">
        <v>12932888.616311679</v>
      </c>
      <c r="K17" s="159">
        <v>12812162.398054089</v>
      </c>
      <c r="L17" s="159">
        <v>13517556.100145955</v>
      </c>
      <c r="M17" s="159">
        <v>14504172.476612676</v>
      </c>
      <c r="N17" s="159">
        <v>13843433.911222573</v>
      </c>
      <c r="O17" s="159">
        <v>14597583.286942525</v>
      </c>
      <c r="P17" s="159">
        <f>SUM(D17:O17)</f>
        <v>146822477.93988043</v>
      </c>
      <c r="Q17" s="151"/>
      <c r="R17" s="153">
        <f>'VN_YouTube Performance'!AG6</f>
        <v>25297833</v>
      </c>
      <c r="S17" s="153">
        <f>'VN_YouTube Performance'!AG7</f>
        <v>12978272</v>
      </c>
      <c r="T17" s="153">
        <f>'VN_YouTube Performance'!AG8</f>
        <v>16189775</v>
      </c>
      <c r="U17" s="153">
        <f>'VN_YouTube Performance'!AG9</f>
        <v>173989023</v>
      </c>
      <c r="V17" s="153">
        <f>'VN_YouTube Performance'!AG10</f>
        <v>244439295</v>
      </c>
      <c r="W17" s="153">
        <f>'VN_YouTube Performance'!AG11</f>
        <v>41552177</v>
      </c>
      <c r="X17" s="153">
        <f>'VN_YouTube Performance'!AG12</f>
        <v>61296798</v>
      </c>
      <c r="Y17" s="153">
        <f>'VN_YouTube Performance'!AG13</f>
        <v>66068063</v>
      </c>
      <c r="Z17" s="153">
        <f>'VN_YouTube Performance'!AG14</f>
        <v>0</v>
      </c>
      <c r="AA17" s="153">
        <f>'VN_YouTube Performance'!AG15</f>
        <v>0</v>
      </c>
      <c r="AB17" s="153">
        <f>'VN_YouTube Performance'!AG16</f>
        <v>0</v>
      </c>
      <c r="AC17" s="153">
        <f>'VN_YouTube Performance'!AG17</f>
        <v>0</v>
      </c>
      <c r="AD17" s="153">
        <f>SUM(R17:AC17)</f>
        <v>641811236</v>
      </c>
      <c r="AE17" s="151"/>
      <c r="AF17" s="159">
        <f t="shared" si="8"/>
        <v>15557092.502010133</v>
      </c>
      <c r="AG17" s="159">
        <f t="shared" si="8"/>
        <v>4284577.5514638741</v>
      </c>
      <c r="AH17" s="159">
        <f t="shared" si="8"/>
        <v>5459965.3840970956</v>
      </c>
      <c r="AI17" s="159">
        <f t="shared" si="8"/>
        <v>162722709.92623982</v>
      </c>
      <c r="AJ17" s="159">
        <f t="shared" si="8"/>
        <v>232233674.84489819</v>
      </c>
      <c r="AK17" s="159">
        <f t="shared" si="8"/>
        <v>29573673.640699938</v>
      </c>
      <c r="AL17" s="159">
        <f t="shared" si="8"/>
        <v>48363909.383688323</v>
      </c>
      <c r="AM17" s="159">
        <f t="shared" si="8"/>
        <v>53255900.601945907</v>
      </c>
      <c r="AN17" s="159">
        <f t="shared" si="8"/>
        <v>-13517556.100145955</v>
      </c>
      <c r="AO17" s="159">
        <f t="shared" si="8"/>
        <v>-14504172.476612676</v>
      </c>
      <c r="AP17" s="159">
        <f t="shared" si="8"/>
        <v>-13843433.911222573</v>
      </c>
      <c r="AQ17" s="159">
        <f t="shared" si="8"/>
        <v>-14597583.286942525</v>
      </c>
      <c r="AR17" s="159">
        <f>SUM(AF17:AQ17)</f>
        <v>494988758.06011957</v>
      </c>
      <c r="AS17" s="151"/>
      <c r="AT17" s="161">
        <f t="shared" si="9"/>
        <v>2.5971160000844442</v>
      </c>
      <c r="AU17" s="161">
        <f t="shared" si="9"/>
        <v>1.4928373750454649</v>
      </c>
      <c r="AV17" s="184">
        <f t="shared" si="10"/>
        <v>0.50885948395624392</v>
      </c>
      <c r="AW17" s="184">
        <f t="shared" si="10"/>
        <v>14.44329736453261</v>
      </c>
      <c r="AX17" s="184">
        <f t="shared" si="10"/>
        <v>19.026782080206502</v>
      </c>
      <c r="AY17" s="184">
        <f t="shared" si="10"/>
        <v>2.4688955501055196</v>
      </c>
      <c r="AZ17" s="184">
        <f t="shared" si="10"/>
        <v>3.7396061172821877</v>
      </c>
      <c r="BA17" s="184">
        <f t="shared" si="10"/>
        <v>4.1566676215432929</v>
      </c>
      <c r="BB17" s="184">
        <f t="shared" si="10"/>
        <v>-1</v>
      </c>
      <c r="BC17" s="184">
        <f t="shared" si="10"/>
        <v>-1</v>
      </c>
      <c r="BD17" s="184">
        <f t="shared" si="10"/>
        <v>-1</v>
      </c>
      <c r="BE17" s="184">
        <f t="shared" si="10"/>
        <v>-1</v>
      </c>
      <c r="BF17" s="161">
        <f>AD17/P17</f>
        <v>4.3713418068233612</v>
      </c>
      <c r="BH17" s="162">
        <f>SUM(D17:F17)</f>
        <v>29164244.562428895</v>
      </c>
      <c r="BI17" s="162">
        <f>SUM(G17:I17)</f>
        <v>35450436.58816205</v>
      </c>
      <c r="BJ17" s="162">
        <f>SUM(J17:L17)</f>
        <v>39262607.114511728</v>
      </c>
      <c r="BK17" s="162">
        <f>SUM(M17:O17)</f>
        <v>42945189.674777776</v>
      </c>
      <c r="BL17" s="162">
        <f>SUM(BH17:BK17)</f>
        <v>146822477.93988043</v>
      </c>
      <c r="BN17" s="162">
        <f>SUM(R17:T17)</f>
        <v>54465880</v>
      </c>
      <c r="BO17" s="162">
        <f>SUM(U17:W17)</f>
        <v>459980495</v>
      </c>
      <c r="BP17" s="162">
        <f>SUM(X17:Z17)</f>
        <v>127364861</v>
      </c>
      <c r="BQ17" s="162">
        <f>SUM(AA17:AC17)</f>
        <v>0</v>
      </c>
      <c r="BR17" s="162">
        <f>SUM(BN17:BQ17)</f>
        <v>641811236</v>
      </c>
      <c r="BT17" s="163">
        <f t="shared" si="11"/>
        <v>1.867556688581818</v>
      </c>
      <c r="BU17" s="163">
        <f t="shared" si="11"/>
        <v>12.975312556618869</v>
      </c>
      <c r="BV17" s="163">
        <f t="shared" si="11"/>
        <v>3.2439226623064741</v>
      </c>
      <c r="BW17" s="163">
        <f t="shared" si="11"/>
        <v>0</v>
      </c>
      <c r="BX17" s="163">
        <f t="shared" si="11"/>
        <v>4.3713418068233612</v>
      </c>
      <c r="BZ17" s="138"/>
      <c r="CA17" s="138"/>
    </row>
    <row r="18" spans="1:79" ht="16.2" thickBot="1">
      <c r="A18" s="641"/>
      <c r="B18" s="164" t="s">
        <v>55</v>
      </c>
      <c r="C18" s="165"/>
      <c r="D18" s="166">
        <f t="shared" ref="D18:P18" si="12">SUM(D16:D17)</f>
        <v>82929574.499301285</v>
      </c>
      <c r="E18" s="166">
        <f t="shared" si="12"/>
        <v>74015356.593558714</v>
      </c>
      <c r="F18" s="166">
        <f t="shared" si="12"/>
        <v>91350195.202198982</v>
      </c>
      <c r="G18" s="166">
        <f t="shared" si="12"/>
        <v>95917815.444899201</v>
      </c>
      <c r="H18" s="166">
        <f t="shared" si="12"/>
        <v>103914777.95467097</v>
      </c>
      <c r="I18" s="166">
        <f t="shared" si="12"/>
        <v>101981177.60453641</v>
      </c>
      <c r="J18" s="166">
        <f t="shared" si="12"/>
        <v>110106510.91864255</v>
      </c>
      <c r="K18" s="166">
        <f t="shared" si="12"/>
        <v>109078686.19493929</v>
      </c>
      <c r="L18" s="166">
        <f t="shared" si="12"/>
        <v>115084184.39921206</v>
      </c>
      <c r="M18" s="166">
        <f t="shared" si="12"/>
        <v>123483923.23953043</v>
      </c>
      <c r="N18" s="166">
        <f t="shared" si="12"/>
        <v>117858604.70297897</v>
      </c>
      <c r="O18" s="166">
        <f t="shared" si="12"/>
        <v>124279193.24553131</v>
      </c>
      <c r="P18" s="166">
        <f t="shared" si="12"/>
        <v>1250000000</v>
      </c>
      <c r="Q18" s="139"/>
      <c r="R18" s="167">
        <f t="shared" ref="R18:AD18" si="13">SUM(R16:R17)</f>
        <v>125989099</v>
      </c>
      <c r="S18" s="167">
        <f t="shared" si="13"/>
        <v>100703382</v>
      </c>
      <c r="T18" s="167">
        <f t="shared" si="13"/>
        <v>169816435</v>
      </c>
      <c r="U18" s="167">
        <f t="shared" si="13"/>
        <v>358703577</v>
      </c>
      <c r="V18" s="167">
        <f t="shared" si="13"/>
        <v>401198859</v>
      </c>
      <c r="W18" s="167">
        <f t="shared" si="13"/>
        <v>164515860</v>
      </c>
      <c r="X18" s="167">
        <f t="shared" si="13"/>
        <v>214738755</v>
      </c>
      <c r="Y18" s="167">
        <f t="shared" si="13"/>
        <v>192008896</v>
      </c>
      <c r="Z18" s="167">
        <f t="shared" si="13"/>
        <v>0</v>
      </c>
      <c r="AA18" s="167">
        <f t="shared" si="13"/>
        <v>0</v>
      </c>
      <c r="AB18" s="167">
        <f t="shared" si="13"/>
        <v>0</v>
      </c>
      <c r="AC18" s="167">
        <f t="shared" si="13"/>
        <v>0</v>
      </c>
      <c r="AD18" s="167">
        <f t="shared" si="13"/>
        <v>1727674863</v>
      </c>
      <c r="AE18" s="168"/>
      <c r="AF18" s="166">
        <f t="shared" ref="AF18:AR18" si="14">SUM(AF16:AF17)</f>
        <v>43059524.500698715</v>
      </c>
      <c r="AG18" s="166">
        <f t="shared" si="14"/>
        <v>26688025.406441286</v>
      </c>
      <c r="AH18" s="166">
        <f t="shared" si="14"/>
        <v>78466239.797801018</v>
      </c>
      <c r="AI18" s="166">
        <f t="shared" si="14"/>
        <v>262785761.5551008</v>
      </c>
      <c r="AJ18" s="166">
        <f t="shared" si="14"/>
        <v>297284081.04532903</v>
      </c>
      <c r="AK18" s="166">
        <f t="shared" si="14"/>
        <v>62534682.395463586</v>
      </c>
      <c r="AL18" s="166">
        <f t="shared" si="14"/>
        <v>104632244.08135745</v>
      </c>
      <c r="AM18" s="166">
        <f t="shared" si="14"/>
        <v>82930209.805060714</v>
      </c>
      <c r="AN18" s="166">
        <f t="shared" si="14"/>
        <v>-115084184.39921206</v>
      </c>
      <c r="AO18" s="166">
        <f t="shared" si="14"/>
        <v>-123483923.23953043</v>
      </c>
      <c r="AP18" s="166">
        <f t="shared" si="14"/>
        <v>-117858604.70297897</v>
      </c>
      <c r="AQ18" s="166">
        <f t="shared" si="14"/>
        <v>-124279193.24553131</v>
      </c>
      <c r="AR18" s="169">
        <f t="shared" si="14"/>
        <v>477674862.99999982</v>
      </c>
      <c r="AS18" s="151"/>
      <c r="AT18" s="170">
        <f t="shared" si="9"/>
        <v>1.5192300184907075</v>
      </c>
      <c r="AU18" s="170">
        <f t="shared" si="9"/>
        <v>1.3605741650748711</v>
      </c>
      <c r="AV18" s="185">
        <f t="shared" si="10"/>
        <v>0.85896083335257256</v>
      </c>
      <c r="AW18" s="185">
        <f t="shared" si="10"/>
        <v>2.7396971077397012</v>
      </c>
      <c r="AX18" s="185">
        <f t="shared" si="10"/>
        <v>2.8608450780216108</v>
      </c>
      <c r="AY18" s="185">
        <f t="shared" si="10"/>
        <v>0.61319827701893359</v>
      </c>
      <c r="AZ18" s="185">
        <f t="shared" si="10"/>
        <v>0.95028207876526005</v>
      </c>
      <c r="BA18" s="185">
        <f t="shared" si="10"/>
        <v>0.760278773956376</v>
      </c>
      <c r="BB18" s="185">
        <f t="shared" si="10"/>
        <v>-1</v>
      </c>
      <c r="BC18" s="185">
        <f t="shared" si="10"/>
        <v>-1</v>
      </c>
      <c r="BD18" s="185">
        <f t="shared" si="10"/>
        <v>-1</v>
      </c>
      <c r="BE18" s="185">
        <f t="shared" si="10"/>
        <v>-1</v>
      </c>
      <c r="BF18" s="170">
        <f>AD18/P18</f>
        <v>1.3821398904</v>
      </c>
      <c r="BH18" s="171">
        <f>SUM(BH16:BH17)</f>
        <v>248295126.29505897</v>
      </c>
      <c r="BI18" s="171">
        <f>SUM(BI16:BI17)</f>
        <v>301813771.00410658</v>
      </c>
      <c r="BJ18" s="171">
        <f>SUM(BJ16:BJ17)</f>
        <v>334269381.5127939</v>
      </c>
      <c r="BK18" s="171">
        <f>SUM(BK16:BK17)</f>
        <v>365621721.18804073</v>
      </c>
      <c r="BL18" s="171">
        <f>SUM(BH18:BK18)</f>
        <v>1250000000</v>
      </c>
      <c r="BN18" s="171">
        <f>SUM(BN16:BN17)</f>
        <v>396508916</v>
      </c>
      <c r="BO18" s="171">
        <f>SUM(BO16:BO17)</f>
        <v>924418296</v>
      </c>
      <c r="BP18" s="171">
        <f>SUM(BP16:BP17)</f>
        <v>406747651</v>
      </c>
      <c r="BQ18" s="171">
        <f>SUM(BQ16:BQ17)</f>
        <v>0</v>
      </c>
      <c r="BR18" s="171">
        <f>SUM(BN18:BQ18)</f>
        <v>1727674863</v>
      </c>
      <c r="BT18" s="172">
        <f t="shared" si="11"/>
        <v>1.5969258918469977</v>
      </c>
      <c r="BU18" s="172">
        <f t="shared" si="11"/>
        <v>3.06287646492917</v>
      </c>
      <c r="BV18" s="172">
        <f t="shared" si="11"/>
        <v>1.2168259299107598</v>
      </c>
      <c r="BW18" s="172">
        <f t="shared" si="11"/>
        <v>0</v>
      </c>
      <c r="BX18" s="172">
        <f t="shared" si="11"/>
        <v>1.3821398904</v>
      </c>
      <c r="BZ18" s="138"/>
      <c r="CA18" s="138"/>
    </row>
    <row r="19" spans="1:79" ht="16.8" thickTop="1" thickBot="1">
      <c r="C19" s="151"/>
      <c r="D19" s="152"/>
      <c r="E19" s="152"/>
      <c r="F19" s="152"/>
      <c r="G19" s="152"/>
      <c r="H19" s="152"/>
      <c r="I19" s="152"/>
      <c r="J19" s="152"/>
      <c r="K19" s="137"/>
      <c r="L19" s="138"/>
      <c r="M19" s="152"/>
      <c r="N19" s="152"/>
      <c r="O19" s="152"/>
      <c r="P19" s="152"/>
      <c r="Q19" s="187"/>
      <c r="R19" s="182"/>
      <c r="S19" s="182"/>
      <c r="T19" s="182"/>
      <c r="U19" s="182"/>
      <c r="V19" s="182"/>
      <c r="W19" s="182"/>
      <c r="X19" s="182"/>
      <c r="Y19" s="182"/>
      <c r="Z19" s="182"/>
      <c r="AA19" s="182"/>
      <c r="AB19" s="182"/>
      <c r="AC19" s="182"/>
      <c r="AD19" s="182"/>
      <c r="AE19" s="168"/>
      <c r="AF19" s="152"/>
      <c r="AG19" s="152"/>
      <c r="AH19" s="152"/>
      <c r="AI19" s="152"/>
      <c r="AJ19" s="152"/>
      <c r="AK19" s="152"/>
      <c r="AL19" s="152"/>
      <c r="AM19" s="152"/>
      <c r="AN19" s="152"/>
      <c r="AO19" s="152"/>
      <c r="AP19" s="152"/>
      <c r="AQ19" s="152"/>
      <c r="AR19" s="152"/>
      <c r="AS19" s="151"/>
      <c r="AT19" s="183"/>
      <c r="AU19" s="183"/>
      <c r="AV19" s="183"/>
      <c r="AW19" s="183"/>
      <c r="AX19" s="183"/>
      <c r="AY19" s="183"/>
      <c r="AZ19" s="183"/>
      <c r="BA19" s="183"/>
      <c r="BB19" s="183"/>
      <c r="BC19" s="183"/>
      <c r="BD19" s="183"/>
      <c r="BE19" s="183"/>
      <c r="BF19" s="183"/>
      <c r="BH19" s="155"/>
      <c r="BI19" s="155"/>
      <c r="BJ19" s="155"/>
      <c r="BK19" s="155"/>
      <c r="BL19" s="155"/>
      <c r="BN19" s="155"/>
      <c r="BO19" s="155"/>
      <c r="BP19" s="155"/>
      <c r="BQ19" s="155"/>
      <c r="BR19" s="155"/>
      <c r="BT19" s="156"/>
      <c r="BU19" s="156"/>
      <c r="BV19" s="156"/>
      <c r="BW19" s="156"/>
      <c r="BX19" s="156"/>
      <c r="BZ19" s="138"/>
      <c r="CA19" s="138"/>
    </row>
    <row r="20" spans="1:79" ht="16.2" customHeight="1" thickTop="1">
      <c r="A20" s="188" t="s">
        <v>56</v>
      </c>
      <c r="B20" s="189"/>
      <c r="C20" s="190"/>
      <c r="D20" s="191">
        <f>SUM(D6,D10,D14,D18)</f>
        <v>812709830.09315252</v>
      </c>
      <c r="E20" s="191">
        <f t="shared" ref="E20:AR20" si="15">SUM(E6,E10,E14,E18)</f>
        <v>725350494.61687529</v>
      </c>
      <c r="F20" s="191">
        <f t="shared" si="15"/>
        <v>895231912.98154998</v>
      </c>
      <c r="G20" s="191">
        <f t="shared" si="15"/>
        <v>939994591.36001229</v>
      </c>
      <c r="H20" s="191">
        <f t="shared" si="15"/>
        <v>1018364823.9557753</v>
      </c>
      <c r="I20" s="191">
        <f t="shared" si="15"/>
        <v>999415540.52445674</v>
      </c>
      <c r="J20" s="191">
        <f t="shared" si="15"/>
        <v>1079043807.002697</v>
      </c>
      <c r="K20" s="191">
        <f t="shared" si="15"/>
        <v>1068971124.7104049</v>
      </c>
      <c r="L20" s="191">
        <f t="shared" si="15"/>
        <v>1127825007.1122782</v>
      </c>
      <c r="M20" s="191">
        <f t="shared" si="15"/>
        <v>1210142447.7473981</v>
      </c>
      <c r="N20" s="191">
        <f t="shared" si="15"/>
        <v>1155014326.0891938</v>
      </c>
      <c r="O20" s="191">
        <f t="shared" si="15"/>
        <v>1217936093.8062067</v>
      </c>
      <c r="P20" s="191">
        <f t="shared" si="15"/>
        <v>12250000000</v>
      </c>
      <c r="Q20" s="168"/>
      <c r="R20" s="191">
        <f t="shared" si="15"/>
        <v>838232595</v>
      </c>
      <c r="S20" s="191">
        <f t="shared" si="15"/>
        <v>741057301</v>
      </c>
      <c r="T20" s="191">
        <f t="shared" si="15"/>
        <v>833208895</v>
      </c>
      <c r="U20" s="191">
        <f t="shared" si="15"/>
        <v>1052535055</v>
      </c>
      <c r="V20" s="191">
        <f t="shared" si="15"/>
        <v>1197595391</v>
      </c>
      <c r="W20" s="191">
        <f t="shared" si="15"/>
        <v>1077536934</v>
      </c>
      <c r="X20" s="191">
        <f t="shared" si="15"/>
        <v>1122340920</v>
      </c>
      <c r="Y20" s="191">
        <f t="shared" si="15"/>
        <v>1002841816</v>
      </c>
      <c r="Z20" s="191">
        <f t="shared" si="15"/>
        <v>0</v>
      </c>
      <c r="AA20" s="191">
        <f t="shared" si="15"/>
        <v>0</v>
      </c>
      <c r="AB20" s="191">
        <f t="shared" si="15"/>
        <v>0</v>
      </c>
      <c r="AC20" s="191">
        <f t="shared" si="15"/>
        <v>0</v>
      </c>
      <c r="AD20" s="191">
        <f t="shared" si="15"/>
        <v>7865348907</v>
      </c>
      <c r="AE20" s="168"/>
      <c r="AF20" s="191">
        <f t="shared" si="15"/>
        <v>25522764.906847447</v>
      </c>
      <c r="AG20" s="191">
        <f t="shared" si="15"/>
        <v>15706806.383124642</v>
      </c>
      <c r="AH20" s="191">
        <f t="shared" si="15"/>
        <v>-62023017.981550038</v>
      </c>
      <c r="AI20" s="191">
        <f t="shared" si="15"/>
        <v>112540463.63998777</v>
      </c>
      <c r="AJ20" s="191">
        <f t="shared" si="15"/>
        <v>179230567.04422486</v>
      </c>
      <c r="AK20" s="191">
        <f t="shared" si="15"/>
        <v>78121393.47554329</v>
      </c>
      <c r="AL20" s="191">
        <f t="shared" si="15"/>
        <v>43297112.997303158</v>
      </c>
      <c r="AM20" s="191">
        <f t="shared" si="15"/>
        <v>-66129308.710404962</v>
      </c>
      <c r="AN20" s="191">
        <f t="shared" si="15"/>
        <v>-1127825007.1122782</v>
      </c>
      <c r="AO20" s="191">
        <f t="shared" si="15"/>
        <v>-1210142447.7473981</v>
      </c>
      <c r="AP20" s="191">
        <f t="shared" si="15"/>
        <v>-1155014326.0891938</v>
      </c>
      <c r="AQ20" s="191">
        <f t="shared" si="15"/>
        <v>-1217936093.8062067</v>
      </c>
      <c r="AR20" s="191">
        <f t="shared" si="15"/>
        <v>-4384651093.000001</v>
      </c>
      <c r="AS20" s="192"/>
      <c r="AT20" s="193">
        <f t="shared" ref="AT20:BF20" si="16">R20/D20</f>
        <v>1.0314045234372544</v>
      </c>
      <c r="AU20" s="193">
        <f t="shared" si="16"/>
        <v>1.0216540920557597</v>
      </c>
      <c r="AV20" s="193">
        <f t="shared" si="16"/>
        <v>0.93071849083777225</v>
      </c>
      <c r="AW20" s="193">
        <f t="shared" si="16"/>
        <v>1.119724586369333</v>
      </c>
      <c r="AX20" s="193">
        <f t="shared" si="16"/>
        <v>1.175998387638739</v>
      </c>
      <c r="AY20" s="193">
        <f t="shared" si="16"/>
        <v>1.0781670789655202</v>
      </c>
      <c r="AZ20" s="193">
        <f t="shared" si="16"/>
        <v>1.0401254450619304</v>
      </c>
      <c r="BA20" s="193">
        <f t="shared" si="16"/>
        <v>0.93813742281549473</v>
      </c>
      <c r="BB20" s="193">
        <f t="shared" si="16"/>
        <v>0</v>
      </c>
      <c r="BC20" s="193">
        <f t="shared" si="16"/>
        <v>0</v>
      </c>
      <c r="BD20" s="193">
        <f t="shared" si="16"/>
        <v>0</v>
      </c>
      <c r="BE20" s="193">
        <f t="shared" si="16"/>
        <v>0</v>
      </c>
      <c r="BF20" s="193">
        <f t="shared" si="16"/>
        <v>0.64206929853061223</v>
      </c>
      <c r="BH20" s="191">
        <f t="shared" ref="BH20:BL20" si="17">SUM(BH6,BH10,BH14,BH18)</f>
        <v>2433292237.6915779</v>
      </c>
      <c r="BI20" s="191">
        <f t="shared" si="17"/>
        <v>2957774955.8402443</v>
      </c>
      <c r="BJ20" s="191">
        <f t="shared" si="17"/>
        <v>3275839938.8253798</v>
      </c>
      <c r="BK20" s="191">
        <f t="shared" si="17"/>
        <v>3583092867.6427989</v>
      </c>
      <c r="BL20" s="191">
        <f t="shared" si="17"/>
        <v>12250000000</v>
      </c>
      <c r="BN20" s="191">
        <f t="shared" ref="BN20:BR20" si="18">SUM(BN6,BN10,BN14,BN18)</f>
        <v>2412498791</v>
      </c>
      <c r="BO20" s="191">
        <f t="shared" si="18"/>
        <v>3327667380</v>
      </c>
      <c r="BP20" s="191">
        <f t="shared" si="18"/>
        <v>2125182736</v>
      </c>
      <c r="BQ20" s="191">
        <f t="shared" si="18"/>
        <v>0</v>
      </c>
      <c r="BR20" s="191">
        <f t="shared" si="18"/>
        <v>7865348907</v>
      </c>
      <c r="BT20" s="194">
        <f t="shared" ref="BT20:BX20" si="19">BN20/BH20</f>
        <v>0.99145460361501658</v>
      </c>
      <c r="BU20" s="194">
        <f t="shared" si="19"/>
        <v>1.1250576631698732</v>
      </c>
      <c r="BV20" s="194">
        <f t="shared" si="19"/>
        <v>0.6487443756980471</v>
      </c>
      <c r="BW20" s="194">
        <f t="shared" si="19"/>
        <v>0</v>
      </c>
      <c r="BX20" s="194">
        <f t="shared" si="19"/>
        <v>0.64206929853061223</v>
      </c>
      <c r="BZ20" s="138"/>
      <c r="CA20" s="138"/>
    </row>
    <row r="21" spans="1:79">
      <c r="A21" s="195"/>
      <c r="B21" s="196"/>
      <c r="C21" s="197"/>
      <c r="D21" s="198"/>
      <c r="E21" s="198"/>
      <c r="F21" s="198"/>
      <c r="G21" s="198"/>
      <c r="H21" s="198"/>
      <c r="I21" s="198"/>
      <c r="J21" s="198"/>
      <c r="K21" s="198"/>
      <c r="L21" s="198"/>
      <c r="M21" s="198"/>
      <c r="N21" s="198"/>
      <c r="O21" s="198"/>
      <c r="P21" s="199"/>
      <c r="Q21" s="200"/>
      <c r="AD21" s="137"/>
      <c r="AF21" s="138"/>
      <c r="AG21" s="138"/>
      <c r="BH21" s="201"/>
      <c r="BI21" s="201"/>
      <c r="BJ21" s="201"/>
      <c r="BK21" s="201"/>
      <c r="BL21" s="201"/>
      <c r="BR21" s="201"/>
      <c r="BX21" s="135"/>
    </row>
    <row r="22" spans="1:79" hidden="1">
      <c r="A22" s="640" t="s">
        <v>9</v>
      </c>
      <c r="B22" s="202"/>
      <c r="C22" s="203"/>
      <c r="D22" s="204"/>
      <c r="E22" s="204"/>
      <c r="F22" s="204"/>
      <c r="G22" s="204"/>
      <c r="H22" s="204"/>
      <c r="I22" s="204"/>
      <c r="J22" s="204"/>
      <c r="K22" s="204"/>
      <c r="L22" s="204"/>
      <c r="M22" s="204"/>
      <c r="N22" s="204"/>
      <c r="O22" s="204"/>
      <c r="P22" s="204"/>
      <c r="Q22" s="205"/>
      <c r="R22" s="206"/>
      <c r="S22" s="206"/>
      <c r="T22" s="206"/>
      <c r="U22" s="206"/>
      <c r="V22" s="207"/>
      <c r="W22" s="207"/>
      <c r="X22" s="207"/>
      <c r="Y22" s="207"/>
      <c r="Z22" s="207"/>
      <c r="AA22" s="207"/>
      <c r="AB22" s="207"/>
      <c r="AC22" s="207"/>
      <c r="AD22" s="206"/>
      <c r="AE22" s="208"/>
      <c r="AF22" s="206"/>
      <c r="AG22" s="206"/>
      <c r="AH22" s="206"/>
      <c r="AI22" s="206"/>
      <c r="AJ22" s="206"/>
      <c r="AK22" s="206"/>
      <c r="AL22" s="206"/>
      <c r="AM22" s="206"/>
      <c r="AN22" s="206"/>
      <c r="AO22" s="206"/>
      <c r="AP22" s="206"/>
      <c r="AQ22" s="206"/>
      <c r="AR22" s="206"/>
      <c r="AS22" s="205"/>
      <c r="AT22" s="209"/>
      <c r="AU22" s="209"/>
      <c r="AV22" s="209"/>
      <c r="AW22" s="209"/>
      <c r="AX22" s="209"/>
      <c r="AY22" s="209"/>
      <c r="AZ22" s="209"/>
      <c r="BA22" s="209"/>
      <c r="BB22" s="209"/>
      <c r="BC22" s="209"/>
      <c r="BD22" s="209"/>
      <c r="BE22" s="209"/>
      <c r="BF22" s="209"/>
      <c r="BH22" s="210"/>
      <c r="BI22" s="210"/>
      <c r="BJ22" s="210"/>
      <c r="BK22" s="210"/>
      <c r="BL22" s="210"/>
      <c r="BN22" s="211"/>
      <c r="BO22" s="211"/>
      <c r="BP22" s="211"/>
      <c r="BQ22" s="211"/>
      <c r="BR22" s="210"/>
      <c r="BT22" s="212"/>
      <c r="BU22" s="212"/>
      <c r="BV22" s="212"/>
      <c r="BW22" s="212"/>
      <c r="BX22" s="212"/>
      <c r="BZ22" s="138"/>
      <c r="CA22" s="138"/>
    </row>
    <row r="23" spans="1:79" hidden="1">
      <c r="A23" s="641"/>
      <c r="B23" s="157"/>
      <c r="C23" s="213"/>
      <c r="D23" s="214"/>
      <c r="E23" s="214"/>
      <c r="F23" s="214"/>
      <c r="G23" s="214"/>
      <c r="H23" s="214"/>
      <c r="I23" s="214"/>
      <c r="J23" s="214"/>
      <c r="K23" s="214"/>
      <c r="L23" s="214"/>
      <c r="M23" s="214"/>
      <c r="N23" s="214"/>
      <c r="O23" s="214"/>
      <c r="P23" s="214"/>
      <c r="Q23" s="205"/>
      <c r="R23" s="214"/>
      <c r="S23" s="214"/>
      <c r="T23" s="214"/>
      <c r="U23" s="214"/>
      <c r="V23" s="215"/>
      <c r="W23" s="215"/>
      <c r="X23" s="215"/>
      <c r="Y23" s="215"/>
      <c r="Z23" s="215"/>
      <c r="AA23" s="215"/>
      <c r="AB23" s="215"/>
      <c r="AC23" s="215"/>
      <c r="AD23" s="214"/>
      <c r="AE23" s="208"/>
      <c r="AF23" s="214"/>
      <c r="AG23" s="214"/>
      <c r="AH23" s="214"/>
      <c r="AI23" s="214"/>
      <c r="AJ23" s="214"/>
      <c r="AK23" s="214"/>
      <c r="AL23" s="214"/>
      <c r="AM23" s="214"/>
      <c r="AN23" s="214"/>
      <c r="AO23" s="214"/>
      <c r="AP23" s="214"/>
      <c r="AQ23" s="214"/>
      <c r="AR23" s="214"/>
      <c r="AS23" s="205"/>
      <c r="AT23" s="216"/>
      <c r="AU23" s="216"/>
      <c r="AV23" s="216"/>
      <c r="AW23" s="216"/>
      <c r="AX23" s="216"/>
      <c r="AY23" s="216"/>
      <c r="AZ23" s="216"/>
      <c r="BA23" s="216"/>
      <c r="BB23" s="216"/>
      <c r="BC23" s="216"/>
      <c r="BD23" s="216"/>
      <c r="BE23" s="216"/>
      <c r="BF23" s="216"/>
      <c r="BH23" s="217"/>
      <c r="BI23" s="217"/>
      <c r="BJ23" s="217"/>
      <c r="BK23" s="217"/>
      <c r="BL23" s="210"/>
      <c r="BN23" s="218"/>
      <c r="BO23" s="218"/>
      <c r="BP23" s="218"/>
      <c r="BQ23" s="218"/>
      <c r="BR23" s="210"/>
      <c r="BT23" s="163"/>
      <c r="BU23" s="163"/>
      <c r="BV23" s="163"/>
      <c r="BW23" s="163"/>
      <c r="BX23" s="163"/>
      <c r="BZ23" s="138"/>
      <c r="CA23" s="138"/>
    </row>
    <row r="24" spans="1:79" ht="15.6" hidden="1" thickBot="1">
      <c r="A24" s="641"/>
      <c r="B24" s="164"/>
      <c r="C24" s="219"/>
      <c r="D24" s="220"/>
      <c r="E24" s="220"/>
      <c r="F24" s="220"/>
      <c r="G24" s="220"/>
      <c r="H24" s="220"/>
      <c r="I24" s="220"/>
      <c r="J24" s="220"/>
      <c r="K24" s="220"/>
      <c r="L24" s="220"/>
      <c r="M24" s="220"/>
      <c r="N24" s="220"/>
      <c r="O24" s="220"/>
      <c r="P24" s="220"/>
      <c r="Q24" s="205"/>
      <c r="R24" s="220"/>
      <c r="S24" s="220"/>
      <c r="T24" s="220"/>
      <c r="U24" s="220"/>
      <c r="V24" s="221"/>
      <c r="W24" s="221"/>
      <c r="X24" s="221"/>
      <c r="Y24" s="221"/>
      <c r="Z24" s="221"/>
      <c r="AA24" s="221"/>
      <c r="AB24" s="221"/>
      <c r="AC24" s="221"/>
      <c r="AD24" s="220"/>
      <c r="AE24" s="208"/>
      <c r="AF24" s="220"/>
      <c r="AG24" s="220"/>
      <c r="AH24" s="220"/>
      <c r="AI24" s="220"/>
      <c r="AJ24" s="220"/>
      <c r="AK24" s="220"/>
      <c r="AL24" s="220"/>
      <c r="AM24" s="220"/>
      <c r="AN24" s="220"/>
      <c r="AO24" s="220"/>
      <c r="AP24" s="220"/>
      <c r="AQ24" s="220"/>
      <c r="AR24" s="220"/>
      <c r="AS24" s="205"/>
      <c r="AT24" s="222"/>
      <c r="AU24" s="222"/>
      <c r="AV24" s="222"/>
      <c r="AW24" s="222"/>
      <c r="AX24" s="222"/>
      <c r="AY24" s="222"/>
      <c r="AZ24" s="222"/>
      <c r="BA24" s="222"/>
      <c r="BB24" s="222"/>
      <c r="BC24" s="222"/>
      <c r="BD24" s="222"/>
      <c r="BE24" s="222"/>
      <c r="BF24" s="222"/>
      <c r="BH24" s="223"/>
      <c r="BI24" s="223"/>
      <c r="BJ24" s="223"/>
      <c r="BK24" s="223"/>
      <c r="BL24" s="223"/>
      <c r="BN24" s="224"/>
      <c r="BO24" s="224"/>
      <c r="BP24" s="224"/>
      <c r="BQ24" s="224"/>
      <c r="BR24" s="223"/>
      <c r="BT24" s="172"/>
      <c r="BU24" s="172"/>
      <c r="BV24" s="172"/>
      <c r="BW24" s="172"/>
      <c r="BX24" s="172"/>
      <c r="BZ24" s="138"/>
      <c r="CA24" s="138"/>
    </row>
    <row r="25" spans="1:79" ht="15.6" hidden="1" thickTop="1">
      <c r="A25" s="641"/>
      <c r="B25" s="174"/>
      <c r="C25" s="225"/>
      <c r="D25" s="226"/>
      <c r="E25" s="226"/>
      <c r="F25" s="226"/>
      <c r="G25" s="226"/>
      <c r="H25" s="226"/>
      <c r="I25" s="226"/>
      <c r="J25" s="226"/>
      <c r="K25" s="226"/>
      <c r="L25" s="226"/>
      <c r="M25" s="226"/>
      <c r="N25" s="226"/>
      <c r="O25" s="226"/>
      <c r="P25" s="226"/>
      <c r="Q25" s="227"/>
      <c r="R25" s="228"/>
      <c r="S25" s="228"/>
      <c r="T25" s="130"/>
      <c r="U25" s="130"/>
      <c r="V25" s="130"/>
      <c r="W25" s="130"/>
      <c r="X25" s="130"/>
      <c r="Y25" s="130"/>
      <c r="Z25" s="130"/>
      <c r="AA25" s="130"/>
      <c r="AB25" s="130"/>
      <c r="AD25" s="173"/>
      <c r="AE25" s="229"/>
      <c r="AF25" s="230"/>
      <c r="AG25" s="230"/>
      <c r="AH25" s="228"/>
      <c r="AI25" s="228"/>
      <c r="AJ25" s="228"/>
      <c r="AK25" s="228"/>
      <c r="AL25" s="228"/>
      <c r="AM25" s="228"/>
      <c r="AN25" s="228"/>
      <c r="AO25" s="228"/>
      <c r="AP25" s="228"/>
      <c r="AQ25" s="228"/>
      <c r="AR25" s="173"/>
      <c r="AT25" s="184"/>
      <c r="AU25" s="184"/>
      <c r="AV25" s="184"/>
      <c r="AW25" s="184"/>
      <c r="AX25" s="184"/>
      <c r="AY25" s="184"/>
      <c r="AZ25" s="184"/>
      <c r="BA25" s="184"/>
      <c r="BB25" s="184"/>
      <c r="BC25" s="184"/>
      <c r="BD25" s="184"/>
      <c r="BE25" s="184"/>
      <c r="BF25" s="184"/>
      <c r="BH25" s="176"/>
      <c r="BI25" s="176"/>
      <c r="BJ25" s="176"/>
      <c r="BK25" s="176"/>
      <c r="BL25" s="176"/>
      <c r="BN25" s="231"/>
      <c r="BO25" s="231"/>
      <c r="BP25" s="231"/>
      <c r="BQ25" s="231"/>
      <c r="BR25" s="176"/>
      <c r="BT25" s="232"/>
      <c r="BU25" s="232"/>
      <c r="BV25" s="232"/>
      <c r="BW25" s="232"/>
      <c r="BX25" s="232"/>
    </row>
    <row r="26" spans="1:79" hidden="1">
      <c r="A26" s="641"/>
      <c r="B26" s="150"/>
      <c r="C26" s="203"/>
      <c r="D26" s="204"/>
      <c r="E26" s="204"/>
      <c r="F26" s="204"/>
      <c r="G26" s="204"/>
      <c r="H26" s="204"/>
      <c r="I26" s="204"/>
      <c r="J26" s="204"/>
      <c r="K26" s="204"/>
      <c r="L26" s="204"/>
      <c r="M26" s="204"/>
      <c r="N26" s="204"/>
      <c r="O26" s="204"/>
      <c r="P26" s="204"/>
      <c r="Q26" s="205"/>
      <c r="R26" s="204"/>
      <c r="S26" s="204"/>
      <c r="T26" s="233"/>
      <c r="U26" s="233"/>
      <c r="V26" s="233"/>
      <c r="W26" s="233"/>
      <c r="X26" s="233"/>
      <c r="Y26" s="233"/>
      <c r="Z26" s="233"/>
      <c r="AA26" s="233"/>
      <c r="AB26" s="233"/>
      <c r="AC26" s="233"/>
      <c r="AD26" s="204"/>
      <c r="AE26" s="208"/>
      <c r="AF26" s="204"/>
      <c r="AG26" s="204"/>
      <c r="AH26" s="204"/>
      <c r="AI26" s="204"/>
      <c r="AJ26" s="204"/>
      <c r="AK26" s="204"/>
      <c r="AL26" s="204"/>
      <c r="AM26" s="204"/>
      <c r="AN26" s="204"/>
      <c r="AO26" s="204"/>
      <c r="AP26" s="204"/>
      <c r="AQ26" s="204"/>
      <c r="AR26" s="204"/>
      <c r="AS26" s="205"/>
      <c r="AT26" s="209"/>
      <c r="AU26" s="209"/>
      <c r="AV26" s="209"/>
      <c r="AW26" s="209"/>
      <c r="AX26" s="209"/>
      <c r="AY26" s="209"/>
      <c r="AZ26" s="209"/>
      <c r="BA26" s="209"/>
      <c r="BB26" s="209"/>
      <c r="BC26" s="209"/>
      <c r="BD26" s="209"/>
      <c r="BE26" s="209"/>
      <c r="BF26" s="209"/>
      <c r="BH26" s="210"/>
      <c r="BI26" s="210"/>
      <c r="BJ26" s="210"/>
      <c r="BK26" s="210"/>
      <c r="BL26" s="210"/>
      <c r="BN26" s="234"/>
      <c r="BO26" s="234"/>
      <c r="BP26" s="234"/>
      <c r="BQ26" s="234"/>
      <c r="BR26" s="210"/>
      <c r="BT26" s="156"/>
      <c r="BU26" s="156"/>
      <c r="BV26" s="156"/>
      <c r="BW26" s="156"/>
      <c r="BX26" s="156"/>
      <c r="BZ26" s="178"/>
      <c r="CA26" s="178"/>
    </row>
    <row r="27" spans="1:79" hidden="1">
      <c r="A27" s="641"/>
      <c r="B27" s="157"/>
      <c r="C27" s="213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05"/>
      <c r="R27" s="214"/>
      <c r="S27" s="214"/>
      <c r="T27" s="215"/>
      <c r="U27" s="215"/>
      <c r="V27" s="215"/>
      <c r="W27" s="215"/>
      <c r="X27" s="215"/>
      <c r="Y27" s="215"/>
      <c r="Z27" s="215"/>
      <c r="AA27" s="215"/>
      <c r="AB27" s="215"/>
      <c r="AC27" s="215"/>
      <c r="AD27" s="214"/>
      <c r="AE27" s="208"/>
      <c r="AF27" s="214"/>
      <c r="AG27" s="214"/>
      <c r="AH27" s="214"/>
      <c r="AI27" s="214"/>
      <c r="AJ27" s="214"/>
      <c r="AK27" s="214"/>
      <c r="AL27" s="214"/>
      <c r="AM27" s="214"/>
      <c r="AN27" s="214"/>
      <c r="AO27" s="214"/>
      <c r="AP27" s="214"/>
      <c r="AQ27" s="214"/>
      <c r="AR27" s="214"/>
      <c r="AS27" s="205"/>
      <c r="AT27" s="216"/>
      <c r="AU27" s="216"/>
      <c r="AV27" s="216"/>
      <c r="AW27" s="216"/>
      <c r="AX27" s="216"/>
      <c r="AY27" s="216"/>
      <c r="AZ27" s="216"/>
      <c r="BA27" s="216"/>
      <c r="BB27" s="216"/>
      <c r="BC27" s="216"/>
      <c r="BD27" s="216"/>
      <c r="BE27" s="216"/>
      <c r="BF27" s="216"/>
      <c r="BH27" s="217"/>
      <c r="BI27" s="217"/>
      <c r="BJ27" s="217"/>
      <c r="BK27" s="217"/>
      <c r="BL27" s="210"/>
      <c r="BN27" s="218"/>
      <c r="BO27" s="218"/>
      <c r="BP27" s="218"/>
      <c r="BQ27" s="218"/>
      <c r="BR27" s="210"/>
      <c r="BT27" s="163"/>
      <c r="BU27" s="163"/>
      <c r="BV27" s="163"/>
      <c r="BW27" s="163"/>
      <c r="BX27" s="163"/>
      <c r="BZ27" s="178"/>
      <c r="CA27" s="178"/>
    </row>
    <row r="28" spans="1:79" ht="15.6" hidden="1" thickBot="1">
      <c r="A28" s="641"/>
      <c r="B28" s="179"/>
      <c r="C28" s="219"/>
      <c r="D28" s="220"/>
      <c r="E28" s="220"/>
      <c r="F28" s="220"/>
      <c r="G28" s="220"/>
      <c r="H28" s="220"/>
      <c r="I28" s="220"/>
      <c r="J28" s="220"/>
      <c r="K28" s="220"/>
      <c r="L28" s="220"/>
      <c r="M28" s="220"/>
      <c r="N28" s="220"/>
      <c r="O28" s="220"/>
      <c r="P28" s="220"/>
      <c r="Q28" s="205"/>
      <c r="R28" s="220"/>
      <c r="S28" s="220"/>
      <c r="T28" s="221"/>
      <c r="U28" s="221"/>
      <c r="V28" s="221"/>
      <c r="W28" s="221"/>
      <c r="X28" s="221"/>
      <c r="Y28" s="221"/>
      <c r="Z28" s="221"/>
      <c r="AA28" s="221"/>
      <c r="AB28" s="221"/>
      <c r="AC28" s="221"/>
      <c r="AD28" s="220"/>
      <c r="AE28" s="208"/>
      <c r="AF28" s="220"/>
      <c r="AG28" s="220"/>
      <c r="AH28" s="220"/>
      <c r="AI28" s="220"/>
      <c r="AJ28" s="220"/>
      <c r="AK28" s="220"/>
      <c r="AL28" s="220"/>
      <c r="AM28" s="220"/>
      <c r="AN28" s="220"/>
      <c r="AO28" s="220"/>
      <c r="AP28" s="220"/>
      <c r="AQ28" s="220"/>
      <c r="AR28" s="220"/>
      <c r="AS28" s="205"/>
      <c r="AT28" s="222"/>
      <c r="AU28" s="222"/>
      <c r="AV28" s="222"/>
      <c r="AW28" s="222"/>
      <c r="AX28" s="222"/>
      <c r="AY28" s="222"/>
      <c r="AZ28" s="222"/>
      <c r="BA28" s="222"/>
      <c r="BB28" s="222"/>
      <c r="BC28" s="222"/>
      <c r="BD28" s="222"/>
      <c r="BE28" s="222"/>
      <c r="BF28" s="222"/>
      <c r="BH28" s="223"/>
      <c r="BI28" s="223"/>
      <c r="BJ28" s="223"/>
      <c r="BK28" s="223"/>
      <c r="BL28" s="223"/>
      <c r="BN28" s="224"/>
      <c r="BO28" s="224"/>
      <c r="BP28" s="224"/>
      <c r="BQ28" s="224"/>
      <c r="BR28" s="223"/>
      <c r="BT28" s="172"/>
      <c r="BU28" s="172"/>
      <c r="BV28" s="172"/>
      <c r="BW28" s="172"/>
      <c r="BX28" s="172"/>
      <c r="BZ28" s="138"/>
      <c r="CA28" s="235"/>
    </row>
    <row r="29" spans="1:79" ht="16.2" hidden="1" thickTop="1">
      <c r="A29" s="641"/>
      <c r="B29" s="181"/>
      <c r="C29" s="151"/>
      <c r="D29" s="236"/>
      <c r="E29" s="236"/>
      <c r="F29" s="236"/>
      <c r="G29" s="236"/>
      <c r="H29" s="236"/>
      <c r="I29" s="236"/>
      <c r="J29" s="236"/>
      <c r="K29" s="236"/>
      <c r="L29" s="236"/>
      <c r="M29" s="236"/>
      <c r="N29" s="236"/>
      <c r="O29" s="236"/>
      <c r="P29" s="236"/>
      <c r="Q29" s="187"/>
      <c r="R29" s="237"/>
      <c r="S29" s="237"/>
      <c r="T29" s="182"/>
      <c r="U29" s="182"/>
      <c r="V29" s="182"/>
      <c r="W29" s="182"/>
      <c r="X29" s="182"/>
      <c r="Y29" s="182"/>
      <c r="Z29" s="182"/>
      <c r="AA29" s="182"/>
      <c r="AB29" s="182"/>
      <c r="AC29" s="182"/>
      <c r="AD29" s="237"/>
      <c r="AE29" s="238"/>
      <c r="AF29" s="236"/>
      <c r="AG29" s="236"/>
      <c r="AH29" s="236"/>
      <c r="AI29" s="236"/>
      <c r="AJ29" s="236"/>
      <c r="AK29" s="236"/>
      <c r="AL29" s="236"/>
      <c r="AM29" s="236"/>
      <c r="AN29" s="236"/>
      <c r="AO29" s="236"/>
      <c r="AP29" s="236"/>
      <c r="AQ29" s="236"/>
      <c r="AR29" s="236"/>
      <c r="AS29" s="151"/>
      <c r="AT29" s="183"/>
      <c r="AU29" s="183"/>
      <c r="AV29" s="183"/>
      <c r="AW29" s="183"/>
      <c r="AX29" s="183"/>
      <c r="AY29" s="183"/>
      <c r="AZ29" s="183"/>
      <c r="BA29" s="183"/>
      <c r="BB29" s="183"/>
      <c r="BC29" s="183"/>
      <c r="BD29" s="183"/>
      <c r="BE29" s="183"/>
      <c r="BF29" s="183"/>
      <c r="BH29" s="155"/>
      <c r="BI29" s="155"/>
      <c r="BJ29" s="155"/>
      <c r="BK29" s="155"/>
      <c r="BL29" s="155"/>
      <c r="BN29" s="239"/>
      <c r="BO29" s="239"/>
      <c r="BP29" s="239"/>
      <c r="BQ29" s="239"/>
      <c r="BR29" s="155"/>
      <c r="BT29" s="156"/>
      <c r="BU29" s="156"/>
      <c r="BV29" s="156"/>
      <c r="BW29" s="156"/>
      <c r="BX29" s="156"/>
    </row>
    <row r="30" spans="1:79">
      <c r="A30" s="641"/>
      <c r="B30" s="150" t="s">
        <v>52</v>
      </c>
      <c r="C30" s="151"/>
      <c r="D30" s="204">
        <v>130869.92175454524</v>
      </c>
      <c r="E30" s="204">
        <v>116802.52774135966</v>
      </c>
      <c r="F30" s="204">
        <v>144158.37740099509</v>
      </c>
      <c r="G30" s="204">
        <v>151366.47062196894</v>
      </c>
      <c r="H30" s="204">
        <v>163986.35760736122</v>
      </c>
      <c r="I30" s="204">
        <v>160934.9718013386</v>
      </c>
      <c r="J30" s="204">
        <v>173757.43883396068</v>
      </c>
      <c r="K30" s="204">
        <v>172135.44400303863</v>
      </c>
      <c r="L30" s="204">
        <v>181612.6309394899</v>
      </c>
      <c r="M30" s="204">
        <v>194868.13323077853</v>
      </c>
      <c r="N30" s="204">
        <v>185990.90214442968</v>
      </c>
      <c r="O30" s="204">
        <v>196123.13693829119</v>
      </c>
      <c r="P30" s="204">
        <f>SUM(D30:O30)</f>
        <v>1972606.3130175574</v>
      </c>
      <c r="Q30" s="151"/>
      <c r="R30" s="208">
        <f>'VN_YouTube Performance'!S6</f>
        <v>115656.79299999999</v>
      </c>
      <c r="S30" s="208">
        <f>'VN_YouTube Performance'!S7</f>
        <v>94450.7</v>
      </c>
      <c r="T30" s="233">
        <f>'VN_YouTube Performance'!S8</f>
        <v>125455.74999999999</v>
      </c>
      <c r="U30" s="233">
        <f>'VN_YouTube Performance'!S9</f>
        <v>116613.42000000001</v>
      </c>
      <c r="V30" s="233">
        <f>'VN_YouTube Performance'!S10</f>
        <v>122478.54000000001</v>
      </c>
      <c r="W30" s="233">
        <f>'VN_YouTube Performance'!S11</f>
        <v>123175.16000000003</v>
      </c>
      <c r="X30" s="233">
        <f>'VN_YouTube Performance'!S12</f>
        <v>121549.84</v>
      </c>
      <c r="Y30" s="233">
        <f>'VN_YouTube Performance'!S13</f>
        <v>151945.83000000729</v>
      </c>
      <c r="Z30" s="233">
        <f>'VN_YouTube Performance'!S14</f>
        <v>0</v>
      </c>
      <c r="AA30" s="233">
        <f>'VN_YouTube Performance'!S15</f>
        <v>0</v>
      </c>
      <c r="AB30" s="233">
        <f>'VN_YouTube Performance'!S16</f>
        <v>0</v>
      </c>
      <c r="AC30" s="233">
        <f>'VN_YouTube Performance'!S17</f>
        <v>0</v>
      </c>
      <c r="AD30" s="204">
        <f>SUM(R30:AC30)</f>
        <v>971326.03300000727</v>
      </c>
      <c r="AE30" s="240"/>
      <c r="AF30" s="204">
        <f t="shared" ref="AF30:AQ31" si="20">R30-D30</f>
        <v>-15213.128754545251</v>
      </c>
      <c r="AG30" s="204">
        <f t="shared" si="20"/>
        <v>-22351.827741359666</v>
      </c>
      <c r="AH30" s="204">
        <f t="shared" si="20"/>
        <v>-18702.627400995101</v>
      </c>
      <c r="AI30" s="204">
        <f t="shared" si="20"/>
        <v>-34753.050621968927</v>
      </c>
      <c r="AJ30" s="204">
        <f t="shared" si="20"/>
        <v>-41507.817607361212</v>
      </c>
      <c r="AK30" s="204">
        <f t="shared" si="20"/>
        <v>-37759.811801338568</v>
      </c>
      <c r="AL30" s="204">
        <f t="shared" si="20"/>
        <v>-52207.598833960685</v>
      </c>
      <c r="AM30" s="204">
        <f t="shared" si="20"/>
        <v>-20189.61400303134</v>
      </c>
      <c r="AN30" s="204">
        <f t="shared" si="20"/>
        <v>-181612.6309394899</v>
      </c>
      <c r="AO30" s="204">
        <f t="shared" si="20"/>
        <v>-194868.13323077853</v>
      </c>
      <c r="AP30" s="204">
        <f t="shared" si="20"/>
        <v>-185990.90214442968</v>
      </c>
      <c r="AQ30" s="204">
        <f t="shared" si="20"/>
        <v>-196123.13693829119</v>
      </c>
      <c r="AR30" s="204">
        <f>SUM(AF30:AQ30)</f>
        <v>-1001280.2800175501</v>
      </c>
      <c r="AS30" s="151"/>
      <c r="AT30" s="209">
        <f t="shared" ref="AT30:BF32" si="21">R30/D30</f>
        <v>0.88375381790875962</v>
      </c>
      <c r="AU30" s="209">
        <f t="shared" si="21"/>
        <v>0.80863575323597292</v>
      </c>
      <c r="AV30" s="209">
        <f t="shared" si="21"/>
        <v>0.87026333302176861</v>
      </c>
      <c r="AW30" s="209">
        <f t="shared" si="21"/>
        <v>0.77040456529660961</v>
      </c>
      <c r="AX30" s="209">
        <f t="shared" si="21"/>
        <v>0.74688249551377339</v>
      </c>
      <c r="AY30" s="209">
        <f t="shared" si="21"/>
        <v>0.76537224085794076</v>
      </c>
      <c r="AZ30" s="209">
        <f t="shared" si="21"/>
        <v>0.69953747485971363</v>
      </c>
      <c r="BA30" s="209">
        <f t="shared" si="21"/>
        <v>0.88271088432737344</v>
      </c>
      <c r="BB30" s="209">
        <f t="shared" si="21"/>
        <v>0</v>
      </c>
      <c r="BC30" s="209">
        <f t="shared" si="21"/>
        <v>0</v>
      </c>
      <c r="BD30" s="209">
        <f t="shared" si="21"/>
        <v>0</v>
      </c>
      <c r="BE30" s="209">
        <f t="shared" si="21"/>
        <v>0</v>
      </c>
      <c r="BF30" s="209">
        <f t="shared" si="21"/>
        <v>0.49240744419708338</v>
      </c>
      <c r="BH30" s="155">
        <f>SUM(D30:F30)</f>
        <v>391830.82689689996</v>
      </c>
      <c r="BI30" s="155">
        <f>SUM(G30:I30)</f>
        <v>476287.80003066873</v>
      </c>
      <c r="BJ30" s="155">
        <f>SUM(J30:L30)</f>
        <v>527505.51377648918</v>
      </c>
      <c r="BK30" s="155">
        <f>SUM(M30:O30)</f>
        <v>576982.1723134995</v>
      </c>
      <c r="BL30" s="155">
        <f t="shared" ref="BL30:BL32" si="22">SUM(BH30:BK30)</f>
        <v>1972606.3130175574</v>
      </c>
      <c r="BN30" s="239">
        <f>SUM(R30:T30)</f>
        <v>335563.24299999996</v>
      </c>
      <c r="BO30" s="234">
        <f>SUM(U30:W30)</f>
        <v>362267.12000000005</v>
      </c>
      <c r="BP30" s="234">
        <f>SUM(X30:Z30)</f>
        <v>273495.67000000726</v>
      </c>
      <c r="BQ30" s="239">
        <f>SUM(AA30:AC30)</f>
        <v>0</v>
      </c>
      <c r="BR30" s="155">
        <f t="shared" ref="BR30:BR32" si="23">SUM(BN30:BQ30)</f>
        <v>971326.03300000727</v>
      </c>
      <c r="BT30" s="156">
        <f t="shared" ref="BT30:BX32" si="24">BN30/BH30</f>
        <v>0.85639827181921713</v>
      </c>
      <c r="BU30" s="156">
        <f t="shared" si="24"/>
        <v>0.76060549939904665</v>
      </c>
      <c r="BV30" s="156">
        <f t="shared" si="24"/>
        <v>0.51846978440473868</v>
      </c>
      <c r="BW30" s="156">
        <f t="shared" si="24"/>
        <v>0</v>
      </c>
      <c r="BX30" s="156">
        <f t="shared" si="24"/>
        <v>0.49240744419708338</v>
      </c>
      <c r="BZ30" s="138"/>
      <c r="CA30" s="138"/>
    </row>
    <row r="31" spans="1:79">
      <c r="A31" s="641"/>
      <c r="B31" s="157" t="s">
        <v>53</v>
      </c>
      <c r="C31" s="158"/>
      <c r="D31" s="214">
        <v>23923.753448526528</v>
      </c>
      <c r="E31" s="214">
        <v>21352.155165874989</v>
      </c>
      <c r="F31" s="214">
        <v>26352.957442348776</v>
      </c>
      <c r="G31" s="214">
        <v>27670.637186790012</v>
      </c>
      <c r="H31" s="214">
        <v>29977.623091106932</v>
      </c>
      <c r="I31" s="214">
        <v>29419.812704114142</v>
      </c>
      <c r="J31" s="214">
        <v>31763.831373779591</v>
      </c>
      <c r="K31" s="214">
        <v>31467.321649394311</v>
      </c>
      <c r="L31" s="214">
        <v>33199.804412534511</v>
      </c>
      <c r="M31" s="214">
        <v>35622.984348776459</v>
      </c>
      <c r="N31" s="214">
        <v>34000.176869654315</v>
      </c>
      <c r="O31" s="214">
        <v>35852.406043792311</v>
      </c>
      <c r="P31" s="214">
        <f>SUM(D31:O31)</f>
        <v>360603.46373669291</v>
      </c>
      <c r="Q31" s="151"/>
      <c r="R31" s="241">
        <f>'VN_YouTube Performance'!AD6</f>
        <v>32712.477000000003</v>
      </c>
      <c r="S31" s="241">
        <f>'VN_YouTube Performance'!AD7</f>
        <v>23762.960000000003</v>
      </c>
      <c r="T31" s="215">
        <f>'VN_YouTube Performance'!AD8</f>
        <v>42691.080000000009</v>
      </c>
      <c r="U31" s="215">
        <f>'VN_YouTube Performance'!AD9</f>
        <v>53677.130000000005</v>
      </c>
      <c r="V31" s="215">
        <f>'VN_YouTube Performance'!AD10</f>
        <v>84308.000000000015</v>
      </c>
      <c r="W31" s="215">
        <f>'VN_YouTube Performance'!AD11</f>
        <v>108927.82</v>
      </c>
      <c r="X31" s="215">
        <f>'VN_YouTube Performance'!AD12</f>
        <v>83338</v>
      </c>
      <c r="Y31" s="215">
        <f>'VN_YouTube Performance'!AD13</f>
        <v>81360.811000010523</v>
      </c>
      <c r="Z31" s="215">
        <f>'VN_YouTube Performance'!AD14</f>
        <v>0</v>
      </c>
      <c r="AA31" s="215">
        <f>'VN_YouTube Performance'!AD15</f>
        <v>0</v>
      </c>
      <c r="AB31" s="215">
        <f>'VN_YouTube Performance'!AD16</f>
        <v>0</v>
      </c>
      <c r="AC31" s="215">
        <f>'VN_YouTube Performance'!AD17</f>
        <v>0</v>
      </c>
      <c r="AD31" s="214">
        <f>SUM(R31:AC31)</f>
        <v>510778.27800001058</v>
      </c>
      <c r="AE31" s="240"/>
      <c r="AF31" s="214">
        <f t="shared" si="20"/>
        <v>8788.7235514734748</v>
      </c>
      <c r="AG31" s="214">
        <f t="shared" si="20"/>
        <v>2410.8048341250142</v>
      </c>
      <c r="AH31" s="214">
        <f t="shared" si="20"/>
        <v>16338.122557651233</v>
      </c>
      <c r="AI31" s="214">
        <f t="shared" si="20"/>
        <v>26006.492813209992</v>
      </c>
      <c r="AJ31" s="214">
        <f t="shared" si="20"/>
        <v>54330.376908893086</v>
      </c>
      <c r="AK31" s="214">
        <f t="shared" si="20"/>
        <v>79508.007295885865</v>
      </c>
      <c r="AL31" s="214">
        <f t="shared" si="20"/>
        <v>51574.168626220409</v>
      </c>
      <c r="AM31" s="214">
        <f t="shared" si="20"/>
        <v>49893.489350616212</v>
      </c>
      <c r="AN31" s="214">
        <f t="shared" si="20"/>
        <v>-33199.804412534511</v>
      </c>
      <c r="AO31" s="214">
        <f t="shared" si="20"/>
        <v>-35622.984348776459</v>
      </c>
      <c r="AP31" s="214">
        <f t="shared" si="20"/>
        <v>-34000.176869654315</v>
      </c>
      <c r="AQ31" s="214">
        <f t="shared" si="20"/>
        <v>-35852.406043792311</v>
      </c>
      <c r="AR31" s="214">
        <f>SUM(AF31:AQ31)</f>
        <v>150174.81426331768</v>
      </c>
      <c r="AS31" s="151"/>
      <c r="AT31" s="216">
        <f t="shared" si="21"/>
        <v>1.3673639076068465</v>
      </c>
      <c r="AU31" s="216">
        <f t="shared" si="21"/>
        <v>1.1129068618786531</v>
      </c>
      <c r="AV31" s="216">
        <f t="shared" si="21"/>
        <v>1.6199730179579821</v>
      </c>
      <c r="AW31" s="216">
        <f t="shared" si="21"/>
        <v>1.9398588343901786</v>
      </c>
      <c r="AX31" s="216">
        <f t="shared" si="21"/>
        <v>2.8123644007323101</v>
      </c>
      <c r="AY31" s="216">
        <f t="shared" si="21"/>
        <v>3.7025327487814788</v>
      </c>
      <c r="AZ31" s="216">
        <f t="shared" si="21"/>
        <v>2.6236759356679453</v>
      </c>
      <c r="BA31" s="216">
        <f t="shared" si="21"/>
        <v>2.5855651747716055</v>
      </c>
      <c r="BB31" s="216">
        <f t="shared" si="21"/>
        <v>0</v>
      </c>
      <c r="BC31" s="216">
        <f t="shared" si="21"/>
        <v>0</v>
      </c>
      <c r="BD31" s="216">
        <f t="shared" si="21"/>
        <v>0</v>
      </c>
      <c r="BE31" s="216">
        <f t="shared" si="21"/>
        <v>0</v>
      </c>
      <c r="BF31" s="216">
        <f t="shared" si="21"/>
        <v>1.4164541646581992</v>
      </c>
      <c r="BH31" s="162">
        <f>SUM(D31:F31)</f>
        <v>71628.866056750296</v>
      </c>
      <c r="BI31" s="162">
        <f>SUM(G31:I31)</f>
        <v>87068.072982011086</v>
      </c>
      <c r="BJ31" s="162">
        <f>SUM(J31:L31)</f>
        <v>96430.957435708406</v>
      </c>
      <c r="BK31" s="162">
        <f>SUM(M31:O31)</f>
        <v>105475.56726222308</v>
      </c>
      <c r="BL31" s="162">
        <f t="shared" si="22"/>
        <v>360603.46373669285</v>
      </c>
      <c r="BN31" s="242">
        <f>SUM(R31:T31)</f>
        <v>99166.517000000022</v>
      </c>
      <c r="BO31" s="218">
        <f>SUM(U31:W31)</f>
        <v>246912.95</v>
      </c>
      <c r="BP31" s="218">
        <f>SUM(X31:Z31)</f>
        <v>164698.81100001052</v>
      </c>
      <c r="BQ31" s="242">
        <f>SUM(AA31:AC31)</f>
        <v>0</v>
      </c>
      <c r="BR31" s="162">
        <f t="shared" si="23"/>
        <v>510778.27800001058</v>
      </c>
      <c r="BT31" s="163">
        <f t="shared" si="24"/>
        <v>1.3844490700359842</v>
      </c>
      <c r="BU31" s="163">
        <f t="shared" si="24"/>
        <v>2.8358609711164053</v>
      </c>
      <c r="BV31" s="163">
        <f t="shared" si="24"/>
        <v>1.7079454086081958</v>
      </c>
      <c r="BW31" s="163">
        <f t="shared" si="24"/>
        <v>0</v>
      </c>
      <c r="BX31" s="163">
        <f t="shared" si="24"/>
        <v>1.4164541646581994</v>
      </c>
      <c r="BZ31" s="138"/>
      <c r="CA31" s="138"/>
    </row>
    <row r="32" spans="1:79" ht="16.2" thickBot="1">
      <c r="A32" s="641"/>
      <c r="B32" s="164" t="s">
        <v>54</v>
      </c>
      <c r="C32" s="165"/>
      <c r="D32" s="220">
        <f>SUM(D30:D31)</f>
        <v>154793.67520307176</v>
      </c>
      <c r="E32" s="220">
        <f t="shared" ref="E32:P32" si="25">SUM(E30:E31)</f>
        <v>138154.68290723464</v>
      </c>
      <c r="F32" s="220">
        <f t="shared" si="25"/>
        <v>170511.33484334385</v>
      </c>
      <c r="G32" s="220">
        <f t="shared" si="25"/>
        <v>179037.10780875894</v>
      </c>
      <c r="H32" s="220">
        <f t="shared" si="25"/>
        <v>193963.98069846816</v>
      </c>
      <c r="I32" s="220">
        <f t="shared" si="25"/>
        <v>190354.78450545273</v>
      </c>
      <c r="J32" s="220">
        <f t="shared" si="25"/>
        <v>205521.27020774028</v>
      </c>
      <c r="K32" s="220">
        <f t="shared" si="25"/>
        <v>203602.76565243295</v>
      </c>
      <c r="L32" s="220">
        <f t="shared" si="25"/>
        <v>214812.43535202442</v>
      </c>
      <c r="M32" s="220">
        <f t="shared" si="25"/>
        <v>230491.11757955499</v>
      </c>
      <c r="N32" s="220">
        <f t="shared" si="25"/>
        <v>219991.07901408401</v>
      </c>
      <c r="O32" s="220">
        <f t="shared" si="25"/>
        <v>231975.54298208351</v>
      </c>
      <c r="P32" s="220">
        <f t="shared" si="25"/>
        <v>2333209.7767542503</v>
      </c>
      <c r="Q32" s="187"/>
      <c r="R32" s="220">
        <f t="shared" ref="R32:AD32" si="26">SUM(R30:R31)</f>
        <v>148369.26999999999</v>
      </c>
      <c r="S32" s="220">
        <f t="shared" si="26"/>
        <v>118213.66</v>
      </c>
      <c r="T32" s="221">
        <f t="shared" si="26"/>
        <v>168146.83</v>
      </c>
      <c r="U32" s="221">
        <f t="shared" si="26"/>
        <v>170290.55000000002</v>
      </c>
      <c r="V32" s="221">
        <f t="shared" si="26"/>
        <v>206786.54000000004</v>
      </c>
      <c r="W32" s="221">
        <f t="shared" si="26"/>
        <v>232102.98000000004</v>
      </c>
      <c r="X32" s="221">
        <f t="shared" si="26"/>
        <v>204887.84</v>
      </c>
      <c r="Y32" s="221">
        <f t="shared" si="26"/>
        <v>233306.64100001781</v>
      </c>
      <c r="Z32" s="221">
        <f t="shared" si="26"/>
        <v>0</v>
      </c>
      <c r="AA32" s="221">
        <f t="shared" si="26"/>
        <v>0</v>
      </c>
      <c r="AB32" s="221">
        <f t="shared" si="26"/>
        <v>0</v>
      </c>
      <c r="AC32" s="221">
        <f t="shared" si="26"/>
        <v>0</v>
      </c>
      <c r="AD32" s="220">
        <f t="shared" si="26"/>
        <v>1482104.3110000179</v>
      </c>
      <c r="AE32" s="238"/>
      <c r="AF32" s="220">
        <f t="shared" ref="AF32:AR32" si="27">SUM(AF30:AF31)</f>
        <v>-6424.4052030717758</v>
      </c>
      <c r="AG32" s="220">
        <f t="shared" si="27"/>
        <v>-19941.022907234652</v>
      </c>
      <c r="AH32" s="220">
        <f t="shared" si="27"/>
        <v>-2364.5048433438678</v>
      </c>
      <c r="AI32" s="220">
        <f t="shared" si="27"/>
        <v>-8746.5578087589347</v>
      </c>
      <c r="AJ32" s="220">
        <f t="shared" si="27"/>
        <v>12822.559301531874</v>
      </c>
      <c r="AK32" s="220">
        <f t="shared" si="27"/>
        <v>41748.195494547297</v>
      </c>
      <c r="AL32" s="220">
        <f t="shared" si="27"/>
        <v>-633.43020774027536</v>
      </c>
      <c r="AM32" s="220">
        <f t="shared" si="27"/>
        <v>29703.875347584872</v>
      </c>
      <c r="AN32" s="220">
        <f t="shared" si="27"/>
        <v>-214812.43535202442</v>
      </c>
      <c r="AO32" s="220">
        <f t="shared" si="27"/>
        <v>-230491.11757955499</v>
      </c>
      <c r="AP32" s="220">
        <f t="shared" si="27"/>
        <v>-219991.07901408401</v>
      </c>
      <c r="AQ32" s="220">
        <f t="shared" si="27"/>
        <v>-231975.54298208351</v>
      </c>
      <c r="AR32" s="220">
        <f t="shared" si="27"/>
        <v>-851105.46575423237</v>
      </c>
      <c r="AS32" s="151"/>
      <c r="AT32" s="222">
        <f t="shared" si="21"/>
        <v>0.95849697867407258</v>
      </c>
      <c r="AU32" s="222">
        <f t="shared" si="21"/>
        <v>0.85566162154181746</v>
      </c>
      <c r="AV32" s="222">
        <f t="shared" si="21"/>
        <v>0.9861328582905281</v>
      </c>
      <c r="AW32" s="222">
        <f t="shared" si="21"/>
        <v>0.95114667615105974</v>
      </c>
      <c r="AX32" s="222">
        <f t="shared" si="21"/>
        <v>1.0661079405328637</v>
      </c>
      <c r="AY32" s="222">
        <f t="shared" si="21"/>
        <v>1.2193178154308564</v>
      </c>
      <c r="AZ32" s="222">
        <f t="shared" si="21"/>
        <v>0.99691793356911418</v>
      </c>
      <c r="BA32" s="222">
        <f t="shared" si="21"/>
        <v>1.1458913156331672</v>
      </c>
      <c r="BB32" s="222">
        <f t="shared" si="21"/>
        <v>0</v>
      </c>
      <c r="BC32" s="222">
        <f t="shared" si="21"/>
        <v>0</v>
      </c>
      <c r="BD32" s="222">
        <f t="shared" si="21"/>
        <v>0</v>
      </c>
      <c r="BE32" s="222">
        <f t="shared" si="21"/>
        <v>0</v>
      </c>
      <c r="BF32" s="222">
        <f t="shared" si="21"/>
        <v>0.63522119861069115</v>
      </c>
      <c r="BH32" s="171">
        <f>SUM(BH30:BH31)</f>
        <v>463459.69295365026</v>
      </c>
      <c r="BI32" s="171">
        <f>SUM(BI30:BI31)</f>
        <v>563355.87301267986</v>
      </c>
      <c r="BJ32" s="171">
        <f>SUM(BJ30:BJ31)</f>
        <v>623936.47121219756</v>
      </c>
      <c r="BK32" s="171">
        <f>SUM(BK30:BK31)</f>
        <v>682457.7395757226</v>
      </c>
      <c r="BL32" s="171">
        <f t="shared" si="22"/>
        <v>2333209.7767542503</v>
      </c>
      <c r="BN32" s="243">
        <f>SUM(BN30:BN31)</f>
        <v>434729.76</v>
      </c>
      <c r="BO32" s="224">
        <f>SUM(BO30:BO31)</f>
        <v>609180.07000000007</v>
      </c>
      <c r="BP32" s="224">
        <f>SUM(BP30:BP31)</f>
        <v>438194.48100001778</v>
      </c>
      <c r="BQ32" s="243">
        <f>SUM(BQ30:BQ31)</f>
        <v>0</v>
      </c>
      <c r="BR32" s="171">
        <f t="shared" si="23"/>
        <v>1482104.3110000179</v>
      </c>
      <c r="BT32" s="172">
        <f t="shared" si="24"/>
        <v>0.93800985632525447</v>
      </c>
      <c r="BU32" s="172">
        <f t="shared" si="24"/>
        <v>1.0813414738045852</v>
      </c>
      <c r="BV32" s="172">
        <f t="shared" si="24"/>
        <v>0.70230624625722526</v>
      </c>
      <c r="BW32" s="172">
        <f t="shared" si="24"/>
        <v>0</v>
      </c>
      <c r="BX32" s="172">
        <f t="shared" si="24"/>
        <v>0.63522119861069115</v>
      </c>
      <c r="BZ32" s="138"/>
      <c r="CA32" s="138"/>
    </row>
    <row r="33" spans="1:85" ht="16.2" thickTop="1">
      <c r="A33" s="641"/>
      <c r="B33" s="181"/>
      <c r="C33" s="151"/>
      <c r="D33" s="236"/>
      <c r="E33" s="236"/>
      <c r="F33" s="236"/>
      <c r="G33" s="236"/>
      <c r="H33" s="236"/>
      <c r="I33" s="236"/>
      <c r="J33" s="236"/>
      <c r="K33" s="236"/>
      <c r="L33" s="236"/>
      <c r="M33" s="236"/>
      <c r="N33" s="236"/>
      <c r="O33" s="236"/>
      <c r="P33" s="236"/>
      <c r="Q33" s="187"/>
      <c r="R33" s="237"/>
      <c r="S33" s="237"/>
      <c r="T33" s="182"/>
      <c r="U33" s="182"/>
      <c r="V33" s="182"/>
      <c r="W33" s="182"/>
      <c r="X33" s="182"/>
      <c r="Y33" s="182"/>
      <c r="Z33" s="182"/>
      <c r="AA33" s="182"/>
      <c r="AB33" s="182"/>
      <c r="AC33" s="182"/>
      <c r="AD33" s="237"/>
      <c r="AE33" s="238"/>
      <c r="AF33" s="236"/>
      <c r="AG33" s="236"/>
      <c r="AH33" s="236"/>
      <c r="AI33" s="236"/>
      <c r="AJ33" s="236"/>
      <c r="AK33" s="236"/>
      <c r="AL33" s="236"/>
      <c r="AM33" s="236"/>
      <c r="AN33" s="236"/>
      <c r="AO33" s="236"/>
      <c r="AP33" s="236"/>
      <c r="AQ33" s="236"/>
      <c r="AR33" s="236"/>
      <c r="AS33" s="151"/>
      <c r="AT33" s="183"/>
      <c r="AU33" s="183"/>
      <c r="AV33" s="183"/>
      <c r="AW33" s="183"/>
      <c r="AX33" s="183"/>
      <c r="AY33" s="183"/>
      <c r="AZ33" s="183"/>
      <c r="BA33" s="183"/>
      <c r="BB33" s="183"/>
      <c r="BC33" s="183"/>
      <c r="BD33" s="183"/>
      <c r="BE33" s="183"/>
      <c r="BF33" s="183"/>
      <c r="BH33" s="155"/>
      <c r="BI33" s="155"/>
      <c r="BJ33" s="155"/>
      <c r="BK33" s="155"/>
      <c r="BL33" s="155"/>
      <c r="BN33" s="239"/>
      <c r="BO33" s="239"/>
      <c r="BP33" s="239"/>
      <c r="BQ33" s="239"/>
      <c r="BR33" s="155"/>
      <c r="BT33" s="156"/>
      <c r="BU33" s="156"/>
      <c r="BV33" s="156"/>
      <c r="BW33" s="156"/>
      <c r="BX33" s="156"/>
    </row>
    <row r="34" spans="1:85">
      <c r="A34" s="641"/>
      <c r="B34" s="150" t="s">
        <v>52</v>
      </c>
      <c r="C34" s="151"/>
      <c r="D34" s="204">
        <v>5779.8408465960802</v>
      </c>
      <c r="E34" s="204">
        <v>5158.5575338799008</v>
      </c>
      <c r="F34" s="204">
        <v>6366.7225204277802</v>
      </c>
      <c r="G34" s="204">
        <v>6685.0663466187671</v>
      </c>
      <c r="H34" s="204">
        <v>7242.4208349510991</v>
      </c>
      <c r="I34" s="204">
        <v>7107.6570627724013</v>
      </c>
      <c r="J34" s="204">
        <v>7673.9584536166822</v>
      </c>
      <c r="K34" s="204">
        <v>7602.3234144033595</v>
      </c>
      <c r="L34" s="204">
        <v>8020.8812574260282</v>
      </c>
      <c r="M34" s="204">
        <v>8606.3075536916731</v>
      </c>
      <c r="N34" s="204">
        <v>8214.246626706592</v>
      </c>
      <c r="O34" s="204">
        <v>8661.7345119572692</v>
      </c>
      <c r="P34" s="204">
        <f>SUM(D34:O34)</f>
        <v>87119.716963047627</v>
      </c>
      <c r="Q34" s="151"/>
      <c r="R34" s="204">
        <f>'VN_YouTube Performance'!W6</f>
        <v>8851.1309999999994</v>
      </c>
      <c r="S34" s="204">
        <f>'VN_YouTube Performance'!W7</f>
        <v>7885.42</v>
      </c>
      <c r="T34" s="233">
        <f>'VN_YouTube Performance'!W8</f>
        <v>18017.339999999997</v>
      </c>
      <c r="U34" s="233">
        <f>'VN_YouTube Performance'!W9</f>
        <v>23800.710000000006</v>
      </c>
      <c r="V34" s="233">
        <f>'VN_YouTube Performance'!W10</f>
        <v>22565.05</v>
      </c>
      <c r="W34" s="233">
        <f>'VN_YouTube Performance'!W11</f>
        <v>15439.14</v>
      </c>
      <c r="X34" s="233">
        <f>'VN_YouTube Performance'!W12</f>
        <v>14448.869999999999</v>
      </c>
      <c r="Y34" s="233">
        <f>'VN_YouTube Performance'!W13</f>
        <v>13653.256999999603</v>
      </c>
      <c r="Z34" s="233">
        <f>'VN_YouTube Performance'!W14</f>
        <v>0</v>
      </c>
      <c r="AA34" s="233">
        <f>'VN_YouTube Performance'!W15</f>
        <v>0</v>
      </c>
      <c r="AB34" s="233">
        <f>'VN_YouTube Performance'!W16</f>
        <v>0</v>
      </c>
      <c r="AC34" s="233">
        <f>'VN_YouTube Performance'!W17</f>
        <v>0</v>
      </c>
      <c r="AD34" s="204">
        <f>SUM(R34:AC34)</f>
        <v>124660.9179999996</v>
      </c>
      <c r="AE34" s="240"/>
      <c r="AF34" s="204">
        <f t="shared" ref="AF34:AQ35" si="28">R34-D34</f>
        <v>3071.2901534039192</v>
      </c>
      <c r="AG34" s="204">
        <f t="shared" si="28"/>
        <v>2726.8624661200993</v>
      </c>
      <c r="AH34" s="204">
        <f t="shared" si="28"/>
        <v>11650.617479572216</v>
      </c>
      <c r="AI34" s="204">
        <f t="shared" si="28"/>
        <v>17115.643653381238</v>
      </c>
      <c r="AJ34" s="204">
        <f t="shared" si="28"/>
        <v>15322.6291650489</v>
      </c>
      <c r="AK34" s="204">
        <f t="shared" si="28"/>
        <v>8331.4829372275981</v>
      </c>
      <c r="AL34" s="204">
        <f t="shared" si="28"/>
        <v>6774.9115463833168</v>
      </c>
      <c r="AM34" s="204">
        <f t="shared" si="28"/>
        <v>6050.9335855962436</v>
      </c>
      <c r="AN34" s="204">
        <f t="shared" si="28"/>
        <v>-8020.8812574260282</v>
      </c>
      <c r="AO34" s="204">
        <f t="shared" si="28"/>
        <v>-8606.3075536916731</v>
      </c>
      <c r="AP34" s="204">
        <f t="shared" si="28"/>
        <v>-8214.246626706592</v>
      </c>
      <c r="AQ34" s="204">
        <f t="shared" si="28"/>
        <v>-8661.7345119572692</v>
      </c>
      <c r="AR34" s="204">
        <f>SUM(AF34:AQ34)</f>
        <v>37541.201036951963</v>
      </c>
      <c r="AS34" s="151"/>
      <c r="AT34" s="184">
        <f t="shared" ref="AT34:BE36" si="29">R34/D34</f>
        <v>1.5313797100853899</v>
      </c>
      <c r="AU34" s="184">
        <f t="shared" si="29"/>
        <v>1.5286094898061837</v>
      </c>
      <c r="AV34" s="184">
        <f t="shared" si="29"/>
        <v>2.8299238646243707</v>
      </c>
      <c r="AW34" s="184">
        <f t="shared" si="29"/>
        <v>3.5602802972984917</v>
      </c>
      <c r="AX34" s="184">
        <f t="shared" si="29"/>
        <v>3.1156778257214266</v>
      </c>
      <c r="AY34" s="184">
        <f t="shared" si="29"/>
        <v>2.1721841478347623</v>
      </c>
      <c r="AZ34" s="184">
        <f t="shared" si="29"/>
        <v>1.8828444390639552</v>
      </c>
      <c r="BA34" s="184">
        <f t="shared" si="29"/>
        <v>1.7959321454454498</v>
      </c>
      <c r="BB34" s="184">
        <f t="shared" si="29"/>
        <v>0</v>
      </c>
      <c r="BC34" s="184">
        <f t="shared" si="29"/>
        <v>0</v>
      </c>
      <c r="BD34" s="184">
        <f t="shared" si="29"/>
        <v>0</v>
      </c>
      <c r="BE34" s="184">
        <f t="shared" si="29"/>
        <v>0</v>
      </c>
      <c r="BF34" s="184">
        <f>(AD34-P34)/P34</f>
        <v>0.43091509414424872</v>
      </c>
      <c r="BH34" s="155">
        <f>SUM(D34:F34)</f>
        <v>17305.120900903763</v>
      </c>
      <c r="BI34" s="155">
        <f>SUM(G34:I34)</f>
        <v>21035.144244342267</v>
      </c>
      <c r="BJ34" s="155">
        <f>SUM(J34:L34)</f>
        <v>23297.16312544607</v>
      </c>
      <c r="BK34" s="155">
        <f>SUM(M34:O34)</f>
        <v>25482.288692355534</v>
      </c>
      <c r="BL34" s="155">
        <f>SUM(BH34:BK34)</f>
        <v>87119.716963047627</v>
      </c>
      <c r="BN34" s="234">
        <f>SUM(R34:T34)</f>
        <v>34753.890999999996</v>
      </c>
      <c r="BO34" s="234">
        <f>SUM(U34:W34)</f>
        <v>61804.900000000009</v>
      </c>
      <c r="BP34" s="234">
        <f>SUM(X34:Z34)</f>
        <v>28102.1269999996</v>
      </c>
      <c r="BQ34" s="239">
        <f>SUM(AA34:AC34)</f>
        <v>0</v>
      </c>
      <c r="BR34" s="155">
        <f>SUM(BN34:BQ34)</f>
        <v>124660.9179999996</v>
      </c>
      <c r="BT34" s="156">
        <f t="shared" ref="BT34:BX36" si="30">BN34/BH34</f>
        <v>2.0083009647268613</v>
      </c>
      <c r="BU34" s="156">
        <f t="shared" si="30"/>
        <v>2.9381733389645479</v>
      </c>
      <c r="BV34" s="156">
        <f t="shared" si="30"/>
        <v>1.2062467369387717</v>
      </c>
      <c r="BW34" s="156">
        <f t="shared" si="30"/>
        <v>0</v>
      </c>
      <c r="BX34" s="156">
        <f t="shared" si="30"/>
        <v>1.4309150941442488</v>
      </c>
      <c r="BZ34" s="138"/>
      <c r="CA34" s="138"/>
    </row>
    <row r="35" spans="1:85">
      <c r="A35" s="641"/>
      <c r="B35" s="157" t="s">
        <v>53</v>
      </c>
      <c r="C35" s="158"/>
      <c r="D35" s="214">
        <v>8102.6637386358834</v>
      </c>
      <c r="E35" s="214">
        <v>7231.6968897252154</v>
      </c>
      <c r="F35" s="214">
        <v>8925.4034962931546</v>
      </c>
      <c r="G35" s="214">
        <v>9371.6844658488153</v>
      </c>
      <c r="H35" s="214">
        <v>10153.030548212999</v>
      </c>
      <c r="I35" s="214">
        <v>9964.1074343945311</v>
      </c>
      <c r="J35" s="214">
        <v>10757.996032111774</v>
      </c>
      <c r="K35" s="214">
        <v>10657.572049850849</v>
      </c>
      <c r="L35" s="214">
        <v>11244.341399940955</v>
      </c>
      <c r="M35" s="214">
        <v>12065.040887745905</v>
      </c>
      <c r="N35" s="214">
        <v>11515.417128072861</v>
      </c>
      <c r="O35" s="214">
        <v>12142.743028133738</v>
      </c>
      <c r="P35" s="214">
        <f>SUM(D35:O35)</f>
        <v>122131.69709896669</v>
      </c>
      <c r="Q35" s="151"/>
      <c r="R35" s="214">
        <f>'VN_YouTube Performance'!AH6</f>
        <v>8388.6749999999993</v>
      </c>
      <c r="S35" s="214">
        <f>'VN_YouTube Performance'!AH7</f>
        <v>8338.2300000000014</v>
      </c>
      <c r="T35" s="215">
        <f>'VN_YouTube Performance'!AH8</f>
        <v>20182.390000000003</v>
      </c>
      <c r="U35" s="215">
        <f>'VN_YouTube Performance'!AH9</f>
        <v>97815.059999999983</v>
      </c>
      <c r="V35" s="215">
        <f>'VN_YouTube Performance'!AH10</f>
        <v>153462.91000000003</v>
      </c>
      <c r="W35" s="215">
        <f>'VN_YouTube Performance'!AH11</f>
        <v>36257.089999999997</v>
      </c>
      <c r="X35" s="215">
        <f>'VN_YouTube Performance'!AH12</f>
        <v>25754.969999999994</v>
      </c>
      <c r="Y35" s="215">
        <f>'VN_YouTube Performance'!AH13</f>
        <v>28624.963999997599</v>
      </c>
      <c r="Z35" s="215">
        <f>'VN_YouTube Performance'!AH14</f>
        <v>0</v>
      </c>
      <c r="AA35" s="215">
        <f>'VN_YouTube Performance'!AH15</f>
        <v>0</v>
      </c>
      <c r="AB35" s="215">
        <f>'VN_YouTube Performance'!AH16</f>
        <v>0</v>
      </c>
      <c r="AC35" s="215">
        <f>'VN_YouTube Performance'!AH17</f>
        <v>0</v>
      </c>
      <c r="AD35" s="214">
        <f>SUM(R35:AC35)</f>
        <v>378824.28899999755</v>
      </c>
      <c r="AE35" s="240"/>
      <c r="AF35" s="214">
        <f t="shared" si="28"/>
        <v>286.01126136411585</v>
      </c>
      <c r="AG35" s="214">
        <f t="shared" si="28"/>
        <v>1106.5331102747859</v>
      </c>
      <c r="AH35" s="214">
        <f t="shared" si="28"/>
        <v>11256.986503706848</v>
      </c>
      <c r="AI35" s="214">
        <f t="shared" si="28"/>
        <v>88443.375534151171</v>
      </c>
      <c r="AJ35" s="214">
        <f t="shared" si="28"/>
        <v>143309.87945178704</v>
      </c>
      <c r="AK35" s="214">
        <f t="shared" si="28"/>
        <v>26292.982565605467</v>
      </c>
      <c r="AL35" s="214">
        <f t="shared" si="28"/>
        <v>14996.97396788822</v>
      </c>
      <c r="AM35" s="214">
        <f t="shared" si="28"/>
        <v>17967.39195014675</v>
      </c>
      <c r="AN35" s="214">
        <f t="shared" si="28"/>
        <v>-11244.341399940955</v>
      </c>
      <c r="AO35" s="214">
        <f t="shared" si="28"/>
        <v>-12065.040887745905</v>
      </c>
      <c r="AP35" s="214">
        <f t="shared" si="28"/>
        <v>-11515.417128072861</v>
      </c>
      <c r="AQ35" s="214">
        <f t="shared" si="28"/>
        <v>-12142.743028133738</v>
      </c>
      <c r="AR35" s="214">
        <f>SUM(AF35:AQ35)</f>
        <v>256692.59190103094</v>
      </c>
      <c r="AS35" s="151"/>
      <c r="AT35" s="184">
        <f t="shared" si="29"/>
        <v>1.0352984241466581</v>
      </c>
      <c r="AU35" s="184">
        <f t="shared" si="29"/>
        <v>1.1530115444753979</v>
      </c>
      <c r="AV35" s="184">
        <f t="shared" si="29"/>
        <v>2.2612299834267473</v>
      </c>
      <c r="AW35" s="184">
        <f t="shared" si="29"/>
        <v>10.43729762311632</v>
      </c>
      <c r="AX35" s="184">
        <f t="shared" si="29"/>
        <v>15.114985547542801</v>
      </c>
      <c r="AY35" s="184">
        <f t="shared" si="29"/>
        <v>3.6387694772184238</v>
      </c>
      <c r="AZ35" s="184">
        <f t="shared" si="29"/>
        <v>2.3940304423912622</v>
      </c>
      <c r="BA35" s="184">
        <f t="shared" si="29"/>
        <v>2.6858804112328944</v>
      </c>
      <c r="BB35" s="184">
        <f t="shared" si="29"/>
        <v>0</v>
      </c>
      <c r="BC35" s="184">
        <f t="shared" si="29"/>
        <v>0</v>
      </c>
      <c r="BD35" s="184">
        <f t="shared" si="29"/>
        <v>0</v>
      </c>
      <c r="BE35" s="184">
        <f t="shared" si="29"/>
        <v>0</v>
      </c>
      <c r="BF35" s="184">
        <f>(AD35-P35)/P35</f>
        <v>2.1017688118509135</v>
      </c>
      <c r="BH35" s="162">
        <f>SUM(D35:F35)</f>
        <v>24259.764124654255</v>
      </c>
      <c r="BI35" s="162">
        <f>SUM(G35:I35)</f>
        <v>29488.822448456347</v>
      </c>
      <c r="BJ35" s="162">
        <f>SUM(J35:L35)</f>
        <v>32659.909481903574</v>
      </c>
      <c r="BK35" s="162">
        <f>SUM(M35:O35)</f>
        <v>35723.201043952504</v>
      </c>
      <c r="BL35" s="162">
        <f>SUM(BH35:BK35)</f>
        <v>122131.69709896667</v>
      </c>
      <c r="BN35" s="218">
        <f>SUM(R35:T35)</f>
        <v>36909.294999999998</v>
      </c>
      <c r="BO35" s="218">
        <f>SUM(U35:W35)</f>
        <v>287535.06000000006</v>
      </c>
      <c r="BP35" s="218">
        <f>SUM(X35:Z35)</f>
        <v>54379.933999997593</v>
      </c>
      <c r="BQ35" s="242">
        <f>SUM(AA35:AC35)</f>
        <v>0</v>
      </c>
      <c r="BR35" s="162">
        <f>SUM(BN35:BQ35)</f>
        <v>378824.28899999766</v>
      </c>
      <c r="BT35" s="163">
        <f t="shared" si="30"/>
        <v>1.5214201923130208</v>
      </c>
      <c r="BU35" s="163">
        <f t="shared" si="30"/>
        <v>9.7506457066091379</v>
      </c>
      <c r="BV35" s="163">
        <f t="shared" si="30"/>
        <v>1.6650362742165221</v>
      </c>
      <c r="BW35" s="163">
        <f t="shared" si="30"/>
        <v>0</v>
      </c>
      <c r="BX35" s="163">
        <f t="shared" si="30"/>
        <v>3.1017688118509148</v>
      </c>
      <c r="BZ35" s="138"/>
      <c r="CA35" s="138"/>
    </row>
    <row r="36" spans="1:85" ht="16.2" thickBot="1">
      <c r="A36" s="641"/>
      <c r="B36" s="164" t="s">
        <v>57</v>
      </c>
      <c r="C36" s="165"/>
      <c r="D36" s="220">
        <f t="shared" ref="D36:P36" si="31">SUM(D34:D35)</f>
        <v>13882.504585231964</v>
      </c>
      <c r="E36" s="220">
        <f t="shared" si="31"/>
        <v>12390.254423605116</v>
      </c>
      <c r="F36" s="220">
        <f t="shared" si="31"/>
        <v>15292.126016720935</v>
      </c>
      <c r="G36" s="220">
        <f t="shared" si="31"/>
        <v>16056.750812467582</v>
      </c>
      <c r="H36" s="220">
        <f t="shared" si="31"/>
        <v>17395.451383164098</v>
      </c>
      <c r="I36" s="220">
        <f t="shared" si="31"/>
        <v>17071.764497166932</v>
      </c>
      <c r="J36" s="220">
        <f t="shared" si="31"/>
        <v>18431.954485728456</v>
      </c>
      <c r="K36" s="220">
        <f t="shared" si="31"/>
        <v>18259.895464254208</v>
      </c>
      <c r="L36" s="220">
        <f t="shared" si="31"/>
        <v>19265.222657366983</v>
      </c>
      <c r="M36" s="220">
        <f t="shared" si="31"/>
        <v>20671.348441437578</v>
      </c>
      <c r="N36" s="220">
        <f t="shared" si="31"/>
        <v>19729.663754779453</v>
      </c>
      <c r="O36" s="220">
        <f t="shared" si="31"/>
        <v>20804.477540091008</v>
      </c>
      <c r="P36" s="220">
        <f t="shared" si="31"/>
        <v>209251.41406201432</v>
      </c>
      <c r="Q36" s="187"/>
      <c r="R36" s="220">
        <f t="shared" ref="R36:AD36" si="32">SUM(R34:R35)</f>
        <v>17239.805999999997</v>
      </c>
      <c r="S36" s="220">
        <f t="shared" si="32"/>
        <v>16223.650000000001</v>
      </c>
      <c r="T36" s="221">
        <f t="shared" si="32"/>
        <v>38199.729999999996</v>
      </c>
      <c r="U36" s="221">
        <f t="shared" si="32"/>
        <v>121615.76999999999</v>
      </c>
      <c r="V36" s="221">
        <f t="shared" si="32"/>
        <v>176027.96000000002</v>
      </c>
      <c r="W36" s="221">
        <f t="shared" si="32"/>
        <v>51696.229999999996</v>
      </c>
      <c r="X36" s="221">
        <f t="shared" si="32"/>
        <v>40203.839999999997</v>
      </c>
      <c r="Y36" s="221">
        <f t="shared" si="32"/>
        <v>42278.220999997204</v>
      </c>
      <c r="Z36" s="221">
        <f t="shared" si="32"/>
        <v>0</v>
      </c>
      <c r="AA36" s="221">
        <f t="shared" si="32"/>
        <v>0</v>
      </c>
      <c r="AB36" s="221">
        <f t="shared" si="32"/>
        <v>0</v>
      </c>
      <c r="AC36" s="221">
        <f t="shared" si="32"/>
        <v>0</v>
      </c>
      <c r="AD36" s="220">
        <f t="shared" si="32"/>
        <v>503485.20699999714</v>
      </c>
      <c r="AE36" s="238"/>
      <c r="AF36" s="220">
        <f t="shared" ref="AF36:AR36" si="33">SUM(AF34:AF35)</f>
        <v>3357.3014147680351</v>
      </c>
      <c r="AG36" s="220">
        <f t="shared" si="33"/>
        <v>3833.3955763948852</v>
      </c>
      <c r="AH36" s="220">
        <f t="shared" si="33"/>
        <v>22907.603983279063</v>
      </c>
      <c r="AI36" s="220">
        <f t="shared" si="33"/>
        <v>105559.01918753241</v>
      </c>
      <c r="AJ36" s="220">
        <f t="shared" si="33"/>
        <v>158632.50861683593</v>
      </c>
      <c r="AK36" s="220">
        <f t="shared" si="33"/>
        <v>34624.465502833067</v>
      </c>
      <c r="AL36" s="220">
        <f t="shared" si="33"/>
        <v>21771.885514271537</v>
      </c>
      <c r="AM36" s="220">
        <f t="shared" si="33"/>
        <v>24018.325535742995</v>
      </c>
      <c r="AN36" s="220">
        <f t="shared" si="33"/>
        <v>-19265.222657366983</v>
      </c>
      <c r="AO36" s="220">
        <f t="shared" si="33"/>
        <v>-20671.348441437578</v>
      </c>
      <c r="AP36" s="220">
        <f t="shared" si="33"/>
        <v>-19729.663754779453</v>
      </c>
      <c r="AQ36" s="220">
        <f t="shared" si="33"/>
        <v>-20804.477540091008</v>
      </c>
      <c r="AR36" s="220">
        <f t="shared" si="33"/>
        <v>294233.79293798289</v>
      </c>
      <c r="AS36" s="151"/>
      <c r="AT36" s="184">
        <f t="shared" si="29"/>
        <v>1.241836866982885</v>
      </c>
      <c r="AU36" s="184">
        <f t="shared" si="29"/>
        <v>1.3093879629373668</v>
      </c>
      <c r="AV36" s="184">
        <f t="shared" si="29"/>
        <v>2.497999948354539</v>
      </c>
      <c r="AW36" s="184">
        <f t="shared" si="29"/>
        <v>7.5741207807478093</v>
      </c>
      <c r="AX36" s="184">
        <f t="shared" si="29"/>
        <v>10.119194732156579</v>
      </c>
      <c r="AY36" s="184">
        <f t="shared" si="29"/>
        <v>3.0281714587018236</v>
      </c>
      <c r="AZ36" s="184">
        <f t="shared" si="29"/>
        <v>2.1812033027278326</v>
      </c>
      <c r="BA36" s="184">
        <f t="shared" si="29"/>
        <v>2.3153594215674214</v>
      </c>
      <c r="BB36" s="184">
        <f t="shared" si="29"/>
        <v>0</v>
      </c>
      <c r="BC36" s="184">
        <f t="shared" si="29"/>
        <v>0</v>
      </c>
      <c r="BD36" s="184">
        <f t="shared" si="29"/>
        <v>0</v>
      </c>
      <c r="BE36" s="184">
        <f t="shared" si="29"/>
        <v>0</v>
      </c>
      <c r="BF36" s="185">
        <f>(AD36-P36)/P36</f>
        <v>1.4061257089081505</v>
      </c>
      <c r="BH36" s="171">
        <f>SUM(BH34:BH35)</f>
        <v>41564.885025558018</v>
      </c>
      <c r="BI36" s="171">
        <f>SUM(BI34:BI35)</f>
        <v>50523.966692798611</v>
      </c>
      <c r="BJ36" s="171">
        <f>SUM(BJ34:BJ35)</f>
        <v>55957.072607349648</v>
      </c>
      <c r="BK36" s="171">
        <f>SUM(BK34:BK35)</f>
        <v>61205.489736308038</v>
      </c>
      <c r="BL36" s="171">
        <f>SUM(BH36:BK36)</f>
        <v>209251.41406201432</v>
      </c>
      <c r="BN36" s="224">
        <f>SUM(BN34:BN35)</f>
        <v>71663.185999999987</v>
      </c>
      <c r="BO36" s="224">
        <f>SUM(BO34:BO35)</f>
        <v>349339.96000000008</v>
      </c>
      <c r="BP36" s="224">
        <f>SUM(BP34:BP35)</f>
        <v>82482.060999997193</v>
      </c>
      <c r="BQ36" s="243">
        <f>SUM(BQ34:BQ35)</f>
        <v>0</v>
      </c>
      <c r="BR36" s="171">
        <f>SUM(BN36:BQ36)</f>
        <v>503485.20699999726</v>
      </c>
      <c r="BT36" s="172">
        <f t="shared" si="30"/>
        <v>1.724128094085541</v>
      </c>
      <c r="BU36" s="172">
        <f t="shared" si="30"/>
        <v>6.9143415069544201</v>
      </c>
      <c r="BV36" s="172">
        <f t="shared" si="30"/>
        <v>1.4740238750295818</v>
      </c>
      <c r="BW36" s="172">
        <f t="shared" si="30"/>
        <v>0</v>
      </c>
      <c r="BX36" s="172">
        <f t="shared" si="30"/>
        <v>2.4061257089081511</v>
      </c>
      <c r="BZ36" s="138"/>
      <c r="CA36" s="138"/>
    </row>
    <row r="37" spans="1:85" ht="16.8" thickTop="1" thickBot="1">
      <c r="A37" s="186"/>
      <c r="B37" s="150"/>
      <c r="C37" s="151"/>
      <c r="D37" s="204"/>
      <c r="E37" s="204"/>
      <c r="F37" s="204"/>
      <c r="G37" s="204"/>
      <c r="H37" s="204"/>
      <c r="I37" s="204"/>
      <c r="J37" s="204"/>
      <c r="K37" s="204"/>
      <c r="L37" s="204"/>
      <c r="M37" s="204"/>
      <c r="N37" s="204"/>
      <c r="O37" s="204"/>
      <c r="P37" s="204"/>
      <c r="Q37" s="187"/>
      <c r="R37" s="182"/>
      <c r="S37" s="182"/>
      <c r="T37" s="182"/>
      <c r="U37" s="182"/>
      <c r="V37" s="182"/>
      <c r="W37" s="182"/>
      <c r="X37" s="182"/>
      <c r="Y37" s="182"/>
      <c r="Z37" s="182"/>
      <c r="AA37" s="182"/>
      <c r="AB37" s="182"/>
      <c r="AC37" s="182"/>
      <c r="AD37" s="237"/>
      <c r="AE37" s="238"/>
      <c r="AF37" s="236"/>
      <c r="AG37" s="236"/>
      <c r="AH37" s="236"/>
      <c r="AI37" s="236"/>
      <c r="AJ37" s="236"/>
      <c r="AK37" s="236"/>
      <c r="AL37" s="236"/>
      <c r="AM37" s="236"/>
      <c r="AN37" s="236"/>
      <c r="AO37" s="236"/>
      <c r="AP37" s="236"/>
      <c r="AQ37" s="236"/>
      <c r="AR37" s="236"/>
      <c r="AS37" s="151"/>
      <c r="AT37" s="183"/>
      <c r="AU37" s="183"/>
      <c r="AV37" s="183"/>
      <c r="AW37" s="183"/>
      <c r="AX37" s="183"/>
      <c r="AY37" s="183"/>
      <c r="AZ37" s="183"/>
      <c r="BA37" s="183"/>
      <c r="BB37" s="183"/>
      <c r="BC37" s="183"/>
      <c r="BD37" s="183"/>
      <c r="BE37" s="183"/>
      <c r="BF37" s="183"/>
      <c r="BH37" s="155"/>
      <c r="BI37" s="155"/>
      <c r="BJ37" s="155"/>
      <c r="BK37" s="155"/>
      <c r="BL37" s="155"/>
      <c r="BN37" s="210"/>
      <c r="BO37" s="210"/>
      <c r="BP37" s="210"/>
      <c r="BQ37" s="155"/>
      <c r="BR37" s="155"/>
      <c r="BT37" s="156"/>
      <c r="BU37" s="156"/>
      <c r="BV37" s="156"/>
      <c r="BW37" s="156"/>
      <c r="BX37" s="156"/>
      <c r="BZ37" s="138"/>
      <c r="CA37" s="138"/>
    </row>
    <row r="38" spans="1:85" ht="16.2" customHeight="1" thickTop="1">
      <c r="A38" s="642" t="s">
        <v>58</v>
      </c>
      <c r="B38" s="642"/>
      <c r="C38" s="244"/>
      <c r="D38" s="245">
        <f>SUM(D24,D28,D32,D36)</f>
        <v>168676.17978830374</v>
      </c>
      <c r="E38" s="245">
        <f t="shared" ref="E38:AR38" si="34">SUM(E24,E28,E32,E36)</f>
        <v>150544.93733083975</v>
      </c>
      <c r="F38" s="245">
        <f t="shared" si="34"/>
        <v>185803.46086006478</v>
      </c>
      <c r="G38" s="245">
        <f t="shared" si="34"/>
        <v>195093.85862122654</v>
      </c>
      <c r="H38" s="245">
        <f t="shared" si="34"/>
        <v>211359.43208163226</v>
      </c>
      <c r="I38" s="245">
        <f t="shared" si="34"/>
        <v>207426.54900261966</v>
      </c>
      <c r="J38" s="245">
        <f t="shared" si="34"/>
        <v>223953.22469346874</v>
      </c>
      <c r="K38" s="245">
        <f t="shared" si="34"/>
        <v>221862.66111668717</v>
      </c>
      <c r="L38" s="245">
        <f t="shared" si="34"/>
        <v>234077.65800939139</v>
      </c>
      <c r="M38" s="245">
        <f t="shared" si="34"/>
        <v>251162.46602099258</v>
      </c>
      <c r="N38" s="245">
        <f t="shared" si="34"/>
        <v>239720.74276886345</v>
      </c>
      <c r="O38" s="245">
        <f t="shared" si="34"/>
        <v>252780.02052217451</v>
      </c>
      <c r="P38" s="245">
        <f t="shared" si="34"/>
        <v>2542461.1908162646</v>
      </c>
      <c r="Q38" s="168"/>
      <c r="R38" s="245">
        <f t="shared" si="34"/>
        <v>165609.076</v>
      </c>
      <c r="S38" s="245">
        <f t="shared" si="34"/>
        <v>134437.31</v>
      </c>
      <c r="T38" s="245">
        <f t="shared" si="34"/>
        <v>206346.56</v>
      </c>
      <c r="U38" s="245">
        <f t="shared" si="34"/>
        <v>291906.32</v>
      </c>
      <c r="V38" s="245">
        <f t="shared" si="34"/>
        <v>382814.50000000006</v>
      </c>
      <c r="W38" s="245">
        <f t="shared" si="34"/>
        <v>283799.21000000002</v>
      </c>
      <c r="X38" s="245">
        <f t="shared" si="34"/>
        <v>245091.68</v>
      </c>
      <c r="Y38" s="245">
        <f t="shared" si="34"/>
        <v>275584.86200001504</v>
      </c>
      <c r="Z38" s="245">
        <f t="shared" si="34"/>
        <v>0</v>
      </c>
      <c r="AA38" s="245">
        <f t="shared" si="34"/>
        <v>0</v>
      </c>
      <c r="AB38" s="245">
        <f t="shared" si="34"/>
        <v>0</v>
      </c>
      <c r="AC38" s="245">
        <f t="shared" si="34"/>
        <v>0</v>
      </c>
      <c r="AD38" s="245">
        <f t="shared" si="34"/>
        <v>1985589.5180000151</v>
      </c>
      <c r="AE38" s="246"/>
      <c r="AF38" s="245">
        <f t="shared" si="34"/>
        <v>-3067.1037883037407</v>
      </c>
      <c r="AG38" s="245">
        <f t="shared" si="34"/>
        <v>-16107.627330839767</v>
      </c>
      <c r="AH38" s="245">
        <f t="shared" si="34"/>
        <v>20543.099139935195</v>
      </c>
      <c r="AI38" s="245">
        <f t="shared" si="34"/>
        <v>96812.461378773471</v>
      </c>
      <c r="AJ38" s="245">
        <f t="shared" si="34"/>
        <v>171455.0679183678</v>
      </c>
      <c r="AK38" s="245">
        <f t="shared" si="34"/>
        <v>76372.660997380357</v>
      </c>
      <c r="AL38" s="245">
        <f t="shared" si="34"/>
        <v>21138.455306531261</v>
      </c>
      <c r="AM38" s="245">
        <f t="shared" si="34"/>
        <v>53722.200883327867</v>
      </c>
      <c r="AN38" s="245">
        <f t="shared" si="34"/>
        <v>-234077.65800939139</v>
      </c>
      <c r="AO38" s="245">
        <f t="shared" si="34"/>
        <v>-251162.46602099258</v>
      </c>
      <c r="AP38" s="245">
        <f t="shared" si="34"/>
        <v>-239720.74276886345</v>
      </c>
      <c r="AQ38" s="245">
        <f t="shared" si="34"/>
        <v>-252780.02052217451</v>
      </c>
      <c r="AR38" s="245">
        <f t="shared" si="34"/>
        <v>-556871.67281624954</v>
      </c>
      <c r="AS38" s="247"/>
      <c r="AT38" s="193">
        <f t="shared" ref="AT38:BF38" si="35">R38/D38</f>
        <v>0.98181661576546797</v>
      </c>
      <c r="AU38" s="193">
        <f t="shared" si="35"/>
        <v>0.89300452332421254</v>
      </c>
      <c r="AV38" s="193">
        <f t="shared" si="35"/>
        <v>1.1105635979267736</v>
      </c>
      <c r="AW38" s="193">
        <f t="shared" si="35"/>
        <v>1.4962353098296868</v>
      </c>
      <c r="AX38" s="193">
        <f t="shared" si="35"/>
        <v>1.8112014033617747</v>
      </c>
      <c r="AY38" s="193">
        <f t="shared" si="35"/>
        <v>1.3681913494902518</v>
      </c>
      <c r="AZ38" s="193">
        <f t="shared" si="35"/>
        <v>1.0943878139529541</v>
      </c>
      <c r="BA38" s="193">
        <f t="shared" si="35"/>
        <v>1.2421416952854136</v>
      </c>
      <c r="BB38" s="193">
        <f t="shared" si="35"/>
        <v>0</v>
      </c>
      <c r="BC38" s="193">
        <f t="shared" si="35"/>
        <v>0</v>
      </c>
      <c r="BD38" s="193">
        <f t="shared" si="35"/>
        <v>0</v>
      </c>
      <c r="BE38" s="193">
        <f t="shared" si="35"/>
        <v>0</v>
      </c>
      <c r="BF38" s="193">
        <f t="shared" si="35"/>
        <v>0.78097141666203196</v>
      </c>
      <c r="BH38" s="245">
        <f t="shared" ref="BH38:BL38" si="36">SUM(BH24,BH28,BH32,BH36)</f>
        <v>505024.57797920826</v>
      </c>
      <c r="BI38" s="245">
        <f t="shared" si="36"/>
        <v>613879.83970547852</v>
      </c>
      <c r="BJ38" s="245">
        <f t="shared" si="36"/>
        <v>679893.54381954717</v>
      </c>
      <c r="BK38" s="245">
        <f t="shared" si="36"/>
        <v>743663.2293120306</v>
      </c>
      <c r="BL38" s="245">
        <f t="shared" si="36"/>
        <v>2542461.1908162646</v>
      </c>
      <c r="BN38" s="245">
        <f t="shared" ref="BN38:BR38" si="37">SUM(BN24,BN28,BN32,BN36)</f>
        <v>506392.946</v>
      </c>
      <c r="BO38" s="245">
        <f t="shared" si="37"/>
        <v>958520.03000000014</v>
      </c>
      <c r="BP38" s="245">
        <f t="shared" si="37"/>
        <v>520676.54200001498</v>
      </c>
      <c r="BQ38" s="245">
        <f t="shared" si="37"/>
        <v>0</v>
      </c>
      <c r="BR38" s="245">
        <f t="shared" si="37"/>
        <v>1985589.5180000151</v>
      </c>
      <c r="BT38" s="248">
        <f t="shared" ref="BT38:BX38" si="38">BN38/BH38</f>
        <v>1.0027095077753783</v>
      </c>
      <c r="BU38" s="248">
        <f t="shared" si="38"/>
        <v>1.5614131105199185</v>
      </c>
      <c r="BV38" s="248">
        <f t="shared" si="38"/>
        <v>0.76582068874330933</v>
      </c>
      <c r="BW38" s="248">
        <f t="shared" si="38"/>
        <v>0</v>
      </c>
      <c r="BX38" s="248">
        <f t="shared" si="38"/>
        <v>0.78097141666203196</v>
      </c>
      <c r="BZ38" s="138"/>
      <c r="CA38" s="138"/>
      <c r="CG38" s="249"/>
    </row>
    <row r="39" spans="1:85" ht="31.95" customHeight="1">
      <c r="A39" s="250"/>
      <c r="B39" s="195"/>
      <c r="C39" s="251"/>
      <c r="D39" s="252">
        <f>D38/1000</f>
        <v>168.67617978830373</v>
      </c>
      <c r="E39" s="252"/>
      <c r="F39" s="252"/>
      <c r="G39" s="252"/>
      <c r="H39" s="252"/>
      <c r="I39" s="252"/>
      <c r="J39" s="252"/>
      <c r="K39" s="252"/>
      <c r="L39" s="252"/>
      <c r="M39" s="252"/>
      <c r="N39" s="252"/>
      <c r="O39" s="252"/>
      <c r="P39" s="253"/>
      <c r="Q39" s="254"/>
      <c r="R39" s="252"/>
      <c r="S39" s="252"/>
      <c r="T39" s="252"/>
      <c r="U39" s="252"/>
      <c r="V39" s="252"/>
      <c r="W39" s="252"/>
      <c r="X39" s="252"/>
      <c r="Y39" s="252"/>
      <c r="Z39" s="252"/>
      <c r="AA39" s="252"/>
      <c r="AB39" s="252"/>
      <c r="AC39" s="252"/>
      <c r="AD39" s="173"/>
      <c r="AF39" s="138"/>
      <c r="AT39" s="184"/>
      <c r="AU39" s="184"/>
      <c r="AV39" s="184"/>
      <c r="AW39" s="184"/>
      <c r="AX39" s="184"/>
      <c r="AY39" s="184"/>
      <c r="AZ39" s="184"/>
      <c r="BA39" s="184"/>
      <c r="BB39" s="184"/>
      <c r="BC39" s="184"/>
      <c r="BD39" s="184"/>
      <c r="BE39" s="184"/>
      <c r="BF39" s="184"/>
      <c r="BH39" s="255"/>
      <c r="BI39" s="255"/>
      <c r="BJ39" s="255"/>
      <c r="BK39" s="255"/>
      <c r="BL39" s="255"/>
      <c r="BR39" s="255"/>
      <c r="BT39" s="232"/>
      <c r="BU39" s="232"/>
      <c r="BV39" s="232"/>
      <c r="BW39" s="232"/>
      <c r="BX39" s="232"/>
      <c r="CG39" s="249"/>
    </row>
    <row r="40" spans="1:85" hidden="1">
      <c r="A40" s="643" t="s">
        <v>59</v>
      </c>
      <c r="B40" s="202"/>
      <c r="C40" s="203"/>
      <c r="D40" s="256"/>
      <c r="E40" s="256"/>
      <c r="F40" s="256"/>
      <c r="G40" s="256"/>
      <c r="H40" s="256"/>
      <c r="I40" s="256"/>
      <c r="J40" s="256"/>
      <c r="K40" s="256"/>
      <c r="L40" s="256"/>
      <c r="M40" s="256"/>
      <c r="N40" s="256"/>
      <c r="O40" s="256"/>
      <c r="P40" s="256"/>
      <c r="Q40" s="257"/>
      <c r="R40" s="256"/>
      <c r="S40" s="256"/>
      <c r="T40" s="256"/>
      <c r="U40" s="256"/>
      <c r="V40" s="256"/>
      <c r="W40" s="256"/>
      <c r="X40" s="256"/>
      <c r="Y40" s="256"/>
      <c r="Z40" s="256"/>
      <c r="AA40" s="256"/>
      <c r="AB40" s="256"/>
      <c r="AC40" s="256"/>
      <c r="AD40" s="256"/>
      <c r="AE40" s="257"/>
      <c r="AF40" s="256"/>
      <c r="AG40" s="256"/>
      <c r="AH40" s="256"/>
      <c r="AI40" s="256"/>
      <c r="AJ40" s="256"/>
      <c r="AK40" s="256"/>
      <c r="AL40" s="256"/>
      <c r="AM40" s="256"/>
      <c r="AN40" s="256"/>
      <c r="AO40" s="256"/>
      <c r="AP40" s="256"/>
      <c r="AQ40" s="256"/>
      <c r="AR40" s="256"/>
      <c r="AS40" s="257"/>
      <c r="AT40" s="258"/>
      <c r="AU40" s="258"/>
      <c r="AV40" s="258"/>
      <c r="AW40" s="258"/>
      <c r="AX40" s="258"/>
      <c r="AY40" s="258"/>
      <c r="AZ40" s="258"/>
      <c r="BA40" s="258"/>
      <c r="BB40" s="258"/>
      <c r="BC40" s="258"/>
      <c r="BD40" s="258"/>
      <c r="BE40" s="258"/>
      <c r="BF40" s="258"/>
      <c r="BH40" s="259"/>
      <c r="BI40" s="259"/>
      <c r="BJ40" s="259"/>
      <c r="BK40" s="259"/>
      <c r="BL40" s="259"/>
      <c r="BN40" s="260"/>
      <c r="BO40" s="260"/>
      <c r="BP40" s="260"/>
      <c r="BQ40" s="260"/>
      <c r="BR40" s="259"/>
      <c r="BT40" s="212"/>
      <c r="BU40" s="212"/>
      <c r="BV40" s="212"/>
      <c r="BW40" s="212"/>
      <c r="BX40" s="212"/>
      <c r="BZ40" s="138"/>
      <c r="CA40" s="138"/>
    </row>
    <row r="41" spans="1:85" hidden="1">
      <c r="A41" s="644"/>
      <c r="B41" s="157"/>
      <c r="C41" s="213"/>
      <c r="D41" s="261"/>
      <c r="E41" s="261"/>
      <c r="F41" s="261"/>
      <c r="G41" s="261"/>
      <c r="H41" s="261"/>
      <c r="I41" s="261"/>
      <c r="J41" s="261"/>
      <c r="K41" s="261"/>
      <c r="L41" s="261"/>
      <c r="M41" s="261"/>
      <c r="N41" s="261"/>
      <c r="O41" s="261"/>
      <c r="P41" s="261"/>
      <c r="Q41" s="257"/>
      <c r="R41" s="261"/>
      <c r="S41" s="261"/>
      <c r="T41" s="261"/>
      <c r="U41" s="261"/>
      <c r="V41" s="261"/>
      <c r="W41" s="261"/>
      <c r="X41" s="261"/>
      <c r="Y41" s="261"/>
      <c r="Z41" s="261"/>
      <c r="AA41" s="261"/>
      <c r="AB41" s="261"/>
      <c r="AC41" s="261"/>
      <c r="AD41" s="261"/>
      <c r="AE41" s="257"/>
      <c r="AF41" s="261"/>
      <c r="AG41" s="261"/>
      <c r="AH41" s="261"/>
      <c r="AI41" s="261"/>
      <c r="AJ41" s="261"/>
      <c r="AK41" s="261"/>
      <c r="AL41" s="261"/>
      <c r="AM41" s="261"/>
      <c r="AN41" s="261"/>
      <c r="AO41" s="261"/>
      <c r="AP41" s="261"/>
      <c r="AQ41" s="261"/>
      <c r="AR41" s="261"/>
      <c r="AS41" s="257"/>
      <c r="AT41" s="184"/>
      <c r="AU41" s="184"/>
      <c r="AV41" s="184"/>
      <c r="AW41" s="184"/>
      <c r="AX41" s="184"/>
      <c r="AY41" s="184"/>
      <c r="AZ41" s="184"/>
      <c r="BA41" s="184"/>
      <c r="BB41" s="184"/>
      <c r="BC41" s="184"/>
      <c r="BD41" s="184"/>
      <c r="BE41" s="184"/>
      <c r="BF41" s="184"/>
      <c r="BH41" s="262"/>
      <c r="BI41" s="262"/>
      <c r="BJ41" s="262"/>
      <c r="BK41" s="262"/>
      <c r="BL41" s="262"/>
      <c r="BN41" s="262"/>
      <c r="BO41" s="262"/>
      <c r="BP41" s="262"/>
      <c r="BQ41" s="262"/>
      <c r="BR41" s="262"/>
      <c r="BT41" s="163"/>
      <c r="BU41" s="163"/>
      <c r="BV41" s="163"/>
      <c r="BW41" s="163"/>
      <c r="BX41" s="163"/>
      <c r="BZ41" s="138"/>
      <c r="CA41" s="138"/>
      <c r="CG41" s="138"/>
    </row>
    <row r="42" spans="1:85" ht="15.6" hidden="1" thickBot="1">
      <c r="A42" s="644"/>
      <c r="B42" s="164"/>
      <c r="C42" s="263"/>
      <c r="D42" s="264"/>
      <c r="E42" s="264"/>
      <c r="F42" s="264"/>
      <c r="G42" s="264"/>
      <c r="H42" s="264"/>
      <c r="I42" s="264"/>
      <c r="J42" s="264"/>
      <c r="K42" s="264"/>
      <c r="L42" s="264"/>
      <c r="M42" s="264"/>
      <c r="N42" s="264"/>
      <c r="O42" s="264"/>
      <c r="P42" s="264"/>
      <c r="Q42" s="265"/>
      <c r="R42" s="264"/>
      <c r="S42" s="264"/>
      <c r="T42" s="264"/>
      <c r="U42" s="264"/>
      <c r="V42" s="264"/>
      <c r="W42" s="264"/>
      <c r="X42" s="264"/>
      <c r="Y42" s="264"/>
      <c r="Z42" s="264"/>
      <c r="AA42" s="264"/>
      <c r="AB42" s="264"/>
      <c r="AC42" s="264"/>
      <c r="AD42" s="264"/>
      <c r="AE42" s="265"/>
      <c r="AF42" s="264"/>
      <c r="AG42" s="264"/>
      <c r="AH42" s="264"/>
      <c r="AI42" s="264"/>
      <c r="AJ42" s="264"/>
      <c r="AK42" s="264"/>
      <c r="AL42" s="264"/>
      <c r="AM42" s="264"/>
      <c r="AN42" s="264"/>
      <c r="AO42" s="264"/>
      <c r="AP42" s="264"/>
      <c r="AQ42" s="264"/>
      <c r="AR42" s="264"/>
      <c r="AS42" s="265"/>
      <c r="AT42" s="185"/>
      <c r="AU42" s="185"/>
      <c r="AV42" s="185"/>
      <c r="AW42" s="185"/>
      <c r="AX42" s="185"/>
      <c r="AY42" s="185"/>
      <c r="AZ42" s="185"/>
      <c r="BA42" s="185"/>
      <c r="BB42" s="185"/>
      <c r="BC42" s="185"/>
      <c r="BD42" s="185"/>
      <c r="BE42" s="185"/>
      <c r="BF42" s="185"/>
      <c r="BH42" s="266"/>
      <c r="BI42" s="266"/>
      <c r="BJ42" s="266"/>
      <c r="BK42" s="266"/>
      <c r="BL42" s="266"/>
      <c r="BN42" s="266"/>
      <c r="BO42" s="266"/>
      <c r="BP42" s="266"/>
      <c r="BQ42" s="266"/>
      <c r="BR42" s="266"/>
      <c r="BT42" s="267"/>
      <c r="BU42" s="267"/>
      <c r="BV42" s="267"/>
      <c r="BW42" s="267"/>
      <c r="BX42" s="267"/>
    </row>
    <row r="43" spans="1:85" ht="15.6" hidden="1" thickTop="1">
      <c r="A43" s="644"/>
      <c r="B43" s="174"/>
      <c r="C43" s="227"/>
      <c r="AT43" s="184"/>
      <c r="AU43" s="184"/>
      <c r="AV43" s="184"/>
      <c r="AW43" s="184"/>
      <c r="AX43" s="184"/>
      <c r="AY43" s="184"/>
      <c r="AZ43" s="184"/>
      <c r="BA43" s="184"/>
      <c r="BB43" s="184"/>
      <c r="BC43" s="184"/>
      <c r="BD43" s="184"/>
      <c r="BE43" s="184"/>
      <c r="BF43" s="184"/>
      <c r="BT43" s="232"/>
      <c r="BU43" s="232"/>
      <c r="BV43" s="232"/>
      <c r="BW43" s="232"/>
      <c r="BX43" s="232"/>
    </row>
    <row r="44" spans="1:85" hidden="1">
      <c r="A44" s="644"/>
      <c r="B44" s="150"/>
      <c r="C44" s="203"/>
      <c r="D44" s="268"/>
      <c r="E44" s="268"/>
      <c r="F44" s="268"/>
      <c r="G44" s="268"/>
      <c r="H44" s="268"/>
      <c r="I44" s="268"/>
      <c r="J44" s="268"/>
      <c r="K44" s="268"/>
      <c r="L44" s="268"/>
      <c r="M44" s="268"/>
      <c r="N44" s="268"/>
      <c r="O44" s="268"/>
      <c r="P44" s="268"/>
      <c r="Q44" s="257"/>
      <c r="R44" s="268"/>
      <c r="S44" s="268"/>
      <c r="T44" s="268"/>
      <c r="U44" s="268"/>
      <c r="V44" s="268"/>
      <c r="W44" s="268"/>
      <c r="X44" s="268"/>
      <c r="Y44" s="268"/>
      <c r="Z44" s="268"/>
      <c r="AA44" s="268"/>
      <c r="AB44" s="268"/>
      <c r="AC44" s="268"/>
      <c r="AD44" s="268"/>
      <c r="AE44" s="257"/>
      <c r="AF44" s="268"/>
      <c r="AG44" s="268"/>
      <c r="AH44" s="268"/>
      <c r="AI44" s="268"/>
      <c r="AJ44" s="268"/>
      <c r="AK44" s="268"/>
      <c r="AL44" s="268"/>
      <c r="AM44" s="268"/>
      <c r="AN44" s="268"/>
      <c r="AO44" s="268"/>
      <c r="AP44" s="268"/>
      <c r="AQ44" s="268"/>
      <c r="AR44" s="268"/>
      <c r="AS44" s="257"/>
      <c r="AT44" s="258"/>
      <c r="AU44" s="258"/>
      <c r="AV44" s="258"/>
      <c r="AW44" s="258"/>
      <c r="AX44" s="258"/>
      <c r="AY44" s="258"/>
      <c r="AZ44" s="258"/>
      <c r="BA44" s="258"/>
      <c r="BB44" s="258"/>
      <c r="BC44" s="258"/>
      <c r="BD44" s="258"/>
      <c r="BE44" s="258"/>
      <c r="BF44" s="258"/>
      <c r="BH44" s="259"/>
      <c r="BI44" s="259"/>
      <c r="BJ44" s="259"/>
      <c r="BK44" s="259"/>
      <c r="BL44" s="259"/>
      <c r="BN44" s="259"/>
      <c r="BO44" s="259"/>
      <c r="BP44" s="259"/>
      <c r="BQ44" s="259"/>
      <c r="BR44" s="259"/>
      <c r="BT44" s="156"/>
      <c r="BU44" s="156"/>
      <c r="BV44" s="156"/>
      <c r="BW44" s="156"/>
      <c r="BX44" s="156"/>
      <c r="BZ44" s="138"/>
      <c r="CA44" s="138"/>
    </row>
    <row r="45" spans="1:85" hidden="1">
      <c r="A45" s="644"/>
      <c r="B45" s="157"/>
      <c r="C45" s="213"/>
      <c r="D45" s="261"/>
      <c r="E45" s="261"/>
      <c r="F45" s="261"/>
      <c r="G45" s="261"/>
      <c r="H45" s="261"/>
      <c r="I45" s="261"/>
      <c r="J45" s="261"/>
      <c r="K45" s="261"/>
      <c r="L45" s="261"/>
      <c r="M45" s="261"/>
      <c r="N45" s="261"/>
      <c r="O45" s="261"/>
      <c r="P45" s="261"/>
      <c r="Q45" s="257"/>
      <c r="R45" s="261"/>
      <c r="S45" s="261"/>
      <c r="T45" s="261"/>
      <c r="U45" s="261"/>
      <c r="V45" s="261"/>
      <c r="W45" s="261"/>
      <c r="X45" s="261"/>
      <c r="Y45" s="261"/>
      <c r="Z45" s="261"/>
      <c r="AA45" s="261"/>
      <c r="AB45" s="261"/>
      <c r="AC45" s="261"/>
      <c r="AD45" s="261"/>
      <c r="AE45" s="257"/>
      <c r="AF45" s="261"/>
      <c r="AG45" s="261"/>
      <c r="AH45" s="261"/>
      <c r="AI45" s="261"/>
      <c r="AJ45" s="261"/>
      <c r="AK45" s="261"/>
      <c r="AL45" s="261"/>
      <c r="AM45" s="261"/>
      <c r="AN45" s="261"/>
      <c r="AO45" s="261"/>
      <c r="AP45" s="261"/>
      <c r="AQ45" s="261"/>
      <c r="AR45" s="261"/>
      <c r="AS45" s="257"/>
      <c r="AT45" s="184"/>
      <c r="AU45" s="184"/>
      <c r="AV45" s="184"/>
      <c r="AW45" s="184"/>
      <c r="AX45" s="184"/>
      <c r="AY45" s="184"/>
      <c r="AZ45" s="184"/>
      <c r="BA45" s="184"/>
      <c r="BB45" s="184"/>
      <c r="BC45" s="184"/>
      <c r="BD45" s="184"/>
      <c r="BE45" s="184"/>
      <c r="BF45" s="184"/>
      <c r="BH45" s="262"/>
      <c r="BI45" s="262"/>
      <c r="BJ45" s="262"/>
      <c r="BK45" s="262"/>
      <c r="BL45" s="262"/>
      <c r="BN45" s="262"/>
      <c r="BO45" s="262"/>
      <c r="BP45" s="262"/>
      <c r="BQ45" s="262"/>
      <c r="BR45" s="262"/>
      <c r="BT45" s="163"/>
      <c r="BU45" s="163"/>
      <c r="BV45" s="163"/>
      <c r="BW45" s="163"/>
      <c r="BX45" s="163"/>
      <c r="BZ45" s="138"/>
      <c r="CA45" s="138"/>
    </row>
    <row r="46" spans="1:85" ht="15.6" hidden="1" thickBot="1">
      <c r="A46" s="644"/>
      <c r="B46" s="164"/>
      <c r="C46" s="263"/>
      <c r="D46" s="264"/>
      <c r="E46" s="264"/>
      <c r="F46" s="264"/>
      <c r="G46" s="264"/>
      <c r="H46" s="264"/>
      <c r="I46" s="264"/>
      <c r="J46" s="264"/>
      <c r="K46" s="264"/>
      <c r="L46" s="264"/>
      <c r="M46" s="264"/>
      <c r="N46" s="264"/>
      <c r="O46" s="264"/>
      <c r="P46" s="264"/>
      <c r="Q46" s="265"/>
      <c r="R46" s="264"/>
      <c r="S46" s="264"/>
      <c r="T46" s="264"/>
      <c r="U46" s="264"/>
      <c r="V46" s="264"/>
      <c r="W46" s="264"/>
      <c r="X46" s="264"/>
      <c r="Y46" s="264"/>
      <c r="Z46" s="264"/>
      <c r="AA46" s="264"/>
      <c r="AB46" s="264"/>
      <c r="AC46" s="264"/>
      <c r="AD46" s="264"/>
      <c r="AE46" s="265"/>
      <c r="AF46" s="264"/>
      <c r="AG46" s="264"/>
      <c r="AH46" s="264"/>
      <c r="AI46" s="264"/>
      <c r="AJ46" s="264"/>
      <c r="AK46" s="264"/>
      <c r="AL46" s="264"/>
      <c r="AM46" s="264"/>
      <c r="AN46" s="264"/>
      <c r="AO46" s="264"/>
      <c r="AP46" s="264"/>
      <c r="AQ46" s="264"/>
      <c r="AR46" s="264"/>
      <c r="AS46" s="265"/>
      <c r="AT46" s="185"/>
      <c r="AU46" s="185"/>
      <c r="AV46" s="185"/>
      <c r="AW46" s="185"/>
      <c r="AX46" s="185"/>
      <c r="AY46" s="185"/>
      <c r="AZ46" s="185"/>
      <c r="BA46" s="185"/>
      <c r="BB46" s="185"/>
      <c r="BC46" s="185"/>
      <c r="BD46" s="185"/>
      <c r="BE46" s="185"/>
      <c r="BF46" s="185"/>
      <c r="BH46" s="266"/>
      <c r="BI46" s="266"/>
      <c r="BJ46" s="266"/>
      <c r="BK46" s="266"/>
      <c r="BL46" s="266"/>
      <c r="BN46" s="266"/>
      <c r="BO46" s="266"/>
      <c r="BP46" s="266"/>
      <c r="BQ46" s="266"/>
      <c r="BR46" s="266"/>
      <c r="BT46" s="266"/>
      <c r="BU46" s="266"/>
      <c r="BV46" s="266"/>
      <c r="BW46" s="266"/>
      <c r="BX46" s="266"/>
    </row>
    <row r="47" spans="1:85" ht="15.6" hidden="1" thickTop="1">
      <c r="A47" s="644"/>
      <c r="B47" s="150"/>
      <c r="C47" s="203"/>
      <c r="D47" s="269"/>
      <c r="E47" s="269"/>
      <c r="F47" s="269"/>
      <c r="G47" s="269"/>
      <c r="H47" s="269"/>
      <c r="I47" s="269"/>
      <c r="J47" s="269"/>
      <c r="K47" s="269"/>
      <c r="L47" s="269"/>
      <c r="M47" s="269"/>
      <c r="N47" s="269"/>
      <c r="O47" s="269"/>
      <c r="P47" s="269"/>
      <c r="Q47" s="265"/>
      <c r="R47" s="269"/>
      <c r="S47" s="269"/>
      <c r="T47" s="269"/>
      <c r="U47" s="269"/>
      <c r="V47" s="269"/>
      <c r="W47" s="269"/>
      <c r="X47" s="269"/>
      <c r="Y47" s="269"/>
      <c r="Z47" s="269"/>
      <c r="AA47" s="269"/>
      <c r="AB47" s="269"/>
      <c r="AC47" s="269"/>
      <c r="AD47" s="269"/>
      <c r="AE47" s="265"/>
      <c r="AF47" s="269"/>
      <c r="AG47" s="269"/>
      <c r="AH47" s="269"/>
      <c r="AI47" s="269"/>
      <c r="AJ47" s="269"/>
      <c r="AK47" s="269"/>
      <c r="AL47" s="269"/>
      <c r="AM47" s="269"/>
      <c r="AN47" s="269"/>
      <c r="AO47" s="269"/>
      <c r="AP47" s="269"/>
      <c r="AQ47" s="269"/>
      <c r="AR47" s="269"/>
      <c r="AS47" s="265"/>
      <c r="AT47" s="183"/>
      <c r="AU47" s="183"/>
      <c r="AV47" s="183"/>
      <c r="AW47" s="183"/>
      <c r="AX47" s="183"/>
      <c r="AY47" s="183"/>
      <c r="AZ47" s="183"/>
      <c r="BA47" s="183"/>
      <c r="BB47" s="183"/>
      <c r="BC47" s="183"/>
      <c r="BD47" s="183"/>
      <c r="BE47" s="183"/>
      <c r="BF47" s="183"/>
      <c r="BH47" s="270"/>
      <c r="BI47" s="270"/>
      <c r="BJ47" s="270"/>
      <c r="BK47" s="270"/>
      <c r="BL47" s="270"/>
      <c r="BN47" s="270"/>
      <c r="BO47" s="270"/>
      <c r="BP47" s="270"/>
      <c r="BQ47" s="270"/>
      <c r="BR47" s="270"/>
      <c r="BT47" s="270"/>
      <c r="BU47" s="270"/>
      <c r="BV47" s="270"/>
      <c r="BW47" s="270"/>
      <c r="BX47" s="270"/>
    </row>
    <row r="48" spans="1:85">
      <c r="A48" s="644"/>
      <c r="B48" s="150" t="s">
        <v>52</v>
      </c>
      <c r="C48" s="151"/>
      <c r="D48" s="268">
        <f t="shared" ref="D48:P49" si="39">D30/D12</f>
        <v>1.9033167084063054E-4</v>
      </c>
      <c r="E48" s="268">
        <f t="shared" si="39"/>
        <v>1.9033167084063049E-4</v>
      </c>
      <c r="F48" s="268">
        <f t="shared" si="39"/>
        <v>1.9033167084063049E-4</v>
      </c>
      <c r="G48" s="268">
        <f t="shared" si="39"/>
        <v>1.9033167084063057E-4</v>
      </c>
      <c r="H48" s="268">
        <f t="shared" si="39"/>
        <v>1.9033167084063049E-4</v>
      </c>
      <c r="I48" s="268">
        <f t="shared" si="39"/>
        <v>1.9033167084063054E-4</v>
      </c>
      <c r="J48" s="268">
        <f t="shared" si="39"/>
        <v>1.9033167084063051E-4</v>
      </c>
      <c r="K48" s="268">
        <f t="shared" si="39"/>
        <v>1.9033167084063051E-4</v>
      </c>
      <c r="L48" s="268">
        <f t="shared" si="39"/>
        <v>1.9033167084063051E-4</v>
      </c>
      <c r="M48" s="268">
        <f t="shared" si="39"/>
        <v>1.9033167084063049E-4</v>
      </c>
      <c r="N48" s="268">
        <f t="shared" si="39"/>
        <v>1.9033167084063051E-4</v>
      </c>
      <c r="O48" s="268">
        <f t="shared" si="39"/>
        <v>1.9033167084063051E-4</v>
      </c>
      <c r="P48" s="268">
        <f t="shared" si="39"/>
        <v>1.9033167084063054E-4</v>
      </c>
      <c r="Q48" s="151"/>
      <c r="R48" s="268">
        <f>R30/R12</f>
        <v>1.9271916338608013E-4</v>
      </c>
      <c r="S48" s="268">
        <f t="shared" ref="S48:AD49" si="40">S30/S12</f>
        <v>1.6871166583865786E-4</v>
      </c>
      <c r="T48" s="268">
        <f t="shared" si="40"/>
        <v>2.2733137532162854E-4</v>
      </c>
      <c r="U48" s="268">
        <f t="shared" si="40"/>
        <v>2.1281263206471984E-4</v>
      </c>
      <c r="V48" s="268">
        <f t="shared" si="40"/>
        <v>2.1120000493311708E-4</v>
      </c>
      <c r="W48" s="268">
        <f t="shared" si="40"/>
        <v>1.7995667180769137E-4</v>
      </c>
      <c r="X48" s="268">
        <f t="shared" si="40"/>
        <v>1.7864254528916716E-4</v>
      </c>
      <c r="Y48" s="268">
        <f t="shared" si="40"/>
        <v>2.4553827143304792E-4</v>
      </c>
      <c r="Z48" s="268" t="e">
        <f t="shared" si="40"/>
        <v>#DIV/0!</v>
      </c>
      <c r="AA48" s="268" t="e">
        <f t="shared" si="40"/>
        <v>#DIV/0!</v>
      </c>
      <c r="AB48" s="268" t="e">
        <f t="shared" si="40"/>
        <v>#DIV/0!</v>
      </c>
      <c r="AC48" s="268" t="e">
        <f t="shared" si="40"/>
        <v>#DIV/0!</v>
      </c>
      <c r="AD48" s="268">
        <f t="shared" si="40"/>
        <v>2.0137719802050264E-4</v>
      </c>
      <c r="AE48" s="151"/>
      <c r="AF48" s="268">
        <f t="shared" ref="AF48:AR49" si="41">R48-D48</f>
        <v>2.3874925454495924E-6</v>
      </c>
      <c r="AG48" s="268">
        <f t="shared" si="41"/>
        <v>-2.1620005001972631E-5</v>
      </c>
      <c r="AH48" s="268">
        <f t="shared" si="41"/>
        <v>3.6999704480998049E-5</v>
      </c>
      <c r="AI48" s="268">
        <f t="shared" si="41"/>
        <v>2.2480961224089272E-5</v>
      </c>
      <c r="AJ48" s="268">
        <f t="shared" si="41"/>
        <v>2.086833409248659E-5</v>
      </c>
      <c r="AK48" s="268">
        <f t="shared" si="41"/>
        <v>-1.0374999032939172E-5</v>
      </c>
      <c r="AL48" s="268">
        <f t="shared" si="41"/>
        <v>-1.1689125551463353E-5</v>
      </c>
      <c r="AM48" s="268">
        <f t="shared" si="41"/>
        <v>5.5206600592417406E-5</v>
      </c>
      <c r="AN48" s="268" t="e">
        <f t="shared" si="41"/>
        <v>#DIV/0!</v>
      </c>
      <c r="AO48" s="268" t="e">
        <f t="shared" si="41"/>
        <v>#DIV/0!</v>
      </c>
      <c r="AP48" s="268" t="e">
        <f t="shared" si="41"/>
        <v>#DIV/0!</v>
      </c>
      <c r="AQ48" s="268" t="e">
        <f t="shared" si="41"/>
        <v>#DIV/0!</v>
      </c>
      <c r="AR48" s="268">
        <f t="shared" si="41"/>
        <v>1.1045527179872103E-5</v>
      </c>
      <c r="AS48" s="151"/>
      <c r="AT48" s="184">
        <f>(R48-D48)/D48</f>
        <v>1.2543853237376871E-2</v>
      </c>
      <c r="AU48" s="258">
        <f t="shared" ref="AU48:BF49" si="42">S48/E48</f>
        <v>0.88640878889737895</v>
      </c>
      <c r="AV48" s="258">
        <f t="shared" si="42"/>
        <v>1.1943959421865151</v>
      </c>
      <c r="AW48" s="258">
        <f t="shared" si="42"/>
        <v>1.1181146633389938</v>
      </c>
      <c r="AX48" s="258">
        <f t="shared" si="42"/>
        <v>1.1096419424067379</v>
      </c>
      <c r="AY48" s="258">
        <f t="shared" si="42"/>
        <v>0.9454898967307106</v>
      </c>
      <c r="AZ48" s="258">
        <f t="shared" si="42"/>
        <v>0.93858549394414259</v>
      </c>
      <c r="BA48" s="258">
        <f t="shared" si="42"/>
        <v>1.2900547257773158</v>
      </c>
      <c r="BB48" s="258" t="e">
        <f t="shared" si="42"/>
        <v>#DIV/0!</v>
      </c>
      <c r="BC48" s="258" t="e">
        <f t="shared" si="42"/>
        <v>#DIV/0!</v>
      </c>
      <c r="BD48" s="258" t="e">
        <f t="shared" si="42"/>
        <v>#DIV/0!</v>
      </c>
      <c r="BE48" s="258" t="e">
        <f t="shared" si="42"/>
        <v>#DIV/0!</v>
      </c>
      <c r="BF48" s="258">
        <f t="shared" si="42"/>
        <v>1.0580330489985599</v>
      </c>
      <c r="BH48" s="258">
        <f t="shared" ref="BH48:BL49" si="43">AF48/R48</f>
        <v>1.2388454284988028E-2</v>
      </c>
      <c r="BI48" s="258">
        <f t="shared" si="43"/>
        <v>-0.12814765887409499</v>
      </c>
      <c r="BJ48" s="258">
        <f t="shared" si="43"/>
        <v>0.16275670011959786</v>
      </c>
      <c r="BK48" s="258">
        <f t="shared" si="43"/>
        <v>0.10563734401467503</v>
      </c>
      <c r="BL48" s="258">
        <f t="shared" si="43"/>
        <v>9.8808397751198845E-2</v>
      </c>
      <c r="BN48" s="258">
        <f t="shared" ref="BN48:BR49" si="44">AL48/X48</f>
        <v>-6.5433044141541233E-2</v>
      </c>
      <c r="BO48" s="258">
        <f t="shared" si="44"/>
        <v>0.22483908626631693</v>
      </c>
      <c r="BP48" s="258" t="e">
        <f t="shared" si="44"/>
        <v>#DIV/0!</v>
      </c>
      <c r="BQ48" s="258" t="e">
        <f t="shared" si="44"/>
        <v>#DIV/0!</v>
      </c>
      <c r="BR48" s="258" t="e">
        <f t="shared" si="44"/>
        <v>#DIV/0!</v>
      </c>
      <c r="BT48" s="156">
        <f t="shared" ref="BT48:BX50" si="45">BN48/BH48</f>
        <v>-5.2817762923685407</v>
      </c>
      <c r="BU48" s="156">
        <f t="shared" si="45"/>
        <v>-1.7545313604770667</v>
      </c>
      <c r="BV48" s="156" t="e">
        <f t="shared" si="45"/>
        <v>#DIV/0!</v>
      </c>
      <c r="BW48" s="156" t="e">
        <f t="shared" si="45"/>
        <v>#DIV/0!</v>
      </c>
      <c r="BX48" s="156" t="e">
        <f t="shared" si="45"/>
        <v>#DIV/0!</v>
      </c>
      <c r="BZ48" s="138"/>
      <c r="CA48" s="138"/>
    </row>
    <row r="49" spans="1:79">
      <c r="A49" s="644"/>
      <c r="B49" s="157" t="s">
        <v>53</v>
      </c>
      <c r="C49" s="158"/>
      <c r="D49" s="268">
        <f t="shared" si="39"/>
        <v>5.6702815725121088E-4</v>
      </c>
      <c r="E49" s="268">
        <f t="shared" si="39"/>
        <v>5.6702815725121077E-4</v>
      </c>
      <c r="F49" s="268">
        <f t="shared" si="39"/>
        <v>5.6702815725121077E-4</v>
      </c>
      <c r="G49" s="268">
        <f t="shared" si="39"/>
        <v>5.6702815725121088E-4</v>
      </c>
      <c r="H49" s="268">
        <f t="shared" si="39"/>
        <v>5.6702815725121066E-4</v>
      </c>
      <c r="I49" s="268">
        <f t="shared" si="39"/>
        <v>5.6702815725121077E-4</v>
      </c>
      <c r="J49" s="268">
        <f t="shared" si="39"/>
        <v>5.6702815725121077E-4</v>
      </c>
      <c r="K49" s="268">
        <f t="shared" si="39"/>
        <v>5.6702815725121088E-4</v>
      </c>
      <c r="L49" s="268">
        <f t="shared" si="39"/>
        <v>5.6702815725121077E-4</v>
      </c>
      <c r="M49" s="268">
        <f t="shared" si="39"/>
        <v>5.6702815725121077E-4</v>
      </c>
      <c r="N49" s="268">
        <f t="shared" si="39"/>
        <v>5.6702815725121077E-4</v>
      </c>
      <c r="O49" s="268">
        <f t="shared" si="39"/>
        <v>5.6702815725121077E-4</v>
      </c>
      <c r="P49" s="268">
        <f t="shared" si="39"/>
        <v>5.6702815725121088E-4</v>
      </c>
      <c r="Q49" s="151"/>
      <c r="R49" s="261">
        <f>R31/R13</f>
        <v>2.9178327116334655E-4</v>
      </c>
      <c r="S49" s="261">
        <f t="shared" si="40"/>
        <v>2.9512278932005179E-4</v>
      </c>
      <c r="T49" s="261">
        <f t="shared" si="40"/>
        <v>3.8277813124159036E-4</v>
      </c>
      <c r="U49" s="261">
        <f t="shared" si="40"/>
        <v>3.6798273207660836E-4</v>
      </c>
      <c r="V49" s="261">
        <f t="shared" si="40"/>
        <v>3.8945078219425929E-4</v>
      </c>
      <c r="W49" s="261">
        <f t="shared" si="40"/>
        <v>4.7660416729444728E-4</v>
      </c>
      <c r="X49" s="261">
        <f t="shared" si="40"/>
        <v>3.6681420633770509E-4</v>
      </c>
      <c r="Y49" s="261">
        <f t="shared" si="40"/>
        <v>4.2374222013580835E-4</v>
      </c>
      <c r="Z49" s="261" t="e">
        <f t="shared" si="40"/>
        <v>#DIV/0!</v>
      </c>
      <c r="AA49" s="261" t="e">
        <f t="shared" si="40"/>
        <v>#DIV/0!</v>
      </c>
      <c r="AB49" s="261" t="e">
        <f t="shared" si="40"/>
        <v>#DIV/0!</v>
      </c>
      <c r="AC49" s="261" t="e">
        <f t="shared" si="40"/>
        <v>#DIV/0!</v>
      </c>
      <c r="AD49" s="261">
        <f t="shared" si="40"/>
        <v>3.8864387858433841E-4</v>
      </c>
      <c r="AE49" s="151"/>
      <c r="AF49" s="261">
        <f t="shared" si="41"/>
        <v>-2.7524488608786433E-4</v>
      </c>
      <c r="AG49" s="261">
        <f t="shared" si="41"/>
        <v>-2.7190536793115898E-4</v>
      </c>
      <c r="AH49" s="261">
        <f t="shared" si="41"/>
        <v>-1.8425002600962041E-4</v>
      </c>
      <c r="AI49" s="261">
        <f t="shared" si="41"/>
        <v>-1.9904542517460252E-4</v>
      </c>
      <c r="AJ49" s="261">
        <f t="shared" si="41"/>
        <v>-1.7757737505695137E-4</v>
      </c>
      <c r="AK49" s="261">
        <f t="shared" si="41"/>
        <v>-9.0423989956763494E-5</v>
      </c>
      <c r="AL49" s="261">
        <f t="shared" si="41"/>
        <v>-2.0021395091350568E-4</v>
      </c>
      <c r="AM49" s="261">
        <f t="shared" si="41"/>
        <v>-1.4328593711540252E-4</v>
      </c>
      <c r="AN49" s="261" t="e">
        <f t="shared" si="41"/>
        <v>#DIV/0!</v>
      </c>
      <c r="AO49" s="261" t="e">
        <f t="shared" si="41"/>
        <v>#DIV/0!</v>
      </c>
      <c r="AP49" s="261" t="e">
        <f t="shared" si="41"/>
        <v>#DIV/0!</v>
      </c>
      <c r="AQ49" s="261" t="e">
        <f t="shared" si="41"/>
        <v>#DIV/0!</v>
      </c>
      <c r="AR49" s="261">
        <f t="shared" si="41"/>
        <v>-1.7838427866687247E-4</v>
      </c>
      <c r="AS49" s="151"/>
      <c r="AT49" s="184">
        <f>(R49-D49)/D49</f>
        <v>-0.48541661038875428</v>
      </c>
      <c r="AU49" s="184">
        <f t="shared" si="42"/>
        <v>0.52047289988335343</v>
      </c>
      <c r="AV49" s="184">
        <f t="shared" si="42"/>
        <v>0.67506018236764209</v>
      </c>
      <c r="AW49" s="184">
        <f t="shared" si="42"/>
        <v>0.64896729972014544</v>
      </c>
      <c r="AX49" s="184">
        <f t="shared" si="42"/>
        <v>0.68682794181192808</v>
      </c>
      <c r="AY49" s="184">
        <f t="shared" si="42"/>
        <v>0.84052998285814773</v>
      </c>
      <c r="AZ49" s="184">
        <f t="shared" si="42"/>
        <v>0.64690651010333378</v>
      </c>
      <c r="BA49" s="184">
        <f t="shared" si="42"/>
        <v>0.74730366511248492</v>
      </c>
      <c r="BB49" s="184" t="e">
        <f t="shared" si="42"/>
        <v>#DIV/0!</v>
      </c>
      <c r="BC49" s="184" t="e">
        <f t="shared" si="42"/>
        <v>#DIV/0!</v>
      </c>
      <c r="BD49" s="184" t="e">
        <f t="shared" si="42"/>
        <v>#DIV/0!</v>
      </c>
      <c r="BE49" s="184" t="e">
        <f t="shared" si="42"/>
        <v>#DIV/0!</v>
      </c>
      <c r="BF49" s="184">
        <f t="shared" si="42"/>
        <v>0.68540490205701943</v>
      </c>
      <c r="BH49" s="184">
        <f t="shared" si="43"/>
        <v>-0.94331962552361792</v>
      </c>
      <c r="BI49" s="184">
        <f t="shared" si="43"/>
        <v>-0.92132962201128354</v>
      </c>
      <c r="BJ49" s="184">
        <f t="shared" si="43"/>
        <v>-0.48134940575623175</v>
      </c>
      <c r="BK49" s="184">
        <f t="shared" si="43"/>
        <v>-0.54090968902628922</v>
      </c>
      <c r="BL49" s="184">
        <f t="shared" si="43"/>
        <v>-0.45596872101896357</v>
      </c>
      <c r="BN49" s="184">
        <f t="shared" si="44"/>
        <v>-0.54581842102696543</v>
      </c>
      <c r="BO49" s="184">
        <f t="shared" si="44"/>
        <v>-0.3381441128747561</v>
      </c>
      <c r="BP49" s="184" t="e">
        <f t="shared" si="44"/>
        <v>#DIV/0!</v>
      </c>
      <c r="BQ49" s="184" t="e">
        <f t="shared" si="44"/>
        <v>#DIV/0!</v>
      </c>
      <c r="BR49" s="184" t="e">
        <f t="shared" si="44"/>
        <v>#DIV/0!</v>
      </c>
      <c r="BT49" s="163">
        <f t="shared" si="45"/>
        <v>0.57861450801894687</v>
      </c>
      <c r="BU49" s="163">
        <f t="shared" si="45"/>
        <v>0.36701751989323844</v>
      </c>
      <c r="BV49" s="163" t="e">
        <f t="shared" si="45"/>
        <v>#DIV/0!</v>
      </c>
      <c r="BW49" s="163" t="e">
        <f t="shared" si="45"/>
        <v>#DIV/0!</v>
      </c>
      <c r="BX49" s="163" t="e">
        <f t="shared" si="45"/>
        <v>#DIV/0!</v>
      </c>
      <c r="BZ49" s="138"/>
      <c r="CA49" s="138"/>
    </row>
    <row r="50" spans="1:79" ht="16.2" thickBot="1">
      <c r="A50" s="644"/>
      <c r="B50" s="164" t="s">
        <v>60</v>
      </c>
      <c r="C50" s="165"/>
      <c r="D50" s="166"/>
      <c r="E50" s="166"/>
      <c r="F50" s="166"/>
      <c r="G50" s="166"/>
      <c r="H50" s="166"/>
      <c r="I50" s="166"/>
      <c r="J50" s="166"/>
      <c r="K50" s="166"/>
      <c r="L50" s="166"/>
      <c r="M50" s="166"/>
      <c r="N50" s="166"/>
      <c r="O50" s="166"/>
      <c r="P50" s="166"/>
      <c r="Q50" s="187"/>
      <c r="R50" s="166"/>
      <c r="S50" s="166"/>
      <c r="T50" s="166"/>
      <c r="U50" s="166"/>
      <c r="V50" s="166"/>
      <c r="W50" s="166"/>
      <c r="X50" s="166"/>
      <c r="Y50" s="166"/>
      <c r="Z50" s="166"/>
      <c r="AA50" s="166"/>
      <c r="AB50" s="166"/>
      <c r="AC50" s="166"/>
      <c r="AD50" s="166"/>
      <c r="AE50" s="168"/>
      <c r="AF50" s="264"/>
      <c r="AG50" s="264"/>
      <c r="AH50" s="264"/>
      <c r="AI50" s="264"/>
      <c r="AJ50" s="264"/>
      <c r="AK50" s="264"/>
      <c r="AL50" s="264"/>
      <c r="AM50" s="264"/>
      <c r="AN50" s="264"/>
      <c r="AO50" s="264"/>
      <c r="AP50" s="264"/>
      <c r="AQ50" s="264"/>
      <c r="AR50" s="264"/>
      <c r="AS50" s="151"/>
      <c r="AT50" s="185"/>
      <c r="AU50" s="185"/>
      <c r="AV50" s="185"/>
      <c r="AW50" s="185"/>
      <c r="AX50" s="185"/>
      <c r="AY50" s="185"/>
      <c r="AZ50" s="185"/>
      <c r="BA50" s="185"/>
      <c r="BB50" s="185"/>
      <c r="BC50" s="185"/>
      <c r="BD50" s="185"/>
      <c r="BE50" s="185"/>
      <c r="BF50" s="185"/>
      <c r="BH50" s="166"/>
      <c r="BI50" s="166"/>
      <c r="BJ50" s="166"/>
      <c r="BK50" s="166"/>
      <c r="BL50" s="166"/>
      <c r="BN50" s="166"/>
      <c r="BO50" s="166"/>
      <c r="BP50" s="166"/>
      <c r="BQ50" s="166"/>
      <c r="BR50" s="166"/>
      <c r="BT50" s="172" t="e">
        <f t="shared" si="45"/>
        <v>#DIV/0!</v>
      </c>
      <c r="BU50" s="172" t="e">
        <f t="shared" si="45"/>
        <v>#DIV/0!</v>
      </c>
      <c r="BV50" s="172" t="e">
        <f t="shared" si="45"/>
        <v>#DIV/0!</v>
      </c>
      <c r="BW50" s="172" t="e">
        <f t="shared" si="45"/>
        <v>#DIV/0!</v>
      </c>
      <c r="BX50" s="172" t="e">
        <f t="shared" si="45"/>
        <v>#DIV/0!</v>
      </c>
    </row>
    <row r="51" spans="1:79" ht="16.2" thickTop="1">
      <c r="A51" s="644"/>
      <c r="B51" s="181"/>
      <c r="C51" s="151"/>
      <c r="D51" s="152"/>
      <c r="E51" s="152"/>
      <c r="F51" s="152"/>
      <c r="G51" s="152"/>
      <c r="H51" s="152"/>
      <c r="I51" s="152"/>
      <c r="J51" s="152"/>
      <c r="K51" s="152"/>
      <c r="L51" s="152"/>
      <c r="M51" s="152"/>
      <c r="N51" s="152"/>
      <c r="O51" s="152"/>
      <c r="P51" s="152"/>
      <c r="Q51" s="187"/>
      <c r="R51" s="152"/>
      <c r="S51" s="152"/>
      <c r="T51" s="152"/>
      <c r="U51" s="152"/>
      <c r="V51" s="152"/>
      <c r="W51" s="152"/>
      <c r="X51" s="152"/>
      <c r="Y51" s="152"/>
      <c r="Z51" s="152"/>
      <c r="AA51" s="152"/>
      <c r="AB51" s="152"/>
      <c r="AC51" s="152"/>
      <c r="AD51" s="152"/>
      <c r="AE51" s="168"/>
      <c r="AF51" s="152"/>
      <c r="AG51" s="152"/>
      <c r="AH51" s="152"/>
      <c r="AI51" s="152"/>
      <c r="AJ51" s="152"/>
      <c r="AK51" s="152"/>
      <c r="AL51" s="152"/>
      <c r="AM51" s="152"/>
      <c r="AN51" s="152"/>
      <c r="AO51" s="152"/>
      <c r="AP51" s="152"/>
      <c r="AQ51" s="152"/>
      <c r="AR51" s="152"/>
      <c r="AS51" s="151"/>
      <c r="AT51" s="183"/>
      <c r="AU51" s="183"/>
      <c r="AV51" s="183"/>
      <c r="AW51" s="183"/>
      <c r="AX51" s="183"/>
      <c r="AY51" s="183"/>
      <c r="AZ51" s="183"/>
      <c r="BA51" s="183"/>
      <c r="BB51" s="183"/>
      <c r="BC51" s="183"/>
      <c r="BD51" s="183"/>
      <c r="BE51" s="183"/>
      <c r="BF51" s="183"/>
      <c r="BH51" s="152"/>
      <c r="BI51" s="152"/>
      <c r="BJ51" s="152"/>
      <c r="BK51" s="152"/>
      <c r="BL51" s="152"/>
      <c r="BN51" s="152"/>
      <c r="BO51" s="152"/>
      <c r="BP51" s="152"/>
      <c r="BQ51" s="152"/>
      <c r="BR51" s="152"/>
      <c r="BT51" s="156"/>
      <c r="BU51" s="156"/>
      <c r="BV51" s="156"/>
      <c r="BW51" s="156"/>
      <c r="BX51" s="156"/>
    </row>
    <row r="52" spans="1:79">
      <c r="A52" s="644"/>
      <c r="B52" s="150" t="s">
        <v>52</v>
      </c>
      <c r="C52" s="151"/>
      <c r="D52" s="268">
        <f t="shared" ref="D52:P53" si="46">D34/D16</f>
        <v>7.8971620814351478E-5</v>
      </c>
      <c r="E52" s="268">
        <f t="shared" si="46"/>
        <v>7.8971620814351478E-5</v>
      </c>
      <c r="F52" s="268">
        <f t="shared" si="46"/>
        <v>7.8971620814351464E-5</v>
      </c>
      <c r="G52" s="268">
        <f t="shared" si="46"/>
        <v>7.8971620814351491E-5</v>
      </c>
      <c r="H52" s="268">
        <f t="shared" si="46"/>
        <v>7.8971620814351464E-5</v>
      </c>
      <c r="I52" s="268">
        <f t="shared" si="46"/>
        <v>7.8971620814351464E-5</v>
      </c>
      <c r="J52" s="268">
        <f t="shared" si="46"/>
        <v>7.8971620814351491E-5</v>
      </c>
      <c r="K52" s="268">
        <f t="shared" si="46"/>
        <v>7.8971620814351464E-5</v>
      </c>
      <c r="L52" s="268">
        <f t="shared" si="46"/>
        <v>7.8971620814351464E-5</v>
      </c>
      <c r="M52" s="268">
        <f t="shared" si="46"/>
        <v>7.8971620814351491E-5</v>
      </c>
      <c r="N52" s="268">
        <f t="shared" si="46"/>
        <v>7.8971620814351464E-5</v>
      </c>
      <c r="O52" s="268">
        <f t="shared" si="46"/>
        <v>7.8971620814351464E-5</v>
      </c>
      <c r="P52" s="268">
        <f t="shared" si="46"/>
        <v>7.8971620814351478E-5</v>
      </c>
      <c r="Q52" s="151"/>
      <c r="R52" s="268">
        <f t="shared" ref="R52:AD53" si="47">R34/R16</f>
        <v>8.790366187271892E-5</v>
      </c>
      <c r="S52" s="268">
        <f t="shared" si="47"/>
        <v>8.9887832571540805E-5</v>
      </c>
      <c r="T52" s="268">
        <f t="shared" si="47"/>
        <v>1.1728003459816152E-4</v>
      </c>
      <c r="U52" s="268">
        <f t="shared" si="47"/>
        <v>1.288512977705049E-4</v>
      </c>
      <c r="V52" s="268">
        <f t="shared" si="47"/>
        <v>1.4394687905613211E-4</v>
      </c>
      <c r="W52" s="268">
        <f t="shared" si="47"/>
        <v>1.2555853584834473E-4</v>
      </c>
      <c r="X52" s="268">
        <f t="shared" si="47"/>
        <v>9.4165052913135086E-5</v>
      </c>
      <c r="Y52" s="268">
        <f t="shared" si="47"/>
        <v>1.0841008968075988E-4</v>
      </c>
      <c r="Z52" s="268" t="e">
        <f t="shared" si="47"/>
        <v>#DIV/0!</v>
      </c>
      <c r="AA52" s="268" t="e">
        <f t="shared" si="47"/>
        <v>#DIV/0!</v>
      </c>
      <c r="AB52" s="268" t="e">
        <f t="shared" si="47"/>
        <v>#DIV/0!</v>
      </c>
      <c r="AC52" s="268" t="e">
        <f t="shared" si="47"/>
        <v>#DIV/0!</v>
      </c>
      <c r="AD52" s="268">
        <f t="shared" si="47"/>
        <v>1.1480347522497833E-4</v>
      </c>
      <c r="AE52" s="151"/>
      <c r="AF52" s="268">
        <f t="shared" ref="AF52:AQ53" si="48">R52-D52</f>
        <v>8.9320410583674419E-6</v>
      </c>
      <c r="AG52" s="268">
        <f t="shared" si="48"/>
        <v>1.0916211757189327E-5</v>
      </c>
      <c r="AH52" s="268">
        <f t="shared" si="48"/>
        <v>3.8308413783810059E-5</v>
      </c>
      <c r="AI52" s="268">
        <f t="shared" si="48"/>
        <v>4.9879676956153407E-5</v>
      </c>
      <c r="AJ52" s="268">
        <f t="shared" si="48"/>
        <v>6.4975258241780642E-5</v>
      </c>
      <c r="AK52" s="268">
        <f t="shared" si="48"/>
        <v>4.6586915033993269E-5</v>
      </c>
      <c r="AL52" s="268">
        <f t="shared" si="48"/>
        <v>1.5193432098783595E-5</v>
      </c>
      <c r="AM52" s="268">
        <f t="shared" si="48"/>
        <v>2.9438468866408411E-5</v>
      </c>
      <c r="AN52" s="268" t="e">
        <f t="shared" si="48"/>
        <v>#DIV/0!</v>
      </c>
      <c r="AO52" s="268" t="e">
        <f t="shared" si="48"/>
        <v>#DIV/0!</v>
      </c>
      <c r="AP52" s="268" t="e">
        <f t="shared" si="48"/>
        <v>#DIV/0!</v>
      </c>
      <c r="AQ52" s="268" t="e">
        <f t="shared" si="48"/>
        <v>#DIV/0!</v>
      </c>
      <c r="AR52" s="268">
        <f>AR34/AR16</f>
        <v>-2.168270103670844E-3</v>
      </c>
      <c r="AS52" s="151"/>
      <c r="AT52" s="184">
        <f>(R52-D52)/D52</f>
        <v>0.11310444139629747</v>
      </c>
      <c r="AU52" s="258">
        <f t="shared" ref="AU52:AY53" si="49">S52/E52</f>
        <v>1.1382295518899306</v>
      </c>
      <c r="AV52" s="258">
        <f t="shared" si="49"/>
        <v>1.4850908894711237</v>
      </c>
      <c r="AW52" s="258">
        <f t="shared" si="49"/>
        <v>1.6316152111580922</v>
      </c>
      <c r="AX52" s="258">
        <f t="shared" si="49"/>
        <v>1.8227671861329295</v>
      </c>
      <c r="AY52" s="258">
        <f t="shared" si="49"/>
        <v>1.5899197022118996</v>
      </c>
      <c r="AZ52" s="184">
        <f t="shared" ref="AZ52:BF53" si="50">(X52-J52)/J52</f>
        <v>0.19239103797173801</v>
      </c>
      <c r="BA52" s="184">
        <f t="shared" si="50"/>
        <v>0.37277275764180057</v>
      </c>
      <c r="BB52" s="184" t="e">
        <f t="shared" si="50"/>
        <v>#DIV/0!</v>
      </c>
      <c r="BC52" s="184" t="e">
        <f t="shared" si="50"/>
        <v>#DIV/0!</v>
      </c>
      <c r="BD52" s="184" t="e">
        <f t="shared" si="50"/>
        <v>#DIV/0!</v>
      </c>
      <c r="BE52" s="184" t="e">
        <f t="shared" si="50"/>
        <v>#DIV/0!</v>
      </c>
      <c r="BF52" s="184">
        <f t="shared" si="50"/>
        <v>0.45373077114450133</v>
      </c>
      <c r="BH52" s="268">
        <f t="shared" ref="BH52:BL53" si="51">BH34/BH16</f>
        <v>7.8971620814351491E-5</v>
      </c>
      <c r="BI52" s="268">
        <f t="shared" si="51"/>
        <v>7.8971620814351478E-5</v>
      </c>
      <c r="BJ52" s="268">
        <f t="shared" si="51"/>
        <v>7.8971620814351478E-5</v>
      </c>
      <c r="BK52" s="268">
        <f t="shared" si="51"/>
        <v>7.8971620814351478E-5</v>
      </c>
      <c r="BL52" s="268">
        <f t="shared" si="51"/>
        <v>7.8971620814351478E-5</v>
      </c>
      <c r="BN52" s="268">
        <f t="shared" ref="BN52:BR53" si="52">BN34/BN16</f>
        <v>1.0160677851076025E-4</v>
      </c>
      <c r="BO52" s="268">
        <f t="shared" si="52"/>
        <v>1.3307465470494725E-4</v>
      </c>
      <c r="BP52" s="268">
        <f t="shared" si="52"/>
        <v>1.0058646418413819E-4</v>
      </c>
      <c r="BQ52" s="268" t="e">
        <f t="shared" si="52"/>
        <v>#DIV/0!</v>
      </c>
      <c r="BR52" s="268">
        <f t="shared" si="52"/>
        <v>1.1480347522497833E-4</v>
      </c>
      <c r="BT52" s="156">
        <f t="shared" ref="BT52:BX54" si="53">BN52/BH52</f>
        <v>1.2866239474762722</v>
      </c>
      <c r="BU52" s="156">
        <f t="shared" si="53"/>
        <v>1.6850946369428401</v>
      </c>
      <c r="BV52" s="156">
        <f t="shared" si="53"/>
        <v>1.2737039349945654</v>
      </c>
      <c r="BW52" s="156" t="e">
        <f t="shared" si="53"/>
        <v>#DIV/0!</v>
      </c>
      <c r="BX52" s="156">
        <f t="shared" si="53"/>
        <v>1.4537307711445013</v>
      </c>
      <c r="BZ52" s="138"/>
      <c r="CA52" s="138"/>
    </row>
    <row r="53" spans="1:79">
      <c r="A53" s="644"/>
      <c r="B53" s="157" t="s">
        <v>53</v>
      </c>
      <c r="C53" s="158"/>
      <c r="D53" s="261">
        <f t="shared" si="46"/>
        <v>8.3183241975371151E-4</v>
      </c>
      <c r="E53" s="261">
        <f t="shared" si="46"/>
        <v>8.3183241975371162E-4</v>
      </c>
      <c r="F53" s="261">
        <f t="shared" si="46"/>
        <v>8.3183241975371151E-4</v>
      </c>
      <c r="G53" s="261">
        <f t="shared" si="46"/>
        <v>8.3183241975371173E-4</v>
      </c>
      <c r="H53" s="261">
        <f t="shared" si="46"/>
        <v>8.318324197537114E-4</v>
      </c>
      <c r="I53" s="261">
        <f t="shared" si="46"/>
        <v>8.3183241975371151E-4</v>
      </c>
      <c r="J53" s="261">
        <f t="shared" si="46"/>
        <v>8.3183241975371151E-4</v>
      </c>
      <c r="K53" s="261">
        <f t="shared" si="46"/>
        <v>8.3183241975371151E-4</v>
      </c>
      <c r="L53" s="261">
        <f t="shared" si="46"/>
        <v>8.3183241975371162E-4</v>
      </c>
      <c r="M53" s="261">
        <f t="shared" si="46"/>
        <v>8.3183241975371151E-4</v>
      </c>
      <c r="N53" s="261">
        <f t="shared" si="46"/>
        <v>8.3183241975371151E-4</v>
      </c>
      <c r="O53" s="261">
        <f t="shared" si="46"/>
        <v>8.3183241975371151E-4</v>
      </c>
      <c r="P53" s="261">
        <f t="shared" si="46"/>
        <v>8.3183241975371162E-4</v>
      </c>
      <c r="Q53" s="151"/>
      <c r="R53" s="261">
        <f t="shared" si="47"/>
        <v>3.3159658378644521E-4</v>
      </c>
      <c r="S53" s="261">
        <f t="shared" si="47"/>
        <v>6.424761324157793E-4</v>
      </c>
      <c r="T53" s="261">
        <f t="shared" si="47"/>
        <v>1.2466133717114662E-3</v>
      </c>
      <c r="U53" s="261">
        <f t="shared" si="47"/>
        <v>5.6219098373809474E-4</v>
      </c>
      <c r="V53" s="261">
        <f t="shared" si="47"/>
        <v>6.2781603915197041E-4</v>
      </c>
      <c r="W53" s="261">
        <f t="shared" si="47"/>
        <v>8.7256775980714557E-4</v>
      </c>
      <c r="X53" s="261">
        <f t="shared" si="47"/>
        <v>4.2016827697916606E-4</v>
      </c>
      <c r="Y53" s="261">
        <f t="shared" si="47"/>
        <v>4.3326476818304174E-4</v>
      </c>
      <c r="Z53" s="261" t="e">
        <f t="shared" si="47"/>
        <v>#DIV/0!</v>
      </c>
      <c r="AA53" s="261" t="e">
        <f t="shared" si="47"/>
        <v>#DIV/0!</v>
      </c>
      <c r="AB53" s="261" t="e">
        <f t="shared" si="47"/>
        <v>#DIV/0!</v>
      </c>
      <c r="AC53" s="261" t="e">
        <f t="shared" si="47"/>
        <v>#DIV/0!</v>
      </c>
      <c r="AD53" s="261">
        <f t="shared" si="47"/>
        <v>5.9024253199580563E-4</v>
      </c>
      <c r="AE53" s="151"/>
      <c r="AF53" s="261">
        <f t="shared" si="48"/>
        <v>-5.0023583596726625E-4</v>
      </c>
      <c r="AG53" s="261">
        <f t="shared" si="48"/>
        <v>-1.8935628733793232E-4</v>
      </c>
      <c r="AH53" s="261">
        <f t="shared" si="48"/>
        <v>4.1478095195775471E-4</v>
      </c>
      <c r="AI53" s="261">
        <f t="shared" si="48"/>
        <v>-2.6964143601561699E-4</v>
      </c>
      <c r="AJ53" s="261">
        <f t="shared" si="48"/>
        <v>-2.0401638060174099E-4</v>
      </c>
      <c r="AK53" s="261">
        <f t="shared" si="48"/>
        <v>4.0735340053434056E-5</v>
      </c>
      <c r="AL53" s="261">
        <f t="shared" si="48"/>
        <v>-4.1166414277454545E-4</v>
      </c>
      <c r="AM53" s="261">
        <f t="shared" si="48"/>
        <v>-3.9856765157066977E-4</v>
      </c>
      <c r="AN53" s="261" t="e">
        <f t="shared" si="48"/>
        <v>#DIV/0!</v>
      </c>
      <c r="AO53" s="261" t="e">
        <f t="shared" si="48"/>
        <v>#DIV/0!</v>
      </c>
      <c r="AP53" s="261" t="e">
        <f t="shared" si="48"/>
        <v>#DIV/0!</v>
      </c>
      <c r="AQ53" s="261" t="e">
        <f t="shared" si="48"/>
        <v>#DIV/0!</v>
      </c>
      <c r="AR53" s="261">
        <f>AR35/AR17</f>
        <v>5.1858267025501616E-4</v>
      </c>
      <c r="AS53" s="151"/>
      <c r="AT53" s="184">
        <f>(R53-D53)/D53</f>
        <v>-0.60136612145433788</v>
      </c>
      <c r="AU53" s="184">
        <f t="shared" si="49"/>
        <v>0.77236245806096759</v>
      </c>
      <c r="AV53" s="184">
        <f t="shared" si="49"/>
        <v>1.4986352324192447</v>
      </c>
      <c r="AW53" s="184">
        <f t="shared" si="49"/>
        <v>0.67584644501418667</v>
      </c>
      <c r="AX53" s="184">
        <f t="shared" si="49"/>
        <v>0.75473860388592928</v>
      </c>
      <c r="AY53" s="184">
        <f t="shared" si="49"/>
        <v>1.0489706088463047</v>
      </c>
      <c r="AZ53" s="184">
        <f t="shared" si="50"/>
        <v>-0.49488831283641332</v>
      </c>
      <c r="BA53" s="184">
        <f t="shared" si="50"/>
        <v>-0.4791441666684228</v>
      </c>
      <c r="BB53" s="184" t="e">
        <f t="shared" si="50"/>
        <v>#DIV/0!</v>
      </c>
      <c r="BC53" s="184" t="e">
        <f t="shared" si="50"/>
        <v>#DIV/0!</v>
      </c>
      <c r="BD53" s="184" t="e">
        <f t="shared" si="50"/>
        <v>#DIV/0!</v>
      </c>
      <c r="BE53" s="184" t="e">
        <f t="shared" si="50"/>
        <v>#DIV/0!</v>
      </c>
      <c r="BF53" s="184">
        <f t="shared" si="50"/>
        <v>-0.29043095943463682</v>
      </c>
      <c r="BH53" s="261">
        <f t="shared" si="51"/>
        <v>8.3183241975371162E-4</v>
      </c>
      <c r="BI53" s="261">
        <f t="shared" si="51"/>
        <v>8.3183241975371151E-4</v>
      </c>
      <c r="BJ53" s="261">
        <f t="shared" si="51"/>
        <v>8.318324197537114E-4</v>
      </c>
      <c r="BK53" s="261">
        <f t="shared" si="51"/>
        <v>8.3183241975371151E-4</v>
      </c>
      <c r="BL53" s="261">
        <f t="shared" si="51"/>
        <v>8.3183241975371151E-4</v>
      </c>
      <c r="BN53" s="261">
        <f t="shared" si="52"/>
        <v>6.7765902249261373E-4</v>
      </c>
      <c r="BO53" s="261">
        <f t="shared" si="52"/>
        <v>6.2510272310568307E-4</v>
      </c>
      <c r="BP53" s="261">
        <f t="shared" si="52"/>
        <v>4.2696182897728434E-4</v>
      </c>
      <c r="BQ53" s="261" t="e">
        <f t="shared" si="52"/>
        <v>#DIV/0!</v>
      </c>
      <c r="BR53" s="261">
        <f t="shared" si="52"/>
        <v>5.9024253199580574E-4</v>
      </c>
      <c r="BT53" s="163">
        <f t="shared" si="53"/>
        <v>0.81465810468562228</v>
      </c>
      <c r="BU53" s="163">
        <f t="shared" si="53"/>
        <v>0.75147674971692391</v>
      </c>
      <c r="BV53" s="163">
        <f t="shared" si="53"/>
        <v>0.5132786590641647</v>
      </c>
      <c r="BW53" s="163" t="e">
        <f t="shared" si="53"/>
        <v>#DIV/0!</v>
      </c>
      <c r="BX53" s="163">
        <f t="shared" si="53"/>
        <v>0.70956904056536341</v>
      </c>
      <c r="BZ53" s="138"/>
      <c r="CA53" s="138"/>
    </row>
    <row r="54" spans="1:79" ht="16.2" thickBot="1">
      <c r="A54" s="645"/>
      <c r="B54" s="164" t="s">
        <v>57</v>
      </c>
      <c r="C54" s="165"/>
      <c r="D54" s="166"/>
      <c r="E54" s="166"/>
      <c r="F54" s="166"/>
      <c r="G54" s="166"/>
      <c r="H54" s="166"/>
      <c r="I54" s="166"/>
      <c r="J54" s="166"/>
      <c r="K54" s="166"/>
      <c r="L54" s="166"/>
      <c r="M54" s="166"/>
      <c r="N54" s="166"/>
      <c r="O54" s="166"/>
      <c r="P54" s="166"/>
      <c r="Q54" s="187"/>
      <c r="R54" s="166"/>
      <c r="S54" s="166"/>
      <c r="T54" s="166"/>
      <c r="U54" s="166"/>
      <c r="V54" s="166"/>
      <c r="W54" s="166"/>
      <c r="X54" s="166"/>
      <c r="Y54" s="166"/>
      <c r="Z54" s="166"/>
      <c r="AA54" s="166"/>
      <c r="AB54" s="166"/>
      <c r="AC54" s="166"/>
      <c r="AD54" s="166"/>
      <c r="AE54" s="168"/>
      <c r="AF54" s="264"/>
      <c r="AG54" s="264"/>
      <c r="AH54" s="264"/>
      <c r="AI54" s="264"/>
      <c r="AJ54" s="264"/>
      <c r="AK54" s="264"/>
      <c r="AL54" s="264"/>
      <c r="AM54" s="264"/>
      <c r="AN54" s="264"/>
      <c r="AO54" s="264"/>
      <c r="AP54" s="264"/>
      <c r="AQ54" s="264"/>
      <c r="AR54" s="264"/>
      <c r="AS54" s="151"/>
      <c r="AT54" s="185"/>
      <c r="AU54" s="185"/>
      <c r="AV54" s="185"/>
      <c r="AW54" s="185"/>
      <c r="AX54" s="185"/>
      <c r="AY54" s="185"/>
      <c r="AZ54" s="185"/>
      <c r="BA54" s="185"/>
      <c r="BB54" s="185"/>
      <c r="BC54" s="185"/>
      <c r="BD54" s="185"/>
      <c r="BE54" s="185"/>
      <c r="BF54" s="185"/>
      <c r="BH54" s="166"/>
      <c r="BI54" s="166"/>
      <c r="BJ54" s="166"/>
      <c r="BK54" s="166"/>
      <c r="BL54" s="166"/>
      <c r="BN54" s="166"/>
      <c r="BO54" s="166"/>
      <c r="BP54" s="166"/>
      <c r="BQ54" s="166"/>
      <c r="BR54" s="166"/>
      <c r="BT54" s="172" t="e">
        <f t="shared" si="53"/>
        <v>#DIV/0!</v>
      </c>
      <c r="BU54" s="172" t="e">
        <f t="shared" si="53"/>
        <v>#DIV/0!</v>
      </c>
      <c r="BV54" s="172" t="e">
        <f t="shared" si="53"/>
        <v>#DIV/0!</v>
      </c>
      <c r="BW54" s="172" t="e">
        <f t="shared" si="53"/>
        <v>#DIV/0!</v>
      </c>
      <c r="BX54" s="172" t="e">
        <f t="shared" si="53"/>
        <v>#DIV/0!</v>
      </c>
    </row>
    <row r="55" spans="1:79" ht="16.2" thickTop="1">
      <c r="A55" s="186"/>
      <c r="B55" s="181"/>
      <c r="C55" s="151"/>
      <c r="D55" s="152"/>
      <c r="E55" s="152"/>
      <c r="F55" s="152"/>
      <c r="G55" s="152"/>
      <c r="H55" s="152"/>
      <c r="I55" s="152"/>
      <c r="J55" s="152"/>
      <c r="K55" s="152"/>
      <c r="L55" s="152"/>
      <c r="M55" s="152"/>
      <c r="N55" s="152"/>
      <c r="O55" s="152"/>
      <c r="P55" s="152"/>
      <c r="Q55" s="187"/>
      <c r="R55" s="152"/>
      <c r="S55" s="152"/>
      <c r="T55" s="152"/>
      <c r="U55" s="152"/>
      <c r="V55" s="152"/>
      <c r="W55" s="152"/>
      <c r="X55" s="152"/>
      <c r="Y55" s="152"/>
      <c r="Z55" s="152"/>
      <c r="AA55" s="152"/>
      <c r="AB55" s="152"/>
      <c r="AC55" s="152"/>
      <c r="AD55" s="152"/>
      <c r="AE55" s="168"/>
      <c r="AF55" s="152"/>
      <c r="AG55" s="152"/>
      <c r="AH55" s="152"/>
      <c r="AI55" s="152"/>
      <c r="AJ55" s="152"/>
      <c r="AK55" s="152"/>
      <c r="AL55" s="152"/>
      <c r="AM55" s="152"/>
      <c r="AN55" s="152"/>
      <c r="AO55" s="152"/>
      <c r="AP55" s="152"/>
      <c r="AQ55" s="152"/>
      <c r="AR55" s="152"/>
      <c r="AS55" s="151"/>
      <c r="AT55" s="183"/>
      <c r="AU55" s="183"/>
      <c r="AV55" s="183"/>
      <c r="AW55" s="183"/>
      <c r="AX55" s="183"/>
      <c r="AY55" s="183"/>
      <c r="AZ55" s="183"/>
      <c r="BA55" s="183"/>
      <c r="BB55" s="183"/>
      <c r="BC55" s="183"/>
      <c r="BD55" s="183"/>
      <c r="BE55" s="183"/>
      <c r="BF55" s="183"/>
      <c r="BH55" s="152"/>
      <c r="BI55" s="152"/>
      <c r="BJ55" s="152"/>
      <c r="BK55" s="152"/>
      <c r="BL55" s="152"/>
      <c r="BN55" s="152"/>
      <c r="BO55" s="152"/>
      <c r="BP55" s="152"/>
      <c r="BQ55" s="152"/>
      <c r="BR55" s="152"/>
      <c r="BT55" s="156"/>
      <c r="BU55" s="156"/>
      <c r="BV55" s="156"/>
      <c r="BW55" s="156"/>
      <c r="BX55" s="156"/>
    </row>
    <row r="56" spans="1:79" ht="15.6">
      <c r="A56" s="136" t="s">
        <v>61</v>
      </c>
    </row>
    <row r="57" spans="1:79" ht="16.05" hidden="1" customHeight="1">
      <c r="A57" s="638"/>
      <c r="B57" s="271"/>
      <c r="C57" s="272"/>
      <c r="D57" s="273"/>
      <c r="E57" s="273"/>
      <c r="F57" s="273"/>
      <c r="G57" s="273"/>
      <c r="H57" s="273"/>
      <c r="I57" s="273"/>
      <c r="J57" s="273"/>
      <c r="K57" s="273"/>
      <c r="L57" s="273"/>
      <c r="M57" s="273"/>
      <c r="N57" s="273"/>
      <c r="O57" s="273"/>
      <c r="P57" s="273"/>
      <c r="Q57" s="257"/>
      <c r="R57" s="273"/>
      <c r="S57" s="273"/>
      <c r="T57" s="273"/>
      <c r="U57" s="273"/>
      <c r="V57" s="273"/>
      <c r="W57" s="273"/>
      <c r="X57" s="273"/>
      <c r="Y57" s="273"/>
      <c r="Z57" s="273"/>
      <c r="AA57" s="273"/>
      <c r="AB57" s="273"/>
      <c r="AC57" s="273"/>
      <c r="AD57" s="273"/>
      <c r="AE57" s="257"/>
      <c r="AF57" s="256"/>
      <c r="AG57" s="256"/>
      <c r="AH57" s="256"/>
      <c r="AI57" s="256"/>
      <c r="AJ57" s="256"/>
      <c r="AK57" s="256"/>
      <c r="AL57" s="256"/>
      <c r="AM57" s="256"/>
      <c r="AN57" s="256"/>
      <c r="AO57" s="256"/>
      <c r="AP57" s="256"/>
      <c r="AQ57" s="256"/>
      <c r="AR57" s="256"/>
      <c r="AS57" s="257"/>
      <c r="AT57" s="258"/>
      <c r="AU57" s="258"/>
      <c r="AV57" s="258"/>
      <c r="AW57" s="258"/>
      <c r="AX57" s="258"/>
      <c r="AY57" s="258"/>
      <c r="AZ57" s="258"/>
      <c r="BA57" s="258"/>
      <c r="BB57" s="258"/>
      <c r="BC57" s="258"/>
      <c r="BD57" s="258"/>
      <c r="BE57" s="258"/>
      <c r="BF57" s="258"/>
      <c r="BH57" s="274"/>
      <c r="BI57" s="274"/>
      <c r="BJ57" s="274"/>
      <c r="BK57" s="274"/>
      <c r="BL57" s="274"/>
      <c r="BN57" s="274"/>
      <c r="BO57" s="274"/>
      <c r="BP57" s="274"/>
      <c r="BQ57" s="274"/>
      <c r="BR57" s="274"/>
      <c r="BT57" s="212"/>
      <c r="BU57" s="212"/>
      <c r="BV57" s="212"/>
      <c r="BW57" s="212"/>
      <c r="BX57" s="212"/>
      <c r="BZ57" s="138"/>
      <c r="CA57" s="138"/>
    </row>
    <row r="58" spans="1:79" ht="15.6" hidden="1" thickBot="1">
      <c r="A58" s="639"/>
      <c r="B58" s="275"/>
      <c r="C58" s="276"/>
      <c r="D58" s="277"/>
      <c r="E58" s="277"/>
      <c r="F58" s="277"/>
      <c r="G58" s="277"/>
      <c r="H58" s="277"/>
      <c r="I58" s="277"/>
      <c r="J58" s="277"/>
      <c r="K58" s="277"/>
      <c r="L58" s="277"/>
      <c r="M58" s="277"/>
      <c r="N58" s="277"/>
      <c r="O58" s="277"/>
      <c r="P58" s="277"/>
      <c r="Q58" s="257"/>
      <c r="R58" s="277"/>
      <c r="S58" s="277"/>
      <c r="T58" s="277"/>
      <c r="U58" s="277"/>
      <c r="V58" s="277"/>
      <c r="W58" s="277"/>
      <c r="X58" s="277"/>
      <c r="Y58" s="277"/>
      <c r="Z58" s="277"/>
      <c r="AA58" s="277"/>
      <c r="AB58" s="277"/>
      <c r="AC58" s="277"/>
      <c r="AD58" s="277"/>
      <c r="AE58" s="257"/>
      <c r="AF58" s="261"/>
      <c r="AG58" s="261"/>
      <c r="AH58" s="261"/>
      <c r="AI58" s="261"/>
      <c r="AJ58" s="261"/>
      <c r="AK58" s="261"/>
      <c r="AL58" s="261"/>
      <c r="AM58" s="261"/>
      <c r="AN58" s="261"/>
      <c r="AO58" s="261"/>
      <c r="AP58" s="261"/>
      <c r="AQ58" s="261"/>
      <c r="AR58" s="261"/>
      <c r="AS58" s="257"/>
      <c r="AT58" s="184"/>
      <c r="AU58" s="184"/>
      <c r="AV58" s="184"/>
      <c r="AW58" s="184"/>
      <c r="AX58" s="184"/>
      <c r="AY58" s="184"/>
      <c r="AZ58" s="184"/>
      <c r="BA58" s="184"/>
      <c r="BB58" s="184"/>
      <c r="BC58" s="184"/>
      <c r="BD58" s="184"/>
      <c r="BE58" s="184"/>
      <c r="BF58" s="184"/>
      <c r="BH58" s="274"/>
      <c r="BI58" s="274"/>
      <c r="BJ58" s="274"/>
      <c r="BK58" s="274"/>
      <c r="BL58" s="274"/>
      <c r="BN58" s="274"/>
      <c r="BO58" s="274"/>
      <c r="BP58" s="274"/>
      <c r="BQ58" s="274"/>
      <c r="BR58" s="274"/>
      <c r="BT58" s="163"/>
      <c r="BU58" s="163"/>
      <c r="BV58" s="163"/>
      <c r="BW58" s="163"/>
      <c r="BX58" s="163"/>
      <c r="BZ58" s="138"/>
      <c r="CA58" s="138"/>
    </row>
    <row r="59" spans="1:79" ht="7.2" hidden="1" customHeight="1" thickTop="1">
      <c r="A59" s="278"/>
      <c r="B59" s="279"/>
      <c r="C59" s="227"/>
      <c r="AT59" s="184"/>
      <c r="AU59" s="184"/>
      <c r="AV59" s="184"/>
      <c r="AW59" s="184"/>
      <c r="AX59" s="184"/>
      <c r="AY59" s="184"/>
      <c r="AZ59" s="184"/>
      <c r="BA59" s="184"/>
      <c r="BB59" s="184"/>
      <c r="BC59" s="184"/>
      <c r="BD59" s="184"/>
      <c r="BE59" s="184"/>
      <c r="BF59" s="184"/>
      <c r="BH59" s="129"/>
      <c r="BI59" s="129"/>
      <c r="BJ59" s="129"/>
      <c r="BK59" s="129"/>
      <c r="BL59" s="129"/>
      <c r="BN59" s="129"/>
      <c r="BO59" s="129"/>
      <c r="BP59" s="129"/>
      <c r="BQ59" s="129"/>
      <c r="BR59" s="129"/>
      <c r="BT59" s="232"/>
      <c r="BU59" s="232"/>
      <c r="BV59" s="232"/>
      <c r="BW59" s="232"/>
      <c r="BX59" s="232"/>
    </row>
    <row r="60" spans="1:79" ht="16.05" hidden="1" customHeight="1">
      <c r="A60" s="638"/>
      <c r="B60" s="271"/>
      <c r="C60" s="272"/>
      <c r="D60" s="273"/>
      <c r="E60" s="273"/>
      <c r="F60" s="273"/>
      <c r="G60" s="273"/>
      <c r="H60" s="273"/>
      <c r="I60" s="273"/>
      <c r="J60" s="273"/>
      <c r="K60" s="273"/>
      <c r="L60" s="273"/>
      <c r="M60" s="273"/>
      <c r="N60" s="273"/>
      <c r="O60" s="273"/>
      <c r="P60" s="273"/>
      <c r="Q60" s="257"/>
      <c r="R60" s="273"/>
      <c r="S60" s="273"/>
      <c r="T60" s="273"/>
      <c r="U60" s="273"/>
      <c r="V60" s="273"/>
      <c r="W60" s="273"/>
      <c r="X60" s="273"/>
      <c r="Y60" s="273"/>
      <c r="Z60" s="273"/>
      <c r="AA60" s="273"/>
      <c r="AB60" s="273"/>
      <c r="AC60" s="273"/>
      <c r="AD60" s="273"/>
      <c r="AE60" s="257"/>
      <c r="AF60" s="256"/>
      <c r="AG60" s="256"/>
      <c r="AH60" s="256"/>
      <c r="AI60" s="256"/>
      <c r="AJ60" s="256"/>
      <c r="AK60" s="256"/>
      <c r="AL60" s="256"/>
      <c r="AM60" s="256"/>
      <c r="AN60" s="256"/>
      <c r="AO60" s="256"/>
      <c r="AP60" s="256"/>
      <c r="AQ60" s="256"/>
      <c r="AR60" s="256"/>
      <c r="AS60" s="257"/>
      <c r="AT60" s="258"/>
      <c r="AU60" s="258"/>
      <c r="AV60" s="258"/>
      <c r="AW60" s="258"/>
      <c r="AX60" s="258"/>
      <c r="AY60" s="258"/>
      <c r="AZ60" s="258"/>
      <c r="BA60" s="258"/>
      <c r="BB60" s="258"/>
      <c r="BC60" s="258"/>
      <c r="BD60" s="258"/>
      <c r="BE60" s="258"/>
      <c r="BF60" s="258"/>
      <c r="BH60" s="274"/>
      <c r="BI60" s="274"/>
      <c r="BJ60" s="274"/>
      <c r="BK60" s="274"/>
      <c r="BL60" s="274"/>
      <c r="BN60" s="274"/>
      <c r="BO60" s="274"/>
      <c r="BP60" s="274"/>
      <c r="BQ60" s="274"/>
      <c r="BR60" s="274"/>
      <c r="BT60" s="212"/>
      <c r="BU60" s="212"/>
      <c r="BV60" s="212"/>
      <c r="BW60" s="212"/>
      <c r="BX60" s="212"/>
      <c r="BZ60" s="138"/>
      <c r="CA60" s="138"/>
    </row>
    <row r="61" spans="1:79" ht="15.6" hidden="1" thickBot="1">
      <c r="A61" s="639"/>
      <c r="B61" s="275"/>
      <c r="C61" s="276"/>
      <c r="D61" s="277"/>
      <c r="E61" s="277"/>
      <c r="F61" s="277"/>
      <c r="G61" s="277"/>
      <c r="H61" s="277"/>
      <c r="I61" s="277"/>
      <c r="J61" s="277"/>
      <c r="K61" s="277"/>
      <c r="L61" s="277"/>
      <c r="M61" s="277"/>
      <c r="N61" s="277"/>
      <c r="O61" s="277"/>
      <c r="P61" s="277"/>
      <c r="Q61" s="257"/>
      <c r="R61" s="277"/>
      <c r="S61" s="277"/>
      <c r="T61" s="277"/>
      <c r="U61" s="277"/>
      <c r="V61" s="277"/>
      <c r="W61" s="277"/>
      <c r="X61" s="277"/>
      <c r="Y61" s="277"/>
      <c r="Z61" s="277"/>
      <c r="AA61" s="277"/>
      <c r="AB61" s="277"/>
      <c r="AC61" s="277"/>
      <c r="AD61" s="277"/>
      <c r="AE61" s="257"/>
      <c r="AF61" s="261"/>
      <c r="AG61" s="261"/>
      <c r="AH61" s="261"/>
      <c r="AI61" s="261"/>
      <c r="AJ61" s="261"/>
      <c r="AK61" s="261"/>
      <c r="AL61" s="261"/>
      <c r="AM61" s="261"/>
      <c r="AN61" s="261"/>
      <c r="AO61" s="261"/>
      <c r="AP61" s="261"/>
      <c r="AQ61" s="261"/>
      <c r="AR61" s="261"/>
      <c r="AS61" s="257"/>
      <c r="AT61" s="184"/>
      <c r="AU61" s="184"/>
      <c r="AV61" s="184"/>
      <c r="AW61" s="184"/>
      <c r="AX61" s="184"/>
      <c r="AY61" s="184"/>
      <c r="AZ61" s="184"/>
      <c r="BA61" s="184"/>
      <c r="BB61" s="184"/>
      <c r="BC61" s="184"/>
      <c r="BD61" s="184"/>
      <c r="BE61" s="184"/>
      <c r="BF61" s="184"/>
      <c r="BH61" s="274"/>
      <c r="BI61" s="274"/>
      <c r="BJ61" s="274"/>
      <c r="BK61" s="274"/>
      <c r="BL61" s="274"/>
      <c r="BN61" s="274"/>
      <c r="BO61" s="274"/>
      <c r="BP61" s="274"/>
      <c r="BQ61" s="274"/>
      <c r="BR61" s="274"/>
      <c r="BT61" s="163"/>
      <c r="BU61" s="163"/>
      <c r="BV61" s="163"/>
      <c r="BW61" s="163"/>
      <c r="BX61" s="163"/>
      <c r="BZ61" s="138"/>
      <c r="CA61" s="138"/>
    </row>
    <row r="62" spans="1:79" ht="15.6" hidden="1" thickTop="1">
      <c r="A62" s="280"/>
      <c r="B62" s="150"/>
      <c r="C62" s="203"/>
      <c r="D62" s="269"/>
      <c r="E62" s="269"/>
      <c r="F62" s="269"/>
      <c r="G62" s="269"/>
      <c r="H62" s="269"/>
      <c r="I62" s="269"/>
      <c r="J62" s="269"/>
      <c r="K62" s="269"/>
      <c r="L62" s="269"/>
      <c r="M62" s="269"/>
      <c r="N62" s="269"/>
      <c r="O62" s="269"/>
      <c r="P62" s="269"/>
      <c r="Q62" s="265"/>
      <c r="R62" s="269"/>
      <c r="S62" s="269"/>
      <c r="T62" s="269"/>
      <c r="U62" s="269"/>
      <c r="V62" s="269"/>
      <c r="W62" s="269"/>
      <c r="X62" s="269"/>
      <c r="Y62" s="269"/>
      <c r="Z62" s="269"/>
      <c r="AA62" s="269"/>
      <c r="AB62" s="269"/>
      <c r="AC62" s="269"/>
      <c r="AD62" s="269"/>
      <c r="AE62" s="265"/>
      <c r="AF62" s="269"/>
      <c r="AG62" s="269"/>
      <c r="AH62" s="269"/>
      <c r="AI62" s="269"/>
      <c r="AJ62" s="269"/>
      <c r="AK62" s="269"/>
      <c r="AL62" s="269"/>
      <c r="AM62" s="269"/>
      <c r="AN62" s="269"/>
      <c r="AO62" s="269"/>
      <c r="AP62" s="269"/>
      <c r="AQ62" s="269"/>
      <c r="AR62" s="269"/>
      <c r="AS62" s="265"/>
      <c r="AT62" s="183"/>
      <c r="AU62" s="183"/>
      <c r="AV62" s="183"/>
      <c r="AW62" s="183"/>
      <c r="AX62" s="183"/>
      <c r="AY62" s="183"/>
      <c r="AZ62" s="183"/>
      <c r="BA62" s="183"/>
      <c r="BB62" s="183"/>
      <c r="BC62" s="183"/>
      <c r="BD62" s="183"/>
      <c r="BE62" s="183"/>
      <c r="BF62" s="183"/>
      <c r="BH62" s="270"/>
      <c r="BI62" s="270"/>
      <c r="BJ62" s="270"/>
      <c r="BK62" s="270"/>
      <c r="BL62" s="270"/>
      <c r="BN62" s="270"/>
      <c r="BO62" s="270"/>
      <c r="BP62" s="270"/>
      <c r="BQ62" s="270"/>
      <c r="BR62" s="270"/>
      <c r="BT62" s="270"/>
      <c r="BU62" s="270"/>
      <c r="BV62" s="270"/>
      <c r="BW62" s="270"/>
      <c r="BX62" s="270"/>
    </row>
    <row r="63" spans="1:79">
      <c r="A63" s="638" t="s">
        <v>60</v>
      </c>
      <c r="B63" s="271" t="s">
        <v>52</v>
      </c>
      <c r="C63" s="272"/>
      <c r="D63" s="281">
        <f t="shared" ref="D63:P64" si="54">D48*1000</f>
        <v>0.19033167084063055</v>
      </c>
      <c r="E63" s="281">
        <f t="shared" si="54"/>
        <v>0.19033167084063049</v>
      </c>
      <c r="F63" s="281">
        <f t="shared" si="54"/>
        <v>0.19033167084063049</v>
      </c>
      <c r="G63" s="281">
        <f t="shared" si="54"/>
        <v>0.19033167084063057</v>
      </c>
      <c r="H63" s="281">
        <f t="shared" si="54"/>
        <v>0.19033167084063049</v>
      </c>
      <c r="I63" s="281">
        <f t="shared" si="54"/>
        <v>0.19033167084063055</v>
      </c>
      <c r="J63" s="281">
        <f t="shared" si="54"/>
        <v>0.19033167084063052</v>
      </c>
      <c r="K63" s="281">
        <f t="shared" si="54"/>
        <v>0.19033167084063052</v>
      </c>
      <c r="L63" s="281">
        <f t="shared" si="54"/>
        <v>0.19033167084063052</v>
      </c>
      <c r="M63" s="281">
        <f t="shared" si="54"/>
        <v>0.19033167084063049</v>
      </c>
      <c r="N63" s="281">
        <f t="shared" si="54"/>
        <v>0.19033167084063052</v>
      </c>
      <c r="O63" s="281">
        <f t="shared" si="54"/>
        <v>0.19033167084063052</v>
      </c>
      <c r="P63" s="281">
        <f t="shared" si="54"/>
        <v>0.19033167084063055</v>
      </c>
      <c r="Q63" s="257"/>
      <c r="R63" s="281">
        <f t="shared" ref="R63:AD64" si="55">R48*1000</f>
        <v>0.19271916338608014</v>
      </c>
      <c r="S63" s="281">
        <f t="shared" si="55"/>
        <v>0.16871166583865785</v>
      </c>
      <c r="T63" s="281">
        <f t="shared" si="55"/>
        <v>0.22733137532162853</v>
      </c>
      <c r="U63" s="281">
        <f t="shared" si="55"/>
        <v>0.21281263206471984</v>
      </c>
      <c r="V63" s="281">
        <f t="shared" si="55"/>
        <v>0.21120000493311708</v>
      </c>
      <c r="W63" s="281">
        <f t="shared" si="55"/>
        <v>0.17995667180769137</v>
      </c>
      <c r="X63" s="281">
        <f t="shared" si="55"/>
        <v>0.17864254528916715</v>
      </c>
      <c r="Y63" s="281">
        <f t="shared" si="55"/>
        <v>0.24553827143304791</v>
      </c>
      <c r="Z63" s="281" t="e">
        <f t="shared" si="55"/>
        <v>#DIV/0!</v>
      </c>
      <c r="AA63" s="281" t="e">
        <f t="shared" si="55"/>
        <v>#DIV/0!</v>
      </c>
      <c r="AB63" s="281" t="e">
        <f t="shared" si="55"/>
        <v>#DIV/0!</v>
      </c>
      <c r="AC63" s="281" t="e">
        <f t="shared" si="55"/>
        <v>#DIV/0!</v>
      </c>
      <c r="AD63" s="281">
        <f t="shared" si="55"/>
        <v>0.20137719802050263</v>
      </c>
      <c r="AE63" s="257"/>
      <c r="AF63" s="256">
        <f t="shared" ref="AF63:AR64" si="56">R63-D63</f>
        <v>2.3874925454495932E-3</v>
      </c>
      <c r="AG63" s="256">
        <f t="shared" si="56"/>
        <v>-2.1620005001972642E-2</v>
      </c>
      <c r="AH63" s="256">
        <f t="shared" si="56"/>
        <v>3.6999704480998041E-2</v>
      </c>
      <c r="AI63" s="256">
        <f t="shared" si="56"/>
        <v>2.2480961224089269E-2</v>
      </c>
      <c r="AJ63" s="256">
        <f t="shared" si="56"/>
        <v>2.086833409248659E-2</v>
      </c>
      <c r="AK63" s="256">
        <f t="shared" si="56"/>
        <v>-1.0374999032939175E-2</v>
      </c>
      <c r="AL63" s="256">
        <f t="shared" si="56"/>
        <v>-1.168912555146337E-2</v>
      </c>
      <c r="AM63" s="256">
        <f t="shared" si="56"/>
        <v>5.5206600592417387E-2</v>
      </c>
      <c r="AN63" s="256" t="e">
        <f t="shared" si="56"/>
        <v>#DIV/0!</v>
      </c>
      <c r="AO63" s="256" t="e">
        <f t="shared" si="56"/>
        <v>#DIV/0!</v>
      </c>
      <c r="AP63" s="256" t="e">
        <f t="shared" si="56"/>
        <v>#DIV/0!</v>
      </c>
      <c r="AQ63" s="256" t="e">
        <f t="shared" si="56"/>
        <v>#DIV/0!</v>
      </c>
      <c r="AR63" s="256">
        <f t="shared" si="56"/>
        <v>1.1045527179872089E-2</v>
      </c>
      <c r="AS63" s="257"/>
      <c r="AT63" s="258">
        <f t="shared" ref="AT63:BF64" si="57">R63/D63</f>
        <v>1.0125438532373769</v>
      </c>
      <c r="AU63" s="258">
        <f t="shared" si="57"/>
        <v>0.88640878889737895</v>
      </c>
      <c r="AV63" s="258">
        <f t="shared" si="57"/>
        <v>1.1943959421865151</v>
      </c>
      <c r="AW63" s="258">
        <f t="shared" si="57"/>
        <v>1.1181146633389938</v>
      </c>
      <c r="AX63" s="258">
        <f t="shared" si="57"/>
        <v>1.1096419424067379</v>
      </c>
      <c r="AY63" s="258">
        <f t="shared" si="57"/>
        <v>0.9454898967307106</v>
      </c>
      <c r="AZ63" s="258">
        <f t="shared" si="57"/>
        <v>0.93858549394414259</v>
      </c>
      <c r="BA63" s="258">
        <f t="shared" si="57"/>
        <v>1.2900547257773156</v>
      </c>
      <c r="BB63" s="258" t="e">
        <f t="shared" si="57"/>
        <v>#DIV/0!</v>
      </c>
      <c r="BC63" s="258" t="e">
        <f t="shared" si="57"/>
        <v>#DIV/0!</v>
      </c>
      <c r="BD63" s="258" t="e">
        <f t="shared" si="57"/>
        <v>#DIV/0!</v>
      </c>
      <c r="BE63" s="258" t="e">
        <f t="shared" si="57"/>
        <v>#DIV/0!</v>
      </c>
      <c r="BF63" s="258">
        <f t="shared" si="57"/>
        <v>1.0580330489985599</v>
      </c>
      <c r="BH63" s="282">
        <f t="shared" ref="BH63:BL64" si="58">BH48*1000</f>
        <v>12.388454284988027</v>
      </c>
      <c r="BI63" s="282">
        <f t="shared" si="58"/>
        <v>-128.14765887409499</v>
      </c>
      <c r="BJ63" s="282">
        <f t="shared" si="58"/>
        <v>162.75670011959787</v>
      </c>
      <c r="BK63" s="282">
        <f t="shared" si="58"/>
        <v>105.63734401467504</v>
      </c>
      <c r="BL63" s="282">
        <f t="shared" si="58"/>
        <v>98.808397751198839</v>
      </c>
      <c r="BN63" s="274">
        <f t="shared" ref="BN63:BR64" si="59">BN48*1000</f>
        <v>-65.433044141541231</v>
      </c>
      <c r="BO63" s="274">
        <f t="shared" si="59"/>
        <v>224.83908626631694</v>
      </c>
      <c r="BP63" s="274" t="e">
        <f t="shared" si="59"/>
        <v>#DIV/0!</v>
      </c>
      <c r="BQ63" s="274" t="e">
        <f t="shared" si="59"/>
        <v>#DIV/0!</v>
      </c>
      <c r="BR63" s="274" t="e">
        <f t="shared" si="59"/>
        <v>#DIV/0!</v>
      </c>
      <c r="BT63" s="212">
        <f t="shared" ref="BT63:BX64" si="60">BN63/BH63</f>
        <v>-5.2817762923685416</v>
      </c>
      <c r="BU63" s="212">
        <f t="shared" si="60"/>
        <v>-1.7545313604770667</v>
      </c>
      <c r="BV63" s="212" t="e">
        <f t="shared" si="60"/>
        <v>#DIV/0!</v>
      </c>
      <c r="BW63" s="212" t="e">
        <f t="shared" si="60"/>
        <v>#DIV/0!</v>
      </c>
      <c r="BX63" s="212" t="e">
        <f t="shared" si="60"/>
        <v>#DIV/0!</v>
      </c>
      <c r="BZ63" s="138"/>
      <c r="CA63" s="138"/>
    </row>
    <row r="64" spans="1:79" ht="15.6" thickBot="1">
      <c r="A64" s="639"/>
      <c r="B64" s="275" t="s">
        <v>53</v>
      </c>
      <c r="C64" s="276"/>
      <c r="D64" s="283">
        <f t="shared" si="54"/>
        <v>0.56702815725121092</v>
      </c>
      <c r="E64" s="283">
        <f t="shared" si="54"/>
        <v>0.56702815725121081</v>
      </c>
      <c r="F64" s="283">
        <f t="shared" si="54"/>
        <v>0.56702815725121081</v>
      </c>
      <c r="G64" s="283">
        <f t="shared" si="54"/>
        <v>0.56702815725121092</v>
      </c>
      <c r="H64" s="283">
        <f t="shared" si="54"/>
        <v>0.5670281572512107</v>
      </c>
      <c r="I64" s="283">
        <f t="shared" si="54"/>
        <v>0.56702815725121081</v>
      </c>
      <c r="J64" s="283">
        <f t="shared" si="54"/>
        <v>0.56702815725121081</v>
      </c>
      <c r="K64" s="283">
        <f t="shared" si="54"/>
        <v>0.56702815725121092</v>
      </c>
      <c r="L64" s="283">
        <f t="shared" si="54"/>
        <v>0.56702815725121081</v>
      </c>
      <c r="M64" s="283">
        <f t="shared" si="54"/>
        <v>0.56702815725121081</v>
      </c>
      <c r="N64" s="283">
        <f t="shared" si="54"/>
        <v>0.56702815725121081</v>
      </c>
      <c r="O64" s="283">
        <f t="shared" si="54"/>
        <v>0.56702815725121081</v>
      </c>
      <c r="P64" s="283">
        <f t="shared" si="54"/>
        <v>0.56702815725121092</v>
      </c>
      <c r="Q64" s="257"/>
      <c r="R64" s="283">
        <f t="shared" si="55"/>
        <v>0.29178327116334657</v>
      </c>
      <c r="S64" s="283">
        <f t="shared" si="55"/>
        <v>0.29512278932005181</v>
      </c>
      <c r="T64" s="283">
        <f t="shared" si="55"/>
        <v>0.38277813124159038</v>
      </c>
      <c r="U64" s="283">
        <f t="shared" si="55"/>
        <v>0.36798273207660837</v>
      </c>
      <c r="V64" s="283">
        <f t="shared" si="55"/>
        <v>0.38945078219425927</v>
      </c>
      <c r="W64" s="283">
        <f t="shared" si="55"/>
        <v>0.47660416729444727</v>
      </c>
      <c r="X64" s="283">
        <f t="shared" si="55"/>
        <v>0.36681420633770506</v>
      </c>
      <c r="Y64" s="283">
        <f t="shared" si="55"/>
        <v>0.42374222013580837</v>
      </c>
      <c r="Z64" s="283" t="e">
        <f t="shared" si="55"/>
        <v>#DIV/0!</v>
      </c>
      <c r="AA64" s="283" t="e">
        <f t="shared" si="55"/>
        <v>#DIV/0!</v>
      </c>
      <c r="AB64" s="283" t="e">
        <f t="shared" si="55"/>
        <v>#DIV/0!</v>
      </c>
      <c r="AC64" s="283" t="e">
        <f t="shared" si="55"/>
        <v>#DIV/0!</v>
      </c>
      <c r="AD64" s="283">
        <f t="shared" si="55"/>
        <v>0.38864387858433841</v>
      </c>
      <c r="AE64" s="257"/>
      <c r="AF64" s="261">
        <f t="shared" si="56"/>
        <v>-0.27524488608786435</v>
      </c>
      <c r="AG64" s="261">
        <f t="shared" si="56"/>
        <v>-0.27190536793115899</v>
      </c>
      <c r="AH64" s="261">
        <f t="shared" si="56"/>
        <v>-0.18425002600962043</v>
      </c>
      <c r="AI64" s="261">
        <f t="shared" si="56"/>
        <v>-0.19904542517460255</v>
      </c>
      <c r="AJ64" s="261">
        <f t="shared" si="56"/>
        <v>-0.17757737505695143</v>
      </c>
      <c r="AK64" s="261">
        <f t="shared" si="56"/>
        <v>-9.042398995676354E-2</v>
      </c>
      <c r="AL64" s="261">
        <f t="shared" si="56"/>
        <v>-0.20021395091350574</v>
      </c>
      <c r="AM64" s="261">
        <f t="shared" si="56"/>
        <v>-0.14328593711540255</v>
      </c>
      <c r="AN64" s="261" t="e">
        <f t="shared" si="56"/>
        <v>#DIV/0!</v>
      </c>
      <c r="AO64" s="261" t="e">
        <f t="shared" si="56"/>
        <v>#DIV/0!</v>
      </c>
      <c r="AP64" s="261" t="e">
        <f t="shared" si="56"/>
        <v>#DIV/0!</v>
      </c>
      <c r="AQ64" s="261" t="e">
        <f t="shared" si="56"/>
        <v>#DIV/0!</v>
      </c>
      <c r="AR64" s="261">
        <f t="shared" si="56"/>
        <v>-0.17838427866687251</v>
      </c>
      <c r="AS64" s="257"/>
      <c r="AT64" s="184">
        <f t="shared" si="57"/>
        <v>0.51458338961124572</v>
      </c>
      <c r="AU64" s="184">
        <f t="shared" si="57"/>
        <v>0.52047289988335343</v>
      </c>
      <c r="AV64" s="184">
        <f t="shared" si="57"/>
        <v>0.67506018236764209</v>
      </c>
      <c r="AW64" s="184">
        <f t="shared" si="57"/>
        <v>0.64896729972014544</v>
      </c>
      <c r="AX64" s="184">
        <f t="shared" si="57"/>
        <v>0.68682794181192797</v>
      </c>
      <c r="AY64" s="184">
        <f t="shared" si="57"/>
        <v>0.84052998285814762</v>
      </c>
      <c r="AZ64" s="184">
        <f t="shared" si="57"/>
        <v>0.64690651010333367</v>
      </c>
      <c r="BA64" s="184">
        <f t="shared" si="57"/>
        <v>0.74730366511248492</v>
      </c>
      <c r="BB64" s="184" t="e">
        <f t="shared" si="57"/>
        <v>#DIV/0!</v>
      </c>
      <c r="BC64" s="184" t="e">
        <f t="shared" si="57"/>
        <v>#DIV/0!</v>
      </c>
      <c r="BD64" s="184" t="e">
        <f t="shared" si="57"/>
        <v>#DIV/0!</v>
      </c>
      <c r="BE64" s="184" t="e">
        <f t="shared" si="57"/>
        <v>#DIV/0!</v>
      </c>
      <c r="BF64" s="184">
        <f t="shared" si="57"/>
        <v>0.68540490205701943</v>
      </c>
      <c r="BH64" s="284">
        <f t="shared" si="58"/>
        <v>-943.3196255236179</v>
      </c>
      <c r="BI64" s="284">
        <f t="shared" si="58"/>
        <v>-921.3296220112835</v>
      </c>
      <c r="BJ64" s="284">
        <f t="shared" si="58"/>
        <v>-481.34940575623176</v>
      </c>
      <c r="BK64" s="284">
        <f t="shared" si="58"/>
        <v>-540.90968902628924</v>
      </c>
      <c r="BL64" s="284">
        <f t="shared" si="58"/>
        <v>-455.96872101896355</v>
      </c>
      <c r="BN64" s="274">
        <f t="shared" si="59"/>
        <v>-545.81842102696544</v>
      </c>
      <c r="BO64" s="274">
        <f t="shared" si="59"/>
        <v>-338.1441128747561</v>
      </c>
      <c r="BP64" s="274" t="e">
        <f t="shared" si="59"/>
        <v>#DIV/0!</v>
      </c>
      <c r="BQ64" s="274" t="e">
        <f t="shared" si="59"/>
        <v>#DIV/0!</v>
      </c>
      <c r="BR64" s="274" t="e">
        <f t="shared" si="59"/>
        <v>#DIV/0!</v>
      </c>
      <c r="BT64" s="163">
        <f t="shared" si="60"/>
        <v>0.57861450801894698</v>
      </c>
      <c r="BU64" s="163">
        <f t="shared" si="60"/>
        <v>0.36701751989323844</v>
      </c>
      <c r="BV64" s="163" t="e">
        <f t="shared" si="60"/>
        <v>#DIV/0!</v>
      </c>
      <c r="BW64" s="163" t="e">
        <f t="shared" si="60"/>
        <v>#DIV/0!</v>
      </c>
      <c r="BX64" s="163" t="e">
        <f t="shared" si="60"/>
        <v>#DIV/0!</v>
      </c>
      <c r="BZ64" s="138"/>
      <c r="CA64" s="138"/>
    </row>
    <row r="65" spans="1:79" ht="16.2" thickTop="1">
      <c r="A65" s="280"/>
      <c r="B65" s="181"/>
      <c r="C65" s="151"/>
      <c r="D65" s="151"/>
      <c r="E65" s="151"/>
      <c r="F65" s="151"/>
      <c r="G65" s="151"/>
      <c r="H65" s="151"/>
      <c r="I65" s="151"/>
      <c r="J65" s="151"/>
      <c r="K65" s="151"/>
      <c r="L65" s="151"/>
      <c r="M65" s="151"/>
      <c r="N65" s="151"/>
      <c r="O65" s="151"/>
      <c r="P65" s="151"/>
      <c r="Q65" s="187"/>
      <c r="R65" s="151"/>
      <c r="S65" s="151"/>
      <c r="T65" s="151"/>
      <c r="U65" s="151"/>
      <c r="V65" s="151"/>
      <c r="W65" s="151"/>
      <c r="X65" s="151"/>
      <c r="Y65" s="151"/>
      <c r="Z65" s="151"/>
      <c r="AA65" s="151"/>
      <c r="AB65" s="151"/>
      <c r="AC65" s="151"/>
      <c r="AD65" s="151"/>
      <c r="AE65" s="168"/>
      <c r="AF65" s="152"/>
      <c r="AG65" s="152"/>
      <c r="AH65" s="152"/>
      <c r="AI65" s="152"/>
      <c r="AJ65" s="152"/>
      <c r="AK65" s="152"/>
      <c r="AL65" s="152"/>
      <c r="AM65" s="152"/>
      <c r="AN65" s="152"/>
      <c r="AO65" s="152"/>
      <c r="AP65" s="152"/>
      <c r="AQ65" s="152"/>
      <c r="AR65" s="152"/>
      <c r="AS65" s="151"/>
      <c r="AT65" s="183"/>
      <c r="AU65" s="183"/>
      <c r="AV65" s="183"/>
      <c r="AW65" s="183"/>
      <c r="AX65" s="183"/>
      <c r="AY65" s="183"/>
      <c r="AZ65" s="183"/>
      <c r="BA65" s="183"/>
      <c r="BB65" s="183"/>
      <c r="BC65" s="183"/>
      <c r="BD65" s="183"/>
      <c r="BE65" s="183"/>
      <c r="BF65" s="183"/>
      <c r="BH65" s="152"/>
      <c r="BI65" s="152"/>
      <c r="BJ65" s="152"/>
      <c r="BK65" s="152"/>
      <c r="BL65" s="152"/>
      <c r="BN65" s="285"/>
      <c r="BO65" s="285"/>
      <c r="BP65" s="285"/>
      <c r="BQ65" s="285"/>
      <c r="BR65" s="285"/>
      <c r="BT65" s="156"/>
      <c r="BU65" s="156"/>
      <c r="BV65" s="156"/>
      <c r="BW65" s="156"/>
      <c r="BX65" s="156"/>
    </row>
    <row r="66" spans="1:79" ht="16.05" customHeight="1">
      <c r="A66" s="638" t="s">
        <v>57</v>
      </c>
      <c r="B66" s="271" t="s">
        <v>52</v>
      </c>
      <c r="C66" s="272"/>
      <c r="D66" s="281">
        <f t="shared" ref="D66:P67" si="61">D52*1000</f>
        <v>7.8971620814351481E-2</v>
      </c>
      <c r="E66" s="281">
        <f t="shared" si="61"/>
        <v>7.8971620814351481E-2</v>
      </c>
      <c r="F66" s="281">
        <f t="shared" si="61"/>
        <v>7.8971620814351468E-2</v>
      </c>
      <c r="G66" s="281">
        <f t="shared" si="61"/>
        <v>7.8971620814351495E-2</v>
      </c>
      <c r="H66" s="281">
        <f t="shared" si="61"/>
        <v>7.8971620814351468E-2</v>
      </c>
      <c r="I66" s="281">
        <f t="shared" si="61"/>
        <v>7.8971620814351468E-2</v>
      </c>
      <c r="J66" s="281">
        <f t="shared" si="61"/>
        <v>7.8971620814351495E-2</v>
      </c>
      <c r="K66" s="281">
        <f t="shared" si="61"/>
        <v>7.8971620814351468E-2</v>
      </c>
      <c r="L66" s="281">
        <f t="shared" si="61"/>
        <v>7.8971620814351468E-2</v>
      </c>
      <c r="M66" s="281">
        <f t="shared" si="61"/>
        <v>7.8971620814351495E-2</v>
      </c>
      <c r="N66" s="281">
        <f t="shared" si="61"/>
        <v>7.8971620814351468E-2</v>
      </c>
      <c r="O66" s="281">
        <f t="shared" si="61"/>
        <v>7.8971620814351468E-2</v>
      </c>
      <c r="P66" s="281">
        <f t="shared" si="61"/>
        <v>7.8971620814351481E-2</v>
      </c>
      <c r="Q66" s="257"/>
      <c r="R66" s="281">
        <f t="shared" ref="R66:AD67" si="62">R52*1000</f>
        <v>8.7903661872718919E-2</v>
      </c>
      <c r="S66" s="281">
        <f t="shared" si="62"/>
        <v>8.9887832571540802E-2</v>
      </c>
      <c r="T66" s="281">
        <f t="shared" si="62"/>
        <v>0.11728003459816153</v>
      </c>
      <c r="U66" s="281">
        <f t="shared" si="62"/>
        <v>0.12885129777050489</v>
      </c>
      <c r="V66" s="281">
        <f t="shared" si="62"/>
        <v>0.1439468790561321</v>
      </c>
      <c r="W66" s="281">
        <f t="shared" si="62"/>
        <v>0.12555853584834473</v>
      </c>
      <c r="X66" s="281">
        <f t="shared" si="62"/>
        <v>9.4165052913135081E-2</v>
      </c>
      <c r="Y66" s="281">
        <f t="shared" si="62"/>
        <v>0.10841008968075988</v>
      </c>
      <c r="Z66" s="281" t="e">
        <f t="shared" si="62"/>
        <v>#DIV/0!</v>
      </c>
      <c r="AA66" s="281" t="e">
        <f t="shared" si="62"/>
        <v>#DIV/0!</v>
      </c>
      <c r="AB66" s="281" t="e">
        <f t="shared" si="62"/>
        <v>#DIV/0!</v>
      </c>
      <c r="AC66" s="281" t="e">
        <f t="shared" si="62"/>
        <v>#DIV/0!</v>
      </c>
      <c r="AD66" s="281">
        <f t="shared" si="62"/>
        <v>0.11480347522497833</v>
      </c>
      <c r="AE66" s="257"/>
      <c r="AF66" s="256">
        <f t="shared" ref="AF66:AR67" si="63">R66-D66</f>
        <v>8.9320410583674376E-3</v>
      </c>
      <c r="AG66" s="256">
        <f t="shared" si="63"/>
        <v>1.091621175718932E-2</v>
      </c>
      <c r="AH66" s="256">
        <f t="shared" si="63"/>
        <v>3.8308413783810058E-2</v>
      </c>
      <c r="AI66" s="256">
        <f t="shared" si="63"/>
        <v>4.987967695615339E-2</v>
      </c>
      <c r="AJ66" s="256">
        <f t="shared" si="63"/>
        <v>6.4975258241780631E-2</v>
      </c>
      <c r="AK66" s="256">
        <f t="shared" si="63"/>
        <v>4.6586915033993259E-2</v>
      </c>
      <c r="AL66" s="256">
        <f t="shared" si="63"/>
        <v>1.5193432098783585E-2</v>
      </c>
      <c r="AM66" s="256">
        <f t="shared" si="63"/>
        <v>2.9438468866408413E-2</v>
      </c>
      <c r="AN66" s="256" t="e">
        <f t="shared" si="63"/>
        <v>#DIV/0!</v>
      </c>
      <c r="AO66" s="256" t="e">
        <f t="shared" si="63"/>
        <v>#DIV/0!</v>
      </c>
      <c r="AP66" s="256" t="e">
        <f t="shared" si="63"/>
        <v>#DIV/0!</v>
      </c>
      <c r="AQ66" s="256" t="e">
        <f t="shared" si="63"/>
        <v>#DIV/0!</v>
      </c>
      <c r="AR66" s="256">
        <f t="shared" si="63"/>
        <v>3.5831854410626848E-2</v>
      </c>
      <c r="AS66" s="257"/>
      <c r="AT66" s="258">
        <f t="shared" ref="AT66:BF67" si="64">R66/D66</f>
        <v>1.1131044413962974</v>
      </c>
      <c r="AU66" s="258">
        <f t="shared" si="64"/>
        <v>1.1382295518899306</v>
      </c>
      <c r="AV66" s="258">
        <f t="shared" si="64"/>
        <v>1.4850908894711237</v>
      </c>
      <c r="AW66" s="258">
        <f t="shared" si="64"/>
        <v>1.6316152111580919</v>
      </c>
      <c r="AX66" s="258">
        <f t="shared" si="64"/>
        <v>1.8227671861329293</v>
      </c>
      <c r="AY66" s="258">
        <f t="shared" si="64"/>
        <v>1.5899197022118994</v>
      </c>
      <c r="AZ66" s="258">
        <f t="shared" si="64"/>
        <v>1.192391037971738</v>
      </c>
      <c r="BA66" s="258">
        <f t="shared" si="64"/>
        <v>1.3727727576418005</v>
      </c>
      <c r="BB66" s="258" t="e">
        <f t="shared" si="64"/>
        <v>#DIV/0!</v>
      </c>
      <c r="BC66" s="258" t="e">
        <f t="shared" si="64"/>
        <v>#DIV/0!</v>
      </c>
      <c r="BD66" s="258" t="e">
        <f t="shared" si="64"/>
        <v>#DIV/0!</v>
      </c>
      <c r="BE66" s="258" t="e">
        <f t="shared" si="64"/>
        <v>#DIV/0!</v>
      </c>
      <c r="BF66" s="258">
        <f t="shared" si="64"/>
        <v>1.4537307711445013</v>
      </c>
      <c r="BH66" s="282">
        <f t="shared" ref="BH66:BL67" si="65">BH52*1000</f>
        <v>7.8971620814351495E-2</v>
      </c>
      <c r="BI66" s="282">
        <f t="shared" si="65"/>
        <v>7.8971620814351481E-2</v>
      </c>
      <c r="BJ66" s="282">
        <f t="shared" si="65"/>
        <v>7.8971620814351481E-2</v>
      </c>
      <c r="BK66" s="282">
        <f t="shared" si="65"/>
        <v>7.8971620814351481E-2</v>
      </c>
      <c r="BL66" s="282">
        <f t="shared" si="65"/>
        <v>7.8971620814351481E-2</v>
      </c>
      <c r="BN66" s="274">
        <f t="shared" ref="BN66:BR67" si="66">BN52*1000</f>
        <v>0.10160677851076025</v>
      </c>
      <c r="BO66" s="274">
        <f t="shared" si="66"/>
        <v>0.13307465470494725</v>
      </c>
      <c r="BP66" s="274">
        <f t="shared" si="66"/>
        <v>0.10058646418413819</v>
      </c>
      <c r="BQ66" s="274" t="e">
        <f t="shared" si="66"/>
        <v>#DIV/0!</v>
      </c>
      <c r="BR66" s="274">
        <f t="shared" si="66"/>
        <v>0.11480347522497833</v>
      </c>
      <c r="BT66" s="212">
        <f t="shared" ref="BT66:BX67" si="67">BN66/BH66</f>
        <v>1.286623947476272</v>
      </c>
      <c r="BU66" s="212">
        <f t="shared" si="67"/>
        <v>1.6850946369428401</v>
      </c>
      <c r="BV66" s="212">
        <f t="shared" si="67"/>
        <v>1.2737039349945651</v>
      </c>
      <c r="BW66" s="212" t="e">
        <f t="shared" si="67"/>
        <v>#DIV/0!</v>
      </c>
      <c r="BX66" s="212">
        <f t="shared" si="67"/>
        <v>1.4537307711445013</v>
      </c>
      <c r="BZ66" s="138"/>
      <c r="CA66" s="138"/>
    </row>
    <row r="67" spans="1:79" ht="15.6" thickBot="1">
      <c r="A67" s="639"/>
      <c r="B67" s="275" t="s">
        <v>53</v>
      </c>
      <c r="C67" s="276"/>
      <c r="D67" s="283">
        <f t="shared" si="61"/>
        <v>0.83183241975371147</v>
      </c>
      <c r="E67" s="283">
        <f t="shared" si="61"/>
        <v>0.83183241975371158</v>
      </c>
      <c r="F67" s="283">
        <f t="shared" si="61"/>
        <v>0.83183241975371147</v>
      </c>
      <c r="G67" s="283">
        <f t="shared" si="61"/>
        <v>0.83183241975371169</v>
      </c>
      <c r="H67" s="283">
        <f t="shared" si="61"/>
        <v>0.83183241975371136</v>
      </c>
      <c r="I67" s="283">
        <f t="shared" si="61"/>
        <v>0.83183241975371147</v>
      </c>
      <c r="J67" s="283">
        <f t="shared" si="61"/>
        <v>0.83183241975371147</v>
      </c>
      <c r="K67" s="283">
        <f t="shared" si="61"/>
        <v>0.83183241975371147</v>
      </c>
      <c r="L67" s="283">
        <f t="shared" si="61"/>
        <v>0.83183241975371158</v>
      </c>
      <c r="M67" s="283">
        <f t="shared" si="61"/>
        <v>0.83183241975371147</v>
      </c>
      <c r="N67" s="283">
        <f t="shared" si="61"/>
        <v>0.83183241975371147</v>
      </c>
      <c r="O67" s="283">
        <f t="shared" si="61"/>
        <v>0.83183241975371147</v>
      </c>
      <c r="P67" s="283">
        <f t="shared" si="61"/>
        <v>0.83183241975371158</v>
      </c>
      <c r="Q67" s="257"/>
      <c r="R67" s="283">
        <f t="shared" si="62"/>
        <v>0.33159658378644519</v>
      </c>
      <c r="S67" s="283">
        <f t="shared" si="62"/>
        <v>0.64247613241577928</v>
      </c>
      <c r="T67" s="283">
        <f t="shared" si="62"/>
        <v>1.2466133717114662</v>
      </c>
      <c r="U67" s="283">
        <f t="shared" si="62"/>
        <v>0.56219098373809473</v>
      </c>
      <c r="V67" s="283">
        <f t="shared" si="62"/>
        <v>0.62781603915197037</v>
      </c>
      <c r="W67" s="283">
        <f t="shared" si="62"/>
        <v>0.87256775980714552</v>
      </c>
      <c r="X67" s="283">
        <f t="shared" si="62"/>
        <v>0.42016827697916609</v>
      </c>
      <c r="Y67" s="283">
        <f t="shared" si="62"/>
        <v>0.43326476818304177</v>
      </c>
      <c r="Z67" s="283" t="e">
        <f t="shared" si="62"/>
        <v>#DIV/0!</v>
      </c>
      <c r="AA67" s="283" t="e">
        <f t="shared" si="62"/>
        <v>#DIV/0!</v>
      </c>
      <c r="AB67" s="283" t="e">
        <f t="shared" si="62"/>
        <v>#DIV/0!</v>
      </c>
      <c r="AC67" s="283" t="e">
        <f t="shared" si="62"/>
        <v>#DIV/0!</v>
      </c>
      <c r="AD67" s="283">
        <f t="shared" si="62"/>
        <v>0.59024253199580567</v>
      </c>
      <c r="AE67" s="257"/>
      <c r="AF67" s="261">
        <f t="shared" si="63"/>
        <v>-0.50023583596726628</v>
      </c>
      <c r="AG67" s="261">
        <f t="shared" si="63"/>
        <v>-0.18935628733793231</v>
      </c>
      <c r="AH67" s="261">
        <f t="shared" si="63"/>
        <v>0.41478095195775477</v>
      </c>
      <c r="AI67" s="261">
        <f t="shared" si="63"/>
        <v>-0.26964143601561696</v>
      </c>
      <c r="AJ67" s="261">
        <f t="shared" si="63"/>
        <v>-0.20401638060174099</v>
      </c>
      <c r="AK67" s="261">
        <f t="shared" si="63"/>
        <v>4.0735340053434044E-2</v>
      </c>
      <c r="AL67" s="261">
        <f t="shared" si="63"/>
        <v>-0.41166414277454538</v>
      </c>
      <c r="AM67" s="261">
        <f t="shared" si="63"/>
        <v>-0.3985676515706697</v>
      </c>
      <c r="AN67" s="261" t="e">
        <f t="shared" si="63"/>
        <v>#DIV/0!</v>
      </c>
      <c r="AO67" s="261" t="e">
        <f t="shared" si="63"/>
        <v>#DIV/0!</v>
      </c>
      <c r="AP67" s="261" t="e">
        <f t="shared" si="63"/>
        <v>#DIV/0!</v>
      </c>
      <c r="AQ67" s="261" t="e">
        <f t="shared" si="63"/>
        <v>#DIV/0!</v>
      </c>
      <c r="AR67" s="261">
        <f t="shared" si="63"/>
        <v>-0.24158988775790591</v>
      </c>
      <c r="AS67" s="257"/>
      <c r="AT67" s="184">
        <f t="shared" si="64"/>
        <v>0.39863387854566207</v>
      </c>
      <c r="AU67" s="184">
        <f t="shared" si="64"/>
        <v>0.77236245806096759</v>
      </c>
      <c r="AV67" s="184">
        <f t="shared" si="64"/>
        <v>1.4986352324192449</v>
      </c>
      <c r="AW67" s="184">
        <f t="shared" si="64"/>
        <v>0.67584644501418667</v>
      </c>
      <c r="AX67" s="184">
        <f t="shared" si="64"/>
        <v>0.75473860388592928</v>
      </c>
      <c r="AY67" s="184">
        <f t="shared" si="64"/>
        <v>1.0489706088463047</v>
      </c>
      <c r="AZ67" s="184">
        <f t="shared" si="64"/>
        <v>0.50511168716358679</v>
      </c>
      <c r="BA67" s="184">
        <f t="shared" si="64"/>
        <v>0.52085583333157726</v>
      </c>
      <c r="BB67" s="184" t="e">
        <f t="shared" si="64"/>
        <v>#DIV/0!</v>
      </c>
      <c r="BC67" s="184" t="e">
        <f t="shared" si="64"/>
        <v>#DIV/0!</v>
      </c>
      <c r="BD67" s="184" t="e">
        <f t="shared" si="64"/>
        <v>#DIV/0!</v>
      </c>
      <c r="BE67" s="184" t="e">
        <f t="shared" si="64"/>
        <v>#DIV/0!</v>
      </c>
      <c r="BF67" s="184">
        <f t="shared" si="64"/>
        <v>0.7095690405653633</v>
      </c>
      <c r="BH67" s="284">
        <f t="shared" si="65"/>
        <v>0.83183241975371158</v>
      </c>
      <c r="BI67" s="284">
        <f t="shared" si="65"/>
        <v>0.83183241975371147</v>
      </c>
      <c r="BJ67" s="284">
        <f t="shared" si="65"/>
        <v>0.83183241975371136</v>
      </c>
      <c r="BK67" s="284">
        <f t="shared" si="65"/>
        <v>0.83183241975371147</v>
      </c>
      <c r="BL67" s="284">
        <f t="shared" si="65"/>
        <v>0.83183241975371147</v>
      </c>
      <c r="BN67" s="274">
        <f t="shared" si="66"/>
        <v>0.67765902249261367</v>
      </c>
      <c r="BO67" s="274">
        <f t="shared" si="66"/>
        <v>0.62510272310568304</v>
      </c>
      <c r="BP67" s="274">
        <f t="shared" si="66"/>
        <v>0.42696182897728435</v>
      </c>
      <c r="BQ67" s="274" t="e">
        <f t="shared" si="66"/>
        <v>#DIV/0!</v>
      </c>
      <c r="BR67" s="274">
        <f t="shared" si="66"/>
        <v>0.59024253199580579</v>
      </c>
      <c r="BT67" s="163">
        <f t="shared" si="67"/>
        <v>0.81465810468562228</v>
      </c>
      <c r="BU67" s="163">
        <f t="shared" si="67"/>
        <v>0.75147674971692391</v>
      </c>
      <c r="BV67" s="163">
        <f t="shared" si="67"/>
        <v>0.5132786590641647</v>
      </c>
      <c r="BW67" s="163" t="e">
        <f t="shared" si="67"/>
        <v>#DIV/0!</v>
      </c>
      <c r="BX67" s="163">
        <f t="shared" si="67"/>
        <v>0.70956904056536352</v>
      </c>
      <c r="BZ67" s="138"/>
      <c r="CA67" s="138"/>
    </row>
    <row r="68" spans="1:79" ht="16.2" thickTop="1">
      <c r="A68" s="280"/>
      <c r="B68" s="181"/>
      <c r="C68" s="151"/>
      <c r="D68" s="151"/>
      <c r="E68" s="151"/>
      <c r="F68" s="151"/>
      <c r="G68" s="151"/>
      <c r="H68" s="151"/>
      <c r="I68" s="151"/>
      <c r="J68" s="151"/>
      <c r="K68" s="151"/>
      <c r="L68" s="151"/>
      <c r="M68" s="151"/>
      <c r="N68" s="151"/>
      <c r="O68" s="151"/>
      <c r="P68" s="151"/>
      <c r="Q68" s="187"/>
      <c r="R68" s="151"/>
      <c r="S68" s="151"/>
      <c r="T68" s="151"/>
      <c r="U68" s="151"/>
      <c r="V68" s="151"/>
      <c r="W68" s="151"/>
      <c r="X68" s="151"/>
      <c r="Y68" s="151"/>
      <c r="Z68" s="151"/>
      <c r="AA68" s="151"/>
      <c r="AB68" s="151"/>
      <c r="AC68" s="151"/>
      <c r="AD68" s="151"/>
      <c r="AE68" s="168"/>
      <c r="AF68" s="152"/>
      <c r="AG68" s="152"/>
      <c r="AH68" s="152"/>
      <c r="AI68" s="152"/>
      <c r="AJ68" s="152"/>
      <c r="AK68" s="152"/>
      <c r="AL68" s="152"/>
      <c r="AM68" s="152"/>
      <c r="AN68" s="152"/>
      <c r="AO68" s="152"/>
      <c r="AP68" s="152"/>
      <c r="AQ68" s="152"/>
      <c r="AR68" s="152"/>
      <c r="AS68" s="151"/>
      <c r="AT68" s="183"/>
      <c r="AU68" s="183"/>
      <c r="AV68" s="183"/>
      <c r="AW68" s="183"/>
      <c r="AX68" s="183"/>
      <c r="AY68" s="183"/>
      <c r="AZ68" s="183"/>
      <c r="BA68" s="183"/>
      <c r="BB68" s="183"/>
      <c r="BC68" s="183"/>
      <c r="BD68" s="183"/>
      <c r="BE68" s="183"/>
      <c r="BF68" s="183"/>
      <c r="BH68" s="152"/>
      <c r="BI68" s="152"/>
      <c r="BJ68" s="152"/>
      <c r="BK68" s="152"/>
      <c r="BL68" s="152"/>
      <c r="BN68" s="285"/>
      <c r="BO68" s="285"/>
      <c r="BP68" s="285"/>
      <c r="BQ68" s="285"/>
      <c r="BR68" s="285"/>
      <c r="BT68" s="156"/>
      <c r="BU68" s="156"/>
      <c r="BV68" s="156"/>
      <c r="BW68" s="156"/>
      <c r="BX68" s="156"/>
    </row>
    <row r="69" spans="1:79" ht="15.45" customHeight="1">
      <c r="A69" s="136" t="s">
        <v>62</v>
      </c>
      <c r="B69" s="203"/>
      <c r="D69" s="130"/>
      <c r="E69" s="130"/>
      <c r="F69" s="130"/>
      <c r="G69" s="130"/>
      <c r="H69" s="130"/>
      <c r="I69" s="130"/>
      <c r="J69" s="130"/>
      <c r="K69" s="130"/>
      <c r="L69" s="130"/>
      <c r="M69" s="130"/>
      <c r="N69" s="130"/>
      <c r="O69" s="130"/>
      <c r="P69" s="130"/>
      <c r="R69" s="130"/>
      <c r="S69" s="130"/>
      <c r="T69" s="130"/>
      <c r="U69" s="130"/>
      <c r="V69" s="130"/>
      <c r="W69" s="130"/>
      <c r="X69" s="130"/>
      <c r="Y69" s="130"/>
      <c r="Z69" s="130"/>
      <c r="AA69" s="130"/>
      <c r="AB69" s="130"/>
      <c r="AC69" s="130"/>
      <c r="AD69" s="130"/>
      <c r="BX69" s="135"/>
    </row>
    <row r="70" spans="1:79" ht="15.45" hidden="1" customHeight="1">
      <c r="A70" s="638"/>
      <c r="B70" s="271"/>
      <c r="C70" s="272"/>
      <c r="D70" s="286"/>
      <c r="E70" s="286"/>
      <c r="F70" s="286"/>
      <c r="G70" s="286"/>
      <c r="H70" s="286"/>
      <c r="I70" s="286"/>
      <c r="J70" s="286"/>
      <c r="K70" s="286"/>
      <c r="L70" s="286"/>
      <c r="M70" s="286"/>
      <c r="N70" s="286"/>
      <c r="O70" s="286"/>
      <c r="P70" s="286"/>
      <c r="Q70" s="287"/>
      <c r="R70" s="286"/>
      <c r="S70" s="286"/>
      <c r="T70" s="286"/>
      <c r="U70" s="286"/>
      <c r="V70" s="286"/>
      <c r="W70" s="286"/>
      <c r="X70" s="288"/>
      <c r="Y70" s="286"/>
      <c r="Z70" s="286"/>
      <c r="AA70" s="286"/>
      <c r="AB70" s="286"/>
      <c r="AC70" s="286"/>
      <c r="AD70" s="286"/>
      <c r="AE70" s="287"/>
      <c r="AF70" s="289"/>
      <c r="AG70" s="289"/>
      <c r="AH70" s="289"/>
      <c r="AI70" s="289"/>
      <c r="AJ70" s="289"/>
      <c r="AK70" s="289"/>
      <c r="AL70" s="289"/>
      <c r="AM70" s="289"/>
      <c r="AN70" s="289"/>
      <c r="AO70" s="289"/>
      <c r="AP70" s="289"/>
      <c r="AQ70" s="289"/>
      <c r="AR70" s="289"/>
      <c r="AS70" s="287"/>
      <c r="AT70" s="286"/>
      <c r="AU70" s="286"/>
      <c r="AV70" s="286"/>
      <c r="AW70" s="286"/>
      <c r="AX70" s="286"/>
      <c r="AY70" s="286"/>
      <c r="AZ70" s="286"/>
      <c r="BA70" s="286"/>
      <c r="BB70" s="286"/>
      <c r="BC70" s="286"/>
      <c r="BD70" s="286"/>
      <c r="BE70" s="286"/>
      <c r="BF70" s="286"/>
      <c r="BH70" s="212"/>
      <c r="BI70" s="212"/>
      <c r="BJ70" s="212"/>
      <c r="BK70" s="212"/>
      <c r="BL70" s="212"/>
      <c r="BN70" s="290"/>
      <c r="BO70" s="290"/>
      <c r="BP70" s="212"/>
      <c r="BQ70" s="212"/>
      <c r="BR70" s="212"/>
      <c r="BT70" s="212"/>
      <c r="BU70" s="212"/>
      <c r="BV70" s="212"/>
      <c r="BW70" s="212"/>
      <c r="BX70" s="212"/>
    </row>
    <row r="71" spans="1:79" ht="18" hidden="1" customHeight="1" thickBot="1">
      <c r="A71" s="639"/>
      <c r="B71" s="275"/>
      <c r="C71" s="276"/>
      <c r="D71" s="291"/>
      <c r="E71" s="291"/>
      <c r="F71" s="291"/>
      <c r="G71" s="291"/>
      <c r="H71" s="291"/>
      <c r="I71" s="291"/>
      <c r="J71" s="291"/>
      <c r="K71" s="291"/>
      <c r="L71" s="291"/>
      <c r="M71" s="291"/>
      <c r="N71" s="291"/>
      <c r="O71" s="291"/>
      <c r="P71" s="291"/>
      <c r="Q71" s="287"/>
      <c r="R71" s="291"/>
      <c r="S71" s="291"/>
      <c r="T71" s="291"/>
      <c r="U71" s="291"/>
      <c r="V71" s="291"/>
      <c r="W71" s="291"/>
      <c r="X71" s="292"/>
      <c r="Y71" s="291"/>
      <c r="Z71" s="291"/>
      <c r="AA71" s="291"/>
      <c r="AB71" s="291"/>
      <c r="AC71" s="291"/>
      <c r="AD71" s="291"/>
      <c r="AE71" s="287"/>
      <c r="AF71" s="293"/>
      <c r="AG71" s="293"/>
      <c r="AH71" s="293"/>
      <c r="AI71" s="293"/>
      <c r="AJ71" s="293"/>
      <c r="AK71" s="293"/>
      <c r="AL71" s="293"/>
      <c r="AM71" s="293"/>
      <c r="AN71" s="293"/>
      <c r="AO71" s="293"/>
      <c r="AP71" s="293"/>
      <c r="AQ71" s="293"/>
      <c r="AR71" s="293"/>
      <c r="AS71" s="287"/>
      <c r="AT71" s="291"/>
      <c r="AU71" s="291"/>
      <c r="AV71" s="291"/>
      <c r="AW71" s="291"/>
      <c r="AX71" s="291"/>
      <c r="AY71" s="291"/>
      <c r="AZ71" s="291"/>
      <c r="BA71" s="291"/>
      <c r="BB71" s="291"/>
      <c r="BC71" s="291"/>
      <c r="BD71" s="291"/>
      <c r="BE71" s="291"/>
      <c r="BF71" s="291"/>
      <c r="BH71" s="163"/>
      <c r="BI71" s="163"/>
      <c r="BJ71" s="163"/>
      <c r="BK71" s="163"/>
      <c r="BL71" s="163"/>
      <c r="BN71" s="294"/>
      <c r="BO71" s="294"/>
      <c r="BP71" s="163"/>
      <c r="BQ71" s="163"/>
      <c r="BR71" s="163"/>
      <c r="BT71" s="163"/>
      <c r="BU71" s="163"/>
      <c r="BV71" s="163"/>
      <c r="BW71" s="163"/>
      <c r="BX71" s="163"/>
    </row>
    <row r="72" spans="1:79" ht="19.95" hidden="1" customHeight="1" thickTop="1">
      <c r="A72" s="295"/>
      <c r="B72" s="174"/>
      <c r="C72" s="227"/>
      <c r="D72" s="296"/>
      <c r="E72" s="296"/>
      <c r="F72" s="296"/>
      <c r="G72" s="296"/>
      <c r="H72" s="296"/>
      <c r="I72" s="296"/>
      <c r="J72" s="296"/>
      <c r="K72" s="296"/>
      <c r="L72" s="296"/>
      <c r="M72" s="296"/>
      <c r="N72" s="296"/>
      <c r="O72" s="296"/>
      <c r="P72" s="296"/>
      <c r="R72" s="296"/>
      <c r="S72" s="296"/>
      <c r="T72" s="296"/>
      <c r="U72" s="296"/>
      <c r="V72" s="296"/>
      <c r="W72" s="296"/>
      <c r="X72" s="297"/>
      <c r="Y72" s="296"/>
      <c r="Z72" s="296"/>
      <c r="AA72" s="296"/>
      <c r="AB72" s="296"/>
      <c r="AC72" s="296"/>
      <c r="AD72" s="296"/>
      <c r="AT72" s="296"/>
      <c r="AU72" s="296"/>
      <c r="AV72" s="296"/>
      <c r="AW72" s="296"/>
      <c r="AX72" s="296"/>
      <c r="AY72" s="296"/>
      <c r="AZ72" s="296"/>
      <c r="BA72" s="296"/>
      <c r="BB72" s="296"/>
      <c r="BC72" s="296"/>
      <c r="BD72" s="296"/>
      <c r="BE72" s="296"/>
      <c r="BF72" s="296"/>
      <c r="BN72" s="298"/>
      <c r="BO72" s="298"/>
      <c r="BX72" s="135"/>
    </row>
    <row r="73" spans="1:79" ht="15.45" hidden="1" customHeight="1">
      <c r="A73" s="638"/>
      <c r="B73" s="271"/>
      <c r="C73" s="272"/>
      <c r="D73" s="299"/>
      <c r="E73" s="299"/>
      <c r="F73" s="299"/>
      <c r="G73" s="299"/>
      <c r="H73" s="299"/>
      <c r="I73" s="299"/>
      <c r="J73" s="299"/>
      <c r="K73" s="299"/>
      <c r="L73" s="299"/>
      <c r="M73" s="299"/>
      <c r="N73" s="299"/>
      <c r="O73" s="299"/>
      <c r="P73" s="299"/>
      <c r="Q73" s="287"/>
      <c r="R73" s="299"/>
      <c r="S73" s="299"/>
      <c r="T73" s="299"/>
      <c r="U73" s="299"/>
      <c r="V73" s="299"/>
      <c r="W73" s="299"/>
      <c r="X73" s="300"/>
      <c r="Y73" s="299"/>
      <c r="Z73" s="299"/>
      <c r="AA73" s="299"/>
      <c r="AB73" s="299"/>
      <c r="AC73" s="299"/>
      <c r="AD73" s="299"/>
      <c r="AE73" s="287"/>
      <c r="AF73" s="301"/>
      <c r="AG73" s="301"/>
      <c r="AH73" s="301"/>
      <c r="AI73" s="301"/>
      <c r="AJ73" s="301"/>
      <c r="AK73" s="301"/>
      <c r="AL73" s="301"/>
      <c r="AM73" s="301"/>
      <c r="AN73" s="301"/>
      <c r="AO73" s="301"/>
      <c r="AP73" s="301"/>
      <c r="AQ73" s="301"/>
      <c r="AR73" s="301"/>
      <c r="AS73" s="287"/>
      <c r="AT73" s="299"/>
      <c r="AU73" s="299"/>
      <c r="AV73" s="299"/>
      <c r="AW73" s="299"/>
      <c r="AX73" s="299"/>
      <c r="AY73" s="299"/>
      <c r="AZ73" s="299"/>
      <c r="BA73" s="299"/>
      <c r="BB73" s="299"/>
      <c r="BC73" s="299"/>
      <c r="BD73" s="299"/>
      <c r="BE73" s="299"/>
      <c r="BF73" s="299"/>
      <c r="BH73" s="156"/>
      <c r="BI73" s="156"/>
      <c r="BJ73" s="156"/>
      <c r="BK73" s="156"/>
      <c r="BL73" s="156"/>
      <c r="BN73" s="302"/>
      <c r="BO73" s="302"/>
      <c r="BP73" s="156"/>
      <c r="BQ73" s="156"/>
      <c r="BR73" s="156"/>
      <c r="BT73" s="156"/>
      <c r="BU73" s="156"/>
      <c r="BV73" s="156"/>
      <c r="BW73" s="156"/>
      <c r="BX73" s="156"/>
    </row>
    <row r="74" spans="1:79" ht="15.6" hidden="1" thickBot="1">
      <c r="A74" s="639"/>
      <c r="B74" s="275"/>
      <c r="C74" s="276"/>
      <c r="D74" s="303"/>
      <c r="E74" s="303"/>
      <c r="F74" s="303"/>
      <c r="G74" s="303"/>
      <c r="H74" s="303"/>
      <c r="I74" s="303"/>
      <c r="J74" s="303"/>
      <c r="K74" s="303"/>
      <c r="L74" s="303"/>
      <c r="M74" s="303"/>
      <c r="N74" s="303"/>
      <c r="O74" s="303"/>
      <c r="P74" s="303"/>
      <c r="Q74" s="287"/>
      <c r="R74" s="303"/>
      <c r="S74" s="303"/>
      <c r="T74" s="303"/>
      <c r="U74" s="303"/>
      <c r="V74" s="303"/>
      <c r="W74" s="303"/>
      <c r="X74" s="304"/>
      <c r="Y74" s="303"/>
      <c r="Z74" s="303"/>
      <c r="AA74" s="303"/>
      <c r="AB74" s="303"/>
      <c r="AC74" s="303"/>
      <c r="AD74" s="303"/>
      <c r="AE74" s="287"/>
      <c r="AF74" s="305"/>
      <c r="AG74" s="305"/>
      <c r="AH74" s="305"/>
      <c r="AI74" s="305"/>
      <c r="AJ74" s="305"/>
      <c r="AK74" s="305"/>
      <c r="AL74" s="305"/>
      <c r="AM74" s="305"/>
      <c r="AN74" s="305"/>
      <c r="AO74" s="305"/>
      <c r="AP74" s="305"/>
      <c r="AQ74" s="305"/>
      <c r="AR74" s="305"/>
      <c r="AS74" s="287"/>
      <c r="AT74" s="303"/>
      <c r="AU74" s="303"/>
      <c r="AV74" s="303"/>
      <c r="AW74" s="303"/>
      <c r="AX74" s="303"/>
      <c r="AY74" s="303"/>
      <c r="AZ74" s="303"/>
      <c r="BA74" s="303"/>
      <c r="BB74" s="303"/>
      <c r="BC74" s="303"/>
      <c r="BD74" s="303"/>
      <c r="BE74" s="303"/>
      <c r="BF74" s="303"/>
      <c r="BH74" s="163"/>
      <c r="BI74" s="163"/>
      <c r="BJ74" s="163"/>
      <c r="BK74" s="163"/>
      <c r="BL74" s="163"/>
      <c r="BN74" s="294"/>
      <c r="BO74" s="294"/>
      <c r="BP74" s="163"/>
      <c r="BQ74" s="163"/>
      <c r="BR74" s="163"/>
      <c r="BT74" s="163"/>
      <c r="BU74" s="163"/>
      <c r="BV74" s="163"/>
      <c r="BW74" s="163"/>
      <c r="BX74" s="163"/>
    </row>
    <row r="75" spans="1:79" ht="15.6" hidden="1" thickTop="1">
      <c r="A75" s="280"/>
      <c r="B75" s="150"/>
      <c r="C75" s="203"/>
      <c r="D75" s="306"/>
      <c r="E75" s="306"/>
      <c r="F75" s="306"/>
      <c r="G75" s="306"/>
      <c r="H75" s="306"/>
      <c r="I75" s="306"/>
      <c r="J75" s="306"/>
      <c r="K75" s="306"/>
      <c r="L75" s="306"/>
      <c r="M75" s="306"/>
      <c r="N75" s="306"/>
      <c r="O75" s="306"/>
      <c r="P75" s="306"/>
      <c r="Q75" s="265"/>
      <c r="R75" s="306"/>
      <c r="S75" s="306"/>
      <c r="T75" s="306"/>
      <c r="U75" s="306"/>
      <c r="V75" s="306"/>
      <c r="W75" s="306"/>
      <c r="X75" s="307"/>
      <c r="Y75" s="306"/>
      <c r="Z75" s="306"/>
      <c r="AA75" s="306"/>
      <c r="AB75" s="306"/>
      <c r="AC75" s="306"/>
      <c r="AD75" s="306"/>
      <c r="AE75" s="265"/>
      <c r="AF75" s="269"/>
      <c r="AG75" s="269"/>
      <c r="AH75" s="269"/>
      <c r="AI75" s="269"/>
      <c r="AJ75" s="269"/>
      <c r="AK75" s="269"/>
      <c r="AL75" s="269"/>
      <c r="AM75" s="269"/>
      <c r="AN75" s="269"/>
      <c r="AO75" s="269"/>
      <c r="AP75" s="269"/>
      <c r="AQ75" s="269"/>
      <c r="AR75" s="269"/>
      <c r="AS75" s="265"/>
      <c r="AT75" s="306"/>
      <c r="AU75" s="306"/>
      <c r="AV75" s="306"/>
      <c r="AW75" s="306"/>
      <c r="AX75" s="306"/>
      <c r="AY75" s="306"/>
      <c r="AZ75" s="306"/>
      <c r="BA75" s="306"/>
      <c r="BB75" s="306"/>
      <c r="BC75" s="306"/>
      <c r="BD75" s="306"/>
      <c r="BE75" s="306"/>
      <c r="BF75" s="306"/>
      <c r="BH75" s="270"/>
      <c r="BI75" s="270"/>
      <c r="BJ75" s="270"/>
      <c r="BK75" s="270"/>
      <c r="BL75" s="270"/>
      <c r="BN75" s="270"/>
      <c r="BO75" s="270"/>
      <c r="BP75" s="270"/>
      <c r="BQ75" s="270"/>
      <c r="BR75" s="270"/>
      <c r="BT75" s="270"/>
      <c r="BU75" s="270"/>
      <c r="BV75" s="270"/>
      <c r="BW75" s="270"/>
      <c r="BX75" s="270"/>
    </row>
    <row r="76" spans="1:79">
      <c r="A76" s="638" t="s">
        <v>60</v>
      </c>
      <c r="B76" s="271" t="s">
        <v>52</v>
      </c>
      <c r="C76" s="272"/>
      <c r="D76" s="299">
        <f t="shared" ref="D76:P76" si="68">D12/D14</f>
        <v>0.94218605787428555</v>
      </c>
      <c r="E76" s="299">
        <f t="shared" si="68"/>
        <v>0.94218605787428544</v>
      </c>
      <c r="F76" s="299">
        <f t="shared" si="68"/>
        <v>0.94218605787428555</v>
      </c>
      <c r="G76" s="299">
        <f t="shared" si="68"/>
        <v>0.94218605787428533</v>
      </c>
      <c r="H76" s="299">
        <f t="shared" si="68"/>
        <v>0.94218605787428533</v>
      </c>
      <c r="I76" s="299">
        <f t="shared" si="68"/>
        <v>0.94218605787428544</v>
      </c>
      <c r="J76" s="299">
        <f t="shared" si="68"/>
        <v>0.94218605787428533</v>
      </c>
      <c r="K76" s="299">
        <f t="shared" si="68"/>
        <v>0.94218605787428544</v>
      </c>
      <c r="L76" s="299">
        <f t="shared" si="68"/>
        <v>0.94218605787428544</v>
      </c>
      <c r="M76" s="299">
        <f t="shared" si="68"/>
        <v>0.94218605787428544</v>
      </c>
      <c r="N76" s="299">
        <f t="shared" si="68"/>
        <v>0.94218605787428544</v>
      </c>
      <c r="O76" s="299">
        <f t="shared" si="68"/>
        <v>0.94218605787428544</v>
      </c>
      <c r="P76" s="299">
        <f t="shared" si="68"/>
        <v>0.94218605787428544</v>
      </c>
      <c r="Q76" s="257"/>
      <c r="R76" s="299">
        <f>R12/R14</f>
        <v>0.8425928160388565</v>
      </c>
      <c r="S76" s="299">
        <f t="shared" ref="S76:AD76" si="69">S12/S14</f>
        <v>0.87425876595595564</v>
      </c>
      <c r="T76" s="299">
        <f t="shared" si="69"/>
        <v>0.83187995685088134</v>
      </c>
      <c r="U76" s="299">
        <f t="shared" si="69"/>
        <v>0.78976363047051035</v>
      </c>
      <c r="V76" s="299">
        <f t="shared" si="69"/>
        <v>0.72817659632902565</v>
      </c>
      <c r="W76" s="299">
        <f t="shared" si="69"/>
        <v>0.74967733439195516</v>
      </c>
      <c r="X76" s="299">
        <f t="shared" si="69"/>
        <v>0.74967662621210251</v>
      </c>
      <c r="Y76" s="299">
        <f t="shared" si="69"/>
        <v>0.76319974896924514</v>
      </c>
      <c r="Z76" s="299" t="e">
        <f t="shared" si="69"/>
        <v>#DIV/0!</v>
      </c>
      <c r="AA76" s="299" t="e">
        <f t="shared" si="69"/>
        <v>#DIV/0!</v>
      </c>
      <c r="AB76" s="299" t="e">
        <f t="shared" si="69"/>
        <v>#DIV/0!</v>
      </c>
      <c r="AC76" s="299" t="e">
        <f t="shared" si="69"/>
        <v>#DIV/0!</v>
      </c>
      <c r="AD76" s="299">
        <f t="shared" si="69"/>
        <v>0.78587036952788691</v>
      </c>
      <c r="AE76" s="257"/>
      <c r="AF76" s="301">
        <f t="shared" ref="AF76:AR77" si="70">R76-D76</f>
        <v>-9.9593241835429058E-2</v>
      </c>
      <c r="AG76" s="301">
        <f t="shared" si="70"/>
        <v>-6.7927291918329802E-2</v>
      </c>
      <c r="AH76" s="301">
        <f t="shared" si="70"/>
        <v>-0.11030610102340421</v>
      </c>
      <c r="AI76" s="301">
        <f t="shared" si="70"/>
        <v>-0.15242242740377498</v>
      </c>
      <c r="AJ76" s="301">
        <f t="shared" si="70"/>
        <v>-0.21400946154525968</v>
      </c>
      <c r="AK76" s="301">
        <f t="shared" si="70"/>
        <v>-0.19250872348233028</v>
      </c>
      <c r="AL76" s="301">
        <f t="shared" si="70"/>
        <v>-0.19250943166218282</v>
      </c>
      <c r="AM76" s="301">
        <f t="shared" si="70"/>
        <v>-0.1789863089050403</v>
      </c>
      <c r="AN76" s="301" t="e">
        <f t="shared" si="70"/>
        <v>#DIV/0!</v>
      </c>
      <c r="AO76" s="301" t="e">
        <f t="shared" si="70"/>
        <v>#DIV/0!</v>
      </c>
      <c r="AP76" s="301" t="e">
        <f t="shared" si="70"/>
        <v>#DIV/0!</v>
      </c>
      <c r="AQ76" s="301" t="e">
        <f t="shared" si="70"/>
        <v>#DIV/0!</v>
      </c>
      <c r="AR76" s="301">
        <f t="shared" si="70"/>
        <v>-0.15631568834639853</v>
      </c>
      <c r="AS76" s="257"/>
      <c r="AT76" s="299">
        <f t="shared" ref="AT76:BF76" si="71">AT12/AT14</f>
        <v>0.89429556826586198</v>
      </c>
      <c r="AU76" s="299">
        <f t="shared" si="71"/>
        <v>0.92790458811120169</v>
      </c>
      <c r="AV76" s="299">
        <f t="shared" si="71"/>
        <v>0.88292535205597134</v>
      </c>
      <c r="AW76" s="299">
        <f t="shared" si="71"/>
        <v>0.83822470505702107</v>
      </c>
      <c r="AX76" s="299">
        <f t="shared" si="71"/>
        <v>0.77285859862106476</v>
      </c>
      <c r="AY76" s="299">
        <f t="shared" si="71"/>
        <v>0.79567865404773752</v>
      </c>
      <c r="AZ76" s="299">
        <f t="shared" si="71"/>
        <v>0.79567790241291259</v>
      </c>
      <c r="BA76" s="299">
        <f t="shared" si="71"/>
        <v>0.81003082415710903</v>
      </c>
      <c r="BB76" s="299" t="e">
        <f t="shared" si="71"/>
        <v>#DIV/0!</v>
      </c>
      <c r="BC76" s="299" t="e">
        <f t="shared" si="71"/>
        <v>#DIV/0!</v>
      </c>
      <c r="BD76" s="299" t="e">
        <f t="shared" si="71"/>
        <v>#DIV/0!</v>
      </c>
      <c r="BE76" s="299" t="e">
        <f t="shared" si="71"/>
        <v>#DIV/0!</v>
      </c>
      <c r="BF76" s="299">
        <f t="shared" si="71"/>
        <v>0.83409254781473796</v>
      </c>
      <c r="BH76" s="308" t="e">
        <f>#REF!/#REF!</f>
        <v>#REF!</v>
      </c>
      <c r="BI76" s="308" t="e">
        <f>#REF!/#REF!</f>
        <v>#REF!</v>
      </c>
      <c r="BJ76" s="308" t="e">
        <f>#REF!/#REF!</f>
        <v>#REF!</v>
      </c>
      <c r="BK76" s="308" t="e">
        <f>#REF!/#REF!</f>
        <v>#REF!</v>
      </c>
      <c r="BL76" s="308" t="e">
        <f>#REF!/#REF!</f>
        <v>#REF!</v>
      </c>
      <c r="BN76" s="309" t="e">
        <f>#REF!/#REF!</f>
        <v>#REF!</v>
      </c>
      <c r="BO76" s="309" t="e">
        <f>#REF!/#REF!</f>
        <v>#REF!</v>
      </c>
      <c r="BP76" s="308" t="e">
        <f>#REF!/#REF!</f>
        <v>#REF!</v>
      </c>
      <c r="BQ76" s="308" t="e">
        <f>#REF!/#REF!</f>
        <v>#REF!</v>
      </c>
      <c r="BR76" s="308" t="e">
        <f>#REF!/#REF!</f>
        <v>#REF!</v>
      </c>
      <c r="BT76" s="212" t="e">
        <f t="shared" ref="BT76:BX77" si="72">BN76/BH76</f>
        <v>#REF!</v>
      </c>
      <c r="BU76" s="212" t="e">
        <f t="shared" si="72"/>
        <v>#REF!</v>
      </c>
      <c r="BV76" s="212" t="e">
        <f t="shared" si="72"/>
        <v>#REF!</v>
      </c>
      <c r="BW76" s="212" t="e">
        <f t="shared" si="72"/>
        <v>#REF!</v>
      </c>
      <c r="BX76" s="212" t="e">
        <f t="shared" si="72"/>
        <v>#REF!</v>
      </c>
    </row>
    <row r="77" spans="1:79" ht="15.6" thickBot="1">
      <c r="A77" s="639"/>
      <c r="B77" s="275" t="s">
        <v>53</v>
      </c>
      <c r="C77" s="276"/>
      <c r="D77" s="299">
        <f t="shared" ref="D77:P77" si="73">D13/D14</f>
        <v>5.7813942125714564E-2</v>
      </c>
      <c r="E77" s="299">
        <f t="shared" si="73"/>
        <v>5.7813942125714564E-2</v>
      </c>
      <c r="F77" s="299">
        <f t="shared" si="73"/>
        <v>5.7813942125714557E-2</v>
      </c>
      <c r="G77" s="299">
        <f t="shared" si="73"/>
        <v>5.7813942125714564E-2</v>
      </c>
      <c r="H77" s="299">
        <f t="shared" si="73"/>
        <v>5.7813942125714564E-2</v>
      </c>
      <c r="I77" s="299">
        <f t="shared" si="73"/>
        <v>5.7813942125714564E-2</v>
      </c>
      <c r="J77" s="299">
        <f t="shared" si="73"/>
        <v>5.7813942125714564E-2</v>
      </c>
      <c r="K77" s="299">
        <f t="shared" si="73"/>
        <v>5.7813942125714564E-2</v>
      </c>
      <c r="L77" s="299">
        <f t="shared" si="73"/>
        <v>5.7813942125714564E-2</v>
      </c>
      <c r="M77" s="299">
        <f t="shared" si="73"/>
        <v>5.7813942125714564E-2</v>
      </c>
      <c r="N77" s="299">
        <f t="shared" si="73"/>
        <v>5.7813942125714564E-2</v>
      </c>
      <c r="O77" s="299">
        <f t="shared" si="73"/>
        <v>5.7813942125714564E-2</v>
      </c>
      <c r="P77" s="299">
        <f t="shared" si="73"/>
        <v>5.7813942125714564E-2</v>
      </c>
      <c r="Q77" s="257"/>
      <c r="R77" s="303">
        <f>R13/R14</f>
        <v>0.15740718396114353</v>
      </c>
      <c r="S77" s="303">
        <f t="shared" ref="S77:AD77" si="74">S13/S14</f>
        <v>0.12574123404404433</v>
      </c>
      <c r="T77" s="303">
        <f t="shared" si="74"/>
        <v>0.16812004314911869</v>
      </c>
      <c r="U77" s="303">
        <f t="shared" si="74"/>
        <v>0.21023636952948971</v>
      </c>
      <c r="V77" s="303">
        <f t="shared" si="74"/>
        <v>0.2718234036709743</v>
      </c>
      <c r="W77" s="303">
        <f t="shared" si="74"/>
        <v>0.25032266560804489</v>
      </c>
      <c r="X77" s="303">
        <f t="shared" si="74"/>
        <v>0.25032337378789749</v>
      </c>
      <c r="Y77" s="303">
        <f t="shared" si="74"/>
        <v>0.23680025103075489</v>
      </c>
      <c r="Z77" s="303" t="e">
        <f t="shared" si="74"/>
        <v>#DIV/0!</v>
      </c>
      <c r="AA77" s="303" t="e">
        <f t="shared" si="74"/>
        <v>#DIV/0!</v>
      </c>
      <c r="AB77" s="303" t="e">
        <f t="shared" si="74"/>
        <v>#DIV/0!</v>
      </c>
      <c r="AC77" s="303" t="e">
        <f t="shared" si="74"/>
        <v>#DIV/0!</v>
      </c>
      <c r="AD77" s="303">
        <f t="shared" si="74"/>
        <v>0.21412963047211309</v>
      </c>
      <c r="AE77" s="257"/>
      <c r="AF77" s="305">
        <f t="shared" si="70"/>
        <v>9.9593241835428975E-2</v>
      </c>
      <c r="AG77" s="305">
        <f t="shared" si="70"/>
        <v>6.7927291918329774E-2</v>
      </c>
      <c r="AH77" s="305">
        <f t="shared" si="70"/>
        <v>0.11030610102340413</v>
      </c>
      <c r="AI77" s="305">
        <f t="shared" si="70"/>
        <v>0.15242242740377515</v>
      </c>
      <c r="AJ77" s="305">
        <f t="shared" si="70"/>
        <v>0.21400946154525974</v>
      </c>
      <c r="AK77" s="305">
        <f t="shared" si="70"/>
        <v>0.19250872348233034</v>
      </c>
      <c r="AL77" s="305">
        <f t="shared" si="70"/>
        <v>0.19250943166218293</v>
      </c>
      <c r="AM77" s="305">
        <f t="shared" si="70"/>
        <v>0.17898630890504033</v>
      </c>
      <c r="AN77" s="305" t="e">
        <f t="shared" si="70"/>
        <v>#DIV/0!</v>
      </c>
      <c r="AO77" s="305" t="e">
        <f t="shared" si="70"/>
        <v>#DIV/0!</v>
      </c>
      <c r="AP77" s="305" t="e">
        <f t="shared" si="70"/>
        <v>#DIV/0!</v>
      </c>
      <c r="AQ77" s="305" t="e">
        <f t="shared" si="70"/>
        <v>#DIV/0!</v>
      </c>
      <c r="AR77" s="305">
        <f t="shared" si="70"/>
        <v>0.15631568834639853</v>
      </c>
      <c r="AS77" s="257"/>
      <c r="AT77" s="303">
        <f t="shared" ref="AT77:BF77" si="75">AT13/AT14</f>
        <v>2.7226509415128044</v>
      </c>
      <c r="AU77" s="303">
        <f t="shared" si="75"/>
        <v>2.17492925444565</v>
      </c>
      <c r="AV77" s="303">
        <f t="shared" si="75"/>
        <v>2.9079498295332824</v>
      </c>
      <c r="AW77" s="303">
        <f t="shared" si="75"/>
        <v>3.6364302761492628</v>
      </c>
      <c r="AX77" s="303">
        <f t="shared" si="75"/>
        <v>4.7016929425068952</v>
      </c>
      <c r="AY77" s="303">
        <f t="shared" si="75"/>
        <v>4.329797561005722</v>
      </c>
      <c r="AZ77" s="303">
        <f t="shared" si="75"/>
        <v>4.3298098102976148</v>
      </c>
      <c r="BA77" s="303">
        <f t="shared" si="75"/>
        <v>4.0959021703768332</v>
      </c>
      <c r="BB77" s="303" t="e">
        <f t="shared" si="75"/>
        <v>#DIV/0!</v>
      </c>
      <c r="BC77" s="303" t="e">
        <f t="shared" si="75"/>
        <v>#DIV/0!</v>
      </c>
      <c r="BD77" s="303" t="e">
        <f t="shared" si="75"/>
        <v>#DIV/0!</v>
      </c>
      <c r="BE77" s="303" t="e">
        <f t="shared" si="75"/>
        <v>#DIV/0!</v>
      </c>
      <c r="BF77" s="303">
        <f t="shared" si="75"/>
        <v>3.703771488311506</v>
      </c>
      <c r="BH77" s="310" t="e">
        <f>#REF!/#REF!</f>
        <v>#REF!</v>
      </c>
      <c r="BI77" s="310" t="e">
        <f>#REF!/#REF!</f>
        <v>#REF!</v>
      </c>
      <c r="BJ77" s="310" t="e">
        <f>#REF!/#REF!</f>
        <v>#REF!</v>
      </c>
      <c r="BK77" s="310" t="e">
        <f>#REF!/#REF!</f>
        <v>#REF!</v>
      </c>
      <c r="BL77" s="310" t="e">
        <f>#REF!/#REF!</f>
        <v>#REF!</v>
      </c>
      <c r="BN77" s="311" t="e">
        <f>#REF!/#REF!</f>
        <v>#REF!</v>
      </c>
      <c r="BO77" s="311" t="e">
        <f>#REF!/#REF!</f>
        <v>#REF!</v>
      </c>
      <c r="BP77" s="310" t="e">
        <f>#REF!/#REF!</f>
        <v>#REF!</v>
      </c>
      <c r="BQ77" s="310" t="e">
        <f>#REF!/#REF!</f>
        <v>#REF!</v>
      </c>
      <c r="BR77" s="310" t="e">
        <f>#REF!/#REF!</f>
        <v>#REF!</v>
      </c>
      <c r="BT77" s="163" t="e">
        <f t="shared" si="72"/>
        <v>#REF!</v>
      </c>
      <c r="BU77" s="163" t="e">
        <f t="shared" si="72"/>
        <v>#REF!</v>
      </c>
      <c r="BV77" s="163" t="e">
        <f t="shared" si="72"/>
        <v>#REF!</v>
      </c>
      <c r="BW77" s="163" t="e">
        <f t="shared" si="72"/>
        <v>#REF!</v>
      </c>
      <c r="BX77" s="163" t="e">
        <f t="shared" si="72"/>
        <v>#REF!</v>
      </c>
    </row>
    <row r="78" spans="1:79" ht="16.2" thickTop="1">
      <c r="A78" s="280"/>
      <c r="B78" s="181"/>
      <c r="C78" s="151"/>
      <c r="D78" s="312"/>
      <c r="E78" s="312"/>
      <c r="F78" s="312"/>
      <c r="G78" s="312"/>
      <c r="H78" s="312"/>
      <c r="I78" s="312"/>
      <c r="J78" s="312"/>
      <c r="K78" s="312"/>
      <c r="L78" s="312"/>
      <c r="M78" s="312"/>
      <c r="N78" s="312"/>
      <c r="O78" s="312"/>
      <c r="P78" s="312"/>
      <c r="Q78" s="187"/>
      <c r="R78" s="312"/>
      <c r="S78" s="312"/>
      <c r="T78" s="312"/>
      <c r="U78" s="312"/>
      <c r="V78" s="312"/>
      <c r="W78" s="312"/>
      <c r="X78" s="313"/>
      <c r="Y78" s="312"/>
      <c r="Z78" s="312"/>
      <c r="AA78" s="312"/>
      <c r="AB78" s="312"/>
      <c r="AC78" s="312"/>
      <c r="AD78" s="312"/>
      <c r="AE78" s="168"/>
      <c r="AF78" s="209"/>
      <c r="AG78" s="209"/>
      <c r="AH78" s="209"/>
      <c r="AI78" s="209"/>
      <c r="AJ78" s="209"/>
      <c r="AK78" s="209"/>
      <c r="AL78" s="209"/>
      <c r="AM78" s="209"/>
      <c r="AN78" s="209"/>
      <c r="AO78" s="209"/>
      <c r="AP78" s="209"/>
      <c r="AQ78" s="209"/>
      <c r="AR78" s="209"/>
      <c r="AS78" s="151"/>
      <c r="AT78" s="312"/>
      <c r="AU78" s="312"/>
      <c r="AV78" s="312"/>
      <c r="AW78" s="312"/>
      <c r="AX78" s="312"/>
      <c r="AY78" s="312"/>
      <c r="AZ78" s="312"/>
      <c r="BA78" s="312"/>
      <c r="BB78" s="312"/>
      <c r="BC78" s="312"/>
      <c r="BD78" s="312"/>
      <c r="BE78" s="312"/>
      <c r="BF78" s="312"/>
      <c r="BH78" s="314"/>
      <c r="BI78" s="314"/>
      <c r="BJ78" s="314"/>
      <c r="BK78" s="314"/>
      <c r="BL78" s="314"/>
      <c r="BN78" s="315"/>
      <c r="BO78" s="315"/>
      <c r="BP78" s="314"/>
      <c r="BQ78" s="314"/>
      <c r="BR78" s="314"/>
      <c r="BT78" s="156"/>
      <c r="BU78" s="156"/>
      <c r="BV78" s="156"/>
      <c r="BW78" s="156"/>
      <c r="BX78" s="156"/>
    </row>
    <row r="79" spans="1:79" ht="16.05" customHeight="1">
      <c r="A79" s="638" t="s">
        <v>57</v>
      </c>
      <c r="B79" s="271" t="s">
        <v>52</v>
      </c>
      <c r="C79" s="272"/>
      <c r="D79" s="299">
        <f t="shared" ref="D79:P79" si="76">D16/D18</f>
        <v>0.8825420176480957</v>
      </c>
      <c r="E79" s="299">
        <f t="shared" si="76"/>
        <v>0.88254201764809559</v>
      </c>
      <c r="F79" s="299">
        <f t="shared" si="76"/>
        <v>0.8825420176480957</v>
      </c>
      <c r="G79" s="299">
        <f t="shared" si="76"/>
        <v>0.8825420176480957</v>
      </c>
      <c r="H79" s="299">
        <f t="shared" si="76"/>
        <v>0.88254201764809559</v>
      </c>
      <c r="I79" s="299">
        <f t="shared" si="76"/>
        <v>0.88254201764809559</v>
      </c>
      <c r="J79" s="299">
        <f t="shared" si="76"/>
        <v>0.88254201764809559</v>
      </c>
      <c r="K79" s="299">
        <f t="shared" si="76"/>
        <v>0.88254201764809559</v>
      </c>
      <c r="L79" s="299">
        <f t="shared" si="76"/>
        <v>0.8825420176480957</v>
      </c>
      <c r="M79" s="299">
        <f t="shared" si="76"/>
        <v>0.8825420176480957</v>
      </c>
      <c r="N79" s="299">
        <f t="shared" si="76"/>
        <v>0.88254201764809559</v>
      </c>
      <c r="O79" s="299">
        <f t="shared" si="76"/>
        <v>0.8825420176480957</v>
      </c>
      <c r="P79" s="299">
        <f t="shared" si="76"/>
        <v>0.8825420176480957</v>
      </c>
      <c r="Q79" s="257"/>
      <c r="R79" s="299">
        <f t="shared" ref="R79:AD79" si="77">R16/R18</f>
        <v>0.7992061757660478</v>
      </c>
      <c r="S79" s="299">
        <f t="shared" si="77"/>
        <v>0.87112377218870363</v>
      </c>
      <c r="T79" s="299">
        <f t="shared" si="77"/>
        <v>0.90466308517193872</v>
      </c>
      <c r="U79" s="299">
        <f t="shared" si="77"/>
        <v>0.51495040987561713</v>
      </c>
      <c r="V79" s="299">
        <f t="shared" si="77"/>
        <v>0.39072784102808228</v>
      </c>
      <c r="W79" s="299">
        <f t="shared" si="77"/>
        <v>0.74742753069521684</v>
      </c>
      <c r="X79" s="300">
        <f t="shared" si="77"/>
        <v>0.71455176779803908</v>
      </c>
      <c r="Y79" s="299">
        <f t="shared" si="77"/>
        <v>0.65591144797791034</v>
      </c>
      <c r="Z79" s="299" t="e">
        <f t="shared" si="77"/>
        <v>#DIV/0!</v>
      </c>
      <c r="AA79" s="299" t="e">
        <f t="shared" si="77"/>
        <v>#DIV/0!</v>
      </c>
      <c r="AB79" s="299" t="e">
        <f t="shared" si="77"/>
        <v>#DIV/0!</v>
      </c>
      <c r="AC79" s="299" t="e">
        <f t="shared" si="77"/>
        <v>#DIV/0!</v>
      </c>
      <c r="AD79" s="299">
        <f t="shared" si="77"/>
        <v>0.62851156213181536</v>
      </c>
      <c r="AE79" s="257"/>
      <c r="AF79" s="301">
        <f t="shared" ref="AF79:AR80" si="78">R79-D79</f>
        <v>-8.3335841882047901E-2</v>
      </c>
      <c r="AG79" s="301">
        <f t="shared" si="78"/>
        <v>-1.1418245459391962E-2</v>
      </c>
      <c r="AH79" s="301">
        <f t="shared" si="78"/>
        <v>2.2121067523843019E-2</v>
      </c>
      <c r="AI79" s="301">
        <f t="shared" si="78"/>
        <v>-0.36759160777247857</v>
      </c>
      <c r="AJ79" s="301">
        <f t="shared" si="78"/>
        <v>-0.49181417662001331</v>
      </c>
      <c r="AK79" s="301">
        <f t="shared" si="78"/>
        <v>-0.13511448695287875</v>
      </c>
      <c r="AL79" s="301">
        <f t="shared" si="78"/>
        <v>-0.16799024985005651</v>
      </c>
      <c r="AM79" s="301">
        <f t="shared" si="78"/>
        <v>-0.22663056967018524</v>
      </c>
      <c r="AN79" s="301" t="e">
        <f t="shared" si="78"/>
        <v>#DIV/0!</v>
      </c>
      <c r="AO79" s="301" t="e">
        <f t="shared" si="78"/>
        <v>#DIV/0!</v>
      </c>
      <c r="AP79" s="301" t="e">
        <f t="shared" si="78"/>
        <v>#DIV/0!</v>
      </c>
      <c r="AQ79" s="301" t="e">
        <f t="shared" si="78"/>
        <v>#DIV/0!</v>
      </c>
      <c r="AR79" s="301">
        <f t="shared" si="78"/>
        <v>-0.25403045551628034</v>
      </c>
      <c r="AS79" s="257"/>
      <c r="AT79" s="299">
        <f t="shared" ref="AT79:BF79" si="79">AT16/AT18</f>
        <v>0.90557294699222235</v>
      </c>
      <c r="AU79" s="299">
        <f t="shared" si="79"/>
        <v>0.98706209423340474</v>
      </c>
      <c r="AV79" s="299">
        <f t="shared" si="79"/>
        <v>1.0542459811138156</v>
      </c>
      <c r="AW79" s="299">
        <f t="shared" si="79"/>
        <v>0.43145600905626119</v>
      </c>
      <c r="AX79" s="299">
        <f t="shared" si="79"/>
        <v>0.24793792790093136</v>
      </c>
      <c r="AY79" s="299">
        <f t="shared" si="79"/>
        <v>0.59723349274909909</v>
      </c>
      <c r="AZ79" s="299">
        <f t="shared" si="79"/>
        <v>0.60934483039752108</v>
      </c>
      <c r="BA79" s="299">
        <f t="shared" si="79"/>
        <v>0.40544547923497698</v>
      </c>
      <c r="BB79" s="299">
        <f t="shared" si="79"/>
        <v>1</v>
      </c>
      <c r="BC79" s="299">
        <f t="shared" si="79"/>
        <v>1</v>
      </c>
      <c r="BD79" s="299">
        <f t="shared" si="79"/>
        <v>1</v>
      </c>
      <c r="BE79" s="299">
        <f t="shared" si="79"/>
        <v>1</v>
      </c>
      <c r="BF79" s="299">
        <f t="shared" si="79"/>
        <v>0.71216049724946651</v>
      </c>
      <c r="BH79" s="308">
        <f>BH16/BH18</f>
        <v>0.8825420176480957</v>
      </c>
      <c r="BI79" s="308">
        <f>BI16/BI18</f>
        <v>0.88254201764809559</v>
      </c>
      <c r="BJ79" s="308">
        <f>BJ16/BJ18</f>
        <v>0.8825420176480957</v>
      </c>
      <c r="BK79" s="308">
        <f>BK16/BK18</f>
        <v>0.88254201764809559</v>
      </c>
      <c r="BL79" s="308">
        <f>BL16/BL18</f>
        <v>0.8825420176480957</v>
      </c>
      <c r="BN79" s="309">
        <f>BN16/BN18</f>
        <v>0.86263643060172701</v>
      </c>
      <c r="BO79" s="309">
        <f>BO16/BO18</f>
        <v>0.5024108707169076</v>
      </c>
      <c r="BP79" s="308">
        <f>BP16/BP18</f>
        <v>0.68687007611016293</v>
      </c>
      <c r="BQ79" s="308" t="e">
        <f>BQ16/BQ18</f>
        <v>#DIV/0!</v>
      </c>
      <c r="BR79" s="308">
        <f>BR16/BR18</f>
        <v>0.62851156213181536</v>
      </c>
      <c r="BT79" s="212">
        <f t="shared" ref="BT79:BX80" si="80">BN79/BH79</f>
        <v>0.97744516788060076</v>
      </c>
      <c r="BU79" s="212">
        <f t="shared" si="80"/>
        <v>0.56927699834144174</v>
      </c>
      <c r="BV79" s="212">
        <f t="shared" si="80"/>
        <v>0.77828597661629417</v>
      </c>
      <c r="BW79" s="212" t="e">
        <f t="shared" si="80"/>
        <v>#DIV/0!</v>
      </c>
      <c r="BX79" s="212">
        <f t="shared" si="80"/>
        <v>0.71216049724946662</v>
      </c>
    </row>
    <row r="80" spans="1:79" ht="15.6" thickBot="1">
      <c r="A80" s="639"/>
      <c r="B80" s="275" t="s">
        <v>53</v>
      </c>
      <c r="C80" s="276"/>
      <c r="D80" s="303">
        <f t="shared" ref="D80:P80" si="81">D17/D18</f>
        <v>0.11745798235190434</v>
      </c>
      <c r="E80" s="303">
        <f t="shared" si="81"/>
        <v>0.11745798235190434</v>
      </c>
      <c r="F80" s="303">
        <f t="shared" si="81"/>
        <v>0.11745798235190434</v>
      </c>
      <c r="G80" s="303">
        <f t="shared" si="81"/>
        <v>0.11745798235190436</v>
      </c>
      <c r="H80" s="303">
        <f t="shared" si="81"/>
        <v>0.11745798235190433</v>
      </c>
      <c r="I80" s="303">
        <f t="shared" si="81"/>
        <v>0.11745798235190434</v>
      </c>
      <c r="J80" s="303">
        <f t="shared" si="81"/>
        <v>0.11745798235190434</v>
      </c>
      <c r="K80" s="303">
        <f t="shared" si="81"/>
        <v>0.11745798235190433</v>
      </c>
      <c r="L80" s="303">
        <f t="shared" si="81"/>
        <v>0.11745798235190434</v>
      </c>
      <c r="M80" s="303">
        <f t="shared" si="81"/>
        <v>0.11745798235190434</v>
      </c>
      <c r="N80" s="303">
        <f t="shared" si="81"/>
        <v>0.11745798235190434</v>
      </c>
      <c r="O80" s="303">
        <f t="shared" si="81"/>
        <v>0.11745798235190434</v>
      </c>
      <c r="P80" s="303">
        <f t="shared" si="81"/>
        <v>0.11745798235190434</v>
      </c>
      <c r="Q80" s="257"/>
      <c r="R80" s="303">
        <f t="shared" ref="R80:AD80" si="82">R17/R18</f>
        <v>0.20079382423395217</v>
      </c>
      <c r="S80" s="303">
        <f t="shared" si="82"/>
        <v>0.12887622781129635</v>
      </c>
      <c r="T80" s="303">
        <f t="shared" si="82"/>
        <v>9.5336914828061253E-2</v>
      </c>
      <c r="U80" s="303">
        <f t="shared" si="82"/>
        <v>0.48504959012438287</v>
      </c>
      <c r="V80" s="303">
        <f t="shared" si="82"/>
        <v>0.60927215897191767</v>
      </c>
      <c r="W80" s="303">
        <f t="shared" si="82"/>
        <v>0.25257246930478316</v>
      </c>
      <c r="X80" s="304">
        <f t="shared" si="82"/>
        <v>0.28544823220196092</v>
      </c>
      <c r="Y80" s="303">
        <f t="shared" si="82"/>
        <v>0.34408855202208966</v>
      </c>
      <c r="Z80" s="303" t="e">
        <f t="shared" si="82"/>
        <v>#DIV/0!</v>
      </c>
      <c r="AA80" s="303" t="e">
        <f t="shared" si="82"/>
        <v>#DIV/0!</v>
      </c>
      <c r="AB80" s="303" t="e">
        <f t="shared" si="82"/>
        <v>#DIV/0!</v>
      </c>
      <c r="AC80" s="303" t="e">
        <f t="shared" si="82"/>
        <v>#DIV/0!</v>
      </c>
      <c r="AD80" s="303">
        <f t="shared" si="82"/>
        <v>0.3714884378681847</v>
      </c>
      <c r="AE80" s="257"/>
      <c r="AF80" s="305">
        <f t="shared" si="78"/>
        <v>8.3335841882047831E-2</v>
      </c>
      <c r="AG80" s="305">
        <f t="shared" si="78"/>
        <v>1.1418245459392004E-2</v>
      </c>
      <c r="AH80" s="305">
        <f t="shared" si="78"/>
        <v>-2.2121067523843088E-2</v>
      </c>
      <c r="AI80" s="305">
        <f t="shared" si="78"/>
        <v>0.36759160777247851</v>
      </c>
      <c r="AJ80" s="305">
        <f t="shared" si="78"/>
        <v>0.49181417662001337</v>
      </c>
      <c r="AK80" s="305">
        <f t="shared" si="78"/>
        <v>0.13511448695287881</v>
      </c>
      <c r="AL80" s="305">
        <f t="shared" si="78"/>
        <v>0.16799024985005656</v>
      </c>
      <c r="AM80" s="305">
        <f t="shared" si="78"/>
        <v>0.22663056967018533</v>
      </c>
      <c r="AN80" s="305" t="e">
        <f t="shared" si="78"/>
        <v>#DIV/0!</v>
      </c>
      <c r="AO80" s="305" t="e">
        <f t="shared" si="78"/>
        <v>#DIV/0!</v>
      </c>
      <c r="AP80" s="305" t="e">
        <f t="shared" si="78"/>
        <v>#DIV/0!</v>
      </c>
      <c r="AQ80" s="305" t="e">
        <f t="shared" si="78"/>
        <v>#DIV/0!</v>
      </c>
      <c r="AR80" s="305">
        <f t="shared" si="78"/>
        <v>0.25403045551628034</v>
      </c>
      <c r="AS80" s="257"/>
      <c r="AT80" s="303">
        <f t="shared" ref="AT80:BF80" si="83">AT17/AT18</f>
        <v>1.7094949207655679</v>
      </c>
      <c r="AU80" s="303">
        <f t="shared" si="83"/>
        <v>1.0972113195779485</v>
      </c>
      <c r="AV80" s="303">
        <f t="shared" si="83"/>
        <v>0.59241290661663426</v>
      </c>
      <c r="AW80" s="303">
        <f t="shared" si="83"/>
        <v>5.2718591860866644</v>
      </c>
      <c r="AX80" s="303">
        <f t="shared" si="83"/>
        <v>6.6507558295901452</v>
      </c>
      <c r="AY80" s="303">
        <f t="shared" si="83"/>
        <v>4.0262597639837923</v>
      </c>
      <c r="AZ80" s="303">
        <f t="shared" si="83"/>
        <v>3.9352590150297364</v>
      </c>
      <c r="BA80" s="303">
        <f t="shared" si="83"/>
        <v>5.4672940557219842</v>
      </c>
      <c r="BB80" s="303">
        <f t="shared" si="83"/>
        <v>1</v>
      </c>
      <c r="BC80" s="303">
        <f t="shared" si="83"/>
        <v>1</v>
      </c>
      <c r="BD80" s="303">
        <f t="shared" si="83"/>
        <v>1</v>
      </c>
      <c r="BE80" s="303">
        <f t="shared" si="83"/>
        <v>1</v>
      </c>
      <c r="BF80" s="303">
        <f t="shared" si="83"/>
        <v>3.1627347109982242</v>
      </c>
      <c r="BH80" s="310">
        <f>BH17/BH18</f>
        <v>0.11745798235190434</v>
      </c>
      <c r="BI80" s="310">
        <f>BI17/BI18</f>
        <v>0.11745798235190434</v>
      </c>
      <c r="BJ80" s="310">
        <f>BJ17/BJ18</f>
        <v>0.11745798235190436</v>
      </c>
      <c r="BK80" s="310">
        <f>BK17/BK18</f>
        <v>0.11745798235190434</v>
      </c>
      <c r="BL80" s="310">
        <f>BL17/BL18</f>
        <v>0.11745798235190434</v>
      </c>
      <c r="BN80" s="311">
        <f>BN17/BN18</f>
        <v>0.13736356939827299</v>
      </c>
      <c r="BO80" s="311">
        <f>BO17/BO18</f>
        <v>0.4975891292830924</v>
      </c>
      <c r="BP80" s="310">
        <f>BP17/BP18</f>
        <v>0.31312992388983707</v>
      </c>
      <c r="BQ80" s="310" t="e">
        <f>BQ17/BQ18</f>
        <v>#DIV/0!</v>
      </c>
      <c r="BR80" s="310">
        <f>BR17/BR18</f>
        <v>0.3714884378681847</v>
      </c>
      <c r="BT80" s="163">
        <f t="shared" si="80"/>
        <v>1.1694698533704715</v>
      </c>
      <c r="BU80" s="163">
        <f t="shared" si="80"/>
        <v>4.2363159941936885</v>
      </c>
      <c r="BV80" s="163">
        <f t="shared" si="80"/>
        <v>2.6658888363304181</v>
      </c>
      <c r="BW80" s="163" t="e">
        <f t="shared" si="80"/>
        <v>#DIV/0!</v>
      </c>
      <c r="BX80" s="163">
        <f t="shared" si="80"/>
        <v>3.1627347109982242</v>
      </c>
    </row>
    <row r="81" spans="1:76" ht="16.2" hidden="1" thickTop="1">
      <c r="A81" s="280"/>
      <c r="B81" s="181"/>
      <c r="C81" s="151"/>
      <c r="D81" s="152"/>
      <c r="E81" s="152"/>
      <c r="F81" s="152"/>
      <c r="G81" s="152"/>
      <c r="H81" s="152"/>
      <c r="I81" s="152"/>
      <c r="J81" s="152"/>
      <c r="K81" s="152"/>
      <c r="L81" s="152"/>
      <c r="M81" s="152"/>
      <c r="N81" s="152"/>
      <c r="O81" s="152"/>
      <c r="P81" s="152"/>
      <c r="Q81" s="187"/>
      <c r="R81" s="314"/>
      <c r="S81" s="314"/>
      <c r="T81" s="314"/>
      <c r="U81" s="314"/>
      <c r="V81" s="314"/>
      <c r="W81" s="314"/>
      <c r="X81" s="314"/>
      <c r="Y81" s="314"/>
      <c r="Z81" s="314"/>
      <c r="AA81" s="314"/>
      <c r="AB81" s="314"/>
      <c r="AC81" s="314"/>
      <c r="AD81" s="314"/>
      <c r="AE81" s="168"/>
      <c r="AF81" s="314"/>
      <c r="AG81" s="314"/>
      <c r="AH81" s="314"/>
      <c r="AI81" s="314"/>
      <c r="AJ81" s="314"/>
      <c r="AK81" s="314"/>
      <c r="AL81" s="314"/>
      <c r="AM81" s="314"/>
      <c r="AN81" s="314"/>
      <c r="AO81" s="314"/>
      <c r="AP81" s="314"/>
      <c r="AQ81" s="314"/>
      <c r="AR81" s="314"/>
      <c r="AS81" s="151"/>
      <c r="AT81" s="314"/>
      <c r="AU81" s="314"/>
      <c r="AV81" s="314"/>
      <c r="AW81" s="314"/>
      <c r="AX81" s="314"/>
      <c r="AY81" s="314"/>
      <c r="AZ81" s="314"/>
      <c r="BA81" s="314"/>
      <c r="BB81" s="314"/>
      <c r="BC81" s="314"/>
      <c r="BD81" s="314"/>
      <c r="BE81" s="314"/>
      <c r="BF81" s="314"/>
      <c r="BH81" s="314"/>
      <c r="BI81" s="314"/>
      <c r="BJ81" s="314"/>
      <c r="BK81" s="314"/>
      <c r="BL81" s="314"/>
      <c r="BN81" s="314"/>
      <c r="BO81" s="314"/>
      <c r="BP81" s="314"/>
      <c r="BQ81" s="314"/>
      <c r="BR81" s="314"/>
      <c r="BT81" s="156"/>
      <c r="BU81" s="156"/>
      <c r="BV81" s="156"/>
      <c r="BW81" s="156"/>
      <c r="BX81" s="156"/>
    </row>
    <row r="82" spans="1:76" hidden="1">
      <c r="A82" s="638"/>
      <c r="B82" s="271"/>
      <c r="C82" s="272"/>
      <c r="D82" s="316"/>
      <c r="E82" s="316"/>
      <c r="F82" s="316"/>
      <c r="G82" s="316"/>
      <c r="H82" s="316"/>
      <c r="I82" s="316"/>
      <c r="J82" s="316"/>
      <c r="K82" s="316"/>
      <c r="L82" s="316"/>
      <c r="M82" s="316"/>
      <c r="N82" s="316"/>
      <c r="O82" s="316"/>
      <c r="P82" s="316"/>
      <c r="Q82" s="257"/>
      <c r="R82" s="316"/>
      <c r="S82" s="316"/>
      <c r="T82" s="316"/>
      <c r="U82" s="316"/>
      <c r="V82" s="316"/>
      <c r="W82" s="316"/>
      <c r="X82" s="316"/>
      <c r="Y82" s="316"/>
      <c r="Z82" s="316"/>
      <c r="AA82" s="316"/>
      <c r="AB82" s="316"/>
      <c r="AC82" s="316"/>
      <c r="AD82" s="316"/>
      <c r="AE82" s="257"/>
      <c r="AF82" s="301"/>
      <c r="AG82" s="301"/>
      <c r="AH82" s="301"/>
      <c r="AI82" s="301"/>
      <c r="AJ82" s="301"/>
      <c r="AK82" s="301"/>
      <c r="AL82" s="301"/>
      <c r="AM82" s="301"/>
      <c r="AN82" s="301"/>
      <c r="AO82" s="301"/>
      <c r="AP82" s="301"/>
      <c r="AQ82" s="301"/>
      <c r="AR82" s="301"/>
      <c r="AS82" s="257"/>
      <c r="AT82" s="316"/>
      <c r="AU82" s="316"/>
      <c r="AV82" s="316"/>
      <c r="AW82" s="316"/>
      <c r="AX82" s="316"/>
      <c r="AY82" s="316"/>
      <c r="AZ82" s="316"/>
      <c r="BA82" s="316"/>
      <c r="BB82" s="316"/>
      <c r="BC82" s="316"/>
      <c r="BD82" s="316"/>
      <c r="BE82" s="316"/>
      <c r="BF82" s="316"/>
      <c r="BH82" s="301"/>
      <c r="BI82" s="301"/>
      <c r="BJ82" s="301"/>
      <c r="BK82" s="301"/>
      <c r="BL82" s="301"/>
      <c r="BN82" s="301"/>
      <c r="BO82" s="301"/>
      <c r="BP82" s="301"/>
      <c r="BQ82" s="301"/>
      <c r="BR82" s="301"/>
      <c r="BT82" s="212"/>
      <c r="BU82" s="212"/>
      <c r="BV82" s="212"/>
      <c r="BW82" s="212"/>
      <c r="BX82" s="212"/>
    </row>
    <row r="83" spans="1:76" ht="15.6" hidden="1" thickBot="1">
      <c r="A83" s="639"/>
      <c r="B83" s="275"/>
      <c r="C83" s="276"/>
      <c r="D83" s="317"/>
      <c r="E83" s="317"/>
      <c r="F83" s="317"/>
      <c r="G83" s="317"/>
      <c r="H83" s="317"/>
      <c r="I83" s="317"/>
      <c r="J83" s="317"/>
      <c r="K83" s="317"/>
      <c r="L83" s="317"/>
      <c r="M83" s="317"/>
      <c r="N83" s="317"/>
      <c r="O83" s="317"/>
      <c r="P83" s="317"/>
      <c r="Q83" s="257"/>
      <c r="R83" s="317"/>
      <c r="S83" s="317"/>
      <c r="T83" s="317"/>
      <c r="U83" s="317"/>
      <c r="V83" s="317"/>
      <c r="W83" s="317"/>
      <c r="X83" s="317"/>
      <c r="Y83" s="317"/>
      <c r="Z83" s="317"/>
      <c r="AA83" s="317"/>
      <c r="AB83" s="317"/>
      <c r="AC83" s="317"/>
      <c r="AD83" s="317"/>
      <c r="AE83" s="257"/>
      <c r="AF83" s="305"/>
      <c r="AG83" s="305"/>
      <c r="AH83" s="305"/>
      <c r="AI83" s="305"/>
      <c r="AJ83" s="305"/>
      <c r="AK83" s="305"/>
      <c r="AL83" s="305"/>
      <c r="AM83" s="305"/>
      <c r="AN83" s="305"/>
      <c r="AO83" s="305"/>
      <c r="AP83" s="305"/>
      <c r="AQ83" s="305"/>
      <c r="AR83" s="305"/>
      <c r="AS83" s="257"/>
      <c r="AT83" s="317"/>
      <c r="AU83" s="317"/>
      <c r="AV83" s="317"/>
      <c r="AW83" s="317"/>
      <c r="AX83" s="317"/>
      <c r="AY83" s="317"/>
      <c r="AZ83" s="317"/>
      <c r="BA83" s="317"/>
      <c r="BB83" s="317"/>
      <c r="BC83" s="317"/>
      <c r="BD83" s="317"/>
      <c r="BE83" s="317"/>
      <c r="BF83" s="317"/>
      <c r="BH83" s="305"/>
      <c r="BI83" s="305"/>
      <c r="BJ83" s="305"/>
      <c r="BK83" s="305"/>
      <c r="BL83" s="305"/>
      <c r="BN83" s="305"/>
      <c r="BO83" s="305"/>
      <c r="BP83" s="305"/>
      <c r="BQ83" s="305"/>
      <c r="BR83" s="305"/>
      <c r="BT83" s="163"/>
      <c r="BU83" s="163"/>
      <c r="BV83" s="163"/>
      <c r="BW83" s="163"/>
      <c r="BX83" s="163"/>
    </row>
    <row r="84" spans="1:76" ht="15.6" thickTop="1"/>
  </sheetData>
  <mergeCells count="13">
    <mergeCell ref="A82:A83"/>
    <mergeCell ref="A63:A64"/>
    <mergeCell ref="A66:A67"/>
    <mergeCell ref="A70:A71"/>
    <mergeCell ref="A73:A74"/>
    <mergeCell ref="A76:A77"/>
    <mergeCell ref="A79:A80"/>
    <mergeCell ref="A60:A61"/>
    <mergeCell ref="A4:A18"/>
    <mergeCell ref="A22:A36"/>
    <mergeCell ref="A38:B38"/>
    <mergeCell ref="A40:A54"/>
    <mergeCell ref="A57:A58"/>
  </mergeCells>
  <pageMargins left="0.7" right="0.7" top="0.75" bottom="0.75" header="0.3" footer="0.3"/>
  <pageSetup paperSize="9" scale="10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2:BF106"/>
  <sheetViews>
    <sheetView workbookViewId="0">
      <pane xSplit="3" ySplit="3" topLeftCell="D4" activePane="bottomRight" state="frozen"/>
      <selection activeCell="R6" sqref="R6"/>
      <selection pane="topRight" activeCell="R6" sqref="R6"/>
      <selection pane="bottomLeft" activeCell="R6" sqref="R6"/>
      <selection pane="bottomRight" activeCell="D4" sqref="D4"/>
    </sheetView>
  </sheetViews>
  <sheetFormatPr defaultColWidth="12.44140625" defaultRowHeight="15.6"/>
  <cols>
    <col min="1" max="1" width="3.44140625" style="319" customWidth="1"/>
    <col min="2" max="2" width="4.44140625" style="319" customWidth="1"/>
    <col min="3" max="3" width="30.109375" style="319" customWidth="1"/>
    <col min="4" max="4" width="16.44140625" style="319" bestFit="1" customWidth="1"/>
    <col min="5" max="6" width="15.109375" style="319" bestFit="1" customWidth="1"/>
    <col min="7" max="7" width="16.44140625" style="319" bestFit="1" customWidth="1"/>
    <col min="8" max="9" width="15.109375" style="319" bestFit="1" customWidth="1"/>
    <col min="10" max="10" width="16.44140625" style="319" bestFit="1" customWidth="1"/>
    <col min="11" max="12" width="15.109375" style="319" bestFit="1" customWidth="1"/>
    <col min="13" max="13" width="16.44140625" style="319" bestFit="1" customWidth="1"/>
    <col min="14" max="15" width="15.109375" style="319" bestFit="1" customWidth="1"/>
    <col min="16" max="16" width="16.44140625" style="318" bestFit="1" customWidth="1"/>
    <col min="17" max="17" width="13.44140625" style="319" bestFit="1" customWidth="1"/>
    <col min="18" max="20" width="15.44140625" style="319" bestFit="1" customWidth="1"/>
    <col min="21" max="22" width="17.44140625" style="319" customWidth="1"/>
    <col min="23" max="28" width="15.44140625" style="319" bestFit="1" customWidth="1"/>
    <col min="29" max="29" width="15.44140625" style="319" customWidth="1"/>
    <col min="30" max="30" width="17.77734375" style="319" customWidth="1"/>
    <col min="31" max="31" width="8" style="319" customWidth="1"/>
    <col min="32" max="44" width="17" style="319" customWidth="1"/>
    <col min="45" max="58" width="12" style="319" customWidth="1"/>
    <col min="59" max="16384" width="12.44140625" style="319"/>
  </cols>
  <sheetData>
    <row r="2" spans="1:58" s="318" customFormat="1">
      <c r="D2" s="318" t="s">
        <v>28</v>
      </c>
      <c r="R2" s="318" t="s">
        <v>29</v>
      </c>
      <c r="AF2" s="318" t="s">
        <v>65</v>
      </c>
      <c r="AT2" s="318" t="s">
        <v>66</v>
      </c>
    </row>
    <row r="3" spans="1:58">
      <c r="D3" s="320" t="s">
        <v>35</v>
      </c>
      <c r="E3" s="320" t="s">
        <v>36</v>
      </c>
      <c r="F3" s="320" t="s">
        <v>37</v>
      </c>
      <c r="G3" s="320" t="s">
        <v>38</v>
      </c>
      <c r="H3" s="320" t="s">
        <v>39</v>
      </c>
      <c r="I3" s="320" t="s">
        <v>40</v>
      </c>
      <c r="J3" s="320" t="s">
        <v>41</v>
      </c>
      <c r="K3" s="320" t="s">
        <v>42</v>
      </c>
      <c r="L3" s="320" t="s">
        <v>43</v>
      </c>
      <c r="M3" s="320" t="s">
        <v>44</v>
      </c>
      <c r="N3" s="320" t="s">
        <v>45</v>
      </c>
      <c r="O3" s="320" t="s">
        <v>46</v>
      </c>
      <c r="P3" s="320" t="s">
        <v>67</v>
      </c>
      <c r="R3" s="321" t="s">
        <v>35</v>
      </c>
      <c r="S3" s="321" t="s">
        <v>36</v>
      </c>
      <c r="T3" s="321" t="s">
        <v>37</v>
      </c>
      <c r="U3" s="321" t="s">
        <v>38</v>
      </c>
      <c r="V3" s="321" t="s">
        <v>39</v>
      </c>
      <c r="W3" s="321" t="s">
        <v>40</v>
      </c>
      <c r="X3" s="321" t="s">
        <v>41</v>
      </c>
      <c r="Y3" s="321" t="s">
        <v>42</v>
      </c>
      <c r="Z3" s="321" t="s">
        <v>43</v>
      </c>
      <c r="AA3" s="321" t="s">
        <v>44</v>
      </c>
      <c r="AB3" s="321" t="s">
        <v>45</v>
      </c>
      <c r="AC3" s="321" t="s">
        <v>46</v>
      </c>
      <c r="AD3" s="321" t="s">
        <v>68</v>
      </c>
      <c r="AF3" s="322" t="s">
        <v>35</v>
      </c>
      <c r="AG3" s="322" t="s">
        <v>36</v>
      </c>
      <c r="AH3" s="322" t="s">
        <v>37</v>
      </c>
      <c r="AI3" s="322" t="s">
        <v>38</v>
      </c>
      <c r="AJ3" s="322" t="s">
        <v>39</v>
      </c>
      <c r="AK3" s="322" t="s">
        <v>40</v>
      </c>
      <c r="AL3" s="322" t="s">
        <v>41</v>
      </c>
      <c r="AM3" s="322" t="s">
        <v>42</v>
      </c>
      <c r="AN3" s="322" t="s">
        <v>43</v>
      </c>
      <c r="AO3" s="322" t="s">
        <v>44</v>
      </c>
      <c r="AP3" s="322" t="s">
        <v>45</v>
      </c>
      <c r="AQ3" s="322" t="s">
        <v>46</v>
      </c>
      <c r="AR3" s="322" t="s">
        <v>68</v>
      </c>
      <c r="AT3" s="319" t="s">
        <v>35</v>
      </c>
      <c r="AU3" s="319" t="s">
        <v>36</v>
      </c>
      <c r="AV3" s="319" t="s">
        <v>37</v>
      </c>
      <c r="AW3" s="319" t="s">
        <v>38</v>
      </c>
      <c r="AX3" s="319" t="s">
        <v>39</v>
      </c>
      <c r="AY3" s="319" t="s">
        <v>40</v>
      </c>
      <c r="AZ3" s="319" t="s">
        <v>41</v>
      </c>
      <c r="BA3" s="319" t="s">
        <v>42</v>
      </c>
      <c r="BB3" s="319" t="s">
        <v>43</v>
      </c>
      <c r="BC3" s="319" t="s">
        <v>44</v>
      </c>
      <c r="BD3" s="319" t="s">
        <v>45</v>
      </c>
      <c r="BE3" s="319" t="s">
        <v>46</v>
      </c>
      <c r="BF3" s="319" t="s">
        <v>68</v>
      </c>
    </row>
    <row r="4" spans="1:58">
      <c r="A4" s="318" t="s">
        <v>69</v>
      </c>
      <c r="D4" s="323"/>
      <c r="E4" s="323"/>
      <c r="F4" s="323"/>
      <c r="G4" s="323"/>
      <c r="H4" s="323"/>
      <c r="I4" s="323"/>
      <c r="J4" s="323"/>
      <c r="K4" s="323"/>
      <c r="L4" s="323"/>
      <c r="M4" s="323"/>
      <c r="N4" s="323"/>
      <c r="O4" s="323"/>
      <c r="P4" s="323"/>
      <c r="R4" s="323"/>
      <c r="S4" s="323"/>
      <c r="T4" s="323"/>
      <c r="U4" s="323"/>
      <c r="V4" s="323"/>
      <c r="W4" s="323"/>
      <c r="X4" s="323"/>
      <c r="Y4" s="323"/>
      <c r="Z4" s="323"/>
      <c r="AA4" s="323"/>
      <c r="AB4" s="323"/>
      <c r="AC4" s="323"/>
      <c r="AD4" s="323"/>
      <c r="AR4" s="323"/>
    </row>
    <row r="5" spans="1:58">
      <c r="B5" s="319" t="s">
        <v>70</v>
      </c>
    </row>
    <row r="6" spans="1:58">
      <c r="C6" s="319" t="s">
        <v>71</v>
      </c>
      <c r="D6" s="324">
        <f>'2018 VN YouTube View'!D6</f>
        <v>0</v>
      </c>
      <c r="E6" s="324">
        <f>'2018 VN YouTube View'!E6</f>
        <v>0</v>
      </c>
      <c r="F6" s="324">
        <f>'2018 VN YouTube View'!F6</f>
        <v>0</v>
      </c>
      <c r="G6" s="324">
        <f>'2018 VN YouTube View'!G6</f>
        <v>0</v>
      </c>
      <c r="H6" s="324">
        <f>'2018 VN YouTube View'!H6</f>
        <v>0</v>
      </c>
      <c r="I6" s="324">
        <f>'2018 VN YouTube View'!I6</f>
        <v>0</v>
      </c>
      <c r="J6" s="324">
        <f>'2018 VN YouTube View'!J6</f>
        <v>0</v>
      </c>
      <c r="K6" s="324">
        <f>'2018 VN YouTube View'!K6</f>
        <v>0</v>
      </c>
      <c r="L6" s="324">
        <f>'2018 VN YouTube View'!L6</f>
        <v>0</v>
      </c>
      <c r="M6" s="324">
        <f>'2018 VN YouTube View'!M6</f>
        <v>0</v>
      </c>
      <c r="N6" s="324">
        <f>'2018 VN YouTube View'!N6</f>
        <v>0</v>
      </c>
      <c r="O6" s="324">
        <f>'2018 VN YouTube View'!O6</f>
        <v>0</v>
      </c>
      <c r="P6" s="325">
        <f>SUM(D6:O6)</f>
        <v>0</v>
      </c>
      <c r="R6" s="324">
        <f>'2018 VN YouTube View'!R6</f>
        <v>0</v>
      </c>
      <c r="S6" s="324">
        <f>'2018 VN YouTube View'!S6</f>
        <v>0</v>
      </c>
      <c r="T6" s="324">
        <f>'2018 VN YouTube View'!T6</f>
        <v>0</v>
      </c>
      <c r="U6" s="324">
        <f>'2018 VN YouTube View'!U6</f>
        <v>0</v>
      </c>
      <c r="V6" s="324">
        <f>'2018 VN YouTube View'!V6</f>
        <v>0</v>
      </c>
      <c r="W6" s="324">
        <f>'2018 VN YouTube View'!W6</f>
        <v>0</v>
      </c>
      <c r="X6" s="324">
        <f>'2018 VN YouTube View'!X6</f>
        <v>0</v>
      </c>
      <c r="Y6" s="324">
        <f>'2018 VN YouTube View'!Y6</f>
        <v>0</v>
      </c>
      <c r="Z6" s="324">
        <f>'2018 VN YouTube View'!Z6</f>
        <v>0</v>
      </c>
      <c r="AA6" s="324">
        <f>'2018 VN YouTube View'!AA6</f>
        <v>0</v>
      </c>
      <c r="AB6" s="324">
        <f>'2018 VN YouTube View'!AB6</f>
        <v>0</v>
      </c>
      <c r="AC6" s="324">
        <f>'2018 VN YouTube View'!AC6</f>
        <v>0</v>
      </c>
      <c r="AD6" s="325">
        <f>SUM(R6:AC6)</f>
        <v>0</v>
      </c>
      <c r="AF6" s="326">
        <f>R6-D6</f>
        <v>0</v>
      </c>
      <c r="AG6" s="326">
        <f t="shared" ref="AG6:AQ9" si="0">S6-E6</f>
        <v>0</v>
      </c>
      <c r="AH6" s="326">
        <f t="shared" si="0"/>
        <v>0</v>
      </c>
      <c r="AI6" s="326">
        <f t="shared" si="0"/>
        <v>0</v>
      </c>
      <c r="AJ6" s="326">
        <f t="shared" si="0"/>
        <v>0</v>
      </c>
      <c r="AK6" s="326">
        <f t="shared" si="0"/>
        <v>0</v>
      </c>
      <c r="AL6" s="326">
        <f t="shared" si="0"/>
        <v>0</v>
      </c>
      <c r="AM6" s="326">
        <f t="shared" si="0"/>
        <v>0</v>
      </c>
      <c r="AN6" s="326">
        <f t="shared" si="0"/>
        <v>0</v>
      </c>
      <c r="AO6" s="326">
        <f t="shared" si="0"/>
        <v>0</v>
      </c>
      <c r="AP6" s="326">
        <f t="shared" si="0"/>
        <v>0</v>
      </c>
      <c r="AQ6" s="326">
        <f t="shared" si="0"/>
        <v>0</v>
      </c>
      <c r="AR6" s="325">
        <f>SUM(AF6:AQ6)</f>
        <v>0</v>
      </c>
      <c r="AT6" s="327" t="e">
        <f>R6/D6</f>
        <v>#DIV/0!</v>
      </c>
      <c r="AU6" s="327" t="e">
        <f t="shared" ref="AU6:BF10" si="1">S6/E6</f>
        <v>#DIV/0!</v>
      </c>
      <c r="AV6" s="327" t="e">
        <f t="shared" si="1"/>
        <v>#DIV/0!</v>
      </c>
      <c r="AW6" s="327" t="e">
        <f t="shared" si="1"/>
        <v>#DIV/0!</v>
      </c>
      <c r="AX6" s="327" t="e">
        <f t="shared" si="1"/>
        <v>#DIV/0!</v>
      </c>
      <c r="AY6" s="327" t="e">
        <f t="shared" si="1"/>
        <v>#DIV/0!</v>
      </c>
      <c r="AZ6" s="327" t="e">
        <f t="shared" si="1"/>
        <v>#DIV/0!</v>
      </c>
      <c r="BA6" s="327" t="e">
        <f t="shared" si="1"/>
        <v>#DIV/0!</v>
      </c>
      <c r="BB6" s="327" t="e">
        <f t="shared" si="1"/>
        <v>#DIV/0!</v>
      </c>
      <c r="BC6" s="327" t="e">
        <f t="shared" si="1"/>
        <v>#DIV/0!</v>
      </c>
      <c r="BD6" s="327" t="e">
        <f t="shared" si="1"/>
        <v>#DIV/0!</v>
      </c>
      <c r="BE6" s="327" t="e">
        <f t="shared" si="1"/>
        <v>#DIV/0!</v>
      </c>
      <c r="BF6" s="327" t="e">
        <f t="shared" si="1"/>
        <v>#DIV/0!</v>
      </c>
    </row>
    <row r="7" spans="1:58">
      <c r="C7" s="319" t="s">
        <v>72</v>
      </c>
      <c r="D7" s="324">
        <f>'2018 VN YouTube View'!D10</f>
        <v>0</v>
      </c>
      <c r="E7" s="324">
        <f>'2018 VN YouTube View'!E10</f>
        <v>0</v>
      </c>
      <c r="F7" s="324">
        <f>'2018 VN YouTube View'!F10</f>
        <v>0</v>
      </c>
      <c r="G7" s="324">
        <f>'2018 VN YouTube View'!G10</f>
        <v>0</v>
      </c>
      <c r="H7" s="324">
        <f>'2018 VN YouTube View'!H10</f>
        <v>0</v>
      </c>
      <c r="I7" s="324">
        <f>'2018 VN YouTube View'!I10</f>
        <v>0</v>
      </c>
      <c r="J7" s="324">
        <f>'2018 VN YouTube View'!J10</f>
        <v>0</v>
      </c>
      <c r="K7" s="324">
        <f>'2018 VN YouTube View'!K10</f>
        <v>0</v>
      </c>
      <c r="L7" s="324">
        <f>'2018 VN YouTube View'!L10</f>
        <v>0</v>
      </c>
      <c r="M7" s="324">
        <f>'2018 VN YouTube View'!M10</f>
        <v>0</v>
      </c>
      <c r="N7" s="324">
        <f>'2018 VN YouTube View'!N10</f>
        <v>0</v>
      </c>
      <c r="O7" s="324">
        <f>'2018 VN YouTube View'!O10</f>
        <v>0</v>
      </c>
      <c r="P7" s="325">
        <f>SUM(D7:O7)</f>
        <v>0</v>
      </c>
      <c r="R7" s="324">
        <f>'2018 VN YouTube View'!R10</f>
        <v>0</v>
      </c>
      <c r="S7" s="324">
        <f>'2018 VN YouTube View'!S10</f>
        <v>0</v>
      </c>
      <c r="T7" s="324">
        <f>'2018 VN YouTube View'!T10</f>
        <v>0</v>
      </c>
      <c r="U7" s="324">
        <f>'2018 VN YouTube View'!U10</f>
        <v>0</v>
      </c>
      <c r="V7" s="324">
        <f>'2018 VN YouTube View'!V10</f>
        <v>0</v>
      </c>
      <c r="W7" s="324">
        <f>'2018 VN YouTube View'!W10</f>
        <v>0</v>
      </c>
      <c r="X7" s="324">
        <f>'2018 VN YouTube View'!X10</f>
        <v>0</v>
      </c>
      <c r="Y7" s="324">
        <f>'2018 VN YouTube View'!Y10</f>
        <v>0</v>
      </c>
      <c r="Z7" s="324">
        <f>'2018 VN YouTube View'!Z10</f>
        <v>0</v>
      </c>
      <c r="AA7" s="324">
        <f>'2018 VN YouTube View'!AA10</f>
        <v>0</v>
      </c>
      <c r="AB7" s="324">
        <f>'2018 VN YouTube View'!AB10</f>
        <v>0</v>
      </c>
      <c r="AC7" s="324">
        <f>'2018 VN YouTube View'!AC10</f>
        <v>0</v>
      </c>
      <c r="AD7" s="325">
        <f>SUM(R7:AC7)</f>
        <v>0</v>
      </c>
      <c r="AF7" s="326">
        <f>R7-D7</f>
        <v>0</v>
      </c>
      <c r="AG7" s="326">
        <f t="shared" si="0"/>
        <v>0</v>
      </c>
      <c r="AH7" s="326">
        <f t="shared" si="0"/>
        <v>0</v>
      </c>
      <c r="AI7" s="326">
        <f t="shared" si="0"/>
        <v>0</v>
      </c>
      <c r="AJ7" s="326">
        <f t="shared" si="0"/>
        <v>0</v>
      </c>
      <c r="AK7" s="326">
        <f t="shared" si="0"/>
        <v>0</v>
      </c>
      <c r="AL7" s="326">
        <f t="shared" si="0"/>
        <v>0</v>
      </c>
      <c r="AM7" s="326">
        <f t="shared" si="0"/>
        <v>0</v>
      </c>
      <c r="AN7" s="326">
        <f t="shared" si="0"/>
        <v>0</v>
      </c>
      <c r="AO7" s="326">
        <f t="shared" si="0"/>
        <v>0</v>
      </c>
      <c r="AP7" s="326">
        <f t="shared" si="0"/>
        <v>0</v>
      </c>
      <c r="AQ7" s="326">
        <f t="shared" si="0"/>
        <v>0</v>
      </c>
      <c r="AR7" s="325">
        <f>SUM(AF7:AQ7)</f>
        <v>0</v>
      </c>
      <c r="AT7" s="327" t="e">
        <f t="shared" ref="AT7:AT10" si="2">R7/D7</f>
        <v>#DIV/0!</v>
      </c>
      <c r="AU7" s="327" t="e">
        <f t="shared" si="1"/>
        <v>#DIV/0!</v>
      </c>
      <c r="AV7" s="327" t="e">
        <f t="shared" si="1"/>
        <v>#DIV/0!</v>
      </c>
      <c r="AW7" s="327" t="e">
        <f t="shared" si="1"/>
        <v>#DIV/0!</v>
      </c>
      <c r="AX7" s="327" t="e">
        <f t="shared" si="1"/>
        <v>#DIV/0!</v>
      </c>
      <c r="AY7" s="327" t="e">
        <f t="shared" si="1"/>
        <v>#DIV/0!</v>
      </c>
      <c r="AZ7" s="327" t="e">
        <f t="shared" si="1"/>
        <v>#DIV/0!</v>
      </c>
      <c r="BA7" s="327" t="e">
        <f t="shared" si="1"/>
        <v>#DIV/0!</v>
      </c>
      <c r="BB7" s="327" t="e">
        <f t="shared" si="1"/>
        <v>#DIV/0!</v>
      </c>
      <c r="BC7" s="327" t="e">
        <f t="shared" si="1"/>
        <v>#DIV/0!</v>
      </c>
      <c r="BD7" s="327" t="e">
        <f t="shared" si="1"/>
        <v>#DIV/0!</v>
      </c>
      <c r="BE7" s="327" t="e">
        <f t="shared" si="1"/>
        <v>#DIV/0!</v>
      </c>
      <c r="BF7" s="327" t="e">
        <f t="shared" si="1"/>
        <v>#DIV/0!</v>
      </c>
    </row>
    <row r="8" spans="1:58">
      <c r="C8" s="319" t="s">
        <v>73</v>
      </c>
      <c r="D8" s="324">
        <f>'2018 VN YouTube View'!D14</f>
        <v>729780255.59385121</v>
      </c>
      <c r="E8" s="324">
        <f>'2018 VN YouTube View'!E14</f>
        <v>651335138.02331662</v>
      </c>
      <c r="F8" s="324">
        <f>'2018 VN YouTube View'!F14</f>
        <v>803881717.779351</v>
      </c>
      <c r="G8" s="324">
        <f>'2018 VN YouTube View'!G14</f>
        <v>844076775.91511309</v>
      </c>
      <c r="H8" s="324">
        <f>'2018 VN YouTube View'!H14</f>
        <v>914450046.00110424</v>
      </c>
      <c r="I8" s="324">
        <f>'2018 VN YouTube View'!I14</f>
        <v>897434362.91992033</v>
      </c>
      <c r="J8" s="324">
        <f>'2018 VN YouTube View'!J14</f>
        <v>968937296.08405435</v>
      </c>
      <c r="K8" s="324">
        <f>'2018 VN YouTube View'!K14</f>
        <v>959892438.51546562</v>
      </c>
      <c r="L8" s="324">
        <f>'2018 VN YouTube View'!L14</f>
        <v>1012740822.7130661</v>
      </c>
      <c r="M8" s="324">
        <f>'2018 VN YouTube View'!M14</f>
        <v>1086658524.5078678</v>
      </c>
      <c r="N8" s="324">
        <f>'2018 VN YouTube View'!N14</f>
        <v>1037155721.386215</v>
      </c>
      <c r="O8" s="324">
        <f>'2018 VN YouTube View'!O14</f>
        <v>1093656900.5606754</v>
      </c>
      <c r="P8" s="325">
        <f>SUM(D8:O8)</f>
        <v>11000000000</v>
      </c>
      <c r="R8" s="324">
        <f>'2018 VN YouTube View'!R14</f>
        <v>712243496</v>
      </c>
      <c r="S8" s="324">
        <f>'2018 VN YouTube View'!S14</f>
        <v>640353919</v>
      </c>
      <c r="T8" s="324">
        <f>'2018 VN YouTube View'!T14</f>
        <v>663392460</v>
      </c>
      <c r="U8" s="324">
        <f>'2018 VN YouTube View'!U14</f>
        <v>693831478</v>
      </c>
      <c r="V8" s="324">
        <f>'2018 VN YouTube View'!V14</f>
        <v>796396532</v>
      </c>
      <c r="W8" s="324">
        <f>'2018 VN YouTube View'!W14</f>
        <v>913021074</v>
      </c>
      <c r="X8" s="324">
        <f>'2018 VN YouTube View'!X14</f>
        <v>907602165</v>
      </c>
      <c r="Y8" s="324">
        <f>'2018 VN YouTube View'!Y14</f>
        <v>810832920</v>
      </c>
      <c r="Z8" s="324">
        <f>'2018 VN YouTube View'!Z14</f>
        <v>0</v>
      </c>
      <c r="AA8" s="324">
        <f>'2018 VN YouTube View'!AA14</f>
        <v>0</v>
      </c>
      <c r="AB8" s="324">
        <f>'2018 VN YouTube View'!AB14</f>
        <v>0</v>
      </c>
      <c r="AC8" s="324">
        <f>'2018 VN YouTube View'!AC14</f>
        <v>0</v>
      </c>
      <c r="AD8" s="325">
        <f>SUM(R8:AC8)</f>
        <v>6137674044</v>
      </c>
      <c r="AF8" s="326">
        <f>R8-D8</f>
        <v>-17536759.593851209</v>
      </c>
      <c r="AG8" s="326">
        <f t="shared" si="0"/>
        <v>-10981219.023316622</v>
      </c>
      <c r="AH8" s="326">
        <f t="shared" si="0"/>
        <v>-140489257.779351</v>
      </c>
      <c r="AI8" s="326">
        <f t="shared" si="0"/>
        <v>-150245297.91511309</v>
      </c>
      <c r="AJ8" s="326">
        <f t="shared" si="0"/>
        <v>-118053514.00110424</v>
      </c>
      <c r="AK8" s="326">
        <f t="shared" si="0"/>
        <v>15586711.080079675</v>
      </c>
      <c r="AL8" s="326">
        <f t="shared" si="0"/>
        <v>-61335131.084054351</v>
      </c>
      <c r="AM8" s="326">
        <f t="shared" si="0"/>
        <v>-149059518.51546562</v>
      </c>
      <c r="AN8" s="326">
        <f t="shared" si="0"/>
        <v>-1012740822.7130661</v>
      </c>
      <c r="AO8" s="326">
        <f t="shared" si="0"/>
        <v>-1086658524.5078678</v>
      </c>
      <c r="AP8" s="326">
        <f t="shared" si="0"/>
        <v>-1037155721.386215</v>
      </c>
      <c r="AQ8" s="326">
        <f t="shared" si="0"/>
        <v>-1093656900.5606754</v>
      </c>
      <c r="AR8" s="325">
        <f>SUM(AF8:AQ8)</f>
        <v>-4862325956.000001</v>
      </c>
      <c r="AT8" s="327">
        <f t="shared" si="2"/>
        <v>0.97596980809027112</v>
      </c>
      <c r="AU8" s="327">
        <f t="shared" si="1"/>
        <v>0.98314044739449702</v>
      </c>
      <c r="AV8" s="327">
        <f t="shared" si="1"/>
        <v>0.82523640646109031</v>
      </c>
      <c r="AW8" s="327">
        <f t="shared" si="1"/>
        <v>0.82200043621360941</v>
      </c>
      <c r="AX8" s="327">
        <f t="shared" si="1"/>
        <v>0.8709021728225036</v>
      </c>
      <c r="AY8" s="327">
        <f t="shared" si="1"/>
        <v>1.0173680791867232</v>
      </c>
      <c r="AZ8" s="327">
        <f t="shared" si="1"/>
        <v>0.93669855486837039</v>
      </c>
      <c r="BA8" s="327">
        <f t="shared" si="1"/>
        <v>0.84471226927675813</v>
      </c>
      <c r="BB8" s="327">
        <f t="shared" si="1"/>
        <v>0</v>
      </c>
      <c r="BC8" s="327">
        <f t="shared" si="1"/>
        <v>0</v>
      </c>
      <c r="BD8" s="327">
        <f t="shared" si="1"/>
        <v>0</v>
      </c>
      <c r="BE8" s="327">
        <f t="shared" si="1"/>
        <v>0</v>
      </c>
      <c r="BF8" s="327">
        <f t="shared" si="1"/>
        <v>0.55797036763636365</v>
      </c>
    </row>
    <row r="9" spans="1:58">
      <c r="C9" s="319" t="s">
        <v>74</v>
      </c>
      <c r="D9" s="324">
        <f>'2018 VN YouTube View'!D18</f>
        <v>82929574.499301285</v>
      </c>
      <c r="E9" s="324">
        <f>'2018 VN YouTube View'!E18</f>
        <v>74015356.593558714</v>
      </c>
      <c r="F9" s="324">
        <f>'2018 VN YouTube View'!F18</f>
        <v>91350195.202198982</v>
      </c>
      <c r="G9" s="324">
        <f>'2018 VN YouTube View'!G18</f>
        <v>95917815.444899201</v>
      </c>
      <c r="H9" s="324">
        <f>'2018 VN YouTube View'!H18</f>
        <v>103914777.95467097</v>
      </c>
      <c r="I9" s="324">
        <f>'2018 VN YouTube View'!I18</f>
        <v>101981177.60453641</v>
      </c>
      <c r="J9" s="324">
        <f>'2018 VN YouTube View'!J18</f>
        <v>110106510.91864255</v>
      </c>
      <c r="K9" s="324">
        <f>'2018 VN YouTube View'!K18</f>
        <v>109078686.19493929</v>
      </c>
      <c r="L9" s="324">
        <f>'2018 VN YouTube View'!L18</f>
        <v>115084184.39921206</v>
      </c>
      <c r="M9" s="324">
        <f>'2018 VN YouTube View'!M18</f>
        <v>123483923.23953043</v>
      </c>
      <c r="N9" s="324">
        <f>'2018 VN YouTube View'!N18</f>
        <v>117858604.70297897</v>
      </c>
      <c r="O9" s="324">
        <f>'2018 VN YouTube View'!O18</f>
        <v>124279193.24553131</v>
      </c>
      <c r="P9" s="325">
        <f>SUM(D9:O9)</f>
        <v>1250000000</v>
      </c>
      <c r="R9" s="324">
        <f>'2018 VN YouTube View'!R18</f>
        <v>125989099</v>
      </c>
      <c r="S9" s="324">
        <f>'2018 VN YouTube View'!S18</f>
        <v>100703382</v>
      </c>
      <c r="T9" s="324">
        <f>'2018 VN YouTube View'!T18</f>
        <v>169816435</v>
      </c>
      <c r="U9" s="324">
        <f>'2018 VN YouTube View'!U18</f>
        <v>358703577</v>
      </c>
      <c r="V9" s="324">
        <f>'2018 VN YouTube View'!V18</f>
        <v>401198859</v>
      </c>
      <c r="W9" s="324">
        <f>'2018 VN YouTube View'!W18</f>
        <v>164515860</v>
      </c>
      <c r="X9" s="324">
        <f>'2018 VN YouTube View'!X18</f>
        <v>214738755</v>
      </c>
      <c r="Y9" s="324">
        <f>'2018 VN YouTube View'!Y18</f>
        <v>192008896</v>
      </c>
      <c r="Z9" s="324">
        <f>'2018 VN YouTube View'!Z18</f>
        <v>0</v>
      </c>
      <c r="AA9" s="324">
        <f>'2018 VN YouTube View'!AA18</f>
        <v>0</v>
      </c>
      <c r="AB9" s="324">
        <f>'2018 VN YouTube View'!AB18</f>
        <v>0</v>
      </c>
      <c r="AC9" s="324">
        <f>'2018 VN YouTube View'!AC18</f>
        <v>0</v>
      </c>
      <c r="AD9" s="325">
        <f>SUM(R9:AC9)</f>
        <v>1727674863</v>
      </c>
      <c r="AF9" s="326">
        <f>R9-D9</f>
        <v>43059524.500698715</v>
      </c>
      <c r="AG9" s="326">
        <f t="shared" si="0"/>
        <v>26688025.406441286</v>
      </c>
      <c r="AH9" s="326">
        <f t="shared" si="0"/>
        <v>78466239.797801018</v>
      </c>
      <c r="AI9" s="326">
        <f t="shared" si="0"/>
        <v>262785761.5551008</v>
      </c>
      <c r="AJ9" s="326">
        <f t="shared" si="0"/>
        <v>297284081.04532903</v>
      </c>
      <c r="AK9" s="326">
        <f t="shared" si="0"/>
        <v>62534682.395463586</v>
      </c>
      <c r="AL9" s="326">
        <f t="shared" si="0"/>
        <v>104632244.08135745</v>
      </c>
      <c r="AM9" s="326">
        <f t="shared" si="0"/>
        <v>82930209.805060714</v>
      </c>
      <c r="AN9" s="326">
        <f t="shared" si="0"/>
        <v>-115084184.39921206</v>
      </c>
      <c r="AO9" s="326">
        <f t="shared" si="0"/>
        <v>-123483923.23953043</v>
      </c>
      <c r="AP9" s="326">
        <f t="shared" si="0"/>
        <v>-117858604.70297897</v>
      </c>
      <c r="AQ9" s="326">
        <f t="shared" si="0"/>
        <v>-124279193.24553131</v>
      </c>
      <c r="AR9" s="325">
        <f>SUM(AF9:AQ9)</f>
        <v>477674862.99999976</v>
      </c>
      <c r="AT9" s="327">
        <f t="shared" si="2"/>
        <v>1.5192300184907075</v>
      </c>
      <c r="AU9" s="327">
        <f t="shared" si="1"/>
        <v>1.3605741650748711</v>
      </c>
      <c r="AV9" s="327">
        <f t="shared" si="1"/>
        <v>1.8589608333525727</v>
      </c>
      <c r="AW9" s="327">
        <f t="shared" si="1"/>
        <v>3.7396971077397012</v>
      </c>
      <c r="AX9" s="327">
        <f t="shared" si="1"/>
        <v>3.8608450780216108</v>
      </c>
      <c r="AY9" s="327">
        <f t="shared" si="1"/>
        <v>1.6131982770189335</v>
      </c>
      <c r="AZ9" s="327">
        <f t="shared" si="1"/>
        <v>1.9502820787652602</v>
      </c>
      <c r="BA9" s="327">
        <f t="shared" si="1"/>
        <v>1.7602787739563759</v>
      </c>
      <c r="BB9" s="327">
        <f t="shared" si="1"/>
        <v>0</v>
      </c>
      <c r="BC9" s="327">
        <f t="shared" si="1"/>
        <v>0</v>
      </c>
      <c r="BD9" s="327">
        <f t="shared" si="1"/>
        <v>0</v>
      </c>
      <c r="BE9" s="327">
        <f t="shared" si="1"/>
        <v>0</v>
      </c>
      <c r="BF9" s="327">
        <f t="shared" si="1"/>
        <v>1.3821398904</v>
      </c>
    </row>
    <row r="10" spans="1:58" s="318" customFormat="1">
      <c r="C10" s="318" t="s">
        <v>47</v>
      </c>
      <c r="D10" s="328">
        <f>SUM(D6:D9)</f>
        <v>812709830.09315252</v>
      </c>
      <c r="E10" s="328">
        <f t="shared" ref="E10:P10" si="3">SUM(E6:E9)</f>
        <v>725350494.61687529</v>
      </c>
      <c r="F10" s="328">
        <f t="shared" si="3"/>
        <v>895231912.98154998</v>
      </c>
      <c r="G10" s="328">
        <f t="shared" si="3"/>
        <v>939994591.36001229</v>
      </c>
      <c r="H10" s="328">
        <f t="shared" si="3"/>
        <v>1018364823.9557753</v>
      </c>
      <c r="I10" s="328">
        <f t="shared" si="3"/>
        <v>999415540.52445674</v>
      </c>
      <c r="J10" s="328">
        <f t="shared" si="3"/>
        <v>1079043807.002697</v>
      </c>
      <c r="K10" s="328">
        <f t="shared" si="3"/>
        <v>1068971124.7104049</v>
      </c>
      <c r="L10" s="328">
        <f t="shared" si="3"/>
        <v>1127825007.1122782</v>
      </c>
      <c r="M10" s="328">
        <f t="shared" si="3"/>
        <v>1210142447.7473981</v>
      </c>
      <c r="N10" s="328">
        <f t="shared" si="3"/>
        <v>1155014326.0891938</v>
      </c>
      <c r="O10" s="328">
        <f t="shared" si="3"/>
        <v>1217936093.8062067</v>
      </c>
      <c r="P10" s="328">
        <f t="shared" si="3"/>
        <v>12250000000</v>
      </c>
      <c r="R10" s="328">
        <f t="shared" ref="R10:AD10" si="4">SUM(R6:R9)</f>
        <v>838232595</v>
      </c>
      <c r="S10" s="328">
        <f t="shared" si="4"/>
        <v>741057301</v>
      </c>
      <c r="T10" s="328">
        <f t="shared" si="4"/>
        <v>833208895</v>
      </c>
      <c r="U10" s="328">
        <f t="shared" si="4"/>
        <v>1052535055</v>
      </c>
      <c r="V10" s="328">
        <f t="shared" si="4"/>
        <v>1197595391</v>
      </c>
      <c r="W10" s="328">
        <f t="shared" si="4"/>
        <v>1077536934</v>
      </c>
      <c r="X10" s="328">
        <f t="shared" si="4"/>
        <v>1122340920</v>
      </c>
      <c r="Y10" s="328">
        <f t="shared" si="4"/>
        <v>1002841816</v>
      </c>
      <c r="Z10" s="328">
        <f t="shared" si="4"/>
        <v>0</v>
      </c>
      <c r="AA10" s="328">
        <f t="shared" si="4"/>
        <v>0</v>
      </c>
      <c r="AB10" s="328">
        <f t="shared" si="4"/>
        <v>0</v>
      </c>
      <c r="AC10" s="328">
        <f t="shared" si="4"/>
        <v>0</v>
      </c>
      <c r="AD10" s="328">
        <f t="shared" si="4"/>
        <v>7865348907</v>
      </c>
      <c r="AE10" s="329"/>
      <c r="AF10" s="328">
        <f>SUM(AF6:AF9)</f>
        <v>25522764.906847507</v>
      </c>
      <c r="AG10" s="328">
        <f t="shared" ref="AG10:AR10" si="5">SUM(AG6:AG9)</f>
        <v>15706806.383124664</v>
      </c>
      <c r="AH10" s="328">
        <f t="shared" si="5"/>
        <v>-62023017.981549978</v>
      </c>
      <c r="AI10" s="328">
        <f t="shared" si="5"/>
        <v>112540463.63998771</v>
      </c>
      <c r="AJ10" s="328">
        <f t="shared" si="5"/>
        <v>179230567.0442248</v>
      </c>
      <c r="AK10" s="328">
        <f t="shared" si="5"/>
        <v>78121393.475543261</v>
      </c>
      <c r="AL10" s="328">
        <f t="shared" si="5"/>
        <v>43297112.997303098</v>
      </c>
      <c r="AM10" s="328">
        <f t="shared" si="5"/>
        <v>-66129308.710404903</v>
      </c>
      <c r="AN10" s="328">
        <f t="shared" si="5"/>
        <v>-1127825007.1122782</v>
      </c>
      <c r="AO10" s="328">
        <f t="shared" si="5"/>
        <v>-1210142447.7473981</v>
      </c>
      <c r="AP10" s="328">
        <f t="shared" si="5"/>
        <v>-1155014326.0891938</v>
      </c>
      <c r="AQ10" s="328">
        <f t="shared" si="5"/>
        <v>-1217936093.8062067</v>
      </c>
      <c r="AR10" s="328">
        <f t="shared" si="5"/>
        <v>-4384651093.000001</v>
      </c>
      <c r="AT10" s="327">
        <f t="shared" si="2"/>
        <v>1.0314045234372544</v>
      </c>
      <c r="AU10" s="327">
        <f t="shared" si="1"/>
        <v>1.0216540920557597</v>
      </c>
      <c r="AV10" s="327">
        <f t="shared" si="1"/>
        <v>0.93071849083777225</v>
      </c>
      <c r="AW10" s="327">
        <f t="shared" si="1"/>
        <v>1.119724586369333</v>
      </c>
      <c r="AX10" s="327">
        <f t="shared" si="1"/>
        <v>1.175998387638739</v>
      </c>
      <c r="AY10" s="327">
        <f t="shared" si="1"/>
        <v>1.0781670789655202</v>
      </c>
      <c r="AZ10" s="327">
        <f t="shared" si="1"/>
        <v>1.0401254450619304</v>
      </c>
      <c r="BA10" s="327">
        <f t="shared" si="1"/>
        <v>0.93813742281549473</v>
      </c>
      <c r="BB10" s="327">
        <f t="shared" si="1"/>
        <v>0</v>
      </c>
      <c r="BC10" s="327">
        <f t="shared" si="1"/>
        <v>0</v>
      </c>
      <c r="BD10" s="327">
        <f t="shared" si="1"/>
        <v>0</v>
      </c>
      <c r="BE10" s="327">
        <f t="shared" si="1"/>
        <v>0</v>
      </c>
      <c r="BF10" s="327">
        <f t="shared" si="1"/>
        <v>0.64206929853061223</v>
      </c>
    </row>
    <row r="11" spans="1:58">
      <c r="AD11" s="318"/>
      <c r="AR11" s="318"/>
    </row>
    <row r="12" spans="1:58">
      <c r="B12" s="319" t="s">
        <v>75</v>
      </c>
      <c r="AD12" s="318"/>
      <c r="AR12" s="318"/>
    </row>
    <row r="13" spans="1:58">
      <c r="C13" s="319" t="s">
        <v>71</v>
      </c>
      <c r="D13" s="324" t="e">
        <f>#REF!</f>
        <v>#REF!</v>
      </c>
      <c r="E13" s="324" t="e">
        <f>#REF!</f>
        <v>#REF!</v>
      </c>
      <c r="F13" s="324" t="e">
        <f>#REF!</f>
        <v>#REF!</v>
      </c>
      <c r="G13" s="324" t="e">
        <f>#REF!</f>
        <v>#REF!</v>
      </c>
      <c r="H13" s="324" t="e">
        <f>#REF!</f>
        <v>#REF!</v>
      </c>
      <c r="I13" s="324" t="e">
        <f>#REF!</f>
        <v>#REF!</v>
      </c>
      <c r="J13" s="324" t="e">
        <f>#REF!</f>
        <v>#REF!</v>
      </c>
      <c r="K13" s="324" t="e">
        <f>#REF!</f>
        <v>#REF!</v>
      </c>
      <c r="L13" s="324" t="e">
        <f>#REF!</f>
        <v>#REF!</v>
      </c>
      <c r="M13" s="324" t="e">
        <f>#REF!</f>
        <v>#REF!</v>
      </c>
      <c r="N13" s="324" t="e">
        <f>#REF!</f>
        <v>#REF!</v>
      </c>
      <c r="O13" s="324" t="e">
        <f>#REF!</f>
        <v>#REF!</v>
      </c>
      <c r="P13" s="325" t="e">
        <f t="shared" ref="P13:P15" si="6">SUM(D13:O13)</f>
        <v>#REF!</v>
      </c>
      <c r="Q13" s="326" t="e">
        <f>SUM(D13:I13)</f>
        <v>#REF!</v>
      </c>
      <c r="R13" s="324" t="e">
        <f>#REF!</f>
        <v>#REF!</v>
      </c>
      <c r="S13" s="324" t="e">
        <f>#REF!</f>
        <v>#REF!</v>
      </c>
      <c r="T13" s="324" t="e">
        <f>#REF!</f>
        <v>#REF!</v>
      </c>
      <c r="U13" s="324" t="e">
        <f>#REF!</f>
        <v>#REF!</v>
      </c>
      <c r="V13" s="324" t="e">
        <f>#REF!</f>
        <v>#REF!</v>
      </c>
      <c r="W13" s="324" t="e">
        <f>#REF!</f>
        <v>#REF!</v>
      </c>
      <c r="X13" s="324" t="e">
        <f>#REF!</f>
        <v>#REF!</v>
      </c>
      <c r="Y13" s="324" t="e">
        <f>#REF!</f>
        <v>#REF!</v>
      </c>
      <c r="Z13" s="324" t="e">
        <f>#REF!</f>
        <v>#REF!</v>
      </c>
      <c r="AA13" s="324" t="e">
        <f>#REF!</f>
        <v>#REF!</v>
      </c>
      <c r="AB13" s="324" t="e">
        <f>#REF!</f>
        <v>#REF!</v>
      </c>
      <c r="AC13" s="324" t="e">
        <f>#REF!</f>
        <v>#REF!</v>
      </c>
      <c r="AD13" s="325" t="e">
        <f t="shared" ref="AD13:AD15" si="7">SUM(R13:AC13)</f>
        <v>#REF!</v>
      </c>
      <c r="AF13" s="326" t="e">
        <f t="shared" ref="AF13:AQ16" si="8">R13-D13</f>
        <v>#REF!</v>
      </c>
      <c r="AG13" s="326" t="e">
        <f t="shared" si="8"/>
        <v>#REF!</v>
      </c>
      <c r="AH13" s="326" t="e">
        <f t="shared" si="8"/>
        <v>#REF!</v>
      </c>
      <c r="AI13" s="326" t="e">
        <f t="shared" si="8"/>
        <v>#REF!</v>
      </c>
      <c r="AJ13" s="326" t="e">
        <f t="shared" si="8"/>
        <v>#REF!</v>
      </c>
      <c r="AK13" s="326" t="e">
        <f t="shared" si="8"/>
        <v>#REF!</v>
      </c>
      <c r="AL13" s="326" t="e">
        <f t="shared" si="8"/>
        <v>#REF!</v>
      </c>
      <c r="AM13" s="326" t="e">
        <f t="shared" si="8"/>
        <v>#REF!</v>
      </c>
      <c r="AN13" s="326" t="e">
        <f t="shared" si="8"/>
        <v>#REF!</v>
      </c>
      <c r="AO13" s="326" t="e">
        <f t="shared" si="8"/>
        <v>#REF!</v>
      </c>
      <c r="AP13" s="326" t="e">
        <f t="shared" si="8"/>
        <v>#REF!</v>
      </c>
      <c r="AQ13" s="326" t="e">
        <f t="shared" si="8"/>
        <v>#REF!</v>
      </c>
      <c r="AR13" s="325" t="e">
        <f t="shared" ref="AR13:AR15" si="9">SUM(AF13:AQ13)</f>
        <v>#REF!</v>
      </c>
      <c r="AT13" s="327" t="e">
        <f>R13/D13</f>
        <v>#REF!</v>
      </c>
      <c r="AU13" s="327" t="e">
        <f t="shared" ref="AU13:BF17" si="10">S13/E13</f>
        <v>#REF!</v>
      </c>
      <c r="AV13" s="327" t="e">
        <f t="shared" si="10"/>
        <v>#REF!</v>
      </c>
      <c r="AW13" s="327" t="e">
        <f t="shared" si="10"/>
        <v>#REF!</v>
      </c>
      <c r="AX13" s="327" t="e">
        <f t="shared" si="10"/>
        <v>#REF!</v>
      </c>
      <c r="AY13" s="327" t="e">
        <f t="shared" si="10"/>
        <v>#REF!</v>
      </c>
      <c r="AZ13" s="327" t="e">
        <f t="shared" si="10"/>
        <v>#REF!</v>
      </c>
      <c r="BA13" s="327" t="e">
        <f t="shared" si="10"/>
        <v>#REF!</v>
      </c>
      <c r="BB13" s="327" t="e">
        <f t="shared" si="10"/>
        <v>#REF!</v>
      </c>
      <c r="BC13" s="327" t="e">
        <f t="shared" si="10"/>
        <v>#REF!</v>
      </c>
      <c r="BD13" s="327" t="e">
        <f t="shared" si="10"/>
        <v>#REF!</v>
      </c>
      <c r="BE13" s="327" t="e">
        <f t="shared" si="10"/>
        <v>#REF!</v>
      </c>
      <c r="BF13" s="327" t="e">
        <f t="shared" si="10"/>
        <v>#REF!</v>
      </c>
    </row>
    <row r="14" spans="1:58">
      <c r="C14" s="319" t="s">
        <v>72</v>
      </c>
      <c r="D14" s="324" t="e">
        <f>#REF!</f>
        <v>#REF!</v>
      </c>
      <c r="E14" s="324" t="e">
        <f>#REF!</f>
        <v>#REF!</v>
      </c>
      <c r="F14" s="324" t="e">
        <f>#REF!</f>
        <v>#REF!</v>
      </c>
      <c r="G14" s="324" t="e">
        <f>#REF!</f>
        <v>#REF!</v>
      </c>
      <c r="H14" s="324" t="e">
        <f>#REF!</f>
        <v>#REF!</v>
      </c>
      <c r="I14" s="324" t="e">
        <f>#REF!</f>
        <v>#REF!</v>
      </c>
      <c r="J14" s="324" t="e">
        <f>#REF!</f>
        <v>#REF!</v>
      </c>
      <c r="K14" s="324" t="e">
        <f>#REF!</f>
        <v>#REF!</v>
      </c>
      <c r="L14" s="324" t="e">
        <f>#REF!</f>
        <v>#REF!</v>
      </c>
      <c r="M14" s="324" t="e">
        <f>#REF!</f>
        <v>#REF!</v>
      </c>
      <c r="N14" s="324" t="e">
        <f>#REF!</f>
        <v>#REF!</v>
      </c>
      <c r="O14" s="324" t="e">
        <f>#REF!</f>
        <v>#REF!</v>
      </c>
      <c r="P14" s="325" t="e">
        <f t="shared" si="6"/>
        <v>#REF!</v>
      </c>
      <c r="Q14" s="326" t="e">
        <f t="shared" ref="Q14:Q15" si="11">SUM(D14:I14)</f>
        <v>#REF!</v>
      </c>
      <c r="R14" s="324" t="e">
        <f>#REF!</f>
        <v>#REF!</v>
      </c>
      <c r="S14" s="324" t="e">
        <f>#REF!</f>
        <v>#REF!</v>
      </c>
      <c r="T14" s="324" t="e">
        <f>#REF!</f>
        <v>#REF!</v>
      </c>
      <c r="U14" s="324" t="e">
        <f>#REF!</f>
        <v>#REF!</v>
      </c>
      <c r="V14" s="324" t="e">
        <f>#REF!</f>
        <v>#REF!</v>
      </c>
      <c r="W14" s="324" t="e">
        <f>#REF!</f>
        <v>#REF!</v>
      </c>
      <c r="X14" s="324" t="e">
        <f>#REF!</f>
        <v>#REF!</v>
      </c>
      <c r="Y14" s="324" t="e">
        <f>#REF!</f>
        <v>#REF!</v>
      </c>
      <c r="Z14" s="324" t="e">
        <f>#REF!</f>
        <v>#REF!</v>
      </c>
      <c r="AA14" s="324" t="e">
        <f>#REF!</f>
        <v>#REF!</v>
      </c>
      <c r="AB14" s="324" t="e">
        <f>#REF!</f>
        <v>#REF!</v>
      </c>
      <c r="AC14" s="324" t="e">
        <f>#REF!</f>
        <v>#REF!</v>
      </c>
      <c r="AD14" s="325" t="e">
        <f t="shared" si="7"/>
        <v>#REF!</v>
      </c>
      <c r="AF14" s="326" t="e">
        <f t="shared" si="8"/>
        <v>#REF!</v>
      </c>
      <c r="AG14" s="326" t="e">
        <f t="shared" si="8"/>
        <v>#REF!</v>
      </c>
      <c r="AH14" s="326" t="e">
        <f t="shared" si="8"/>
        <v>#REF!</v>
      </c>
      <c r="AI14" s="326" t="e">
        <f t="shared" si="8"/>
        <v>#REF!</v>
      </c>
      <c r="AJ14" s="326" t="e">
        <f t="shared" si="8"/>
        <v>#REF!</v>
      </c>
      <c r="AK14" s="326" t="e">
        <f t="shared" si="8"/>
        <v>#REF!</v>
      </c>
      <c r="AL14" s="326" t="e">
        <f t="shared" si="8"/>
        <v>#REF!</v>
      </c>
      <c r="AM14" s="326" t="e">
        <f t="shared" si="8"/>
        <v>#REF!</v>
      </c>
      <c r="AN14" s="326" t="e">
        <f t="shared" si="8"/>
        <v>#REF!</v>
      </c>
      <c r="AO14" s="326" t="e">
        <f t="shared" si="8"/>
        <v>#REF!</v>
      </c>
      <c r="AP14" s="326" t="e">
        <f t="shared" si="8"/>
        <v>#REF!</v>
      </c>
      <c r="AQ14" s="326" t="e">
        <f t="shared" si="8"/>
        <v>#REF!</v>
      </c>
      <c r="AR14" s="325" t="e">
        <f t="shared" si="9"/>
        <v>#REF!</v>
      </c>
      <c r="AT14" s="327" t="e">
        <f t="shared" ref="AT14:AT17" si="12">R14/D14</f>
        <v>#REF!</v>
      </c>
      <c r="AU14" s="327" t="e">
        <f t="shared" si="10"/>
        <v>#REF!</v>
      </c>
      <c r="AV14" s="327" t="e">
        <f t="shared" si="10"/>
        <v>#REF!</v>
      </c>
      <c r="AW14" s="327" t="e">
        <f t="shared" si="10"/>
        <v>#REF!</v>
      </c>
      <c r="AX14" s="327" t="e">
        <f t="shared" si="10"/>
        <v>#REF!</v>
      </c>
      <c r="AY14" s="327" t="e">
        <f t="shared" si="10"/>
        <v>#REF!</v>
      </c>
      <c r="AZ14" s="327" t="e">
        <f t="shared" si="10"/>
        <v>#REF!</v>
      </c>
      <c r="BA14" s="327" t="e">
        <f t="shared" si="10"/>
        <v>#REF!</v>
      </c>
      <c r="BB14" s="327" t="e">
        <f t="shared" si="10"/>
        <v>#REF!</v>
      </c>
      <c r="BC14" s="327" t="e">
        <f t="shared" si="10"/>
        <v>#REF!</v>
      </c>
      <c r="BD14" s="327" t="e">
        <f t="shared" si="10"/>
        <v>#REF!</v>
      </c>
      <c r="BE14" s="327" t="e">
        <f t="shared" si="10"/>
        <v>#REF!</v>
      </c>
      <c r="BF14" s="327" t="e">
        <f t="shared" si="10"/>
        <v>#REF!</v>
      </c>
    </row>
    <row r="15" spans="1:58">
      <c r="C15" s="319" t="s">
        <v>74</v>
      </c>
      <c r="D15" s="324" t="e">
        <f>#REF!</f>
        <v>#REF!</v>
      </c>
      <c r="E15" s="324" t="e">
        <f>#REF!</f>
        <v>#REF!</v>
      </c>
      <c r="F15" s="324" t="e">
        <f>#REF!</f>
        <v>#REF!</v>
      </c>
      <c r="G15" s="324" t="e">
        <f>#REF!</f>
        <v>#REF!</v>
      </c>
      <c r="H15" s="324" t="e">
        <f>#REF!</f>
        <v>#REF!</v>
      </c>
      <c r="I15" s="324" t="e">
        <f>#REF!</f>
        <v>#REF!</v>
      </c>
      <c r="J15" s="324" t="e">
        <f>#REF!</f>
        <v>#REF!</v>
      </c>
      <c r="K15" s="324" t="e">
        <f>#REF!</f>
        <v>#REF!</v>
      </c>
      <c r="L15" s="324" t="e">
        <f>#REF!</f>
        <v>#REF!</v>
      </c>
      <c r="M15" s="324" t="e">
        <f>#REF!</f>
        <v>#REF!</v>
      </c>
      <c r="N15" s="324" t="e">
        <f>#REF!</f>
        <v>#REF!</v>
      </c>
      <c r="O15" s="324" t="e">
        <f>#REF!</f>
        <v>#REF!</v>
      </c>
      <c r="P15" s="325" t="e">
        <f t="shared" si="6"/>
        <v>#REF!</v>
      </c>
      <c r="Q15" s="326" t="e">
        <f t="shared" si="11"/>
        <v>#REF!</v>
      </c>
      <c r="R15" s="324" t="e">
        <f>#REF!</f>
        <v>#REF!</v>
      </c>
      <c r="S15" s="324" t="e">
        <f>#REF!</f>
        <v>#REF!</v>
      </c>
      <c r="T15" s="324" t="e">
        <f>#REF!</f>
        <v>#REF!</v>
      </c>
      <c r="U15" s="324" t="e">
        <f>#REF!</f>
        <v>#REF!</v>
      </c>
      <c r="V15" s="324" t="e">
        <f>#REF!</f>
        <v>#REF!</v>
      </c>
      <c r="W15" s="324" t="e">
        <f>#REF!</f>
        <v>#REF!</v>
      </c>
      <c r="X15" s="324" t="e">
        <f>#REF!</f>
        <v>#REF!</v>
      </c>
      <c r="Y15" s="324" t="e">
        <f>#REF!</f>
        <v>#REF!</v>
      </c>
      <c r="Z15" s="324" t="e">
        <f>#REF!</f>
        <v>#REF!</v>
      </c>
      <c r="AA15" s="324" t="e">
        <f>#REF!</f>
        <v>#REF!</v>
      </c>
      <c r="AB15" s="324" t="e">
        <f>#REF!</f>
        <v>#REF!</v>
      </c>
      <c r="AC15" s="324" t="e">
        <f>#REF!</f>
        <v>#REF!</v>
      </c>
      <c r="AD15" s="325" t="e">
        <f t="shared" si="7"/>
        <v>#REF!</v>
      </c>
      <c r="AF15" s="326" t="e">
        <f t="shared" si="8"/>
        <v>#REF!</v>
      </c>
      <c r="AG15" s="326" t="e">
        <f t="shared" si="8"/>
        <v>#REF!</v>
      </c>
      <c r="AH15" s="326" t="e">
        <f t="shared" si="8"/>
        <v>#REF!</v>
      </c>
      <c r="AI15" s="326" t="e">
        <f t="shared" si="8"/>
        <v>#REF!</v>
      </c>
      <c r="AJ15" s="326" t="e">
        <f t="shared" si="8"/>
        <v>#REF!</v>
      </c>
      <c r="AK15" s="326" t="e">
        <f t="shared" si="8"/>
        <v>#REF!</v>
      </c>
      <c r="AL15" s="326" t="e">
        <f t="shared" si="8"/>
        <v>#REF!</v>
      </c>
      <c r="AM15" s="326" t="e">
        <f t="shared" si="8"/>
        <v>#REF!</v>
      </c>
      <c r="AN15" s="326" t="e">
        <f t="shared" si="8"/>
        <v>#REF!</v>
      </c>
      <c r="AO15" s="326" t="e">
        <f t="shared" si="8"/>
        <v>#REF!</v>
      </c>
      <c r="AP15" s="326" t="e">
        <f t="shared" si="8"/>
        <v>#REF!</v>
      </c>
      <c r="AQ15" s="326" t="e">
        <f t="shared" si="8"/>
        <v>#REF!</v>
      </c>
      <c r="AR15" s="325" t="e">
        <f t="shared" si="9"/>
        <v>#REF!</v>
      </c>
      <c r="AT15" s="327" t="e">
        <f t="shared" si="12"/>
        <v>#REF!</v>
      </c>
      <c r="AU15" s="327" t="e">
        <f t="shared" si="10"/>
        <v>#REF!</v>
      </c>
      <c r="AV15" s="327" t="e">
        <f t="shared" si="10"/>
        <v>#REF!</v>
      </c>
      <c r="AW15" s="327" t="e">
        <f t="shared" si="10"/>
        <v>#REF!</v>
      </c>
      <c r="AX15" s="327" t="e">
        <f t="shared" si="10"/>
        <v>#REF!</v>
      </c>
      <c r="AY15" s="327" t="e">
        <f t="shared" si="10"/>
        <v>#REF!</v>
      </c>
      <c r="AZ15" s="327" t="e">
        <f t="shared" si="10"/>
        <v>#REF!</v>
      </c>
      <c r="BA15" s="327" t="e">
        <f t="shared" si="10"/>
        <v>#REF!</v>
      </c>
      <c r="BB15" s="327" t="e">
        <f t="shared" si="10"/>
        <v>#REF!</v>
      </c>
      <c r="BC15" s="327" t="e">
        <f t="shared" si="10"/>
        <v>#REF!</v>
      </c>
      <c r="BD15" s="327" t="e">
        <f t="shared" si="10"/>
        <v>#REF!</v>
      </c>
      <c r="BE15" s="327" t="e">
        <f t="shared" si="10"/>
        <v>#REF!</v>
      </c>
      <c r="BF15" s="327" t="e">
        <f t="shared" si="10"/>
        <v>#REF!</v>
      </c>
    </row>
    <row r="16" spans="1:58">
      <c r="C16" s="319" t="s">
        <v>63</v>
      </c>
      <c r="D16" s="324" t="e">
        <f>#REF!</f>
        <v>#REF!</v>
      </c>
      <c r="E16" s="324" t="e">
        <f>#REF!</f>
        <v>#REF!</v>
      </c>
      <c r="F16" s="324" t="e">
        <f>#REF!</f>
        <v>#REF!</v>
      </c>
      <c r="G16" s="324" t="e">
        <f>#REF!</f>
        <v>#REF!</v>
      </c>
      <c r="H16" s="324" t="e">
        <f>#REF!</f>
        <v>#REF!</v>
      </c>
      <c r="I16" s="324" t="e">
        <f>#REF!</f>
        <v>#REF!</v>
      </c>
      <c r="J16" s="324" t="e">
        <f>#REF!</f>
        <v>#REF!</v>
      </c>
      <c r="K16" s="324" t="e">
        <f>#REF!</f>
        <v>#REF!</v>
      </c>
      <c r="L16" s="324" t="e">
        <f>#REF!</f>
        <v>#REF!</v>
      </c>
      <c r="M16" s="324" t="e">
        <f>#REF!</f>
        <v>#REF!</v>
      </c>
      <c r="N16" s="324" t="e">
        <f>#REF!</f>
        <v>#REF!</v>
      </c>
      <c r="O16" s="324" t="e">
        <f>#REF!</f>
        <v>#REF!</v>
      </c>
      <c r="P16" s="325"/>
      <c r="Q16" s="326"/>
      <c r="R16" s="324" t="e">
        <f>#REF!</f>
        <v>#REF!</v>
      </c>
      <c r="S16" s="324" t="e">
        <f>#REF!</f>
        <v>#REF!</v>
      </c>
      <c r="T16" s="324" t="e">
        <f>#REF!</f>
        <v>#REF!</v>
      </c>
      <c r="U16" s="324" t="e">
        <f>#REF!</f>
        <v>#REF!</v>
      </c>
      <c r="V16" s="324" t="e">
        <f>#REF!</f>
        <v>#REF!</v>
      </c>
      <c r="W16" s="324" t="e">
        <f>#REF!</f>
        <v>#REF!</v>
      </c>
      <c r="X16" s="324" t="e">
        <f>#REF!</f>
        <v>#REF!</v>
      </c>
      <c r="Y16" s="324" t="e">
        <f>#REF!</f>
        <v>#REF!</v>
      </c>
      <c r="Z16" s="324" t="e">
        <f>#REF!</f>
        <v>#REF!</v>
      </c>
      <c r="AA16" s="324" t="e">
        <f>#REF!</f>
        <v>#REF!</v>
      </c>
      <c r="AB16" s="324" t="e">
        <f>#REF!</f>
        <v>#REF!</v>
      </c>
      <c r="AC16" s="324" t="e">
        <f>#REF!</f>
        <v>#REF!</v>
      </c>
      <c r="AD16" s="325" t="e">
        <f>SUM(R16:AC16)</f>
        <v>#REF!</v>
      </c>
      <c r="AF16" s="326" t="e">
        <f>R16-D16</f>
        <v>#REF!</v>
      </c>
      <c r="AG16" s="326" t="e">
        <f t="shared" si="8"/>
        <v>#REF!</v>
      </c>
      <c r="AH16" s="326" t="e">
        <f t="shared" si="8"/>
        <v>#REF!</v>
      </c>
      <c r="AI16" s="326" t="e">
        <f t="shared" si="8"/>
        <v>#REF!</v>
      </c>
      <c r="AJ16" s="326" t="e">
        <f t="shared" si="8"/>
        <v>#REF!</v>
      </c>
      <c r="AK16" s="326" t="e">
        <f t="shared" si="8"/>
        <v>#REF!</v>
      </c>
      <c r="AL16" s="326" t="e">
        <f t="shared" si="8"/>
        <v>#REF!</v>
      </c>
      <c r="AM16" s="326" t="e">
        <f t="shared" si="8"/>
        <v>#REF!</v>
      </c>
      <c r="AN16" s="326" t="e">
        <f t="shared" si="8"/>
        <v>#REF!</v>
      </c>
      <c r="AO16" s="326" t="e">
        <f t="shared" si="8"/>
        <v>#REF!</v>
      </c>
      <c r="AP16" s="326" t="e">
        <f t="shared" si="8"/>
        <v>#REF!</v>
      </c>
      <c r="AQ16" s="326" t="e">
        <f t="shared" si="8"/>
        <v>#REF!</v>
      </c>
      <c r="AR16" s="325" t="e">
        <f>SUM(AF16:AQ16)</f>
        <v>#REF!</v>
      </c>
      <c r="AT16" s="327" t="e">
        <f t="shared" si="12"/>
        <v>#REF!</v>
      </c>
      <c r="AU16" s="327" t="e">
        <f t="shared" si="10"/>
        <v>#REF!</v>
      </c>
      <c r="AV16" s="327" t="e">
        <f t="shared" si="10"/>
        <v>#REF!</v>
      </c>
      <c r="AW16" s="327" t="e">
        <f t="shared" si="10"/>
        <v>#REF!</v>
      </c>
      <c r="AX16" s="327" t="e">
        <f t="shared" si="10"/>
        <v>#REF!</v>
      </c>
      <c r="AY16" s="327" t="e">
        <f t="shared" si="10"/>
        <v>#REF!</v>
      </c>
      <c r="AZ16" s="327" t="e">
        <f t="shared" si="10"/>
        <v>#REF!</v>
      </c>
      <c r="BA16" s="327" t="e">
        <f t="shared" si="10"/>
        <v>#REF!</v>
      </c>
      <c r="BB16" s="327" t="e">
        <f t="shared" si="10"/>
        <v>#REF!</v>
      </c>
      <c r="BC16" s="327" t="e">
        <f t="shared" si="10"/>
        <v>#REF!</v>
      </c>
      <c r="BD16" s="327" t="e">
        <f t="shared" si="10"/>
        <v>#REF!</v>
      </c>
      <c r="BE16" s="327" t="e">
        <f t="shared" si="10"/>
        <v>#REF!</v>
      </c>
      <c r="BF16" s="327" t="e">
        <f t="shared" si="10"/>
        <v>#REF!</v>
      </c>
    </row>
    <row r="17" spans="1:58" s="318" customFormat="1">
      <c r="C17" s="318" t="s">
        <v>47</v>
      </c>
      <c r="D17" s="328" t="e">
        <f>SUM(D13:D16)</f>
        <v>#REF!</v>
      </c>
      <c r="E17" s="328" t="e">
        <f t="shared" ref="E17:P17" si="13">SUM(E13:E16)</f>
        <v>#REF!</v>
      </c>
      <c r="F17" s="328" t="e">
        <f t="shared" si="13"/>
        <v>#REF!</v>
      </c>
      <c r="G17" s="328" t="e">
        <f t="shared" si="13"/>
        <v>#REF!</v>
      </c>
      <c r="H17" s="328" t="e">
        <f t="shared" si="13"/>
        <v>#REF!</v>
      </c>
      <c r="I17" s="328" t="e">
        <f t="shared" si="13"/>
        <v>#REF!</v>
      </c>
      <c r="J17" s="328" t="e">
        <f t="shared" si="13"/>
        <v>#REF!</v>
      </c>
      <c r="K17" s="328" t="e">
        <f t="shared" si="13"/>
        <v>#REF!</v>
      </c>
      <c r="L17" s="328" t="e">
        <f t="shared" si="13"/>
        <v>#REF!</v>
      </c>
      <c r="M17" s="328" t="e">
        <f t="shared" si="13"/>
        <v>#REF!</v>
      </c>
      <c r="N17" s="328" t="e">
        <f t="shared" si="13"/>
        <v>#REF!</v>
      </c>
      <c r="O17" s="328" t="e">
        <f t="shared" si="13"/>
        <v>#REF!</v>
      </c>
      <c r="P17" s="328" t="e">
        <f t="shared" si="13"/>
        <v>#REF!</v>
      </c>
      <c r="R17" s="328" t="e">
        <f t="shared" ref="R17:AD17" si="14">SUM(R13:R16)</f>
        <v>#REF!</v>
      </c>
      <c r="S17" s="328" t="e">
        <f t="shared" si="14"/>
        <v>#REF!</v>
      </c>
      <c r="T17" s="328" t="e">
        <f t="shared" si="14"/>
        <v>#REF!</v>
      </c>
      <c r="U17" s="328" t="e">
        <f t="shared" si="14"/>
        <v>#REF!</v>
      </c>
      <c r="V17" s="328" t="e">
        <f t="shared" si="14"/>
        <v>#REF!</v>
      </c>
      <c r="W17" s="328" t="e">
        <f t="shared" si="14"/>
        <v>#REF!</v>
      </c>
      <c r="X17" s="328" t="e">
        <f t="shared" si="14"/>
        <v>#REF!</v>
      </c>
      <c r="Y17" s="328" t="e">
        <f t="shared" si="14"/>
        <v>#REF!</v>
      </c>
      <c r="Z17" s="328" t="e">
        <f t="shared" si="14"/>
        <v>#REF!</v>
      </c>
      <c r="AA17" s="328" t="e">
        <f t="shared" si="14"/>
        <v>#REF!</v>
      </c>
      <c r="AB17" s="328" t="e">
        <f t="shared" si="14"/>
        <v>#REF!</v>
      </c>
      <c r="AC17" s="328" t="e">
        <f t="shared" si="14"/>
        <v>#REF!</v>
      </c>
      <c r="AD17" s="328" t="e">
        <f t="shared" si="14"/>
        <v>#REF!</v>
      </c>
      <c r="AE17" s="330"/>
      <c r="AF17" s="328" t="e">
        <f>SUM(AF13:AF16)</f>
        <v>#REF!</v>
      </c>
      <c r="AG17" s="328" t="e">
        <f t="shared" ref="AG17:AR17" si="15">SUM(AG13:AG16)</f>
        <v>#REF!</v>
      </c>
      <c r="AH17" s="328" t="e">
        <f t="shared" si="15"/>
        <v>#REF!</v>
      </c>
      <c r="AI17" s="328" t="e">
        <f t="shared" si="15"/>
        <v>#REF!</v>
      </c>
      <c r="AJ17" s="328" t="e">
        <f t="shared" si="15"/>
        <v>#REF!</v>
      </c>
      <c r="AK17" s="328" t="e">
        <f t="shared" si="15"/>
        <v>#REF!</v>
      </c>
      <c r="AL17" s="328" t="e">
        <f t="shared" si="15"/>
        <v>#REF!</v>
      </c>
      <c r="AM17" s="328" t="e">
        <f t="shared" si="15"/>
        <v>#REF!</v>
      </c>
      <c r="AN17" s="328" t="e">
        <f t="shared" si="15"/>
        <v>#REF!</v>
      </c>
      <c r="AO17" s="328" t="e">
        <f t="shared" si="15"/>
        <v>#REF!</v>
      </c>
      <c r="AP17" s="328" t="e">
        <f t="shared" si="15"/>
        <v>#REF!</v>
      </c>
      <c r="AQ17" s="328" t="e">
        <f t="shared" si="15"/>
        <v>#REF!</v>
      </c>
      <c r="AR17" s="328" t="e">
        <f t="shared" si="15"/>
        <v>#REF!</v>
      </c>
      <c r="AT17" s="327" t="e">
        <f t="shared" si="12"/>
        <v>#REF!</v>
      </c>
      <c r="AU17" s="327" t="e">
        <f t="shared" si="10"/>
        <v>#REF!</v>
      </c>
      <c r="AV17" s="327" t="e">
        <f t="shared" si="10"/>
        <v>#REF!</v>
      </c>
      <c r="AW17" s="327" t="e">
        <f t="shared" si="10"/>
        <v>#REF!</v>
      </c>
      <c r="AX17" s="327" t="e">
        <f t="shared" si="10"/>
        <v>#REF!</v>
      </c>
      <c r="AY17" s="327" t="e">
        <f t="shared" si="10"/>
        <v>#REF!</v>
      </c>
      <c r="AZ17" s="327" t="e">
        <f t="shared" si="10"/>
        <v>#REF!</v>
      </c>
      <c r="BA17" s="327" t="e">
        <f t="shared" si="10"/>
        <v>#REF!</v>
      </c>
      <c r="BB17" s="327" t="e">
        <f t="shared" si="10"/>
        <v>#REF!</v>
      </c>
      <c r="BC17" s="327" t="e">
        <f t="shared" si="10"/>
        <v>#REF!</v>
      </c>
      <c r="BD17" s="327" t="e">
        <f t="shared" si="10"/>
        <v>#REF!</v>
      </c>
      <c r="BE17" s="327" t="e">
        <f t="shared" si="10"/>
        <v>#REF!</v>
      </c>
      <c r="BF17" s="327" t="e">
        <f t="shared" si="10"/>
        <v>#REF!</v>
      </c>
    </row>
    <row r="18" spans="1:58">
      <c r="AD18" s="318"/>
      <c r="AR18" s="318"/>
    </row>
    <row r="19" spans="1:58">
      <c r="B19" s="319" t="s">
        <v>76</v>
      </c>
      <c r="AD19" s="318"/>
      <c r="AR19" s="318"/>
    </row>
    <row r="20" spans="1:58">
      <c r="C20" s="319" t="s">
        <v>71</v>
      </c>
      <c r="D20" s="326" t="e">
        <f>D6+D13</f>
        <v>#REF!</v>
      </c>
      <c r="E20" s="326" t="e">
        <f t="shared" ref="E20:O21" si="16">E6+E13</f>
        <v>#REF!</v>
      </c>
      <c r="F20" s="326" t="e">
        <f t="shared" si="16"/>
        <v>#REF!</v>
      </c>
      <c r="G20" s="326" t="e">
        <f t="shared" si="16"/>
        <v>#REF!</v>
      </c>
      <c r="H20" s="326" t="e">
        <f t="shared" si="16"/>
        <v>#REF!</v>
      </c>
      <c r="I20" s="326" t="e">
        <f t="shared" si="16"/>
        <v>#REF!</v>
      </c>
      <c r="J20" s="326" t="e">
        <f t="shared" si="16"/>
        <v>#REF!</v>
      </c>
      <c r="K20" s="326" t="e">
        <f t="shared" si="16"/>
        <v>#REF!</v>
      </c>
      <c r="L20" s="326" t="e">
        <f t="shared" si="16"/>
        <v>#REF!</v>
      </c>
      <c r="M20" s="326" t="e">
        <f t="shared" si="16"/>
        <v>#REF!</v>
      </c>
      <c r="N20" s="326" t="e">
        <f t="shared" si="16"/>
        <v>#REF!</v>
      </c>
      <c r="O20" s="326" t="e">
        <f t="shared" si="16"/>
        <v>#REF!</v>
      </c>
      <c r="P20" s="325" t="e">
        <f t="shared" ref="P20:P24" si="17">SUM(D20:O20)</f>
        <v>#REF!</v>
      </c>
      <c r="R20" s="326" t="e">
        <f t="shared" ref="R20:AC21" si="18">R6+R13</f>
        <v>#REF!</v>
      </c>
      <c r="S20" s="326" t="e">
        <f t="shared" si="18"/>
        <v>#REF!</v>
      </c>
      <c r="T20" s="326" t="e">
        <f t="shared" si="18"/>
        <v>#REF!</v>
      </c>
      <c r="U20" s="326" t="e">
        <f t="shared" si="18"/>
        <v>#REF!</v>
      </c>
      <c r="V20" s="326" t="e">
        <f t="shared" si="18"/>
        <v>#REF!</v>
      </c>
      <c r="W20" s="326" t="e">
        <f t="shared" si="18"/>
        <v>#REF!</v>
      </c>
      <c r="X20" s="326" t="e">
        <f t="shared" si="18"/>
        <v>#REF!</v>
      </c>
      <c r="Y20" s="326" t="e">
        <f t="shared" si="18"/>
        <v>#REF!</v>
      </c>
      <c r="Z20" s="326" t="e">
        <f t="shared" si="18"/>
        <v>#REF!</v>
      </c>
      <c r="AA20" s="326" t="e">
        <f t="shared" si="18"/>
        <v>#REF!</v>
      </c>
      <c r="AB20" s="326" t="e">
        <f t="shared" si="18"/>
        <v>#REF!</v>
      </c>
      <c r="AC20" s="326" t="e">
        <f t="shared" si="18"/>
        <v>#REF!</v>
      </c>
      <c r="AD20" s="325" t="e">
        <f t="shared" ref="AD20:AD22" si="19">SUM(R20:AC20)</f>
        <v>#REF!</v>
      </c>
      <c r="AF20" s="326" t="e">
        <f t="shared" ref="AF20:AQ24" si="20">R20-D20</f>
        <v>#REF!</v>
      </c>
      <c r="AG20" s="326" t="e">
        <f t="shared" si="20"/>
        <v>#REF!</v>
      </c>
      <c r="AH20" s="326" t="e">
        <f t="shared" si="20"/>
        <v>#REF!</v>
      </c>
      <c r="AI20" s="326" t="e">
        <f t="shared" si="20"/>
        <v>#REF!</v>
      </c>
      <c r="AJ20" s="326" t="e">
        <f t="shared" si="20"/>
        <v>#REF!</v>
      </c>
      <c r="AK20" s="326" t="e">
        <f t="shared" si="20"/>
        <v>#REF!</v>
      </c>
      <c r="AL20" s="326" t="e">
        <f t="shared" si="20"/>
        <v>#REF!</v>
      </c>
      <c r="AM20" s="326" t="e">
        <f t="shared" si="20"/>
        <v>#REF!</v>
      </c>
      <c r="AN20" s="326" t="e">
        <f t="shared" si="20"/>
        <v>#REF!</v>
      </c>
      <c r="AO20" s="326" t="e">
        <f t="shared" si="20"/>
        <v>#REF!</v>
      </c>
      <c r="AP20" s="326" t="e">
        <f t="shared" si="20"/>
        <v>#REF!</v>
      </c>
      <c r="AQ20" s="326" t="e">
        <f t="shared" si="20"/>
        <v>#REF!</v>
      </c>
      <c r="AR20" s="325" t="e">
        <f t="shared" ref="AR20:AR24" si="21">SUM(AF20:AQ20)</f>
        <v>#REF!</v>
      </c>
      <c r="AT20" s="327" t="e">
        <f>R20/D20</f>
        <v>#REF!</v>
      </c>
      <c r="AU20" s="327" t="e">
        <f t="shared" ref="AU20:BF25" si="22">S20/E20</f>
        <v>#REF!</v>
      </c>
      <c r="AV20" s="327" t="e">
        <f t="shared" si="22"/>
        <v>#REF!</v>
      </c>
      <c r="AW20" s="327" t="e">
        <f t="shared" si="22"/>
        <v>#REF!</v>
      </c>
      <c r="AX20" s="327" t="e">
        <f t="shared" si="22"/>
        <v>#REF!</v>
      </c>
      <c r="AY20" s="327" t="e">
        <f t="shared" si="22"/>
        <v>#REF!</v>
      </c>
      <c r="AZ20" s="327" t="e">
        <f t="shared" si="22"/>
        <v>#REF!</v>
      </c>
      <c r="BA20" s="327" t="e">
        <f t="shared" si="22"/>
        <v>#REF!</v>
      </c>
      <c r="BB20" s="327" t="e">
        <f t="shared" si="22"/>
        <v>#REF!</v>
      </c>
      <c r="BC20" s="327" t="e">
        <f t="shared" si="22"/>
        <v>#REF!</v>
      </c>
      <c r="BD20" s="327" t="e">
        <f t="shared" si="22"/>
        <v>#REF!</v>
      </c>
      <c r="BE20" s="327" t="e">
        <f t="shared" si="22"/>
        <v>#REF!</v>
      </c>
      <c r="BF20" s="327" t="e">
        <f t="shared" si="22"/>
        <v>#REF!</v>
      </c>
    </row>
    <row r="21" spans="1:58">
      <c r="C21" s="319" t="s">
        <v>72</v>
      </c>
      <c r="D21" s="326" t="e">
        <f>D7+D14</f>
        <v>#REF!</v>
      </c>
      <c r="E21" s="326" t="e">
        <f t="shared" si="16"/>
        <v>#REF!</v>
      </c>
      <c r="F21" s="326" t="e">
        <f t="shared" si="16"/>
        <v>#REF!</v>
      </c>
      <c r="G21" s="326" t="e">
        <f t="shared" si="16"/>
        <v>#REF!</v>
      </c>
      <c r="H21" s="326" t="e">
        <f t="shared" si="16"/>
        <v>#REF!</v>
      </c>
      <c r="I21" s="326" t="e">
        <f t="shared" si="16"/>
        <v>#REF!</v>
      </c>
      <c r="J21" s="326" t="e">
        <f t="shared" si="16"/>
        <v>#REF!</v>
      </c>
      <c r="K21" s="326" t="e">
        <f t="shared" si="16"/>
        <v>#REF!</v>
      </c>
      <c r="L21" s="326" t="e">
        <f t="shared" si="16"/>
        <v>#REF!</v>
      </c>
      <c r="M21" s="326" t="e">
        <f t="shared" si="16"/>
        <v>#REF!</v>
      </c>
      <c r="N21" s="326" t="e">
        <f t="shared" si="16"/>
        <v>#REF!</v>
      </c>
      <c r="O21" s="326" t="e">
        <f t="shared" si="16"/>
        <v>#REF!</v>
      </c>
      <c r="P21" s="325" t="e">
        <f t="shared" si="17"/>
        <v>#REF!</v>
      </c>
      <c r="R21" s="326" t="e">
        <f t="shared" si="18"/>
        <v>#REF!</v>
      </c>
      <c r="S21" s="326" t="e">
        <f t="shared" si="18"/>
        <v>#REF!</v>
      </c>
      <c r="T21" s="326" t="e">
        <f t="shared" si="18"/>
        <v>#REF!</v>
      </c>
      <c r="U21" s="326" t="e">
        <f t="shared" si="18"/>
        <v>#REF!</v>
      </c>
      <c r="V21" s="326" t="e">
        <f t="shared" si="18"/>
        <v>#REF!</v>
      </c>
      <c r="W21" s="326" t="e">
        <f t="shared" si="18"/>
        <v>#REF!</v>
      </c>
      <c r="X21" s="326" t="e">
        <f t="shared" si="18"/>
        <v>#REF!</v>
      </c>
      <c r="Y21" s="326" t="e">
        <f t="shared" si="18"/>
        <v>#REF!</v>
      </c>
      <c r="Z21" s="326" t="e">
        <f t="shared" si="18"/>
        <v>#REF!</v>
      </c>
      <c r="AA21" s="326" t="e">
        <f t="shared" si="18"/>
        <v>#REF!</v>
      </c>
      <c r="AB21" s="326" t="e">
        <f t="shared" si="18"/>
        <v>#REF!</v>
      </c>
      <c r="AC21" s="326" t="e">
        <f t="shared" si="18"/>
        <v>#REF!</v>
      </c>
      <c r="AD21" s="325" t="e">
        <f t="shared" si="19"/>
        <v>#REF!</v>
      </c>
      <c r="AF21" s="326" t="e">
        <f t="shared" si="20"/>
        <v>#REF!</v>
      </c>
      <c r="AG21" s="326" t="e">
        <f t="shared" si="20"/>
        <v>#REF!</v>
      </c>
      <c r="AH21" s="326" t="e">
        <f t="shared" si="20"/>
        <v>#REF!</v>
      </c>
      <c r="AI21" s="326" t="e">
        <f t="shared" si="20"/>
        <v>#REF!</v>
      </c>
      <c r="AJ21" s="326" t="e">
        <f t="shared" si="20"/>
        <v>#REF!</v>
      </c>
      <c r="AK21" s="326" t="e">
        <f t="shared" si="20"/>
        <v>#REF!</v>
      </c>
      <c r="AL21" s="326" t="e">
        <f t="shared" si="20"/>
        <v>#REF!</v>
      </c>
      <c r="AM21" s="326" t="e">
        <f t="shared" si="20"/>
        <v>#REF!</v>
      </c>
      <c r="AN21" s="326" t="e">
        <f t="shared" si="20"/>
        <v>#REF!</v>
      </c>
      <c r="AO21" s="326" t="e">
        <f t="shared" si="20"/>
        <v>#REF!</v>
      </c>
      <c r="AP21" s="326" t="e">
        <f t="shared" si="20"/>
        <v>#REF!</v>
      </c>
      <c r="AQ21" s="326" t="e">
        <f t="shared" si="20"/>
        <v>#REF!</v>
      </c>
      <c r="AR21" s="325" t="e">
        <f t="shared" si="21"/>
        <v>#REF!</v>
      </c>
      <c r="AT21" s="327" t="e">
        <f t="shared" ref="AT21:AT25" si="23">R21/D21</f>
        <v>#REF!</v>
      </c>
      <c r="AU21" s="327" t="e">
        <f t="shared" si="22"/>
        <v>#REF!</v>
      </c>
      <c r="AV21" s="327" t="e">
        <f t="shared" si="22"/>
        <v>#REF!</v>
      </c>
      <c r="AW21" s="327" t="e">
        <f t="shared" si="22"/>
        <v>#REF!</v>
      </c>
      <c r="AX21" s="327" t="e">
        <f t="shared" si="22"/>
        <v>#REF!</v>
      </c>
      <c r="AY21" s="327" t="e">
        <f t="shared" si="22"/>
        <v>#REF!</v>
      </c>
      <c r="AZ21" s="327" t="e">
        <f t="shared" si="22"/>
        <v>#REF!</v>
      </c>
      <c r="BA21" s="327" t="e">
        <f t="shared" si="22"/>
        <v>#REF!</v>
      </c>
      <c r="BB21" s="327" t="e">
        <f t="shared" si="22"/>
        <v>#REF!</v>
      </c>
      <c r="BC21" s="327" t="e">
        <f t="shared" si="22"/>
        <v>#REF!</v>
      </c>
      <c r="BD21" s="327" t="e">
        <f t="shared" si="22"/>
        <v>#REF!</v>
      </c>
      <c r="BE21" s="327" t="e">
        <f t="shared" si="22"/>
        <v>#REF!</v>
      </c>
      <c r="BF21" s="327" t="e">
        <f t="shared" si="22"/>
        <v>#REF!</v>
      </c>
    </row>
    <row r="22" spans="1:58">
      <c r="C22" s="319" t="s">
        <v>73</v>
      </c>
      <c r="D22" s="326">
        <f>D8</f>
        <v>729780255.59385121</v>
      </c>
      <c r="E22" s="326">
        <f t="shared" ref="E22:O22" si="24">E8</f>
        <v>651335138.02331662</v>
      </c>
      <c r="F22" s="326">
        <f t="shared" si="24"/>
        <v>803881717.779351</v>
      </c>
      <c r="G22" s="326">
        <f t="shared" si="24"/>
        <v>844076775.91511309</v>
      </c>
      <c r="H22" s="326">
        <f t="shared" si="24"/>
        <v>914450046.00110424</v>
      </c>
      <c r="I22" s="326">
        <f t="shared" si="24"/>
        <v>897434362.91992033</v>
      </c>
      <c r="J22" s="326">
        <f t="shared" si="24"/>
        <v>968937296.08405435</v>
      </c>
      <c r="K22" s="326">
        <f t="shared" si="24"/>
        <v>959892438.51546562</v>
      </c>
      <c r="L22" s="326">
        <f t="shared" si="24"/>
        <v>1012740822.7130661</v>
      </c>
      <c r="M22" s="326">
        <f t="shared" si="24"/>
        <v>1086658524.5078678</v>
      </c>
      <c r="N22" s="326">
        <f t="shared" si="24"/>
        <v>1037155721.386215</v>
      </c>
      <c r="O22" s="326">
        <f t="shared" si="24"/>
        <v>1093656900.5606754</v>
      </c>
      <c r="P22" s="325">
        <f t="shared" si="17"/>
        <v>11000000000</v>
      </c>
      <c r="R22" s="326">
        <f t="shared" ref="R22:AC22" si="25">R8</f>
        <v>712243496</v>
      </c>
      <c r="S22" s="326">
        <f t="shared" si="25"/>
        <v>640353919</v>
      </c>
      <c r="T22" s="326">
        <f t="shared" si="25"/>
        <v>663392460</v>
      </c>
      <c r="U22" s="326">
        <f t="shared" si="25"/>
        <v>693831478</v>
      </c>
      <c r="V22" s="326">
        <f t="shared" si="25"/>
        <v>796396532</v>
      </c>
      <c r="W22" s="326">
        <f t="shared" si="25"/>
        <v>913021074</v>
      </c>
      <c r="X22" s="326">
        <f t="shared" si="25"/>
        <v>907602165</v>
      </c>
      <c r="Y22" s="326">
        <f t="shared" si="25"/>
        <v>810832920</v>
      </c>
      <c r="Z22" s="326">
        <f t="shared" si="25"/>
        <v>0</v>
      </c>
      <c r="AA22" s="326">
        <f t="shared" si="25"/>
        <v>0</v>
      </c>
      <c r="AB22" s="326">
        <f t="shared" si="25"/>
        <v>0</v>
      </c>
      <c r="AC22" s="326">
        <f t="shared" si="25"/>
        <v>0</v>
      </c>
      <c r="AD22" s="325">
        <f t="shared" si="19"/>
        <v>6137674044</v>
      </c>
      <c r="AF22" s="326">
        <f t="shared" si="20"/>
        <v>-17536759.593851209</v>
      </c>
      <c r="AG22" s="326">
        <f t="shared" si="20"/>
        <v>-10981219.023316622</v>
      </c>
      <c r="AH22" s="326">
        <f t="shared" si="20"/>
        <v>-140489257.779351</v>
      </c>
      <c r="AI22" s="326">
        <f t="shared" si="20"/>
        <v>-150245297.91511309</v>
      </c>
      <c r="AJ22" s="326">
        <f t="shared" si="20"/>
        <v>-118053514.00110424</v>
      </c>
      <c r="AK22" s="326">
        <f t="shared" si="20"/>
        <v>15586711.080079675</v>
      </c>
      <c r="AL22" s="326">
        <f t="shared" si="20"/>
        <v>-61335131.084054351</v>
      </c>
      <c r="AM22" s="326">
        <f t="shared" si="20"/>
        <v>-149059518.51546562</v>
      </c>
      <c r="AN22" s="326">
        <f t="shared" si="20"/>
        <v>-1012740822.7130661</v>
      </c>
      <c r="AO22" s="326">
        <f t="shared" si="20"/>
        <v>-1086658524.5078678</v>
      </c>
      <c r="AP22" s="326">
        <f t="shared" si="20"/>
        <v>-1037155721.386215</v>
      </c>
      <c r="AQ22" s="326">
        <f t="shared" si="20"/>
        <v>-1093656900.5606754</v>
      </c>
      <c r="AR22" s="325">
        <f t="shared" si="21"/>
        <v>-4862325956.000001</v>
      </c>
      <c r="AT22" s="327">
        <f t="shared" si="23"/>
        <v>0.97596980809027112</v>
      </c>
      <c r="AU22" s="327">
        <f t="shared" si="22"/>
        <v>0.98314044739449702</v>
      </c>
      <c r="AV22" s="327">
        <f t="shared" si="22"/>
        <v>0.82523640646109031</v>
      </c>
      <c r="AW22" s="327">
        <f t="shared" si="22"/>
        <v>0.82200043621360941</v>
      </c>
      <c r="AX22" s="327">
        <f t="shared" si="22"/>
        <v>0.8709021728225036</v>
      </c>
      <c r="AY22" s="327">
        <f t="shared" si="22"/>
        <v>1.0173680791867232</v>
      </c>
      <c r="AZ22" s="327">
        <f t="shared" si="22"/>
        <v>0.93669855486837039</v>
      </c>
      <c r="BA22" s="327">
        <f t="shared" si="22"/>
        <v>0.84471226927675813</v>
      </c>
      <c r="BB22" s="327">
        <f t="shared" si="22"/>
        <v>0</v>
      </c>
      <c r="BC22" s="327">
        <f t="shared" si="22"/>
        <v>0</v>
      </c>
      <c r="BD22" s="327">
        <f t="shared" si="22"/>
        <v>0</v>
      </c>
      <c r="BE22" s="327">
        <f t="shared" si="22"/>
        <v>0</v>
      </c>
      <c r="BF22" s="327">
        <f t="shared" si="22"/>
        <v>0.55797036763636365</v>
      </c>
    </row>
    <row r="23" spans="1:58">
      <c r="C23" s="319" t="s">
        <v>74</v>
      </c>
      <c r="D23" s="326" t="e">
        <f>D9+D15</f>
        <v>#REF!</v>
      </c>
      <c r="E23" s="326" t="e">
        <f t="shared" ref="E23:O23" si="26">E9+E15</f>
        <v>#REF!</v>
      </c>
      <c r="F23" s="326" t="e">
        <f t="shared" si="26"/>
        <v>#REF!</v>
      </c>
      <c r="G23" s="326" t="e">
        <f t="shared" si="26"/>
        <v>#REF!</v>
      </c>
      <c r="H23" s="326" t="e">
        <f t="shared" si="26"/>
        <v>#REF!</v>
      </c>
      <c r="I23" s="326" t="e">
        <f t="shared" si="26"/>
        <v>#REF!</v>
      </c>
      <c r="J23" s="326" t="e">
        <f t="shared" si="26"/>
        <v>#REF!</v>
      </c>
      <c r="K23" s="326" t="e">
        <f t="shared" si="26"/>
        <v>#REF!</v>
      </c>
      <c r="L23" s="326" t="e">
        <f t="shared" si="26"/>
        <v>#REF!</v>
      </c>
      <c r="M23" s="326" t="e">
        <f t="shared" si="26"/>
        <v>#REF!</v>
      </c>
      <c r="N23" s="326" t="e">
        <f t="shared" si="26"/>
        <v>#REF!</v>
      </c>
      <c r="O23" s="326" t="e">
        <f t="shared" si="26"/>
        <v>#REF!</v>
      </c>
      <c r="P23" s="325" t="e">
        <f t="shared" si="17"/>
        <v>#REF!</v>
      </c>
      <c r="R23" s="326" t="e">
        <f t="shared" ref="R23:AC23" si="27">R9+R15</f>
        <v>#REF!</v>
      </c>
      <c r="S23" s="326" t="e">
        <f t="shared" si="27"/>
        <v>#REF!</v>
      </c>
      <c r="T23" s="326" t="e">
        <f t="shared" si="27"/>
        <v>#REF!</v>
      </c>
      <c r="U23" s="326" t="e">
        <f t="shared" si="27"/>
        <v>#REF!</v>
      </c>
      <c r="V23" s="326" t="e">
        <f t="shared" si="27"/>
        <v>#REF!</v>
      </c>
      <c r="W23" s="326" t="e">
        <f t="shared" si="27"/>
        <v>#REF!</v>
      </c>
      <c r="X23" s="326" t="e">
        <f t="shared" si="27"/>
        <v>#REF!</v>
      </c>
      <c r="Y23" s="326" t="e">
        <f t="shared" si="27"/>
        <v>#REF!</v>
      </c>
      <c r="Z23" s="326" t="e">
        <f t="shared" si="27"/>
        <v>#REF!</v>
      </c>
      <c r="AA23" s="326" t="e">
        <f t="shared" si="27"/>
        <v>#REF!</v>
      </c>
      <c r="AB23" s="326" t="e">
        <f t="shared" si="27"/>
        <v>#REF!</v>
      </c>
      <c r="AC23" s="326" t="e">
        <f t="shared" si="27"/>
        <v>#REF!</v>
      </c>
      <c r="AD23" s="325" t="e">
        <f>SUM(R23:AC23)</f>
        <v>#REF!</v>
      </c>
      <c r="AF23" s="326" t="e">
        <f t="shared" si="20"/>
        <v>#REF!</v>
      </c>
      <c r="AG23" s="326" t="e">
        <f t="shared" si="20"/>
        <v>#REF!</v>
      </c>
      <c r="AH23" s="326" t="e">
        <f t="shared" si="20"/>
        <v>#REF!</v>
      </c>
      <c r="AI23" s="326" t="e">
        <f t="shared" si="20"/>
        <v>#REF!</v>
      </c>
      <c r="AJ23" s="326" t="e">
        <f t="shared" si="20"/>
        <v>#REF!</v>
      </c>
      <c r="AK23" s="326" t="e">
        <f t="shared" si="20"/>
        <v>#REF!</v>
      </c>
      <c r="AL23" s="326" t="e">
        <f t="shared" si="20"/>
        <v>#REF!</v>
      </c>
      <c r="AM23" s="326" t="e">
        <f t="shared" si="20"/>
        <v>#REF!</v>
      </c>
      <c r="AN23" s="326" t="e">
        <f t="shared" si="20"/>
        <v>#REF!</v>
      </c>
      <c r="AO23" s="326" t="e">
        <f t="shared" si="20"/>
        <v>#REF!</v>
      </c>
      <c r="AP23" s="326" t="e">
        <f t="shared" si="20"/>
        <v>#REF!</v>
      </c>
      <c r="AQ23" s="326" t="e">
        <f t="shared" si="20"/>
        <v>#REF!</v>
      </c>
      <c r="AR23" s="325" t="e">
        <f t="shared" si="21"/>
        <v>#REF!</v>
      </c>
      <c r="AT23" s="327" t="e">
        <f t="shared" si="23"/>
        <v>#REF!</v>
      </c>
      <c r="AU23" s="327" t="e">
        <f t="shared" si="22"/>
        <v>#REF!</v>
      </c>
      <c r="AV23" s="327" t="e">
        <f t="shared" si="22"/>
        <v>#REF!</v>
      </c>
      <c r="AW23" s="327" t="e">
        <f t="shared" si="22"/>
        <v>#REF!</v>
      </c>
      <c r="AX23" s="327" t="e">
        <f t="shared" si="22"/>
        <v>#REF!</v>
      </c>
      <c r="AY23" s="327" t="e">
        <f t="shared" si="22"/>
        <v>#REF!</v>
      </c>
      <c r="AZ23" s="327" t="e">
        <f t="shared" si="22"/>
        <v>#REF!</v>
      </c>
      <c r="BA23" s="327" t="e">
        <f t="shared" si="22"/>
        <v>#REF!</v>
      </c>
      <c r="BB23" s="327" t="e">
        <f t="shared" si="22"/>
        <v>#REF!</v>
      </c>
      <c r="BC23" s="327" t="e">
        <f t="shared" si="22"/>
        <v>#REF!</v>
      </c>
      <c r="BD23" s="327" t="e">
        <f t="shared" si="22"/>
        <v>#REF!</v>
      </c>
      <c r="BE23" s="327" t="e">
        <f t="shared" si="22"/>
        <v>#REF!</v>
      </c>
      <c r="BF23" s="327" t="e">
        <f t="shared" si="22"/>
        <v>#REF!</v>
      </c>
    </row>
    <row r="24" spans="1:58">
      <c r="C24" s="319" t="s">
        <v>63</v>
      </c>
      <c r="D24" s="326" t="e">
        <f>D16</f>
        <v>#REF!</v>
      </c>
      <c r="E24" s="326" t="e">
        <f t="shared" ref="E24:O24" si="28">E16</f>
        <v>#REF!</v>
      </c>
      <c r="F24" s="326" t="e">
        <f t="shared" si="28"/>
        <v>#REF!</v>
      </c>
      <c r="G24" s="326" t="e">
        <f t="shared" si="28"/>
        <v>#REF!</v>
      </c>
      <c r="H24" s="326" t="e">
        <f t="shared" si="28"/>
        <v>#REF!</v>
      </c>
      <c r="I24" s="326" t="e">
        <f t="shared" si="28"/>
        <v>#REF!</v>
      </c>
      <c r="J24" s="326" t="e">
        <f t="shared" si="28"/>
        <v>#REF!</v>
      </c>
      <c r="K24" s="326" t="e">
        <f t="shared" si="28"/>
        <v>#REF!</v>
      </c>
      <c r="L24" s="326" t="e">
        <f t="shared" si="28"/>
        <v>#REF!</v>
      </c>
      <c r="M24" s="326" t="e">
        <f t="shared" si="28"/>
        <v>#REF!</v>
      </c>
      <c r="N24" s="326" t="e">
        <f t="shared" si="28"/>
        <v>#REF!</v>
      </c>
      <c r="O24" s="326" t="e">
        <f t="shared" si="28"/>
        <v>#REF!</v>
      </c>
      <c r="P24" s="325" t="e">
        <f t="shared" si="17"/>
        <v>#REF!</v>
      </c>
      <c r="R24" s="326" t="e">
        <f t="shared" ref="R24:AC24" si="29">R16</f>
        <v>#REF!</v>
      </c>
      <c r="S24" s="326" t="e">
        <f t="shared" si="29"/>
        <v>#REF!</v>
      </c>
      <c r="T24" s="326" t="e">
        <f t="shared" si="29"/>
        <v>#REF!</v>
      </c>
      <c r="U24" s="326" t="e">
        <f t="shared" si="29"/>
        <v>#REF!</v>
      </c>
      <c r="V24" s="326" t="e">
        <f t="shared" si="29"/>
        <v>#REF!</v>
      </c>
      <c r="W24" s="326" t="e">
        <f t="shared" si="29"/>
        <v>#REF!</v>
      </c>
      <c r="X24" s="326" t="e">
        <f t="shared" si="29"/>
        <v>#REF!</v>
      </c>
      <c r="Y24" s="326" t="e">
        <f t="shared" si="29"/>
        <v>#REF!</v>
      </c>
      <c r="Z24" s="326" t="e">
        <f t="shared" si="29"/>
        <v>#REF!</v>
      </c>
      <c r="AA24" s="326" t="e">
        <f t="shared" si="29"/>
        <v>#REF!</v>
      </c>
      <c r="AB24" s="326" t="e">
        <f t="shared" si="29"/>
        <v>#REF!</v>
      </c>
      <c r="AC24" s="326" t="e">
        <f t="shared" si="29"/>
        <v>#REF!</v>
      </c>
      <c r="AD24" s="325" t="e">
        <f>SUM(R24:AC24)</f>
        <v>#REF!</v>
      </c>
      <c r="AF24" s="326" t="e">
        <f t="shared" si="20"/>
        <v>#REF!</v>
      </c>
      <c r="AG24" s="326" t="e">
        <f t="shared" si="20"/>
        <v>#REF!</v>
      </c>
      <c r="AH24" s="326" t="e">
        <f t="shared" si="20"/>
        <v>#REF!</v>
      </c>
      <c r="AI24" s="326" t="e">
        <f t="shared" si="20"/>
        <v>#REF!</v>
      </c>
      <c r="AJ24" s="326" t="e">
        <f t="shared" si="20"/>
        <v>#REF!</v>
      </c>
      <c r="AK24" s="326" t="e">
        <f t="shared" si="20"/>
        <v>#REF!</v>
      </c>
      <c r="AL24" s="326" t="e">
        <f t="shared" si="20"/>
        <v>#REF!</v>
      </c>
      <c r="AM24" s="326" t="e">
        <f t="shared" si="20"/>
        <v>#REF!</v>
      </c>
      <c r="AN24" s="326" t="e">
        <f t="shared" si="20"/>
        <v>#REF!</v>
      </c>
      <c r="AO24" s="326" t="e">
        <f t="shared" si="20"/>
        <v>#REF!</v>
      </c>
      <c r="AP24" s="326" t="e">
        <f t="shared" si="20"/>
        <v>#REF!</v>
      </c>
      <c r="AQ24" s="326" t="e">
        <f t="shared" si="20"/>
        <v>#REF!</v>
      </c>
      <c r="AR24" s="325" t="e">
        <f t="shared" si="21"/>
        <v>#REF!</v>
      </c>
      <c r="AT24" s="327" t="e">
        <f t="shared" si="23"/>
        <v>#REF!</v>
      </c>
      <c r="AU24" s="327" t="e">
        <f t="shared" si="22"/>
        <v>#REF!</v>
      </c>
      <c r="AV24" s="327" t="e">
        <f t="shared" si="22"/>
        <v>#REF!</v>
      </c>
      <c r="AW24" s="327" t="e">
        <f t="shared" si="22"/>
        <v>#REF!</v>
      </c>
      <c r="AX24" s="327" t="e">
        <f t="shared" si="22"/>
        <v>#REF!</v>
      </c>
      <c r="AY24" s="327" t="e">
        <f t="shared" si="22"/>
        <v>#REF!</v>
      </c>
      <c r="AZ24" s="327" t="e">
        <f t="shared" si="22"/>
        <v>#REF!</v>
      </c>
      <c r="BA24" s="327" t="e">
        <f t="shared" si="22"/>
        <v>#REF!</v>
      </c>
      <c r="BB24" s="327" t="e">
        <f t="shared" si="22"/>
        <v>#REF!</v>
      </c>
      <c r="BC24" s="327" t="e">
        <f t="shared" si="22"/>
        <v>#REF!</v>
      </c>
      <c r="BD24" s="327" t="e">
        <f t="shared" si="22"/>
        <v>#REF!</v>
      </c>
      <c r="BE24" s="327" t="e">
        <f t="shared" si="22"/>
        <v>#REF!</v>
      </c>
      <c r="BF24" s="327" t="e">
        <f t="shared" si="22"/>
        <v>#REF!</v>
      </c>
    </row>
    <row r="25" spans="1:58" s="318" customFormat="1">
      <c r="C25" s="318" t="s">
        <v>47</v>
      </c>
      <c r="D25" s="328" t="e">
        <f>SUM(D20:D24)</f>
        <v>#REF!</v>
      </c>
      <c r="E25" s="328" t="e">
        <f t="shared" ref="E25:P25" si="30">SUM(E20:E24)</f>
        <v>#REF!</v>
      </c>
      <c r="F25" s="328" t="e">
        <f t="shared" si="30"/>
        <v>#REF!</v>
      </c>
      <c r="G25" s="328" t="e">
        <f t="shared" si="30"/>
        <v>#REF!</v>
      </c>
      <c r="H25" s="328" t="e">
        <f t="shared" si="30"/>
        <v>#REF!</v>
      </c>
      <c r="I25" s="328" t="e">
        <f t="shared" si="30"/>
        <v>#REF!</v>
      </c>
      <c r="J25" s="328" t="e">
        <f t="shared" si="30"/>
        <v>#REF!</v>
      </c>
      <c r="K25" s="328" t="e">
        <f t="shared" si="30"/>
        <v>#REF!</v>
      </c>
      <c r="L25" s="328" t="e">
        <f t="shared" si="30"/>
        <v>#REF!</v>
      </c>
      <c r="M25" s="328" t="e">
        <f t="shared" si="30"/>
        <v>#REF!</v>
      </c>
      <c r="N25" s="328" t="e">
        <f t="shared" si="30"/>
        <v>#REF!</v>
      </c>
      <c r="O25" s="328" t="e">
        <f t="shared" si="30"/>
        <v>#REF!</v>
      </c>
      <c r="P25" s="328" t="e">
        <f t="shared" si="30"/>
        <v>#REF!</v>
      </c>
      <c r="R25" s="328" t="e">
        <f>SUM(R20:R24)</f>
        <v>#REF!</v>
      </c>
      <c r="S25" s="328" t="e">
        <f t="shared" ref="S25:AD25" si="31">SUM(S20:S24)</f>
        <v>#REF!</v>
      </c>
      <c r="T25" s="328" t="e">
        <f t="shared" si="31"/>
        <v>#REF!</v>
      </c>
      <c r="U25" s="328" t="e">
        <f t="shared" si="31"/>
        <v>#REF!</v>
      </c>
      <c r="V25" s="328" t="e">
        <f t="shared" si="31"/>
        <v>#REF!</v>
      </c>
      <c r="W25" s="328" t="e">
        <f t="shared" si="31"/>
        <v>#REF!</v>
      </c>
      <c r="X25" s="328" t="e">
        <f t="shared" si="31"/>
        <v>#REF!</v>
      </c>
      <c r="Y25" s="328" t="e">
        <f t="shared" si="31"/>
        <v>#REF!</v>
      </c>
      <c r="Z25" s="328" t="e">
        <f t="shared" si="31"/>
        <v>#REF!</v>
      </c>
      <c r="AA25" s="328" t="e">
        <f t="shared" si="31"/>
        <v>#REF!</v>
      </c>
      <c r="AB25" s="328" t="e">
        <f t="shared" si="31"/>
        <v>#REF!</v>
      </c>
      <c r="AC25" s="328" t="e">
        <f t="shared" si="31"/>
        <v>#REF!</v>
      </c>
      <c r="AD25" s="328" t="e">
        <f t="shared" si="31"/>
        <v>#REF!</v>
      </c>
      <c r="AE25" s="330"/>
      <c r="AF25" s="328" t="e">
        <f>SUM(AF20:AF24)</f>
        <v>#REF!</v>
      </c>
      <c r="AG25" s="328" t="e">
        <f t="shared" ref="AG25:AR25" si="32">SUM(AG20:AG24)</f>
        <v>#REF!</v>
      </c>
      <c r="AH25" s="328" t="e">
        <f t="shared" si="32"/>
        <v>#REF!</v>
      </c>
      <c r="AI25" s="328" t="e">
        <f t="shared" si="32"/>
        <v>#REF!</v>
      </c>
      <c r="AJ25" s="328" t="e">
        <f t="shared" si="32"/>
        <v>#REF!</v>
      </c>
      <c r="AK25" s="328" t="e">
        <f t="shared" si="32"/>
        <v>#REF!</v>
      </c>
      <c r="AL25" s="328" t="e">
        <f t="shared" si="32"/>
        <v>#REF!</v>
      </c>
      <c r="AM25" s="328" t="e">
        <f t="shared" si="32"/>
        <v>#REF!</v>
      </c>
      <c r="AN25" s="328" t="e">
        <f t="shared" si="32"/>
        <v>#REF!</v>
      </c>
      <c r="AO25" s="328" t="e">
        <f t="shared" si="32"/>
        <v>#REF!</v>
      </c>
      <c r="AP25" s="328" t="e">
        <f t="shared" si="32"/>
        <v>#REF!</v>
      </c>
      <c r="AQ25" s="328" t="e">
        <f t="shared" si="32"/>
        <v>#REF!</v>
      </c>
      <c r="AR25" s="328" t="e">
        <f t="shared" si="32"/>
        <v>#REF!</v>
      </c>
      <c r="AT25" s="327" t="e">
        <f t="shared" si="23"/>
        <v>#REF!</v>
      </c>
      <c r="AU25" s="327" t="e">
        <f t="shared" si="22"/>
        <v>#REF!</v>
      </c>
      <c r="AV25" s="327" t="e">
        <f t="shared" si="22"/>
        <v>#REF!</v>
      </c>
      <c r="AW25" s="327" t="e">
        <f t="shared" si="22"/>
        <v>#REF!</v>
      </c>
      <c r="AX25" s="327" t="e">
        <f t="shared" si="22"/>
        <v>#REF!</v>
      </c>
      <c r="AY25" s="327" t="e">
        <f t="shared" si="22"/>
        <v>#REF!</v>
      </c>
      <c r="AZ25" s="327" t="e">
        <f t="shared" si="22"/>
        <v>#REF!</v>
      </c>
      <c r="BA25" s="327" t="e">
        <f t="shared" si="22"/>
        <v>#REF!</v>
      </c>
      <c r="BB25" s="327" t="e">
        <f t="shared" si="22"/>
        <v>#REF!</v>
      </c>
      <c r="BC25" s="327" t="e">
        <f t="shared" si="22"/>
        <v>#REF!</v>
      </c>
      <c r="BD25" s="327" t="e">
        <f t="shared" si="22"/>
        <v>#REF!</v>
      </c>
      <c r="BE25" s="327" t="e">
        <f t="shared" si="22"/>
        <v>#REF!</v>
      </c>
      <c r="BF25" s="327" t="e">
        <f t="shared" si="22"/>
        <v>#REF!</v>
      </c>
    </row>
    <row r="26" spans="1:58">
      <c r="AE26" s="331"/>
    </row>
    <row r="27" spans="1:58">
      <c r="A27" s="318" t="s">
        <v>77</v>
      </c>
    </row>
    <row r="28" spans="1:58">
      <c r="B28" s="319" t="s">
        <v>70</v>
      </c>
    </row>
    <row r="29" spans="1:58">
      <c r="C29" s="319" t="s">
        <v>71</v>
      </c>
      <c r="D29" s="326">
        <f>SUM(D6:F6)</f>
        <v>0</v>
      </c>
      <c r="G29" s="326">
        <f>SUM(G6:I6)</f>
        <v>0</v>
      </c>
      <c r="J29" s="326">
        <f>SUM(J6:L6)</f>
        <v>0</v>
      </c>
      <c r="M29" s="326">
        <f>SUM(M6:O6)</f>
        <v>0</v>
      </c>
      <c r="P29" s="325">
        <f t="shared" ref="P29:P32" si="33">SUM(D29:O29)</f>
        <v>0</v>
      </c>
      <c r="R29" s="326">
        <f>SUM(R6:T6)</f>
        <v>0</v>
      </c>
      <c r="U29" s="326">
        <f>SUM(U6:W6)</f>
        <v>0</v>
      </c>
      <c r="X29" s="326">
        <f>SUM(X6:Z6)</f>
        <v>0</v>
      </c>
      <c r="AA29" s="326">
        <f>SUM(AA6:AC6)</f>
        <v>0</v>
      </c>
      <c r="AB29" s="326"/>
      <c r="AD29" s="325">
        <f t="shared" ref="AD29:AD32" si="34">SUM(R29:AC29)</f>
        <v>0</v>
      </c>
      <c r="AF29" s="326">
        <f t="shared" ref="AF29:AO32" si="35">R29-D29</f>
        <v>0</v>
      </c>
      <c r="AG29" s="326"/>
      <c r="AH29" s="326"/>
      <c r="AI29" s="326">
        <f t="shared" si="35"/>
        <v>0</v>
      </c>
      <c r="AJ29" s="326"/>
      <c r="AK29" s="326"/>
      <c r="AL29" s="326">
        <f t="shared" si="35"/>
        <v>0</v>
      </c>
      <c r="AM29" s="326"/>
      <c r="AN29" s="326"/>
      <c r="AO29" s="326">
        <f t="shared" si="35"/>
        <v>0</v>
      </c>
      <c r="AP29" s="326"/>
      <c r="AQ29" s="326"/>
      <c r="AR29" s="325">
        <f t="shared" ref="AR29:AR31" si="36">SUM(AF29:AQ29)</f>
        <v>0</v>
      </c>
      <c r="AT29" s="327" t="e">
        <f>R29/D29</f>
        <v>#DIV/0!</v>
      </c>
      <c r="AU29" s="327"/>
      <c r="AV29" s="327"/>
      <c r="AW29" s="327" t="e">
        <f t="shared" ref="AW29:AW33" si="37">U29/G29</f>
        <v>#DIV/0!</v>
      </c>
      <c r="AX29" s="327"/>
      <c r="AY29" s="327"/>
      <c r="AZ29" s="327" t="e">
        <f t="shared" ref="AZ29:AZ33" si="38">X29/J29</f>
        <v>#DIV/0!</v>
      </c>
      <c r="BA29" s="327"/>
      <c r="BB29" s="327"/>
      <c r="BC29" s="327" t="e">
        <f t="shared" ref="BC29:BC33" si="39">AA29/M29</f>
        <v>#DIV/0!</v>
      </c>
      <c r="BD29" s="327"/>
      <c r="BE29" s="327"/>
      <c r="BF29" s="327" t="e">
        <f t="shared" ref="BF29:BF33" si="40">AD29/P29</f>
        <v>#DIV/0!</v>
      </c>
    </row>
    <row r="30" spans="1:58">
      <c r="C30" s="319" t="s">
        <v>72</v>
      </c>
      <c r="D30" s="326">
        <f>SUM(D7:F7)</f>
        <v>0</v>
      </c>
      <c r="G30" s="326">
        <f>SUM(G7:I7)</f>
        <v>0</v>
      </c>
      <c r="J30" s="326">
        <f>SUM(J7:L7)</f>
        <v>0</v>
      </c>
      <c r="M30" s="326">
        <f>SUM(M7:O7)</f>
        <v>0</v>
      </c>
      <c r="P30" s="325">
        <f t="shared" si="33"/>
        <v>0</v>
      </c>
      <c r="R30" s="326">
        <f>SUM(R7:T7)</f>
        <v>0</v>
      </c>
      <c r="U30" s="326">
        <f>SUM(U7:W7)</f>
        <v>0</v>
      </c>
      <c r="X30" s="326">
        <f>SUM(X7:Z7)</f>
        <v>0</v>
      </c>
      <c r="AA30" s="326">
        <f>SUM(AA7:AC7)</f>
        <v>0</v>
      </c>
      <c r="AB30" s="326"/>
      <c r="AD30" s="325">
        <f t="shared" si="34"/>
        <v>0</v>
      </c>
      <c r="AF30" s="326">
        <f t="shared" si="35"/>
        <v>0</v>
      </c>
      <c r="AG30" s="326"/>
      <c r="AH30" s="326"/>
      <c r="AI30" s="326">
        <f t="shared" si="35"/>
        <v>0</v>
      </c>
      <c r="AJ30" s="326"/>
      <c r="AK30" s="326"/>
      <c r="AL30" s="326">
        <f t="shared" si="35"/>
        <v>0</v>
      </c>
      <c r="AM30" s="326"/>
      <c r="AN30" s="326"/>
      <c r="AO30" s="326">
        <f t="shared" si="35"/>
        <v>0</v>
      </c>
      <c r="AP30" s="326"/>
      <c r="AQ30" s="326"/>
      <c r="AR30" s="325">
        <f t="shared" si="36"/>
        <v>0</v>
      </c>
      <c r="AT30" s="327" t="e">
        <f t="shared" ref="AT30:AT33" si="41">R30/D30</f>
        <v>#DIV/0!</v>
      </c>
      <c r="AU30" s="327"/>
      <c r="AV30" s="327"/>
      <c r="AW30" s="327" t="e">
        <f t="shared" si="37"/>
        <v>#DIV/0!</v>
      </c>
      <c r="AX30" s="327"/>
      <c r="AY30" s="327"/>
      <c r="AZ30" s="327" t="e">
        <f t="shared" si="38"/>
        <v>#DIV/0!</v>
      </c>
      <c r="BA30" s="327"/>
      <c r="BB30" s="327"/>
      <c r="BC30" s="327" t="e">
        <f t="shared" si="39"/>
        <v>#DIV/0!</v>
      </c>
      <c r="BD30" s="327"/>
      <c r="BE30" s="327"/>
      <c r="BF30" s="327" t="e">
        <f t="shared" si="40"/>
        <v>#DIV/0!</v>
      </c>
    </row>
    <row r="31" spans="1:58">
      <c r="C31" s="319" t="s">
        <v>73</v>
      </c>
      <c r="D31" s="326">
        <f>SUM(D8:F8)</f>
        <v>2184997111.3965187</v>
      </c>
      <c r="G31" s="326">
        <f>SUM(G8:I8)</f>
        <v>2655961184.8361378</v>
      </c>
      <c r="J31" s="326">
        <f>SUM(J8:L8)</f>
        <v>2941570557.3125858</v>
      </c>
      <c r="M31" s="326">
        <f>SUM(M8:O8)</f>
        <v>3217471146.4547582</v>
      </c>
      <c r="P31" s="325">
        <f t="shared" si="33"/>
        <v>11000000000</v>
      </c>
      <c r="R31" s="326">
        <f>SUM(R8:T8)</f>
        <v>2015989875</v>
      </c>
      <c r="U31" s="326">
        <f>SUM(U8:W8)</f>
        <v>2403249084</v>
      </c>
      <c r="X31" s="326">
        <f>SUM(X8:Z8)</f>
        <v>1718435085</v>
      </c>
      <c r="AA31" s="326">
        <f>SUM(AA8:AC8)</f>
        <v>0</v>
      </c>
      <c r="AB31" s="326"/>
      <c r="AD31" s="325">
        <f t="shared" si="34"/>
        <v>6137674044</v>
      </c>
      <c r="AF31" s="326">
        <f t="shared" si="35"/>
        <v>-169007236.39651871</v>
      </c>
      <c r="AG31" s="326"/>
      <c r="AH31" s="326"/>
      <c r="AI31" s="326">
        <f t="shared" si="35"/>
        <v>-252712100.83613777</v>
      </c>
      <c r="AJ31" s="326"/>
      <c r="AK31" s="326"/>
      <c r="AL31" s="326">
        <f t="shared" si="35"/>
        <v>-1223135472.3125858</v>
      </c>
      <c r="AM31" s="326"/>
      <c r="AN31" s="326"/>
      <c r="AO31" s="326">
        <f t="shared" si="35"/>
        <v>-3217471146.4547582</v>
      </c>
      <c r="AP31" s="326"/>
      <c r="AQ31" s="326"/>
      <c r="AR31" s="325">
        <f t="shared" si="36"/>
        <v>-4862325956</v>
      </c>
      <c r="AT31" s="327">
        <f t="shared" si="41"/>
        <v>0.9226510481341097</v>
      </c>
      <c r="AU31" s="327"/>
      <c r="AV31" s="327"/>
      <c r="AW31" s="327">
        <f t="shared" si="37"/>
        <v>0.90485098115177121</v>
      </c>
      <c r="AX31" s="327"/>
      <c r="AY31" s="327"/>
      <c r="AZ31" s="327">
        <f t="shared" si="38"/>
        <v>0.58418965362842068</v>
      </c>
      <c r="BA31" s="327"/>
      <c r="BB31" s="327"/>
      <c r="BC31" s="327">
        <f t="shared" si="39"/>
        <v>0</v>
      </c>
      <c r="BD31" s="327"/>
      <c r="BE31" s="327"/>
      <c r="BF31" s="327">
        <f t="shared" si="40"/>
        <v>0.55797036763636365</v>
      </c>
    </row>
    <row r="32" spans="1:58">
      <c r="C32" s="319" t="s">
        <v>74</v>
      </c>
      <c r="D32" s="326">
        <f>SUM(D9:F9)</f>
        <v>248295126.29505897</v>
      </c>
      <c r="G32" s="326">
        <f>SUM(G9:I9)</f>
        <v>301813771.00410658</v>
      </c>
      <c r="J32" s="326">
        <f>SUM(J9:L9)</f>
        <v>334269381.5127939</v>
      </c>
      <c r="M32" s="326">
        <f>SUM(M9:O9)</f>
        <v>365621721.18804073</v>
      </c>
      <c r="P32" s="325">
        <f t="shared" si="33"/>
        <v>1250000000</v>
      </c>
      <c r="R32" s="326">
        <f>SUM(R9:T9)</f>
        <v>396508916</v>
      </c>
      <c r="U32" s="326">
        <f>SUM(U9:W9)</f>
        <v>924418296</v>
      </c>
      <c r="X32" s="326">
        <f>SUM(X9:Z9)</f>
        <v>406747651</v>
      </c>
      <c r="AA32" s="326">
        <f>SUM(AA9:AC9)</f>
        <v>0</v>
      </c>
      <c r="AB32" s="326"/>
      <c r="AD32" s="325">
        <f t="shared" si="34"/>
        <v>1727674863</v>
      </c>
      <c r="AF32" s="326">
        <f>R32-D32</f>
        <v>148213789.70494103</v>
      </c>
      <c r="AG32" s="326"/>
      <c r="AH32" s="326"/>
      <c r="AI32" s="326">
        <f t="shared" si="35"/>
        <v>622604524.99589348</v>
      </c>
      <c r="AJ32" s="326"/>
      <c r="AK32" s="326"/>
      <c r="AL32" s="326">
        <f t="shared" si="35"/>
        <v>72478269.487206101</v>
      </c>
      <c r="AM32" s="326"/>
      <c r="AN32" s="326"/>
      <c r="AO32" s="326">
        <f t="shared" si="35"/>
        <v>-365621721.18804073</v>
      </c>
      <c r="AP32" s="326"/>
      <c r="AQ32" s="326"/>
      <c r="AR32" s="325">
        <f>SUM(AF32:AQ32)</f>
        <v>477674862.99999988</v>
      </c>
      <c r="AT32" s="327">
        <f t="shared" si="41"/>
        <v>1.5969258918469977</v>
      </c>
      <c r="AU32" s="327"/>
      <c r="AV32" s="327"/>
      <c r="AW32" s="327">
        <f t="shared" si="37"/>
        <v>3.06287646492917</v>
      </c>
      <c r="AX32" s="327"/>
      <c r="AY32" s="327"/>
      <c r="AZ32" s="327">
        <f t="shared" si="38"/>
        <v>1.2168259299107598</v>
      </c>
      <c r="BA32" s="327"/>
      <c r="BB32" s="327"/>
      <c r="BC32" s="327">
        <f t="shared" si="39"/>
        <v>0</v>
      </c>
      <c r="BD32" s="327"/>
      <c r="BE32" s="327"/>
      <c r="BF32" s="327">
        <f t="shared" si="40"/>
        <v>1.3821398904</v>
      </c>
    </row>
    <row r="33" spans="2:58">
      <c r="C33" s="318" t="s">
        <v>47</v>
      </c>
      <c r="D33" s="325">
        <f>SUM(D29:D32)</f>
        <v>2433292237.6915779</v>
      </c>
      <c r="G33" s="325">
        <f>SUM(G29:G32)</f>
        <v>2957774955.8402443</v>
      </c>
      <c r="J33" s="325">
        <f>SUM(J29:J32)</f>
        <v>3275839938.8253798</v>
      </c>
      <c r="M33" s="325">
        <f>SUM(M29:M32)</f>
        <v>3583092867.6427989</v>
      </c>
      <c r="P33" s="325">
        <f>SUM(P29:P32)</f>
        <v>12250000000</v>
      </c>
      <c r="R33" s="325">
        <f>SUM(R29:R32)</f>
        <v>2412498791</v>
      </c>
      <c r="U33" s="325">
        <f>SUM(U29:U32)</f>
        <v>3327667380</v>
      </c>
      <c r="X33" s="325">
        <f>SUM(X29:X32)</f>
        <v>2125182736</v>
      </c>
      <c r="AA33" s="325">
        <f>SUM(AA29:AA32)</f>
        <v>0</v>
      </c>
      <c r="AB33" s="325"/>
      <c r="AD33" s="325">
        <f>SUM(AD29:AD32)</f>
        <v>7865348907</v>
      </c>
      <c r="AF33" s="325">
        <f>SUM(AF29:AF32)</f>
        <v>-20793446.691577673</v>
      </c>
      <c r="AI33" s="325">
        <f>SUM(AI29:AI32)</f>
        <v>369892424.15975571</v>
      </c>
      <c r="AL33" s="325">
        <f>SUM(AL29:AL32)</f>
        <v>-1150657202.8253798</v>
      </c>
      <c r="AO33" s="325">
        <f>SUM(AO29:AO32)</f>
        <v>-3583092867.6427989</v>
      </c>
      <c r="AR33" s="325">
        <f>SUM(AR29:AR32)</f>
        <v>-4384651093</v>
      </c>
      <c r="AT33" s="327">
        <f t="shared" si="41"/>
        <v>0.99145460361501658</v>
      </c>
      <c r="AU33" s="327"/>
      <c r="AV33" s="327"/>
      <c r="AW33" s="327">
        <f t="shared" si="37"/>
        <v>1.1250576631698732</v>
      </c>
      <c r="AX33" s="327"/>
      <c r="AY33" s="327"/>
      <c r="AZ33" s="327">
        <f t="shared" si="38"/>
        <v>0.6487443756980471</v>
      </c>
      <c r="BA33" s="327"/>
      <c r="BB33" s="327"/>
      <c r="BC33" s="327">
        <f t="shared" si="39"/>
        <v>0</v>
      </c>
      <c r="BD33" s="327"/>
      <c r="BE33" s="327"/>
      <c r="BF33" s="327">
        <f t="shared" si="40"/>
        <v>0.64206929853061223</v>
      </c>
    </row>
    <row r="34" spans="2:58">
      <c r="AD34" s="318"/>
      <c r="AR34" s="318"/>
    </row>
    <row r="35" spans="2:58">
      <c r="B35" s="319" t="s">
        <v>75</v>
      </c>
      <c r="AD35" s="318"/>
      <c r="AR35" s="318"/>
    </row>
    <row r="36" spans="2:58">
      <c r="C36" s="319" t="s">
        <v>71</v>
      </c>
      <c r="D36" s="326" t="e">
        <f>SUM(D13:F13)</f>
        <v>#REF!</v>
      </c>
      <c r="G36" s="326" t="e">
        <f>SUM(G13:I13)</f>
        <v>#REF!</v>
      </c>
      <c r="J36" s="326" t="e">
        <f>SUM(J13:L13)</f>
        <v>#REF!</v>
      </c>
      <c r="M36" s="326" t="e">
        <f>SUM(M13:O13)</f>
        <v>#REF!</v>
      </c>
      <c r="P36" s="325" t="e">
        <f t="shared" ref="P36:P39" si="42">SUM(D36:O36)</f>
        <v>#REF!</v>
      </c>
      <c r="R36" s="326" t="e">
        <f>SUM(R13:T13)</f>
        <v>#REF!</v>
      </c>
      <c r="U36" s="326" t="e">
        <f>SUM(U13:W13)</f>
        <v>#REF!</v>
      </c>
      <c r="X36" s="326" t="e">
        <f>SUM(X13:Z13)</f>
        <v>#REF!</v>
      </c>
      <c r="AA36" s="326" t="e">
        <f>SUM(AA13:AC13)</f>
        <v>#REF!</v>
      </c>
      <c r="AB36" s="326"/>
      <c r="AD36" s="326" t="e">
        <f>SUM(AD13:AF13)</f>
        <v>#REF!</v>
      </c>
      <c r="AF36" s="326" t="e">
        <f t="shared" ref="AF36:AO39" si="43">R36-D36</f>
        <v>#REF!</v>
      </c>
      <c r="AG36" s="326"/>
      <c r="AH36" s="326"/>
      <c r="AI36" s="326" t="e">
        <f t="shared" si="43"/>
        <v>#REF!</v>
      </c>
      <c r="AJ36" s="326"/>
      <c r="AK36" s="326"/>
      <c r="AL36" s="326" t="e">
        <f t="shared" si="43"/>
        <v>#REF!</v>
      </c>
      <c r="AM36" s="326"/>
      <c r="AN36" s="326"/>
      <c r="AO36" s="326" t="e">
        <f t="shared" si="43"/>
        <v>#REF!</v>
      </c>
      <c r="AP36" s="326"/>
      <c r="AQ36" s="326"/>
      <c r="AR36" s="325" t="e">
        <f t="shared" ref="AR36:AR38" si="44">SUM(AF36:AQ36)</f>
        <v>#REF!</v>
      </c>
      <c r="AT36" s="327" t="e">
        <f>R36/D36</f>
        <v>#REF!</v>
      </c>
      <c r="AU36" s="327"/>
      <c r="AV36" s="327"/>
      <c r="AW36" s="327" t="e">
        <f t="shared" ref="AW36:AW40" si="45">U36/G36</f>
        <v>#REF!</v>
      </c>
      <c r="AX36" s="327"/>
      <c r="AY36" s="327"/>
      <c r="AZ36" s="327" t="e">
        <f t="shared" ref="AZ36:AZ40" si="46">X36/J36</f>
        <v>#REF!</v>
      </c>
      <c r="BA36" s="327"/>
      <c r="BB36" s="327"/>
      <c r="BC36" s="327" t="e">
        <f t="shared" ref="BC36:BC40" si="47">AA36/M36</f>
        <v>#REF!</v>
      </c>
      <c r="BD36" s="327"/>
      <c r="BE36" s="327"/>
      <c r="BF36" s="327" t="e">
        <f t="shared" ref="BF36:BF40" si="48">AD36/P36</f>
        <v>#REF!</v>
      </c>
    </row>
    <row r="37" spans="2:58">
      <c r="C37" s="319" t="s">
        <v>72</v>
      </c>
      <c r="D37" s="326" t="e">
        <f>SUM(D14:F14)</f>
        <v>#REF!</v>
      </c>
      <c r="G37" s="326" t="e">
        <f>SUM(G14:I14)</f>
        <v>#REF!</v>
      </c>
      <c r="J37" s="326" t="e">
        <f>SUM(J14:L14)</f>
        <v>#REF!</v>
      </c>
      <c r="M37" s="326" t="e">
        <f>SUM(M14:O14)</f>
        <v>#REF!</v>
      </c>
      <c r="P37" s="325" t="e">
        <f t="shared" si="42"/>
        <v>#REF!</v>
      </c>
      <c r="R37" s="326" t="e">
        <f>SUM(R14:T14)</f>
        <v>#REF!</v>
      </c>
      <c r="U37" s="326" t="e">
        <f>SUM(U14:W14)</f>
        <v>#REF!</v>
      </c>
      <c r="X37" s="326" t="e">
        <f>SUM(X14:Z14)</f>
        <v>#REF!</v>
      </c>
      <c r="AA37" s="326" t="e">
        <f>SUM(AA14:AC14)</f>
        <v>#REF!</v>
      </c>
      <c r="AB37" s="326"/>
      <c r="AD37" s="326" t="e">
        <f>SUM(AD14:AF14)</f>
        <v>#REF!</v>
      </c>
      <c r="AF37" s="326" t="e">
        <f t="shared" si="43"/>
        <v>#REF!</v>
      </c>
      <c r="AG37" s="326"/>
      <c r="AH37" s="326"/>
      <c r="AI37" s="326" t="e">
        <f t="shared" si="43"/>
        <v>#REF!</v>
      </c>
      <c r="AJ37" s="326"/>
      <c r="AK37" s="326"/>
      <c r="AL37" s="326" t="e">
        <f t="shared" si="43"/>
        <v>#REF!</v>
      </c>
      <c r="AM37" s="326"/>
      <c r="AN37" s="326"/>
      <c r="AO37" s="326" t="e">
        <f t="shared" si="43"/>
        <v>#REF!</v>
      </c>
      <c r="AP37" s="326"/>
      <c r="AQ37" s="326"/>
      <c r="AR37" s="325" t="e">
        <f t="shared" si="44"/>
        <v>#REF!</v>
      </c>
      <c r="AT37" s="327" t="e">
        <f t="shared" ref="AT37:AT40" si="49">R37/D37</f>
        <v>#REF!</v>
      </c>
      <c r="AU37" s="327"/>
      <c r="AV37" s="327"/>
      <c r="AW37" s="327" t="e">
        <f t="shared" si="45"/>
        <v>#REF!</v>
      </c>
      <c r="AX37" s="327"/>
      <c r="AY37" s="327"/>
      <c r="AZ37" s="327" t="e">
        <f t="shared" si="46"/>
        <v>#REF!</v>
      </c>
      <c r="BA37" s="327"/>
      <c r="BB37" s="327"/>
      <c r="BC37" s="327" t="e">
        <f t="shared" si="47"/>
        <v>#REF!</v>
      </c>
      <c r="BD37" s="327"/>
      <c r="BE37" s="327"/>
      <c r="BF37" s="327" t="e">
        <f t="shared" si="48"/>
        <v>#REF!</v>
      </c>
    </row>
    <row r="38" spans="2:58">
      <c r="C38" s="319" t="s">
        <v>74</v>
      </c>
      <c r="D38" s="326" t="e">
        <f>SUM(D15:F15)</f>
        <v>#REF!</v>
      </c>
      <c r="G38" s="326" t="e">
        <f>SUM(G15:I15)</f>
        <v>#REF!</v>
      </c>
      <c r="J38" s="326" t="e">
        <f>SUM(J15:L15)</f>
        <v>#REF!</v>
      </c>
      <c r="M38" s="326" t="e">
        <f>SUM(M15:O15)</f>
        <v>#REF!</v>
      </c>
      <c r="P38" s="325" t="e">
        <f t="shared" si="42"/>
        <v>#REF!</v>
      </c>
      <c r="R38" s="326" t="e">
        <f>SUM(R15:T15)</f>
        <v>#REF!</v>
      </c>
      <c r="U38" s="326" t="e">
        <f>SUM(U15:W15)</f>
        <v>#REF!</v>
      </c>
      <c r="X38" s="326" t="e">
        <f>SUM(X15:Z15)</f>
        <v>#REF!</v>
      </c>
      <c r="AA38" s="326" t="e">
        <f>SUM(AA15:AC15)</f>
        <v>#REF!</v>
      </c>
      <c r="AB38" s="326"/>
      <c r="AD38" s="326" t="e">
        <f>SUM(AD15:AF15)</f>
        <v>#REF!</v>
      </c>
      <c r="AF38" s="326" t="e">
        <f t="shared" si="43"/>
        <v>#REF!</v>
      </c>
      <c r="AG38" s="326"/>
      <c r="AH38" s="326"/>
      <c r="AI38" s="326" t="e">
        <f t="shared" si="43"/>
        <v>#REF!</v>
      </c>
      <c r="AJ38" s="326"/>
      <c r="AK38" s="326"/>
      <c r="AL38" s="326" t="e">
        <f t="shared" si="43"/>
        <v>#REF!</v>
      </c>
      <c r="AM38" s="326"/>
      <c r="AN38" s="326"/>
      <c r="AO38" s="326" t="e">
        <f t="shared" si="43"/>
        <v>#REF!</v>
      </c>
      <c r="AP38" s="326"/>
      <c r="AQ38" s="326"/>
      <c r="AR38" s="325" t="e">
        <f t="shared" si="44"/>
        <v>#REF!</v>
      </c>
      <c r="AT38" s="327" t="e">
        <f t="shared" si="49"/>
        <v>#REF!</v>
      </c>
      <c r="AU38" s="327"/>
      <c r="AV38" s="327"/>
      <c r="AW38" s="327" t="e">
        <f t="shared" si="45"/>
        <v>#REF!</v>
      </c>
      <c r="AX38" s="327"/>
      <c r="AY38" s="327"/>
      <c r="AZ38" s="327" t="e">
        <f t="shared" si="46"/>
        <v>#REF!</v>
      </c>
      <c r="BA38" s="327"/>
      <c r="BB38" s="327"/>
      <c r="BC38" s="327" t="e">
        <f t="shared" si="47"/>
        <v>#REF!</v>
      </c>
      <c r="BD38" s="327"/>
      <c r="BE38" s="327"/>
      <c r="BF38" s="327" t="e">
        <f t="shared" si="48"/>
        <v>#REF!</v>
      </c>
    </row>
    <row r="39" spans="2:58">
      <c r="C39" s="319" t="s">
        <v>63</v>
      </c>
      <c r="D39" s="326" t="e">
        <f>SUM(D16:F16)</f>
        <v>#REF!</v>
      </c>
      <c r="G39" s="326" t="e">
        <f>SUM(G16:I16)</f>
        <v>#REF!</v>
      </c>
      <c r="J39" s="326" t="e">
        <f>SUM(J16:L16)</f>
        <v>#REF!</v>
      </c>
      <c r="M39" s="326" t="e">
        <f>SUM(M16:O16)</f>
        <v>#REF!</v>
      </c>
      <c r="P39" s="325" t="e">
        <f t="shared" si="42"/>
        <v>#REF!</v>
      </c>
      <c r="R39" s="326" t="e">
        <f>SUM(R16:T16)</f>
        <v>#REF!</v>
      </c>
      <c r="U39" s="326" t="e">
        <f>SUM(U16:W16)</f>
        <v>#REF!</v>
      </c>
      <c r="X39" s="326" t="e">
        <f>SUM(X16:Z16)</f>
        <v>#REF!</v>
      </c>
      <c r="AA39" s="326" t="e">
        <f>SUM(AA16:AC16)</f>
        <v>#REF!</v>
      </c>
      <c r="AB39" s="326"/>
      <c r="AD39" s="326" t="e">
        <f>SUM(AD16:AF16)</f>
        <v>#REF!</v>
      </c>
      <c r="AF39" s="326" t="e">
        <f>R39-D39</f>
        <v>#REF!</v>
      </c>
      <c r="AG39" s="326"/>
      <c r="AH39" s="326"/>
      <c r="AI39" s="326" t="e">
        <f t="shared" si="43"/>
        <v>#REF!</v>
      </c>
      <c r="AJ39" s="326"/>
      <c r="AK39" s="326"/>
      <c r="AL39" s="326" t="e">
        <f t="shared" si="43"/>
        <v>#REF!</v>
      </c>
      <c r="AM39" s="326"/>
      <c r="AN39" s="326"/>
      <c r="AO39" s="326" t="e">
        <f t="shared" si="43"/>
        <v>#REF!</v>
      </c>
      <c r="AP39" s="326"/>
      <c r="AQ39" s="326"/>
      <c r="AR39" s="325" t="e">
        <f>SUM(AF39:AQ39)</f>
        <v>#REF!</v>
      </c>
      <c r="AT39" s="327" t="e">
        <f t="shared" si="49"/>
        <v>#REF!</v>
      </c>
      <c r="AU39" s="327"/>
      <c r="AV39" s="327"/>
      <c r="AW39" s="327" t="e">
        <f t="shared" si="45"/>
        <v>#REF!</v>
      </c>
      <c r="AX39" s="327"/>
      <c r="AY39" s="327"/>
      <c r="AZ39" s="327" t="e">
        <f t="shared" si="46"/>
        <v>#REF!</v>
      </c>
      <c r="BA39" s="327"/>
      <c r="BB39" s="327"/>
      <c r="BC39" s="327" t="e">
        <f t="shared" si="47"/>
        <v>#REF!</v>
      </c>
      <c r="BD39" s="327"/>
      <c r="BE39" s="327"/>
      <c r="BF39" s="327" t="e">
        <f t="shared" si="48"/>
        <v>#REF!</v>
      </c>
    </row>
    <row r="40" spans="2:58">
      <c r="C40" s="318" t="s">
        <v>47</v>
      </c>
      <c r="D40" s="325" t="e">
        <f>SUM(D36:D39)</f>
        <v>#REF!</v>
      </c>
      <c r="G40" s="325" t="e">
        <f>SUM(G36:G39)</f>
        <v>#REF!</v>
      </c>
      <c r="J40" s="325" t="e">
        <f>SUM(J36:J39)</f>
        <v>#REF!</v>
      </c>
      <c r="M40" s="325" t="e">
        <f>SUM(M36:M39)</f>
        <v>#REF!</v>
      </c>
      <c r="P40" s="325" t="e">
        <f>SUM(P36:P39)</f>
        <v>#REF!</v>
      </c>
      <c r="R40" s="325" t="e">
        <f>SUM(R36:R39)</f>
        <v>#REF!</v>
      </c>
      <c r="U40" s="325" t="e">
        <f>SUM(U36:U39)</f>
        <v>#REF!</v>
      </c>
      <c r="X40" s="325" t="e">
        <f>SUM(X36:X39)</f>
        <v>#REF!</v>
      </c>
      <c r="AA40" s="325" t="e">
        <f>SUM(AA36:AA39)</f>
        <v>#REF!</v>
      </c>
      <c r="AB40" s="325"/>
      <c r="AD40" s="325" t="e">
        <f>SUM(AD36:AD39)</f>
        <v>#REF!</v>
      </c>
      <c r="AF40" s="325" t="e">
        <f>SUM(AF36:AF38)</f>
        <v>#REF!</v>
      </c>
      <c r="AI40" s="325" t="e">
        <f>SUM(AI36:AI38)</f>
        <v>#REF!</v>
      </c>
      <c r="AL40" s="325" t="e">
        <f>SUM(AL36:AL38)</f>
        <v>#REF!</v>
      </c>
      <c r="AO40" s="325" t="e">
        <f>SUM(AO36:AO38)</f>
        <v>#REF!</v>
      </c>
      <c r="AR40" s="325" t="e">
        <f>SUM(AR36:AR38)</f>
        <v>#REF!</v>
      </c>
      <c r="AT40" s="327" t="e">
        <f t="shared" si="49"/>
        <v>#REF!</v>
      </c>
      <c r="AU40" s="327"/>
      <c r="AV40" s="327"/>
      <c r="AW40" s="327" t="e">
        <f t="shared" si="45"/>
        <v>#REF!</v>
      </c>
      <c r="AX40" s="327"/>
      <c r="AY40" s="327"/>
      <c r="AZ40" s="327" t="e">
        <f t="shared" si="46"/>
        <v>#REF!</v>
      </c>
      <c r="BA40" s="327"/>
      <c r="BB40" s="327"/>
      <c r="BC40" s="327" t="e">
        <f t="shared" si="47"/>
        <v>#REF!</v>
      </c>
      <c r="BD40" s="327"/>
      <c r="BE40" s="327"/>
      <c r="BF40" s="327" t="e">
        <f t="shared" si="48"/>
        <v>#REF!</v>
      </c>
    </row>
    <row r="41" spans="2:58">
      <c r="AD41" s="318"/>
      <c r="AR41" s="318"/>
    </row>
    <row r="42" spans="2:58">
      <c r="B42" s="319" t="s">
        <v>76</v>
      </c>
      <c r="AD42" s="318"/>
      <c r="AR42" s="318"/>
    </row>
    <row r="43" spans="2:58">
      <c r="C43" s="319" t="s">
        <v>71</v>
      </c>
      <c r="D43" s="326" t="e">
        <f>D29+D36</f>
        <v>#REF!</v>
      </c>
      <c r="G43" s="326" t="e">
        <f>G29+G36</f>
        <v>#REF!</v>
      </c>
      <c r="J43" s="326" t="e">
        <f>J29+J36</f>
        <v>#REF!</v>
      </c>
      <c r="M43" s="326" t="e">
        <f>M29+M36</f>
        <v>#REF!</v>
      </c>
      <c r="P43" s="325" t="e">
        <f t="shared" ref="P43:P47" si="50">SUM(D43:O43)</f>
        <v>#REF!</v>
      </c>
      <c r="R43" s="326" t="e">
        <f>SUM(R20:T20)</f>
        <v>#REF!</v>
      </c>
      <c r="U43" s="326" t="e">
        <f>SUM(U20:W20)</f>
        <v>#REF!</v>
      </c>
      <c r="X43" s="326" t="e">
        <f>SUM(X20:Z20)</f>
        <v>#REF!</v>
      </c>
      <c r="AA43" s="326" t="e">
        <f>SUM(AA20:AC20)</f>
        <v>#REF!</v>
      </c>
      <c r="AB43" s="326"/>
      <c r="AD43" s="325" t="e">
        <f t="shared" ref="AD43:AD47" si="51">SUM(R43:AC43)</f>
        <v>#REF!</v>
      </c>
      <c r="AF43" s="326" t="e">
        <f t="shared" ref="AF43:AO47" si="52">R43-D43</f>
        <v>#REF!</v>
      </c>
      <c r="AG43" s="326"/>
      <c r="AH43" s="326"/>
      <c r="AI43" s="326" t="e">
        <f t="shared" si="52"/>
        <v>#REF!</v>
      </c>
      <c r="AJ43" s="326"/>
      <c r="AK43" s="326"/>
      <c r="AL43" s="326" t="e">
        <f t="shared" si="52"/>
        <v>#REF!</v>
      </c>
      <c r="AM43" s="326"/>
      <c r="AN43" s="326"/>
      <c r="AO43" s="326" t="e">
        <f t="shared" si="52"/>
        <v>#REF!</v>
      </c>
      <c r="AP43" s="326"/>
      <c r="AQ43" s="326"/>
      <c r="AR43" s="325" t="e">
        <f t="shared" ref="AR43:AR47" si="53">SUM(AF43:AQ43)</f>
        <v>#REF!</v>
      </c>
      <c r="AT43" s="327" t="e">
        <f>R43/D43</f>
        <v>#REF!</v>
      </c>
      <c r="AU43" s="327"/>
      <c r="AV43" s="327"/>
      <c r="AW43" s="327" t="e">
        <f t="shared" ref="AW43:AW48" si="54">U43/G43</f>
        <v>#REF!</v>
      </c>
      <c r="AX43" s="327"/>
      <c r="AY43" s="327"/>
      <c r="AZ43" s="327" t="e">
        <f t="shared" ref="AZ43:AZ48" si="55">X43/J43</f>
        <v>#REF!</v>
      </c>
      <c r="BA43" s="327"/>
      <c r="BB43" s="327"/>
      <c r="BC43" s="327" t="e">
        <f t="shared" ref="BC43:BC48" si="56">AA43/M43</f>
        <v>#REF!</v>
      </c>
      <c r="BD43" s="327"/>
      <c r="BE43" s="327"/>
      <c r="BF43" s="327" t="e">
        <f t="shared" ref="BF43:BF48" si="57">AD43/P43</f>
        <v>#REF!</v>
      </c>
    </row>
    <row r="44" spans="2:58">
      <c r="C44" s="319" t="s">
        <v>72</v>
      </c>
      <c r="D44" s="326" t="e">
        <f>D30+D37</f>
        <v>#REF!</v>
      </c>
      <c r="G44" s="326" t="e">
        <f>G30+G37</f>
        <v>#REF!</v>
      </c>
      <c r="J44" s="326" t="e">
        <f>J30+J37</f>
        <v>#REF!</v>
      </c>
      <c r="M44" s="326" t="e">
        <f>M30+M37</f>
        <v>#REF!</v>
      </c>
      <c r="P44" s="325" t="e">
        <f t="shared" si="50"/>
        <v>#REF!</v>
      </c>
      <c r="R44" s="326" t="e">
        <f>SUM(R21:T21)</f>
        <v>#REF!</v>
      </c>
      <c r="U44" s="326" t="e">
        <f>SUM(U21:W21)</f>
        <v>#REF!</v>
      </c>
      <c r="X44" s="326" t="e">
        <f>SUM(X21:Z21)</f>
        <v>#REF!</v>
      </c>
      <c r="AA44" s="326" t="e">
        <f>SUM(AA21:AC21)</f>
        <v>#REF!</v>
      </c>
      <c r="AB44" s="326"/>
      <c r="AD44" s="325" t="e">
        <f t="shared" si="51"/>
        <v>#REF!</v>
      </c>
      <c r="AF44" s="326" t="e">
        <f t="shared" si="52"/>
        <v>#REF!</v>
      </c>
      <c r="AG44" s="326"/>
      <c r="AH44" s="326"/>
      <c r="AI44" s="326" t="e">
        <f t="shared" si="52"/>
        <v>#REF!</v>
      </c>
      <c r="AJ44" s="326"/>
      <c r="AK44" s="326"/>
      <c r="AL44" s="326" t="e">
        <f t="shared" si="52"/>
        <v>#REF!</v>
      </c>
      <c r="AM44" s="326"/>
      <c r="AN44" s="326"/>
      <c r="AO44" s="326" t="e">
        <f t="shared" si="52"/>
        <v>#REF!</v>
      </c>
      <c r="AP44" s="326"/>
      <c r="AQ44" s="326"/>
      <c r="AR44" s="325" t="e">
        <f t="shared" si="53"/>
        <v>#REF!</v>
      </c>
      <c r="AT44" s="327" t="e">
        <f t="shared" ref="AT44:AT48" si="58">R44/D44</f>
        <v>#REF!</v>
      </c>
      <c r="AU44" s="327"/>
      <c r="AV44" s="327"/>
      <c r="AW44" s="327" t="e">
        <f t="shared" si="54"/>
        <v>#REF!</v>
      </c>
      <c r="AX44" s="327"/>
      <c r="AY44" s="327"/>
      <c r="AZ44" s="327" t="e">
        <f t="shared" si="55"/>
        <v>#REF!</v>
      </c>
      <c r="BA44" s="327"/>
      <c r="BB44" s="327"/>
      <c r="BC44" s="327" t="e">
        <f t="shared" si="56"/>
        <v>#REF!</v>
      </c>
      <c r="BD44" s="327"/>
      <c r="BE44" s="327"/>
      <c r="BF44" s="327" t="e">
        <f t="shared" si="57"/>
        <v>#REF!</v>
      </c>
    </row>
    <row r="45" spans="2:58">
      <c r="C45" s="319" t="s">
        <v>73</v>
      </c>
      <c r="D45" s="326">
        <f>D31</f>
        <v>2184997111.3965187</v>
      </c>
      <c r="G45" s="326">
        <f>G31</f>
        <v>2655961184.8361378</v>
      </c>
      <c r="J45" s="326">
        <f>J31</f>
        <v>2941570557.3125858</v>
      </c>
      <c r="M45" s="326">
        <f>M31</f>
        <v>3217471146.4547582</v>
      </c>
      <c r="P45" s="325">
        <f t="shared" si="50"/>
        <v>11000000000</v>
      </c>
      <c r="R45" s="326">
        <f>SUM(R22:T22)</f>
        <v>2015989875</v>
      </c>
      <c r="U45" s="326">
        <f>SUM(U22:W22)</f>
        <v>2403249084</v>
      </c>
      <c r="X45" s="326">
        <f>SUM(X22:Z22)</f>
        <v>1718435085</v>
      </c>
      <c r="AA45" s="326">
        <f>SUM(AA22:AC22)</f>
        <v>0</v>
      </c>
      <c r="AB45" s="326"/>
      <c r="AD45" s="325">
        <f t="shared" si="51"/>
        <v>6137674044</v>
      </c>
      <c r="AF45" s="326">
        <f t="shared" si="52"/>
        <v>-169007236.39651871</v>
      </c>
      <c r="AG45" s="326"/>
      <c r="AH45" s="326"/>
      <c r="AI45" s="326">
        <f t="shared" si="52"/>
        <v>-252712100.83613777</v>
      </c>
      <c r="AJ45" s="326"/>
      <c r="AK45" s="326"/>
      <c r="AL45" s="326">
        <f t="shared" si="52"/>
        <v>-1223135472.3125858</v>
      </c>
      <c r="AM45" s="326"/>
      <c r="AN45" s="326"/>
      <c r="AO45" s="326">
        <f t="shared" si="52"/>
        <v>-3217471146.4547582</v>
      </c>
      <c r="AP45" s="326"/>
      <c r="AQ45" s="326"/>
      <c r="AR45" s="325">
        <f t="shared" si="53"/>
        <v>-4862325956</v>
      </c>
      <c r="AT45" s="327">
        <f t="shared" si="58"/>
        <v>0.9226510481341097</v>
      </c>
      <c r="AU45" s="327"/>
      <c r="AV45" s="327"/>
      <c r="AW45" s="327">
        <f t="shared" si="54"/>
        <v>0.90485098115177121</v>
      </c>
      <c r="AX45" s="327"/>
      <c r="AY45" s="327"/>
      <c r="AZ45" s="327">
        <f t="shared" si="55"/>
        <v>0.58418965362842068</v>
      </c>
      <c r="BA45" s="327"/>
      <c r="BB45" s="327"/>
      <c r="BC45" s="327">
        <f t="shared" si="56"/>
        <v>0</v>
      </c>
      <c r="BD45" s="327"/>
      <c r="BE45" s="327"/>
      <c r="BF45" s="327">
        <f t="shared" si="57"/>
        <v>0.55797036763636365</v>
      </c>
    </row>
    <row r="46" spans="2:58">
      <c r="C46" s="319" t="s">
        <v>78</v>
      </c>
      <c r="D46" s="326" t="e">
        <f>D32+D38</f>
        <v>#REF!</v>
      </c>
      <c r="G46" s="326" t="e">
        <f>G32+G38</f>
        <v>#REF!</v>
      </c>
      <c r="J46" s="326" t="e">
        <f>J32+J38</f>
        <v>#REF!</v>
      </c>
      <c r="M46" s="326" t="e">
        <f>M32+M38</f>
        <v>#REF!</v>
      </c>
      <c r="P46" s="325" t="e">
        <f t="shared" si="50"/>
        <v>#REF!</v>
      </c>
      <c r="R46" s="326" t="e">
        <f t="shared" ref="R46:R47" si="59">SUM(R23:T23)</f>
        <v>#REF!</v>
      </c>
      <c r="U46" s="326" t="e">
        <f t="shared" ref="U46:U47" si="60">SUM(U23:W23)</f>
        <v>#REF!</v>
      </c>
      <c r="X46" s="326" t="e">
        <f t="shared" ref="X46:X47" si="61">SUM(X23:Z23)</f>
        <v>#REF!</v>
      </c>
      <c r="AA46" s="326" t="e">
        <f t="shared" ref="AA46:AA47" si="62">SUM(AA23:AC23)</f>
        <v>#REF!</v>
      </c>
      <c r="AB46" s="326"/>
      <c r="AD46" s="325" t="e">
        <f t="shared" si="51"/>
        <v>#REF!</v>
      </c>
      <c r="AF46" s="326" t="e">
        <f t="shared" si="52"/>
        <v>#REF!</v>
      </c>
      <c r="AG46" s="326"/>
      <c r="AH46" s="326"/>
      <c r="AI46" s="326" t="e">
        <f t="shared" si="52"/>
        <v>#REF!</v>
      </c>
      <c r="AJ46" s="326"/>
      <c r="AK46" s="326"/>
      <c r="AL46" s="326" t="e">
        <f t="shared" si="52"/>
        <v>#REF!</v>
      </c>
      <c r="AM46" s="326"/>
      <c r="AN46" s="326"/>
      <c r="AO46" s="326" t="e">
        <f t="shared" si="52"/>
        <v>#REF!</v>
      </c>
      <c r="AP46" s="326"/>
      <c r="AQ46" s="326"/>
      <c r="AR46" s="325" t="e">
        <f t="shared" si="53"/>
        <v>#REF!</v>
      </c>
      <c r="AT46" s="327" t="e">
        <f t="shared" si="58"/>
        <v>#REF!</v>
      </c>
      <c r="AU46" s="327"/>
      <c r="AV46" s="327"/>
      <c r="AW46" s="327" t="e">
        <f t="shared" si="54"/>
        <v>#REF!</v>
      </c>
      <c r="AX46" s="327"/>
      <c r="AY46" s="327"/>
      <c r="AZ46" s="327" t="e">
        <f t="shared" si="55"/>
        <v>#REF!</v>
      </c>
      <c r="BA46" s="327"/>
      <c r="BB46" s="327"/>
      <c r="BC46" s="327" t="e">
        <f t="shared" si="56"/>
        <v>#REF!</v>
      </c>
      <c r="BD46" s="327"/>
      <c r="BE46" s="327"/>
      <c r="BF46" s="327" t="e">
        <f t="shared" si="57"/>
        <v>#REF!</v>
      </c>
    </row>
    <row r="47" spans="2:58">
      <c r="C47" s="319" t="s">
        <v>63</v>
      </c>
      <c r="D47" s="326" t="e">
        <f>D39</f>
        <v>#REF!</v>
      </c>
      <c r="G47" s="326" t="e">
        <f>G39</f>
        <v>#REF!</v>
      </c>
      <c r="J47" s="326" t="e">
        <f>J39</f>
        <v>#REF!</v>
      </c>
      <c r="M47" s="326" t="e">
        <f>M39</f>
        <v>#REF!</v>
      </c>
      <c r="P47" s="325" t="e">
        <f t="shared" si="50"/>
        <v>#REF!</v>
      </c>
      <c r="R47" s="326" t="e">
        <f t="shared" si="59"/>
        <v>#REF!</v>
      </c>
      <c r="U47" s="326" t="e">
        <f t="shared" si="60"/>
        <v>#REF!</v>
      </c>
      <c r="X47" s="326" t="e">
        <f t="shared" si="61"/>
        <v>#REF!</v>
      </c>
      <c r="AA47" s="326" t="e">
        <f t="shared" si="62"/>
        <v>#REF!</v>
      </c>
      <c r="AB47" s="326"/>
      <c r="AD47" s="325" t="e">
        <f t="shared" si="51"/>
        <v>#REF!</v>
      </c>
      <c r="AF47" s="326" t="e">
        <f t="shared" si="52"/>
        <v>#REF!</v>
      </c>
      <c r="AG47" s="326"/>
      <c r="AH47" s="326"/>
      <c r="AI47" s="326" t="e">
        <f t="shared" si="52"/>
        <v>#REF!</v>
      </c>
      <c r="AJ47" s="326"/>
      <c r="AK47" s="326"/>
      <c r="AL47" s="326" t="e">
        <f t="shared" si="52"/>
        <v>#REF!</v>
      </c>
      <c r="AM47" s="326"/>
      <c r="AN47" s="326"/>
      <c r="AO47" s="326" t="e">
        <f t="shared" si="52"/>
        <v>#REF!</v>
      </c>
      <c r="AP47" s="326"/>
      <c r="AQ47" s="326"/>
      <c r="AR47" s="325" t="e">
        <f t="shared" si="53"/>
        <v>#REF!</v>
      </c>
      <c r="AT47" s="327" t="e">
        <f t="shared" si="58"/>
        <v>#REF!</v>
      </c>
      <c r="AU47" s="327"/>
      <c r="AV47" s="327"/>
      <c r="AW47" s="327" t="e">
        <f t="shared" si="54"/>
        <v>#REF!</v>
      </c>
      <c r="AX47" s="327"/>
      <c r="AY47" s="327"/>
      <c r="AZ47" s="327" t="e">
        <f t="shared" si="55"/>
        <v>#REF!</v>
      </c>
      <c r="BA47" s="327"/>
      <c r="BB47" s="327"/>
      <c r="BC47" s="327" t="e">
        <f t="shared" si="56"/>
        <v>#REF!</v>
      </c>
      <c r="BD47" s="327"/>
      <c r="BE47" s="327"/>
      <c r="BF47" s="327" t="e">
        <f t="shared" si="57"/>
        <v>#REF!</v>
      </c>
    </row>
    <row r="48" spans="2:58">
      <c r="C48" s="318" t="s">
        <v>47</v>
      </c>
      <c r="D48" s="325" t="e">
        <f>SUM(D43:D47)</f>
        <v>#REF!</v>
      </c>
      <c r="G48" s="325" t="e">
        <f>SUM(G43:G47)</f>
        <v>#REF!</v>
      </c>
      <c r="J48" s="325" t="e">
        <f>SUM(J43:J47)</f>
        <v>#REF!</v>
      </c>
      <c r="M48" s="325" t="e">
        <f>SUM(M43:M47)</f>
        <v>#REF!</v>
      </c>
      <c r="P48" s="325" t="e">
        <f>SUM(P43:P47)</f>
        <v>#REF!</v>
      </c>
      <c r="R48" s="325" t="e">
        <f>SUM(R43:R47)</f>
        <v>#REF!</v>
      </c>
      <c r="U48" s="325" t="e">
        <f>SUM(U43:U47)</f>
        <v>#REF!</v>
      </c>
      <c r="X48" s="325" t="e">
        <f>SUM(X43:X47)</f>
        <v>#REF!</v>
      </c>
      <c r="AA48" s="325" t="e">
        <f>SUM(AA43:AA47)</f>
        <v>#REF!</v>
      </c>
      <c r="AB48" s="325"/>
      <c r="AD48" s="325" t="e">
        <f>SUM(AD43:AD47)</f>
        <v>#REF!</v>
      </c>
      <c r="AF48" s="325" t="e">
        <f>SUM(AF43:AF47)</f>
        <v>#REF!</v>
      </c>
      <c r="AI48" s="325" t="e">
        <f>SUM(AI43:AI47)</f>
        <v>#REF!</v>
      </c>
      <c r="AL48" s="325" t="e">
        <f>SUM(AL43:AL47)</f>
        <v>#REF!</v>
      </c>
      <c r="AO48" s="325" t="e">
        <f>SUM(AO43:AO47)</f>
        <v>#REF!</v>
      </c>
      <c r="AR48" s="325" t="e">
        <f>SUM(AR43:AR47)</f>
        <v>#REF!</v>
      </c>
      <c r="AT48" s="327" t="e">
        <f t="shared" si="58"/>
        <v>#REF!</v>
      </c>
      <c r="AU48" s="327"/>
      <c r="AV48" s="327"/>
      <c r="AW48" s="327" t="e">
        <f t="shared" si="54"/>
        <v>#REF!</v>
      </c>
      <c r="AX48" s="327"/>
      <c r="AY48" s="327"/>
      <c r="AZ48" s="327" t="e">
        <f t="shared" si="55"/>
        <v>#REF!</v>
      </c>
      <c r="BA48" s="327"/>
      <c r="BB48" s="327"/>
      <c r="BC48" s="327" t="e">
        <f t="shared" si="56"/>
        <v>#REF!</v>
      </c>
      <c r="BD48" s="327"/>
      <c r="BE48" s="327"/>
      <c r="BF48" s="327" t="e">
        <f t="shared" si="57"/>
        <v>#REF!</v>
      </c>
    </row>
    <row r="50" spans="1:58">
      <c r="R50" s="326"/>
    </row>
    <row r="51" spans="1:58">
      <c r="A51" s="318" t="s">
        <v>79</v>
      </c>
      <c r="D51" s="323"/>
      <c r="E51" s="323"/>
      <c r="F51" s="323"/>
      <c r="G51" s="323"/>
      <c r="H51" s="323"/>
      <c r="I51" s="323"/>
      <c r="J51" s="323"/>
      <c r="K51" s="323"/>
      <c r="L51" s="323"/>
      <c r="M51" s="323"/>
      <c r="N51" s="323"/>
      <c r="O51" s="323"/>
      <c r="P51" s="323"/>
      <c r="R51" s="323"/>
      <c r="S51" s="323"/>
      <c r="T51" s="323"/>
      <c r="U51" s="323"/>
      <c r="V51" s="323"/>
      <c r="W51" s="323"/>
      <c r="X51" s="323"/>
      <c r="Y51" s="323"/>
      <c r="Z51" s="323"/>
      <c r="AA51" s="323"/>
      <c r="AB51" s="323"/>
      <c r="AC51" s="323"/>
      <c r="AD51" s="323"/>
      <c r="AR51" s="323"/>
    </row>
    <row r="52" spans="1:58">
      <c r="B52" s="319" t="s">
        <v>70</v>
      </c>
    </row>
    <row r="53" spans="1:58">
      <c r="C53" s="319" t="s">
        <v>71</v>
      </c>
      <c r="D53" s="332">
        <f>'2018 VN YouTube View'!D24</f>
        <v>0</v>
      </c>
      <c r="E53" s="332">
        <f>'2018 VN YouTube View'!E24</f>
        <v>0</v>
      </c>
      <c r="F53" s="332">
        <f>'2018 VN YouTube View'!F24</f>
        <v>0</v>
      </c>
      <c r="G53" s="332">
        <f>'2018 VN YouTube View'!G24</f>
        <v>0</v>
      </c>
      <c r="H53" s="332">
        <f>'2018 VN YouTube View'!H24</f>
        <v>0</v>
      </c>
      <c r="I53" s="332">
        <f>'2018 VN YouTube View'!I24</f>
        <v>0</v>
      </c>
      <c r="J53" s="332">
        <f>'2018 VN YouTube View'!J24</f>
        <v>0</v>
      </c>
      <c r="K53" s="332">
        <f>'2018 VN YouTube View'!K24</f>
        <v>0</v>
      </c>
      <c r="L53" s="332">
        <f>'2018 VN YouTube View'!L24</f>
        <v>0</v>
      </c>
      <c r="M53" s="332">
        <f>'2018 VN YouTube View'!M24</f>
        <v>0</v>
      </c>
      <c r="N53" s="332">
        <f>'2018 VN YouTube View'!N24</f>
        <v>0</v>
      </c>
      <c r="O53" s="332">
        <f>'2018 VN YouTube View'!O24</f>
        <v>0</v>
      </c>
      <c r="P53" s="333">
        <f>SUM(D53:O53)</f>
        <v>0</v>
      </c>
      <c r="R53" s="332">
        <f>'2018 VN YouTube View'!R24</f>
        <v>0</v>
      </c>
      <c r="S53" s="332">
        <f>'2018 VN YouTube View'!S24</f>
        <v>0</v>
      </c>
      <c r="T53" s="332">
        <f>'2018 VN YouTube View'!T24</f>
        <v>0</v>
      </c>
      <c r="U53" s="332">
        <f>'2018 VN YouTube View'!U24</f>
        <v>0</v>
      </c>
      <c r="V53" s="332">
        <f>'2018 VN YouTube View'!V24</f>
        <v>0</v>
      </c>
      <c r="W53" s="332">
        <f>'2018 VN YouTube View'!W24</f>
        <v>0</v>
      </c>
      <c r="X53" s="332">
        <f>'2018 VN YouTube View'!X24</f>
        <v>0</v>
      </c>
      <c r="Y53" s="332">
        <f>'2018 VN YouTube View'!Y24</f>
        <v>0</v>
      </c>
      <c r="Z53" s="332">
        <f>'2018 VN YouTube View'!Z24</f>
        <v>0</v>
      </c>
      <c r="AA53" s="332">
        <f>'2018 VN YouTube View'!AA24</f>
        <v>0</v>
      </c>
      <c r="AB53" s="332">
        <f>'2018 VN YouTube View'!AB24</f>
        <v>0</v>
      </c>
      <c r="AC53" s="332">
        <f>'2018 VN YouTube View'!AC24</f>
        <v>0</v>
      </c>
      <c r="AD53" s="325">
        <f>SUM(R53:AC53)</f>
        <v>0</v>
      </c>
      <c r="AF53" s="326">
        <f>R53-D53</f>
        <v>0</v>
      </c>
      <c r="AG53" s="326">
        <f t="shared" ref="AG53:AQ56" si="63">S53-E53</f>
        <v>0</v>
      </c>
      <c r="AH53" s="326">
        <f t="shared" si="63"/>
        <v>0</v>
      </c>
      <c r="AI53" s="326">
        <f t="shared" si="63"/>
        <v>0</v>
      </c>
      <c r="AJ53" s="326">
        <f t="shared" si="63"/>
        <v>0</v>
      </c>
      <c r="AK53" s="326">
        <f t="shared" si="63"/>
        <v>0</v>
      </c>
      <c r="AL53" s="326">
        <f t="shared" si="63"/>
        <v>0</v>
      </c>
      <c r="AM53" s="326">
        <f t="shared" si="63"/>
        <v>0</v>
      </c>
      <c r="AN53" s="326">
        <f t="shared" si="63"/>
        <v>0</v>
      </c>
      <c r="AO53" s="326">
        <f t="shared" si="63"/>
        <v>0</v>
      </c>
      <c r="AP53" s="326">
        <f t="shared" si="63"/>
        <v>0</v>
      </c>
      <c r="AQ53" s="326">
        <f t="shared" si="63"/>
        <v>0</v>
      </c>
      <c r="AR53" s="325">
        <f>SUM(AF53:AQ53)</f>
        <v>0</v>
      </c>
      <c r="AT53" s="327" t="e">
        <f>R53/D53</f>
        <v>#DIV/0!</v>
      </c>
      <c r="AU53" s="327" t="e">
        <f t="shared" ref="AU53:BF57" si="64">S53/E53</f>
        <v>#DIV/0!</v>
      </c>
      <c r="AV53" s="327" t="e">
        <f t="shared" si="64"/>
        <v>#DIV/0!</v>
      </c>
      <c r="AW53" s="327" t="e">
        <f t="shared" si="64"/>
        <v>#DIV/0!</v>
      </c>
      <c r="AX53" s="327" t="e">
        <f t="shared" si="64"/>
        <v>#DIV/0!</v>
      </c>
      <c r="AY53" s="327" t="e">
        <f t="shared" si="64"/>
        <v>#DIV/0!</v>
      </c>
      <c r="AZ53" s="327" t="e">
        <f t="shared" si="64"/>
        <v>#DIV/0!</v>
      </c>
      <c r="BA53" s="327" t="e">
        <f t="shared" si="64"/>
        <v>#DIV/0!</v>
      </c>
      <c r="BB53" s="327" t="e">
        <f t="shared" si="64"/>
        <v>#DIV/0!</v>
      </c>
      <c r="BC53" s="327" t="e">
        <f t="shared" si="64"/>
        <v>#DIV/0!</v>
      </c>
      <c r="BD53" s="327" t="e">
        <f t="shared" si="64"/>
        <v>#DIV/0!</v>
      </c>
      <c r="BE53" s="327" t="e">
        <f t="shared" si="64"/>
        <v>#DIV/0!</v>
      </c>
      <c r="BF53" s="327" t="e">
        <f t="shared" si="64"/>
        <v>#DIV/0!</v>
      </c>
    </row>
    <row r="54" spans="1:58">
      <c r="C54" s="319" t="s">
        <v>72</v>
      </c>
      <c r="D54" s="332">
        <f>'2018 VN YouTube View'!D28</f>
        <v>0</v>
      </c>
      <c r="E54" s="332">
        <f>'2018 VN YouTube View'!E28</f>
        <v>0</v>
      </c>
      <c r="F54" s="332">
        <f>'2018 VN YouTube View'!F28</f>
        <v>0</v>
      </c>
      <c r="G54" s="332">
        <f>'2018 VN YouTube View'!G28</f>
        <v>0</v>
      </c>
      <c r="H54" s="332">
        <f>'2018 VN YouTube View'!H28</f>
        <v>0</v>
      </c>
      <c r="I54" s="332">
        <f>'2018 VN YouTube View'!I28</f>
        <v>0</v>
      </c>
      <c r="J54" s="332">
        <f>'2018 VN YouTube View'!J28</f>
        <v>0</v>
      </c>
      <c r="K54" s="332">
        <f>'2018 VN YouTube View'!K28</f>
        <v>0</v>
      </c>
      <c r="L54" s="332">
        <f>'2018 VN YouTube View'!L28</f>
        <v>0</v>
      </c>
      <c r="M54" s="332">
        <f>'2018 VN YouTube View'!M28</f>
        <v>0</v>
      </c>
      <c r="N54" s="332">
        <f>'2018 VN YouTube View'!N28</f>
        <v>0</v>
      </c>
      <c r="O54" s="332">
        <f>'2018 VN YouTube View'!O28</f>
        <v>0</v>
      </c>
      <c r="P54" s="333">
        <f>SUM(D54:O54)</f>
        <v>0</v>
      </c>
      <c r="R54" s="332">
        <f>'2018 VN YouTube View'!R28</f>
        <v>0</v>
      </c>
      <c r="S54" s="332">
        <f>'2018 VN YouTube View'!S28</f>
        <v>0</v>
      </c>
      <c r="T54" s="332">
        <f>'2018 VN YouTube View'!T28</f>
        <v>0</v>
      </c>
      <c r="U54" s="332">
        <f>'2018 VN YouTube View'!U28</f>
        <v>0</v>
      </c>
      <c r="V54" s="332">
        <f>'2018 VN YouTube View'!V28</f>
        <v>0</v>
      </c>
      <c r="W54" s="332">
        <f>'2018 VN YouTube View'!W28</f>
        <v>0</v>
      </c>
      <c r="X54" s="332">
        <f>'2018 VN YouTube View'!X28</f>
        <v>0</v>
      </c>
      <c r="Y54" s="332">
        <f>'2018 VN YouTube View'!Y28</f>
        <v>0</v>
      </c>
      <c r="Z54" s="332">
        <f>'2018 VN YouTube View'!Z28</f>
        <v>0</v>
      </c>
      <c r="AA54" s="332">
        <f>'2018 VN YouTube View'!AA28</f>
        <v>0</v>
      </c>
      <c r="AB54" s="332">
        <f>'2018 VN YouTube View'!AB28</f>
        <v>0</v>
      </c>
      <c r="AC54" s="332">
        <f>'2018 VN YouTube View'!AC28</f>
        <v>0</v>
      </c>
      <c r="AD54" s="325">
        <f>SUM(R54:AC54)</f>
        <v>0</v>
      </c>
      <c r="AF54" s="326">
        <f>R54-D54</f>
        <v>0</v>
      </c>
      <c r="AG54" s="326">
        <f t="shared" si="63"/>
        <v>0</v>
      </c>
      <c r="AH54" s="326">
        <f t="shared" si="63"/>
        <v>0</v>
      </c>
      <c r="AI54" s="326">
        <f t="shared" si="63"/>
        <v>0</v>
      </c>
      <c r="AJ54" s="326">
        <f t="shared" si="63"/>
        <v>0</v>
      </c>
      <c r="AK54" s="326">
        <f t="shared" si="63"/>
        <v>0</v>
      </c>
      <c r="AL54" s="326">
        <f t="shared" si="63"/>
        <v>0</v>
      </c>
      <c r="AM54" s="326">
        <f t="shared" si="63"/>
        <v>0</v>
      </c>
      <c r="AN54" s="326">
        <f t="shared" si="63"/>
        <v>0</v>
      </c>
      <c r="AO54" s="326">
        <f t="shared" si="63"/>
        <v>0</v>
      </c>
      <c r="AP54" s="326">
        <f t="shared" si="63"/>
        <v>0</v>
      </c>
      <c r="AQ54" s="326">
        <f t="shared" si="63"/>
        <v>0</v>
      </c>
      <c r="AR54" s="325">
        <f>SUM(AF54:AQ54)</f>
        <v>0</v>
      </c>
      <c r="AT54" s="327" t="e">
        <f t="shared" ref="AT54:AT57" si="65">R54/D54</f>
        <v>#DIV/0!</v>
      </c>
      <c r="AU54" s="327" t="e">
        <f t="shared" si="64"/>
        <v>#DIV/0!</v>
      </c>
      <c r="AV54" s="327" t="e">
        <f t="shared" si="64"/>
        <v>#DIV/0!</v>
      </c>
      <c r="AW54" s="327" t="e">
        <f t="shared" si="64"/>
        <v>#DIV/0!</v>
      </c>
      <c r="AX54" s="327" t="e">
        <f t="shared" si="64"/>
        <v>#DIV/0!</v>
      </c>
      <c r="AY54" s="327" t="e">
        <f t="shared" si="64"/>
        <v>#DIV/0!</v>
      </c>
      <c r="AZ54" s="327" t="e">
        <f t="shared" si="64"/>
        <v>#DIV/0!</v>
      </c>
      <c r="BA54" s="327" t="e">
        <f t="shared" si="64"/>
        <v>#DIV/0!</v>
      </c>
      <c r="BB54" s="327" t="e">
        <f t="shared" si="64"/>
        <v>#DIV/0!</v>
      </c>
      <c r="BC54" s="327" t="e">
        <f t="shared" si="64"/>
        <v>#DIV/0!</v>
      </c>
      <c r="BD54" s="327" t="e">
        <f t="shared" si="64"/>
        <v>#DIV/0!</v>
      </c>
      <c r="BE54" s="327" t="e">
        <f t="shared" si="64"/>
        <v>#DIV/0!</v>
      </c>
      <c r="BF54" s="327" t="e">
        <f t="shared" si="64"/>
        <v>#DIV/0!</v>
      </c>
    </row>
    <row r="55" spans="1:58">
      <c r="C55" s="319" t="s">
        <v>73</v>
      </c>
      <c r="D55" s="332">
        <f>'2018 VN YouTube View'!D32</f>
        <v>154793.67520307176</v>
      </c>
      <c r="E55" s="332">
        <f>'2018 VN YouTube View'!E32</f>
        <v>138154.68290723464</v>
      </c>
      <c r="F55" s="332">
        <f>'2018 VN YouTube View'!F32</f>
        <v>170511.33484334385</v>
      </c>
      <c r="G55" s="332">
        <f>'2018 VN YouTube View'!G32</f>
        <v>179037.10780875894</v>
      </c>
      <c r="H55" s="332">
        <f>'2018 VN YouTube View'!H32</f>
        <v>193963.98069846816</v>
      </c>
      <c r="I55" s="332">
        <f>'2018 VN YouTube View'!I32</f>
        <v>190354.78450545273</v>
      </c>
      <c r="J55" s="332">
        <f>'2018 VN YouTube View'!J32</f>
        <v>205521.27020774028</v>
      </c>
      <c r="K55" s="332">
        <f>'2018 VN YouTube View'!K32</f>
        <v>203602.76565243295</v>
      </c>
      <c r="L55" s="332">
        <f>'2018 VN YouTube View'!L32</f>
        <v>214812.43535202442</v>
      </c>
      <c r="M55" s="332">
        <f>'2018 VN YouTube View'!M32</f>
        <v>230491.11757955499</v>
      </c>
      <c r="N55" s="332">
        <f>'2018 VN YouTube View'!N32</f>
        <v>219991.07901408401</v>
      </c>
      <c r="O55" s="332">
        <f>'2018 VN YouTube View'!O32</f>
        <v>231975.54298208351</v>
      </c>
      <c r="P55" s="333">
        <f>SUM(D55:O55)</f>
        <v>2333209.7767542498</v>
      </c>
      <c r="R55" s="332">
        <f>'2018 VN YouTube View'!R32</f>
        <v>148369.26999999999</v>
      </c>
      <c r="S55" s="332">
        <f>'2018 VN YouTube View'!S32</f>
        <v>118213.66</v>
      </c>
      <c r="T55" s="332">
        <f>'2018 VN YouTube View'!T32</f>
        <v>168146.83</v>
      </c>
      <c r="U55" s="332">
        <f>'2018 VN YouTube View'!U32</f>
        <v>170290.55000000002</v>
      </c>
      <c r="V55" s="332">
        <f>'2018 VN YouTube View'!V32</f>
        <v>206786.54000000004</v>
      </c>
      <c r="W55" s="332">
        <f>'2018 VN YouTube View'!W32</f>
        <v>232102.98000000004</v>
      </c>
      <c r="X55" s="332">
        <f>'2018 VN YouTube View'!X32</f>
        <v>204887.84</v>
      </c>
      <c r="Y55" s="332">
        <f>'2018 VN YouTube View'!Y32</f>
        <v>233306.64100001781</v>
      </c>
      <c r="Z55" s="332">
        <f>'2018 VN YouTube View'!Z32</f>
        <v>0</v>
      </c>
      <c r="AA55" s="332">
        <f>'2018 VN YouTube View'!AA32</f>
        <v>0</v>
      </c>
      <c r="AB55" s="332">
        <f>'2018 VN YouTube View'!AB32</f>
        <v>0</v>
      </c>
      <c r="AC55" s="332">
        <f>'2018 VN YouTube View'!AC32</f>
        <v>0</v>
      </c>
      <c r="AD55" s="325">
        <f>SUM(R55:AC55)</f>
        <v>1482104.3110000179</v>
      </c>
      <c r="AF55" s="326">
        <f>R55-D55</f>
        <v>-6424.4052030717721</v>
      </c>
      <c r="AG55" s="326">
        <f t="shared" si="63"/>
        <v>-19941.022907234641</v>
      </c>
      <c r="AH55" s="326">
        <f t="shared" si="63"/>
        <v>-2364.5048433438642</v>
      </c>
      <c r="AI55" s="326">
        <f t="shared" si="63"/>
        <v>-8746.5578087589238</v>
      </c>
      <c r="AJ55" s="326">
        <f t="shared" si="63"/>
        <v>12822.559301531874</v>
      </c>
      <c r="AK55" s="326">
        <f t="shared" si="63"/>
        <v>41748.195494547312</v>
      </c>
      <c r="AL55" s="326">
        <f t="shared" si="63"/>
        <v>-633.43020774028264</v>
      </c>
      <c r="AM55" s="326">
        <f t="shared" si="63"/>
        <v>29703.875347584864</v>
      </c>
      <c r="AN55" s="326">
        <f t="shared" si="63"/>
        <v>-214812.43535202442</v>
      </c>
      <c r="AO55" s="326">
        <f t="shared" si="63"/>
        <v>-230491.11757955499</v>
      </c>
      <c r="AP55" s="326">
        <f t="shared" si="63"/>
        <v>-219991.07901408401</v>
      </c>
      <c r="AQ55" s="326">
        <f t="shared" si="63"/>
        <v>-231975.54298208351</v>
      </c>
      <c r="AR55" s="325">
        <f>SUM(AF55:AQ55)</f>
        <v>-851105.46575423237</v>
      </c>
      <c r="AT55" s="327">
        <f t="shared" si="65"/>
        <v>0.95849697867407258</v>
      </c>
      <c r="AU55" s="327">
        <f t="shared" si="64"/>
        <v>0.85566162154181746</v>
      </c>
      <c r="AV55" s="327">
        <f t="shared" si="64"/>
        <v>0.9861328582905281</v>
      </c>
      <c r="AW55" s="327">
        <f t="shared" si="64"/>
        <v>0.95114667615105974</v>
      </c>
      <c r="AX55" s="327">
        <f t="shared" si="64"/>
        <v>1.0661079405328637</v>
      </c>
      <c r="AY55" s="327">
        <f t="shared" si="64"/>
        <v>1.2193178154308564</v>
      </c>
      <c r="AZ55" s="327">
        <f t="shared" si="64"/>
        <v>0.99691793356911418</v>
      </c>
      <c r="BA55" s="327">
        <f t="shared" si="64"/>
        <v>1.1458913156331672</v>
      </c>
      <c r="BB55" s="327">
        <f t="shared" si="64"/>
        <v>0</v>
      </c>
      <c r="BC55" s="327">
        <f t="shared" si="64"/>
        <v>0</v>
      </c>
      <c r="BD55" s="327">
        <f t="shared" si="64"/>
        <v>0</v>
      </c>
      <c r="BE55" s="327">
        <f t="shared" si="64"/>
        <v>0</v>
      </c>
      <c r="BF55" s="327">
        <f t="shared" si="64"/>
        <v>0.63522119861069126</v>
      </c>
    </row>
    <row r="56" spans="1:58">
      <c r="C56" s="319" t="s">
        <v>80</v>
      </c>
      <c r="D56" s="332">
        <f>'2018 VN YouTube View'!D36</f>
        <v>13882.504585231964</v>
      </c>
      <c r="E56" s="332">
        <f>'2018 VN YouTube View'!E36</f>
        <v>12390.254423605116</v>
      </c>
      <c r="F56" s="332">
        <f>'2018 VN YouTube View'!F36</f>
        <v>15292.126016720935</v>
      </c>
      <c r="G56" s="332">
        <f>'2018 VN YouTube View'!G36</f>
        <v>16056.750812467582</v>
      </c>
      <c r="H56" s="332">
        <f>'2018 VN YouTube View'!H36</f>
        <v>17395.451383164098</v>
      </c>
      <c r="I56" s="332">
        <f>'2018 VN YouTube View'!I36</f>
        <v>17071.764497166932</v>
      </c>
      <c r="J56" s="332">
        <f>'2018 VN YouTube View'!J36</f>
        <v>18431.954485728456</v>
      </c>
      <c r="K56" s="332">
        <f>'2018 VN YouTube View'!K36</f>
        <v>18259.895464254208</v>
      </c>
      <c r="L56" s="332">
        <f>'2018 VN YouTube View'!L36</f>
        <v>19265.222657366983</v>
      </c>
      <c r="M56" s="332">
        <f>'2018 VN YouTube View'!M36</f>
        <v>20671.348441437578</v>
      </c>
      <c r="N56" s="332">
        <f>'2018 VN YouTube View'!N36</f>
        <v>19729.663754779453</v>
      </c>
      <c r="O56" s="332">
        <f>'2018 VN YouTube View'!O36</f>
        <v>20804.477540091008</v>
      </c>
      <c r="P56" s="333">
        <f>SUM(D56:O56)</f>
        <v>209251.41406201434</v>
      </c>
      <c r="R56" s="332">
        <f>'2018 VN YouTube View'!R36</f>
        <v>17239.805999999997</v>
      </c>
      <c r="S56" s="332">
        <f>'2018 VN YouTube View'!S36</f>
        <v>16223.650000000001</v>
      </c>
      <c r="T56" s="332">
        <f>'2018 VN YouTube View'!T36</f>
        <v>38199.729999999996</v>
      </c>
      <c r="U56" s="332">
        <f>'2018 VN YouTube View'!U36</f>
        <v>121615.76999999999</v>
      </c>
      <c r="V56" s="332">
        <f>'2018 VN YouTube View'!V36</f>
        <v>176027.96000000002</v>
      </c>
      <c r="W56" s="332">
        <f>'2018 VN YouTube View'!W36</f>
        <v>51696.229999999996</v>
      </c>
      <c r="X56" s="332">
        <f>'2018 VN YouTube View'!X36</f>
        <v>40203.839999999997</v>
      </c>
      <c r="Y56" s="332">
        <f>'2018 VN YouTube View'!Y36</f>
        <v>42278.220999997204</v>
      </c>
      <c r="Z56" s="332">
        <f>'2018 VN YouTube View'!Z36</f>
        <v>0</v>
      </c>
      <c r="AA56" s="332">
        <f>'2018 VN YouTube View'!AA36</f>
        <v>0</v>
      </c>
      <c r="AB56" s="332">
        <f>'2018 VN YouTube View'!AB36</f>
        <v>0</v>
      </c>
      <c r="AC56" s="332">
        <f>'2018 VN YouTube View'!AC36</f>
        <v>0</v>
      </c>
      <c r="AD56" s="325">
        <f>SUM(R56:AC56)</f>
        <v>503485.20699999714</v>
      </c>
      <c r="AF56" s="326">
        <f>R56-D56</f>
        <v>3357.3014147680333</v>
      </c>
      <c r="AG56" s="326">
        <f t="shared" si="63"/>
        <v>3833.3955763948852</v>
      </c>
      <c r="AH56" s="326">
        <f t="shared" si="63"/>
        <v>22907.603983279063</v>
      </c>
      <c r="AI56" s="326">
        <f t="shared" si="63"/>
        <v>105559.01918753241</v>
      </c>
      <c r="AJ56" s="326">
        <f t="shared" si="63"/>
        <v>158632.50861683593</v>
      </c>
      <c r="AK56" s="326">
        <f t="shared" si="63"/>
        <v>34624.46550283306</v>
      </c>
      <c r="AL56" s="326">
        <f t="shared" si="63"/>
        <v>21771.88551427154</v>
      </c>
      <c r="AM56" s="326">
        <f t="shared" si="63"/>
        <v>24018.325535742995</v>
      </c>
      <c r="AN56" s="326">
        <f t="shared" si="63"/>
        <v>-19265.222657366983</v>
      </c>
      <c r="AO56" s="326">
        <f t="shared" si="63"/>
        <v>-20671.348441437578</v>
      </c>
      <c r="AP56" s="326">
        <f t="shared" si="63"/>
        <v>-19729.663754779453</v>
      </c>
      <c r="AQ56" s="326">
        <f t="shared" si="63"/>
        <v>-20804.477540091008</v>
      </c>
      <c r="AR56" s="325">
        <f>SUM(AF56:AQ56)</f>
        <v>294233.79293798289</v>
      </c>
      <c r="AT56" s="327">
        <f t="shared" si="65"/>
        <v>1.241836866982885</v>
      </c>
      <c r="AU56" s="327">
        <f t="shared" si="64"/>
        <v>1.3093879629373668</v>
      </c>
      <c r="AV56" s="327">
        <f t="shared" si="64"/>
        <v>2.497999948354539</v>
      </c>
      <c r="AW56" s="327">
        <f t="shared" si="64"/>
        <v>7.5741207807478093</v>
      </c>
      <c r="AX56" s="327">
        <f t="shared" si="64"/>
        <v>10.119194732156579</v>
      </c>
      <c r="AY56" s="327">
        <f t="shared" si="64"/>
        <v>3.0281714587018236</v>
      </c>
      <c r="AZ56" s="327">
        <f t="shared" si="64"/>
        <v>2.1812033027278326</v>
      </c>
      <c r="BA56" s="327">
        <f t="shared" si="64"/>
        <v>2.3153594215674214</v>
      </c>
      <c r="BB56" s="327">
        <f t="shared" si="64"/>
        <v>0</v>
      </c>
      <c r="BC56" s="327">
        <f t="shared" si="64"/>
        <v>0</v>
      </c>
      <c r="BD56" s="327">
        <f t="shared" si="64"/>
        <v>0</v>
      </c>
      <c r="BE56" s="327">
        <f t="shared" si="64"/>
        <v>0</v>
      </c>
      <c r="BF56" s="327">
        <f t="shared" si="64"/>
        <v>2.4061257089081503</v>
      </c>
    </row>
    <row r="57" spans="1:58">
      <c r="C57" s="318" t="s">
        <v>47</v>
      </c>
      <c r="D57" s="334">
        <f>SUM(D53:D56)</f>
        <v>168676.17978830374</v>
      </c>
      <c r="E57" s="334">
        <f t="shared" ref="E57:P57" si="66">SUM(E53:E56)</f>
        <v>150544.93733083975</v>
      </c>
      <c r="F57" s="334">
        <f t="shared" si="66"/>
        <v>185803.46086006478</v>
      </c>
      <c r="G57" s="334">
        <f t="shared" si="66"/>
        <v>195093.85862122654</v>
      </c>
      <c r="H57" s="334">
        <f t="shared" si="66"/>
        <v>211359.43208163226</v>
      </c>
      <c r="I57" s="334">
        <f t="shared" si="66"/>
        <v>207426.54900261966</v>
      </c>
      <c r="J57" s="334">
        <f t="shared" si="66"/>
        <v>223953.22469346874</v>
      </c>
      <c r="K57" s="334">
        <f t="shared" si="66"/>
        <v>221862.66111668717</v>
      </c>
      <c r="L57" s="334">
        <f t="shared" si="66"/>
        <v>234077.65800939139</v>
      </c>
      <c r="M57" s="334">
        <f t="shared" si="66"/>
        <v>251162.46602099258</v>
      </c>
      <c r="N57" s="334">
        <f t="shared" si="66"/>
        <v>239720.74276886345</v>
      </c>
      <c r="O57" s="334">
        <f t="shared" si="66"/>
        <v>252780.02052217451</v>
      </c>
      <c r="P57" s="334">
        <f t="shared" si="66"/>
        <v>2542461.1908162641</v>
      </c>
      <c r="R57" s="334">
        <f t="shared" ref="R57:AD57" si="67">SUM(R53:R56)</f>
        <v>165609.076</v>
      </c>
      <c r="S57" s="334">
        <f t="shared" si="67"/>
        <v>134437.31</v>
      </c>
      <c r="T57" s="334">
        <f t="shared" si="67"/>
        <v>206346.56</v>
      </c>
      <c r="U57" s="334">
        <f t="shared" si="67"/>
        <v>291906.32</v>
      </c>
      <c r="V57" s="334">
        <f t="shared" si="67"/>
        <v>382814.50000000006</v>
      </c>
      <c r="W57" s="334">
        <f t="shared" si="67"/>
        <v>283799.21000000002</v>
      </c>
      <c r="X57" s="334">
        <f t="shared" si="67"/>
        <v>245091.68</v>
      </c>
      <c r="Y57" s="334">
        <f t="shared" si="67"/>
        <v>275584.86200001504</v>
      </c>
      <c r="Z57" s="334">
        <f t="shared" si="67"/>
        <v>0</v>
      </c>
      <c r="AA57" s="334">
        <f t="shared" si="67"/>
        <v>0</v>
      </c>
      <c r="AB57" s="334">
        <f t="shared" si="67"/>
        <v>0</v>
      </c>
      <c r="AC57" s="334">
        <f t="shared" si="67"/>
        <v>0</v>
      </c>
      <c r="AD57" s="334">
        <f t="shared" si="67"/>
        <v>1985589.5180000151</v>
      </c>
      <c r="AF57" s="334">
        <f>SUM(AF53:AF56)</f>
        <v>-3067.1037883037388</v>
      </c>
      <c r="AG57" s="334">
        <f t="shared" ref="AG57:AR57" si="68">SUM(AG53:AG56)</f>
        <v>-16107.627330839756</v>
      </c>
      <c r="AH57" s="334">
        <f t="shared" si="68"/>
        <v>20543.099139935199</v>
      </c>
      <c r="AI57" s="334">
        <f t="shared" si="68"/>
        <v>96812.461378773485</v>
      </c>
      <c r="AJ57" s="334">
        <f t="shared" si="68"/>
        <v>171455.0679183678</v>
      </c>
      <c r="AK57" s="334">
        <f t="shared" si="68"/>
        <v>76372.660997380372</v>
      </c>
      <c r="AL57" s="334">
        <f t="shared" si="68"/>
        <v>21138.455306531258</v>
      </c>
      <c r="AM57" s="334">
        <f t="shared" si="68"/>
        <v>53722.20088332786</v>
      </c>
      <c r="AN57" s="334">
        <f t="shared" si="68"/>
        <v>-234077.65800939139</v>
      </c>
      <c r="AO57" s="334">
        <f t="shared" si="68"/>
        <v>-251162.46602099258</v>
      </c>
      <c r="AP57" s="334">
        <f t="shared" si="68"/>
        <v>-239720.74276886345</v>
      </c>
      <c r="AQ57" s="334">
        <f t="shared" si="68"/>
        <v>-252780.02052217451</v>
      </c>
      <c r="AR57" s="334">
        <f t="shared" si="68"/>
        <v>-556871.67281624954</v>
      </c>
      <c r="AT57" s="327">
        <f t="shared" si="65"/>
        <v>0.98181661576546797</v>
      </c>
      <c r="AU57" s="327">
        <f t="shared" si="64"/>
        <v>0.89300452332421254</v>
      </c>
      <c r="AV57" s="327">
        <f t="shared" si="64"/>
        <v>1.1105635979267736</v>
      </c>
      <c r="AW57" s="327">
        <f t="shared" si="64"/>
        <v>1.4962353098296868</v>
      </c>
      <c r="AX57" s="327">
        <f t="shared" si="64"/>
        <v>1.8112014033617747</v>
      </c>
      <c r="AY57" s="327">
        <f t="shared" si="64"/>
        <v>1.3681913494902518</v>
      </c>
      <c r="AZ57" s="327">
        <f t="shared" si="64"/>
        <v>1.0943878139529541</v>
      </c>
      <c r="BA57" s="327">
        <f t="shared" si="64"/>
        <v>1.2421416952854136</v>
      </c>
      <c r="BB57" s="327">
        <f t="shared" si="64"/>
        <v>0</v>
      </c>
      <c r="BC57" s="327">
        <f t="shared" si="64"/>
        <v>0</v>
      </c>
      <c r="BD57" s="327">
        <f t="shared" si="64"/>
        <v>0</v>
      </c>
      <c r="BE57" s="327">
        <f t="shared" si="64"/>
        <v>0</v>
      </c>
      <c r="BF57" s="327">
        <f t="shared" si="64"/>
        <v>0.78097141666203218</v>
      </c>
    </row>
    <row r="58" spans="1:58">
      <c r="D58" s="335"/>
      <c r="E58" s="335"/>
      <c r="F58" s="335"/>
      <c r="G58" s="335"/>
      <c r="H58" s="335"/>
      <c r="I58" s="335"/>
      <c r="J58" s="335"/>
      <c r="K58" s="335"/>
      <c r="L58" s="335"/>
      <c r="M58" s="335"/>
      <c r="N58" s="335"/>
      <c r="O58" s="335"/>
      <c r="P58" s="333"/>
      <c r="R58" s="335"/>
      <c r="S58" s="335"/>
      <c r="T58" s="335"/>
      <c r="U58" s="335"/>
      <c r="V58" s="335"/>
      <c r="W58" s="335"/>
      <c r="X58" s="335"/>
      <c r="Y58" s="335"/>
      <c r="Z58" s="335"/>
      <c r="AA58" s="335"/>
      <c r="AB58" s="335"/>
      <c r="AC58" s="335"/>
      <c r="AD58" s="318"/>
      <c r="AR58" s="318"/>
    </row>
    <row r="59" spans="1:58">
      <c r="B59" s="319" t="s">
        <v>75</v>
      </c>
      <c r="D59" s="335"/>
      <c r="E59" s="335"/>
      <c r="F59" s="335"/>
      <c r="G59" s="335"/>
      <c r="H59" s="335"/>
      <c r="I59" s="335"/>
      <c r="J59" s="335"/>
      <c r="K59" s="335"/>
      <c r="L59" s="335"/>
      <c r="M59" s="335"/>
      <c r="N59" s="335"/>
      <c r="O59" s="335"/>
      <c r="P59" s="333"/>
      <c r="R59" s="335"/>
      <c r="S59" s="335"/>
      <c r="T59" s="335"/>
      <c r="U59" s="335"/>
      <c r="V59" s="335"/>
      <c r="W59" s="335"/>
      <c r="X59" s="335"/>
      <c r="Y59" s="335"/>
      <c r="Z59" s="335"/>
      <c r="AA59" s="335"/>
      <c r="AB59" s="335"/>
      <c r="AC59" s="335"/>
      <c r="AD59" s="318"/>
      <c r="AR59" s="318"/>
    </row>
    <row r="60" spans="1:58">
      <c r="C60" s="319" t="s">
        <v>71</v>
      </c>
      <c r="D60" s="332" t="e">
        <f>#REF!</f>
        <v>#REF!</v>
      </c>
      <c r="E60" s="332" t="e">
        <f>#REF!</f>
        <v>#REF!</v>
      </c>
      <c r="F60" s="332" t="e">
        <f>#REF!</f>
        <v>#REF!</v>
      </c>
      <c r="G60" s="332" t="e">
        <f>#REF!</f>
        <v>#REF!</v>
      </c>
      <c r="H60" s="332" t="e">
        <f>#REF!</f>
        <v>#REF!</v>
      </c>
      <c r="I60" s="332" t="e">
        <f>#REF!</f>
        <v>#REF!</v>
      </c>
      <c r="J60" s="332" t="e">
        <f>#REF!</f>
        <v>#REF!</v>
      </c>
      <c r="K60" s="332" t="e">
        <f>#REF!</f>
        <v>#REF!</v>
      </c>
      <c r="L60" s="332" t="e">
        <f>#REF!</f>
        <v>#REF!</v>
      </c>
      <c r="M60" s="332" t="e">
        <f>#REF!</f>
        <v>#REF!</v>
      </c>
      <c r="N60" s="332" t="e">
        <f>#REF!</f>
        <v>#REF!</v>
      </c>
      <c r="O60" s="332" t="e">
        <f>#REF!</f>
        <v>#REF!</v>
      </c>
      <c r="P60" s="333" t="e">
        <f t="shared" ref="P60:P63" si="69">SUM(D60:O60)</f>
        <v>#REF!</v>
      </c>
      <c r="Q60" s="326" t="e">
        <f>SUM(D60:I60)</f>
        <v>#REF!</v>
      </c>
      <c r="R60" s="332" t="e">
        <f>#REF!</f>
        <v>#REF!</v>
      </c>
      <c r="S60" s="332" t="e">
        <f>#REF!</f>
        <v>#REF!</v>
      </c>
      <c r="T60" s="332" t="e">
        <f>#REF!</f>
        <v>#REF!</v>
      </c>
      <c r="U60" s="332" t="e">
        <f>#REF!</f>
        <v>#REF!</v>
      </c>
      <c r="V60" s="332" t="e">
        <f>#REF!</f>
        <v>#REF!</v>
      </c>
      <c r="W60" s="332" t="e">
        <f>#REF!</f>
        <v>#REF!</v>
      </c>
      <c r="X60" s="332" t="e">
        <f>#REF!</f>
        <v>#REF!</v>
      </c>
      <c r="Y60" s="332" t="e">
        <f>#REF!</f>
        <v>#REF!</v>
      </c>
      <c r="Z60" s="332" t="e">
        <f>#REF!</f>
        <v>#REF!</v>
      </c>
      <c r="AA60" s="332" t="e">
        <f>#REF!</f>
        <v>#REF!</v>
      </c>
      <c r="AB60" s="332" t="e">
        <f>#REF!</f>
        <v>#REF!</v>
      </c>
      <c r="AC60" s="332" t="e">
        <f>#REF!</f>
        <v>#REF!</v>
      </c>
      <c r="AD60" s="325" t="e">
        <f t="shared" ref="AD60:AD63" si="70">SUM(R60:AC60)</f>
        <v>#REF!</v>
      </c>
      <c r="AF60" s="326" t="e">
        <f t="shared" ref="AF60:AQ63" si="71">R60-D60</f>
        <v>#REF!</v>
      </c>
      <c r="AG60" s="326" t="e">
        <f t="shared" si="71"/>
        <v>#REF!</v>
      </c>
      <c r="AH60" s="326" t="e">
        <f t="shared" si="71"/>
        <v>#REF!</v>
      </c>
      <c r="AI60" s="326" t="e">
        <f t="shared" si="71"/>
        <v>#REF!</v>
      </c>
      <c r="AJ60" s="326" t="e">
        <f t="shared" si="71"/>
        <v>#REF!</v>
      </c>
      <c r="AK60" s="326" t="e">
        <f t="shared" si="71"/>
        <v>#REF!</v>
      </c>
      <c r="AL60" s="326" t="e">
        <f t="shared" si="71"/>
        <v>#REF!</v>
      </c>
      <c r="AM60" s="326" t="e">
        <f t="shared" si="71"/>
        <v>#REF!</v>
      </c>
      <c r="AN60" s="326" t="e">
        <f t="shared" si="71"/>
        <v>#REF!</v>
      </c>
      <c r="AO60" s="326" t="e">
        <f t="shared" si="71"/>
        <v>#REF!</v>
      </c>
      <c r="AP60" s="326" t="e">
        <f t="shared" si="71"/>
        <v>#REF!</v>
      </c>
      <c r="AQ60" s="326" t="e">
        <f t="shared" si="71"/>
        <v>#REF!</v>
      </c>
      <c r="AR60" s="325" t="e">
        <f t="shared" ref="AR60:AR62" si="72">SUM(AF60:AQ60)</f>
        <v>#REF!</v>
      </c>
      <c r="AT60" s="327" t="e">
        <f>R60/D60</f>
        <v>#REF!</v>
      </c>
      <c r="AU60" s="327" t="e">
        <f t="shared" ref="AU60:BF64" si="73">S60/E60</f>
        <v>#REF!</v>
      </c>
      <c r="AV60" s="327" t="e">
        <f t="shared" si="73"/>
        <v>#REF!</v>
      </c>
      <c r="AW60" s="327" t="e">
        <f t="shared" si="73"/>
        <v>#REF!</v>
      </c>
      <c r="AX60" s="327" t="e">
        <f t="shared" si="73"/>
        <v>#REF!</v>
      </c>
      <c r="AY60" s="327" t="e">
        <f t="shared" si="73"/>
        <v>#REF!</v>
      </c>
      <c r="AZ60" s="327" t="e">
        <f t="shared" si="73"/>
        <v>#REF!</v>
      </c>
      <c r="BA60" s="327" t="e">
        <f t="shared" si="73"/>
        <v>#REF!</v>
      </c>
      <c r="BB60" s="327" t="e">
        <f t="shared" si="73"/>
        <v>#REF!</v>
      </c>
      <c r="BC60" s="327" t="e">
        <f t="shared" si="73"/>
        <v>#REF!</v>
      </c>
      <c r="BD60" s="327" t="e">
        <f t="shared" si="73"/>
        <v>#REF!</v>
      </c>
      <c r="BE60" s="327" t="e">
        <f t="shared" si="73"/>
        <v>#REF!</v>
      </c>
      <c r="BF60" s="327" t="e">
        <f t="shared" si="73"/>
        <v>#REF!</v>
      </c>
    </row>
    <row r="61" spans="1:58">
      <c r="C61" s="319" t="s">
        <v>72</v>
      </c>
      <c r="D61" s="332" t="e">
        <f>#REF!</f>
        <v>#REF!</v>
      </c>
      <c r="E61" s="332" t="e">
        <f>#REF!</f>
        <v>#REF!</v>
      </c>
      <c r="F61" s="332" t="e">
        <f>#REF!</f>
        <v>#REF!</v>
      </c>
      <c r="G61" s="332" t="e">
        <f>#REF!</f>
        <v>#REF!</v>
      </c>
      <c r="H61" s="332" t="e">
        <f>#REF!</f>
        <v>#REF!</v>
      </c>
      <c r="I61" s="332" t="e">
        <f>#REF!</f>
        <v>#REF!</v>
      </c>
      <c r="J61" s="332" t="e">
        <f>#REF!</f>
        <v>#REF!</v>
      </c>
      <c r="K61" s="332" t="e">
        <f>#REF!</f>
        <v>#REF!</v>
      </c>
      <c r="L61" s="332" t="e">
        <f>#REF!</f>
        <v>#REF!</v>
      </c>
      <c r="M61" s="332" t="e">
        <f>#REF!</f>
        <v>#REF!</v>
      </c>
      <c r="N61" s="332" t="e">
        <f>#REF!</f>
        <v>#REF!</v>
      </c>
      <c r="O61" s="332" t="e">
        <f>#REF!</f>
        <v>#REF!</v>
      </c>
      <c r="P61" s="333" t="e">
        <f t="shared" si="69"/>
        <v>#REF!</v>
      </c>
      <c r="Q61" s="326" t="e">
        <f t="shared" ref="Q61:Q62" si="74">SUM(D61:I61)</f>
        <v>#REF!</v>
      </c>
      <c r="R61" s="332" t="e">
        <f>#REF!</f>
        <v>#REF!</v>
      </c>
      <c r="S61" s="332" t="e">
        <f>#REF!</f>
        <v>#REF!</v>
      </c>
      <c r="T61" s="332" t="e">
        <f>#REF!</f>
        <v>#REF!</v>
      </c>
      <c r="U61" s="332" t="e">
        <f>#REF!</f>
        <v>#REF!</v>
      </c>
      <c r="V61" s="332" t="e">
        <f>#REF!</f>
        <v>#REF!</v>
      </c>
      <c r="W61" s="332" t="e">
        <f>#REF!</f>
        <v>#REF!</v>
      </c>
      <c r="X61" s="332" t="e">
        <f>#REF!</f>
        <v>#REF!</v>
      </c>
      <c r="Y61" s="332" t="e">
        <f>#REF!</f>
        <v>#REF!</v>
      </c>
      <c r="Z61" s="332" t="e">
        <f>#REF!</f>
        <v>#REF!</v>
      </c>
      <c r="AA61" s="332" t="e">
        <f>#REF!</f>
        <v>#REF!</v>
      </c>
      <c r="AB61" s="332" t="e">
        <f>#REF!</f>
        <v>#REF!</v>
      </c>
      <c r="AC61" s="332" t="e">
        <f>#REF!</f>
        <v>#REF!</v>
      </c>
      <c r="AD61" s="325" t="e">
        <f t="shared" si="70"/>
        <v>#REF!</v>
      </c>
      <c r="AF61" s="326" t="e">
        <f t="shared" si="71"/>
        <v>#REF!</v>
      </c>
      <c r="AG61" s="326" t="e">
        <f t="shared" si="71"/>
        <v>#REF!</v>
      </c>
      <c r="AH61" s="326" t="e">
        <f t="shared" si="71"/>
        <v>#REF!</v>
      </c>
      <c r="AI61" s="326" t="e">
        <f t="shared" si="71"/>
        <v>#REF!</v>
      </c>
      <c r="AJ61" s="326" t="e">
        <f t="shared" si="71"/>
        <v>#REF!</v>
      </c>
      <c r="AK61" s="326" t="e">
        <f t="shared" si="71"/>
        <v>#REF!</v>
      </c>
      <c r="AL61" s="326" t="e">
        <f t="shared" si="71"/>
        <v>#REF!</v>
      </c>
      <c r="AM61" s="326" t="e">
        <f t="shared" si="71"/>
        <v>#REF!</v>
      </c>
      <c r="AN61" s="326" t="e">
        <f t="shared" si="71"/>
        <v>#REF!</v>
      </c>
      <c r="AO61" s="326" t="e">
        <f t="shared" si="71"/>
        <v>#REF!</v>
      </c>
      <c r="AP61" s="326" t="e">
        <f t="shared" si="71"/>
        <v>#REF!</v>
      </c>
      <c r="AQ61" s="326" t="e">
        <f t="shared" si="71"/>
        <v>#REF!</v>
      </c>
      <c r="AR61" s="325" t="e">
        <f t="shared" si="72"/>
        <v>#REF!</v>
      </c>
      <c r="AT61" s="327" t="e">
        <f t="shared" ref="AT61:AT64" si="75">R61/D61</f>
        <v>#REF!</v>
      </c>
      <c r="AU61" s="327" t="e">
        <f t="shared" si="73"/>
        <v>#REF!</v>
      </c>
      <c r="AV61" s="327" t="e">
        <f t="shared" si="73"/>
        <v>#REF!</v>
      </c>
      <c r="AW61" s="327" t="e">
        <f t="shared" si="73"/>
        <v>#REF!</v>
      </c>
      <c r="AX61" s="327" t="e">
        <f t="shared" si="73"/>
        <v>#REF!</v>
      </c>
      <c r="AY61" s="327" t="e">
        <f t="shared" si="73"/>
        <v>#REF!</v>
      </c>
      <c r="AZ61" s="327" t="e">
        <f t="shared" si="73"/>
        <v>#REF!</v>
      </c>
      <c r="BA61" s="327" t="e">
        <f t="shared" si="73"/>
        <v>#REF!</v>
      </c>
      <c r="BB61" s="327" t="e">
        <f t="shared" si="73"/>
        <v>#REF!</v>
      </c>
      <c r="BC61" s="327" t="e">
        <f t="shared" si="73"/>
        <v>#REF!</v>
      </c>
      <c r="BD61" s="327" t="e">
        <f t="shared" si="73"/>
        <v>#REF!</v>
      </c>
      <c r="BE61" s="327" t="e">
        <f t="shared" si="73"/>
        <v>#REF!</v>
      </c>
      <c r="BF61" s="327" t="e">
        <f t="shared" si="73"/>
        <v>#REF!</v>
      </c>
    </row>
    <row r="62" spans="1:58">
      <c r="C62" s="319" t="s">
        <v>74</v>
      </c>
      <c r="D62" s="332" t="e">
        <f>#REF!</f>
        <v>#REF!</v>
      </c>
      <c r="E62" s="332" t="e">
        <f>#REF!</f>
        <v>#REF!</v>
      </c>
      <c r="F62" s="332" t="e">
        <f>#REF!</f>
        <v>#REF!</v>
      </c>
      <c r="G62" s="332" t="e">
        <f>#REF!</f>
        <v>#REF!</v>
      </c>
      <c r="H62" s="332" t="e">
        <f>#REF!</f>
        <v>#REF!</v>
      </c>
      <c r="I62" s="332" t="e">
        <f>#REF!</f>
        <v>#REF!</v>
      </c>
      <c r="J62" s="332" t="e">
        <f>#REF!</f>
        <v>#REF!</v>
      </c>
      <c r="K62" s="332" t="e">
        <f>#REF!</f>
        <v>#REF!</v>
      </c>
      <c r="L62" s="332" t="e">
        <f>#REF!</f>
        <v>#REF!</v>
      </c>
      <c r="M62" s="332" t="e">
        <f>#REF!</f>
        <v>#REF!</v>
      </c>
      <c r="N62" s="332" t="e">
        <f>#REF!</f>
        <v>#REF!</v>
      </c>
      <c r="O62" s="332" t="e">
        <f>#REF!</f>
        <v>#REF!</v>
      </c>
      <c r="P62" s="333" t="e">
        <f t="shared" si="69"/>
        <v>#REF!</v>
      </c>
      <c r="Q62" s="326" t="e">
        <f t="shared" si="74"/>
        <v>#REF!</v>
      </c>
      <c r="R62" s="332" t="e">
        <f>#REF!</f>
        <v>#REF!</v>
      </c>
      <c r="S62" s="332" t="e">
        <f>#REF!</f>
        <v>#REF!</v>
      </c>
      <c r="T62" s="332" t="e">
        <f>#REF!</f>
        <v>#REF!</v>
      </c>
      <c r="U62" s="332" t="e">
        <f>#REF!</f>
        <v>#REF!</v>
      </c>
      <c r="V62" s="332" t="e">
        <f>#REF!</f>
        <v>#REF!</v>
      </c>
      <c r="W62" s="332" t="e">
        <f>#REF!</f>
        <v>#REF!</v>
      </c>
      <c r="X62" s="332" t="e">
        <f>#REF!</f>
        <v>#REF!</v>
      </c>
      <c r="Y62" s="332" t="e">
        <f>#REF!</f>
        <v>#REF!</v>
      </c>
      <c r="Z62" s="332" t="e">
        <f>#REF!</f>
        <v>#REF!</v>
      </c>
      <c r="AA62" s="332" t="e">
        <f>#REF!</f>
        <v>#REF!</v>
      </c>
      <c r="AB62" s="332" t="e">
        <f>#REF!</f>
        <v>#REF!</v>
      </c>
      <c r="AC62" s="332" t="e">
        <f>#REF!</f>
        <v>#REF!</v>
      </c>
      <c r="AD62" s="325" t="e">
        <f t="shared" si="70"/>
        <v>#REF!</v>
      </c>
      <c r="AF62" s="326" t="e">
        <f t="shared" si="71"/>
        <v>#REF!</v>
      </c>
      <c r="AG62" s="326" t="e">
        <f t="shared" si="71"/>
        <v>#REF!</v>
      </c>
      <c r="AH62" s="326" t="e">
        <f t="shared" si="71"/>
        <v>#REF!</v>
      </c>
      <c r="AI62" s="326" t="e">
        <f t="shared" si="71"/>
        <v>#REF!</v>
      </c>
      <c r="AJ62" s="326" t="e">
        <f t="shared" si="71"/>
        <v>#REF!</v>
      </c>
      <c r="AK62" s="326" t="e">
        <f t="shared" si="71"/>
        <v>#REF!</v>
      </c>
      <c r="AL62" s="326" t="e">
        <f t="shared" si="71"/>
        <v>#REF!</v>
      </c>
      <c r="AM62" s="326" t="e">
        <f t="shared" si="71"/>
        <v>#REF!</v>
      </c>
      <c r="AN62" s="326" t="e">
        <f t="shared" si="71"/>
        <v>#REF!</v>
      </c>
      <c r="AO62" s="326" t="e">
        <f t="shared" si="71"/>
        <v>#REF!</v>
      </c>
      <c r="AP62" s="326" t="e">
        <f t="shared" si="71"/>
        <v>#REF!</v>
      </c>
      <c r="AQ62" s="326" t="e">
        <f t="shared" si="71"/>
        <v>#REF!</v>
      </c>
      <c r="AR62" s="325" t="e">
        <f t="shared" si="72"/>
        <v>#REF!</v>
      </c>
      <c r="AT62" s="327" t="e">
        <f t="shared" si="75"/>
        <v>#REF!</v>
      </c>
      <c r="AU62" s="327" t="e">
        <f t="shared" si="73"/>
        <v>#REF!</v>
      </c>
      <c r="AV62" s="327" t="e">
        <f t="shared" si="73"/>
        <v>#REF!</v>
      </c>
      <c r="AW62" s="327" t="e">
        <f t="shared" si="73"/>
        <v>#REF!</v>
      </c>
      <c r="AX62" s="327" t="e">
        <f t="shared" si="73"/>
        <v>#REF!</v>
      </c>
      <c r="AY62" s="327" t="e">
        <f t="shared" si="73"/>
        <v>#REF!</v>
      </c>
      <c r="AZ62" s="327" t="e">
        <f t="shared" si="73"/>
        <v>#REF!</v>
      </c>
      <c r="BA62" s="327" t="e">
        <f t="shared" si="73"/>
        <v>#REF!</v>
      </c>
      <c r="BB62" s="327" t="e">
        <f t="shared" si="73"/>
        <v>#REF!</v>
      </c>
      <c r="BC62" s="327" t="e">
        <f t="shared" si="73"/>
        <v>#REF!</v>
      </c>
      <c r="BD62" s="327" t="e">
        <f t="shared" si="73"/>
        <v>#REF!</v>
      </c>
      <c r="BE62" s="327" t="e">
        <f t="shared" si="73"/>
        <v>#REF!</v>
      </c>
      <c r="BF62" s="327" t="e">
        <f t="shared" si="73"/>
        <v>#REF!</v>
      </c>
    </row>
    <row r="63" spans="1:58">
      <c r="C63" s="319" t="s">
        <v>63</v>
      </c>
      <c r="D63" s="332" t="e">
        <f>#REF!</f>
        <v>#REF!</v>
      </c>
      <c r="E63" s="332" t="e">
        <f>#REF!</f>
        <v>#REF!</v>
      </c>
      <c r="F63" s="332" t="e">
        <f>#REF!</f>
        <v>#REF!</v>
      </c>
      <c r="G63" s="332" t="e">
        <f>#REF!</f>
        <v>#REF!</v>
      </c>
      <c r="H63" s="332" t="e">
        <f>#REF!</f>
        <v>#REF!</v>
      </c>
      <c r="I63" s="332" t="e">
        <f>#REF!</f>
        <v>#REF!</v>
      </c>
      <c r="J63" s="332" t="e">
        <f>#REF!</f>
        <v>#REF!</v>
      </c>
      <c r="K63" s="332" t="e">
        <f>#REF!</f>
        <v>#REF!</v>
      </c>
      <c r="L63" s="332" t="e">
        <f>#REF!</f>
        <v>#REF!</v>
      </c>
      <c r="M63" s="332" t="e">
        <f>#REF!</f>
        <v>#REF!</v>
      </c>
      <c r="N63" s="332" t="e">
        <f>#REF!</f>
        <v>#REF!</v>
      </c>
      <c r="O63" s="332" t="e">
        <f>#REF!</f>
        <v>#REF!</v>
      </c>
      <c r="P63" s="333" t="e">
        <f t="shared" si="69"/>
        <v>#REF!</v>
      </c>
      <c r="Q63" s="326"/>
      <c r="R63" s="332" t="e">
        <f>#REF!</f>
        <v>#REF!</v>
      </c>
      <c r="S63" s="332" t="e">
        <f>#REF!</f>
        <v>#REF!</v>
      </c>
      <c r="T63" s="332" t="e">
        <f>#REF!</f>
        <v>#REF!</v>
      </c>
      <c r="U63" s="332" t="e">
        <f>#REF!</f>
        <v>#REF!</v>
      </c>
      <c r="V63" s="332" t="e">
        <f>#REF!</f>
        <v>#REF!</v>
      </c>
      <c r="W63" s="332" t="e">
        <f>#REF!</f>
        <v>#REF!</v>
      </c>
      <c r="X63" s="332" t="e">
        <f>#REF!</f>
        <v>#REF!</v>
      </c>
      <c r="Y63" s="332" t="e">
        <f>#REF!</f>
        <v>#REF!</v>
      </c>
      <c r="Z63" s="332" t="e">
        <f>#REF!</f>
        <v>#REF!</v>
      </c>
      <c r="AA63" s="332" t="e">
        <f>#REF!</f>
        <v>#REF!</v>
      </c>
      <c r="AB63" s="332" t="e">
        <f>#REF!</f>
        <v>#REF!</v>
      </c>
      <c r="AC63" s="332" t="e">
        <f>#REF!</f>
        <v>#REF!</v>
      </c>
      <c r="AD63" s="325" t="e">
        <f t="shared" si="70"/>
        <v>#REF!</v>
      </c>
      <c r="AF63" s="326" t="e">
        <f>R63-D63</f>
        <v>#REF!</v>
      </c>
      <c r="AG63" s="326" t="e">
        <f t="shared" si="71"/>
        <v>#REF!</v>
      </c>
      <c r="AH63" s="326" t="e">
        <f t="shared" si="71"/>
        <v>#REF!</v>
      </c>
      <c r="AI63" s="326" t="e">
        <f t="shared" si="71"/>
        <v>#REF!</v>
      </c>
      <c r="AJ63" s="326" t="e">
        <f t="shared" si="71"/>
        <v>#REF!</v>
      </c>
      <c r="AK63" s="326" t="e">
        <f t="shared" si="71"/>
        <v>#REF!</v>
      </c>
      <c r="AL63" s="326" t="e">
        <f t="shared" si="71"/>
        <v>#REF!</v>
      </c>
      <c r="AM63" s="326" t="e">
        <f t="shared" si="71"/>
        <v>#REF!</v>
      </c>
      <c r="AN63" s="326" t="e">
        <f t="shared" si="71"/>
        <v>#REF!</v>
      </c>
      <c r="AO63" s="326" t="e">
        <f t="shared" si="71"/>
        <v>#REF!</v>
      </c>
      <c r="AP63" s="326" t="e">
        <f t="shared" si="71"/>
        <v>#REF!</v>
      </c>
      <c r="AQ63" s="326" t="e">
        <f t="shared" si="71"/>
        <v>#REF!</v>
      </c>
      <c r="AR63" s="325" t="e">
        <f>SUM(AF63:AQ63)</f>
        <v>#REF!</v>
      </c>
      <c r="AT63" s="327" t="e">
        <f t="shared" si="75"/>
        <v>#REF!</v>
      </c>
      <c r="AU63" s="327" t="e">
        <f t="shared" si="73"/>
        <v>#REF!</v>
      </c>
      <c r="AV63" s="327" t="e">
        <f t="shared" si="73"/>
        <v>#REF!</v>
      </c>
      <c r="AW63" s="327" t="e">
        <f t="shared" si="73"/>
        <v>#REF!</v>
      </c>
      <c r="AX63" s="327" t="e">
        <f t="shared" si="73"/>
        <v>#REF!</v>
      </c>
      <c r="AY63" s="327" t="e">
        <f t="shared" si="73"/>
        <v>#REF!</v>
      </c>
      <c r="AZ63" s="327" t="e">
        <f t="shared" si="73"/>
        <v>#REF!</v>
      </c>
      <c r="BA63" s="327" t="e">
        <f t="shared" si="73"/>
        <v>#REF!</v>
      </c>
      <c r="BB63" s="327" t="e">
        <f t="shared" si="73"/>
        <v>#REF!</v>
      </c>
      <c r="BC63" s="327" t="e">
        <f t="shared" si="73"/>
        <v>#REF!</v>
      </c>
      <c r="BD63" s="327" t="e">
        <f t="shared" si="73"/>
        <v>#REF!</v>
      </c>
      <c r="BE63" s="327" t="e">
        <f t="shared" si="73"/>
        <v>#REF!</v>
      </c>
      <c r="BF63" s="327" t="e">
        <f t="shared" si="73"/>
        <v>#REF!</v>
      </c>
    </row>
    <row r="64" spans="1:58">
      <c r="C64" s="318" t="s">
        <v>47</v>
      </c>
      <c r="D64" s="334" t="e">
        <f>SUM(D60:D63)</f>
        <v>#REF!</v>
      </c>
      <c r="E64" s="334" t="e">
        <f t="shared" ref="E64:P64" si="76">SUM(E60:E63)</f>
        <v>#REF!</v>
      </c>
      <c r="F64" s="334" t="e">
        <f t="shared" si="76"/>
        <v>#REF!</v>
      </c>
      <c r="G64" s="334" t="e">
        <f t="shared" si="76"/>
        <v>#REF!</v>
      </c>
      <c r="H64" s="334" t="e">
        <f t="shared" si="76"/>
        <v>#REF!</v>
      </c>
      <c r="I64" s="334" t="e">
        <f t="shared" si="76"/>
        <v>#REF!</v>
      </c>
      <c r="J64" s="334" t="e">
        <f t="shared" si="76"/>
        <v>#REF!</v>
      </c>
      <c r="K64" s="334" t="e">
        <f t="shared" si="76"/>
        <v>#REF!</v>
      </c>
      <c r="L64" s="334" t="e">
        <f t="shared" si="76"/>
        <v>#REF!</v>
      </c>
      <c r="M64" s="334" t="e">
        <f t="shared" si="76"/>
        <v>#REF!</v>
      </c>
      <c r="N64" s="334" t="e">
        <f t="shared" si="76"/>
        <v>#REF!</v>
      </c>
      <c r="O64" s="334" t="e">
        <f t="shared" si="76"/>
        <v>#REF!</v>
      </c>
      <c r="P64" s="334" t="e">
        <f t="shared" si="76"/>
        <v>#REF!</v>
      </c>
      <c r="R64" s="334" t="e">
        <f t="shared" ref="R64:AD64" si="77">SUM(R60:R63)</f>
        <v>#REF!</v>
      </c>
      <c r="S64" s="334" t="e">
        <f t="shared" si="77"/>
        <v>#REF!</v>
      </c>
      <c r="T64" s="334" t="e">
        <f t="shared" si="77"/>
        <v>#REF!</v>
      </c>
      <c r="U64" s="334" t="e">
        <f t="shared" si="77"/>
        <v>#REF!</v>
      </c>
      <c r="V64" s="334" t="e">
        <f t="shared" si="77"/>
        <v>#REF!</v>
      </c>
      <c r="W64" s="334" t="e">
        <f t="shared" si="77"/>
        <v>#REF!</v>
      </c>
      <c r="X64" s="334" t="e">
        <f t="shared" si="77"/>
        <v>#REF!</v>
      </c>
      <c r="Y64" s="334" t="e">
        <f t="shared" si="77"/>
        <v>#REF!</v>
      </c>
      <c r="Z64" s="334" t="e">
        <f t="shared" si="77"/>
        <v>#REF!</v>
      </c>
      <c r="AA64" s="334" t="e">
        <f t="shared" si="77"/>
        <v>#REF!</v>
      </c>
      <c r="AB64" s="334" t="e">
        <f t="shared" si="77"/>
        <v>#REF!</v>
      </c>
      <c r="AC64" s="334" t="e">
        <f t="shared" si="77"/>
        <v>#REF!</v>
      </c>
      <c r="AD64" s="334" t="e">
        <f t="shared" si="77"/>
        <v>#REF!</v>
      </c>
      <c r="AE64" s="329"/>
      <c r="AF64" s="334" t="e">
        <f>SUM(AF60:AF63)</f>
        <v>#REF!</v>
      </c>
      <c r="AG64" s="334" t="e">
        <f t="shared" ref="AG64:AR64" si="78">SUM(AG60:AG63)</f>
        <v>#REF!</v>
      </c>
      <c r="AH64" s="334" t="e">
        <f t="shared" si="78"/>
        <v>#REF!</v>
      </c>
      <c r="AI64" s="334" t="e">
        <f t="shared" si="78"/>
        <v>#REF!</v>
      </c>
      <c r="AJ64" s="334" t="e">
        <f t="shared" si="78"/>
        <v>#REF!</v>
      </c>
      <c r="AK64" s="334" t="e">
        <f t="shared" si="78"/>
        <v>#REF!</v>
      </c>
      <c r="AL64" s="334" t="e">
        <f t="shared" si="78"/>
        <v>#REF!</v>
      </c>
      <c r="AM64" s="334" t="e">
        <f t="shared" si="78"/>
        <v>#REF!</v>
      </c>
      <c r="AN64" s="334" t="e">
        <f t="shared" si="78"/>
        <v>#REF!</v>
      </c>
      <c r="AO64" s="334" t="e">
        <f t="shared" si="78"/>
        <v>#REF!</v>
      </c>
      <c r="AP64" s="334" t="e">
        <f t="shared" si="78"/>
        <v>#REF!</v>
      </c>
      <c r="AQ64" s="334" t="e">
        <f t="shared" si="78"/>
        <v>#REF!</v>
      </c>
      <c r="AR64" s="334" t="e">
        <f t="shared" si="78"/>
        <v>#REF!</v>
      </c>
      <c r="AT64" s="327" t="e">
        <f t="shared" si="75"/>
        <v>#REF!</v>
      </c>
      <c r="AU64" s="327" t="e">
        <f t="shared" si="73"/>
        <v>#REF!</v>
      </c>
      <c r="AV64" s="327" t="e">
        <f t="shared" si="73"/>
        <v>#REF!</v>
      </c>
      <c r="AW64" s="327" t="e">
        <f t="shared" si="73"/>
        <v>#REF!</v>
      </c>
      <c r="AX64" s="327" t="e">
        <f t="shared" si="73"/>
        <v>#REF!</v>
      </c>
      <c r="AY64" s="327" t="e">
        <f t="shared" si="73"/>
        <v>#REF!</v>
      </c>
      <c r="AZ64" s="327" t="e">
        <f t="shared" si="73"/>
        <v>#REF!</v>
      </c>
      <c r="BA64" s="327" t="e">
        <f t="shared" si="73"/>
        <v>#REF!</v>
      </c>
      <c r="BB64" s="327" t="e">
        <f t="shared" si="73"/>
        <v>#REF!</v>
      </c>
      <c r="BC64" s="327" t="e">
        <f t="shared" si="73"/>
        <v>#REF!</v>
      </c>
      <c r="BD64" s="327" t="e">
        <f t="shared" si="73"/>
        <v>#REF!</v>
      </c>
      <c r="BE64" s="327" t="e">
        <f t="shared" si="73"/>
        <v>#REF!</v>
      </c>
      <c r="BF64" s="327" t="e">
        <f t="shared" si="73"/>
        <v>#REF!</v>
      </c>
    </row>
    <row r="65" spans="1:58">
      <c r="D65" s="335"/>
      <c r="E65" s="335"/>
      <c r="F65" s="335"/>
      <c r="G65" s="335"/>
      <c r="H65" s="335"/>
      <c r="I65" s="335"/>
      <c r="J65" s="335"/>
      <c r="K65" s="335"/>
      <c r="L65" s="335"/>
      <c r="M65" s="335"/>
      <c r="N65" s="335"/>
      <c r="O65" s="335"/>
      <c r="P65" s="333"/>
      <c r="R65" s="335"/>
      <c r="S65" s="335"/>
      <c r="T65" s="335"/>
      <c r="U65" s="335"/>
      <c r="V65" s="335"/>
      <c r="W65" s="335"/>
      <c r="X65" s="335"/>
      <c r="Y65" s="335"/>
      <c r="Z65" s="335"/>
      <c r="AA65" s="335"/>
      <c r="AB65" s="335"/>
      <c r="AC65" s="335"/>
      <c r="AD65" s="318"/>
      <c r="AR65" s="318"/>
    </row>
    <row r="66" spans="1:58">
      <c r="B66" s="319" t="s">
        <v>76</v>
      </c>
      <c r="D66" s="335"/>
      <c r="E66" s="335"/>
      <c r="F66" s="335"/>
      <c r="G66" s="335"/>
      <c r="H66" s="335"/>
      <c r="I66" s="335"/>
      <c r="J66" s="335"/>
      <c r="K66" s="335"/>
      <c r="L66" s="335"/>
      <c r="M66" s="335"/>
      <c r="N66" s="335"/>
      <c r="O66" s="335"/>
      <c r="P66" s="333"/>
      <c r="R66" s="335"/>
      <c r="S66" s="335"/>
      <c r="T66" s="335"/>
      <c r="U66" s="335"/>
      <c r="V66" s="335"/>
      <c r="W66" s="335"/>
      <c r="X66" s="335"/>
      <c r="Y66" s="335"/>
      <c r="Z66" s="335"/>
      <c r="AA66" s="335"/>
      <c r="AB66" s="335"/>
      <c r="AC66" s="335"/>
      <c r="AD66" s="318"/>
      <c r="AR66" s="318"/>
    </row>
    <row r="67" spans="1:58">
      <c r="C67" s="319" t="s">
        <v>71</v>
      </c>
      <c r="D67" s="335" t="e">
        <f>D53+D60</f>
        <v>#REF!</v>
      </c>
      <c r="E67" s="335" t="e">
        <f t="shared" ref="E67:O68" si="79">E53+E60</f>
        <v>#REF!</v>
      </c>
      <c r="F67" s="335" t="e">
        <f t="shared" si="79"/>
        <v>#REF!</v>
      </c>
      <c r="G67" s="335" t="e">
        <f t="shared" si="79"/>
        <v>#REF!</v>
      </c>
      <c r="H67" s="335" t="e">
        <f t="shared" si="79"/>
        <v>#REF!</v>
      </c>
      <c r="I67" s="335" t="e">
        <f t="shared" si="79"/>
        <v>#REF!</v>
      </c>
      <c r="J67" s="335" t="e">
        <f t="shared" si="79"/>
        <v>#REF!</v>
      </c>
      <c r="K67" s="335" t="e">
        <f t="shared" si="79"/>
        <v>#REF!</v>
      </c>
      <c r="L67" s="335" t="e">
        <f t="shared" si="79"/>
        <v>#REF!</v>
      </c>
      <c r="M67" s="335" t="e">
        <f t="shared" si="79"/>
        <v>#REF!</v>
      </c>
      <c r="N67" s="335" t="e">
        <f t="shared" si="79"/>
        <v>#REF!</v>
      </c>
      <c r="O67" s="335" t="e">
        <f t="shared" si="79"/>
        <v>#REF!</v>
      </c>
      <c r="P67" s="333" t="e">
        <f t="shared" ref="P67:P71" si="80">SUM(D67:O67)</f>
        <v>#REF!</v>
      </c>
      <c r="R67" s="335" t="e">
        <f t="shared" ref="R67:AC68" si="81">R53+R60</f>
        <v>#REF!</v>
      </c>
      <c r="S67" s="335" t="e">
        <f t="shared" si="81"/>
        <v>#REF!</v>
      </c>
      <c r="T67" s="335" t="e">
        <f t="shared" si="81"/>
        <v>#REF!</v>
      </c>
      <c r="U67" s="335" t="e">
        <f t="shared" si="81"/>
        <v>#REF!</v>
      </c>
      <c r="V67" s="335" t="e">
        <f t="shared" si="81"/>
        <v>#REF!</v>
      </c>
      <c r="W67" s="335" t="e">
        <f t="shared" si="81"/>
        <v>#REF!</v>
      </c>
      <c r="X67" s="335" t="e">
        <f t="shared" si="81"/>
        <v>#REF!</v>
      </c>
      <c r="Y67" s="335" t="e">
        <f t="shared" si="81"/>
        <v>#REF!</v>
      </c>
      <c r="Z67" s="335" t="e">
        <f t="shared" si="81"/>
        <v>#REF!</v>
      </c>
      <c r="AA67" s="335" t="e">
        <f t="shared" si="81"/>
        <v>#REF!</v>
      </c>
      <c r="AB67" s="335" t="e">
        <f t="shared" si="81"/>
        <v>#REF!</v>
      </c>
      <c r="AC67" s="335" t="e">
        <f t="shared" si="81"/>
        <v>#REF!</v>
      </c>
      <c r="AD67" s="325" t="e">
        <f t="shared" ref="AD67:AD71" si="82">SUM(R67:AC67)</f>
        <v>#REF!</v>
      </c>
      <c r="AF67" s="326" t="e">
        <f t="shared" ref="AF67:AQ71" si="83">R67-D67</f>
        <v>#REF!</v>
      </c>
      <c r="AG67" s="326" t="e">
        <f t="shared" si="83"/>
        <v>#REF!</v>
      </c>
      <c r="AH67" s="326" t="e">
        <f t="shared" si="83"/>
        <v>#REF!</v>
      </c>
      <c r="AI67" s="326" t="e">
        <f t="shared" si="83"/>
        <v>#REF!</v>
      </c>
      <c r="AJ67" s="326" t="e">
        <f t="shared" si="83"/>
        <v>#REF!</v>
      </c>
      <c r="AK67" s="326" t="e">
        <f t="shared" si="83"/>
        <v>#REF!</v>
      </c>
      <c r="AL67" s="326" t="e">
        <f t="shared" si="83"/>
        <v>#REF!</v>
      </c>
      <c r="AM67" s="326" t="e">
        <f t="shared" si="83"/>
        <v>#REF!</v>
      </c>
      <c r="AN67" s="326" t="e">
        <f t="shared" si="83"/>
        <v>#REF!</v>
      </c>
      <c r="AO67" s="326" t="e">
        <f t="shared" si="83"/>
        <v>#REF!</v>
      </c>
      <c r="AP67" s="326" t="e">
        <f t="shared" si="83"/>
        <v>#REF!</v>
      </c>
      <c r="AQ67" s="326" t="e">
        <f t="shared" si="83"/>
        <v>#REF!</v>
      </c>
      <c r="AR67" s="325" t="e">
        <f t="shared" ref="AR67:AR71" si="84">SUM(AF67:AQ67)</f>
        <v>#REF!</v>
      </c>
      <c r="AT67" s="327" t="e">
        <f>R67/D67</f>
        <v>#REF!</v>
      </c>
      <c r="AU67" s="327" t="e">
        <f t="shared" ref="AU67:BF72" si="85">S67/E67</f>
        <v>#REF!</v>
      </c>
      <c r="AV67" s="327" t="e">
        <f t="shared" si="85"/>
        <v>#REF!</v>
      </c>
      <c r="AW67" s="327" t="e">
        <f t="shared" si="85"/>
        <v>#REF!</v>
      </c>
      <c r="AX67" s="327" t="e">
        <f t="shared" si="85"/>
        <v>#REF!</v>
      </c>
      <c r="AY67" s="327" t="e">
        <f t="shared" si="85"/>
        <v>#REF!</v>
      </c>
      <c r="AZ67" s="327" t="e">
        <f t="shared" si="85"/>
        <v>#REF!</v>
      </c>
      <c r="BA67" s="327" t="e">
        <f t="shared" si="85"/>
        <v>#REF!</v>
      </c>
      <c r="BB67" s="327" t="e">
        <f t="shared" si="85"/>
        <v>#REF!</v>
      </c>
      <c r="BC67" s="327" t="e">
        <f t="shared" si="85"/>
        <v>#REF!</v>
      </c>
      <c r="BD67" s="327" t="e">
        <f t="shared" si="85"/>
        <v>#REF!</v>
      </c>
      <c r="BE67" s="327" t="e">
        <f t="shared" si="85"/>
        <v>#REF!</v>
      </c>
      <c r="BF67" s="327" t="e">
        <f t="shared" si="85"/>
        <v>#REF!</v>
      </c>
    </row>
    <row r="68" spans="1:58">
      <c r="C68" s="319" t="s">
        <v>72</v>
      </c>
      <c r="D68" s="335" t="e">
        <f>D54+D61</f>
        <v>#REF!</v>
      </c>
      <c r="E68" s="335" t="e">
        <f t="shared" si="79"/>
        <v>#REF!</v>
      </c>
      <c r="F68" s="335" t="e">
        <f t="shared" si="79"/>
        <v>#REF!</v>
      </c>
      <c r="G68" s="335" t="e">
        <f t="shared" si="79"/>
        <v>#REF!</v>
      </c>
      <c r="H68" s="335" t="e">
        <f t="shared" si="79"/>
        <v>#REF!</v>
      </c>
      <c r="I68" s="335" t="e">
        <f t="shared" si="79"/>
        <v>#REF!</v>
      </c>
      <c r="J68" s="335" t="e">
        <f t="shared" si="79"/>
        <v>#REF!</v>
      </c>
      <c r="K68" s="335" t="e">
        <f t="shared" si="79"/>
        <v>#REF!</v>
      </c>
      <c r="L68" s="335" t="e">
        <f t="shared" si="79"/>
        <v>#REF!</v>
      </c>
      <c r="M68" s="335" t="e">
        <f t="shared" si="79"/>
        <v>#REF!</v>
      </c>
      <c r="N68" s="335" t="e">
        <f t="shared" si="79"/>
        <v>#REF!</v>
      </c>
      <c r="O68" s="335" t="e">
        <f t="shared" si="79"/>
        <v>#REF!</v>
      </c>
      <c r="P68" s="333" t="e">
        <f t="shared" si="80"/>
        <v>#REF!</v>
      </c>
      <c r="R68" s="335" t="e">
        <f t="shared" si="81"/>
        <v>#REF!</v>
      </c>
      <c r="S68" s="335" t="e">
        <f t="shared" si="81"/>
        <v>#REF!</v>
      </c>
      <c r="T68" s="335" t="e">
        <f t="shared" si="81"/>
        <v>#REF!</v>
      </c>
      <c r="U68" s="335" t="e">
        <f t="shared" si="81"/>
        <v>#REF!</v>
      </c>
      <c r="V68" s="335" t="e">
        <f t="shared" si="81"/>
        <v>#REF!</v>
      </c>
      <c r="W68" s="335" t="e">
        <f t="shared" si="81"/>
        <v>#REF!</v>
      </c>
      <c r="X68" s="335" t="e">
        <f t="shared" si="81"/>
        <v>#REF!</v>
      </c>
      <c r="Y68" s="335" t="e">
        <f t="shared" si="81"/>
        <v>#REF!</v>
      </c>
      <c r="Z68" s="335" t="e">
        <f t="shared" si="81"/>
        <v>#REF!</v>
      </c>
      <c r="AA68" s="335" t="e">
        <f t="shared" si="81"/>
        <v>#REF!</v>
      </c>
      <c r="AB68" s="335" t="e">
        <f t="shared" si="81"/>
        <v>#REF!</v>
      </c>
      <c r="AC68" s="335" t="e">
        <f t="shared" si="81"/>
        <v>#REF!</v>
      </c>
      <c r="AD68" s="325" t="e">
        <f t="shared" si="82"/>
        <v>#REF!</v>
      </c>
      <c r="AF68" s="326" t="e">
        <f t="shared" si="83"/>
        <v>#REF!</v>
      </c>
      <c r="AG68" s="326" t="e">
        <f t="shared" si="83"/>
        <v>#REF!</v>
      </c>
      <c r="AH68" s="326" t="e">
        <f t="shared" si="83"/>
        <v>#REF!</v>
      </c>
      <c r="AI68" s="326" t="e">
        <f t="shared" si="83"/>
        <v>#REF!</v>
      </c>
      <c r="AJ68" s="326" t="e">
        <f t="shared" si="83"/>
        <v>#REF!</v>
      </c>
      <c r="AK68" s="326" t="e">
        <f t="shared" si="83"/>
        <v>#REF!</v>
      </c>
      <c r="AL68" s="326" t="e">
        <f t="shared" si="83"/>
        <v>#REF!</v>
      </c>
      <c r="AM68" s="326" t="e">
        <f t="shared" si="83"/>
        <v>#REF!</v>
      </c>
      <c r="AN68" s="326" t="e">
        <f t="shared" si="83"/>
        <v>#REF!</v>
      </c>
      <c r="AO68" s="326" t="e">
        <f t="shared" si="83"/>
        <v>#REF!</v>
      </c>
      <c r="AP68" s="326" t="e">
        <f t="shared" si="83"/>
        <v>#REF!</v>
      </c>
      <c r="AQ68" s="326" t="e">
        <f t="shared" si="83"/>
        <v>#REF!</v>
      </c>
      <c r="AR68" s="325" t="e">
        <f t="shared" si="84"/>
        <v>#REF!</v>
      </c>
      <c r="AT68" s="327" t="e">
        <f t="shared" ref="AT68:AT72" si="86">R68/D68</f>
        <v>#REF!</v>
      </c>
      <c r="AU68" s="327" t="e">
        <f t="shared" si="85"/>
        <v>#REF!</v>
      </c>
      <c r="AV68" s="327" t="e">
        <f t="shared" si="85"/>
        <v>#REF!</v>
      </c>
      <c r="AW68" s="327" t="e">
        <f t="shared" si="85"/>
        <v>#REF!</v>
      </c>
      <c r="AX68" s="327" t="e">
        <f t="shared" si="85"/>
        <v>#REF!</v>
      </c>
      <c r="AY68" s="327" t="e">
        <f t="shared" si="85"/>
        <v>#REF!</v>
      </c>
      <c r="AZ68" s="327" t="e">
        <f t="shared" si="85"/>
        <v>#REF!</v>
      </c>
      <c r="BA68" s="327" t="e">
        <f t="shared" si="85"/>
        <v>#REF!</v>
      </c>
      <c r="BB68" s="327" t="e">
        <f t="shared" si="85"/>
        <v>#REF!</v>
      </c>
      <c r="BC68" s="327" t="e">
        <f t="shared" si="85"/>
        <v>#REF!</v>
      </c>
      <c r="BD68" s="327" t="e">
        <f t="shared" si="85"/>
        <v>#REF!</v>
      </c>
      <c r="BE68" s="327" t="e">
        <f t="shared" si="85"/>
        <v>#REF!</v>
      </c>
      <c r="BF68" s="327" t="e">
        <f t="shared" si="85"/>
        <v>#REF!</v>
      </c>
    </row>
    <row r="69" spans="1:58">
      <c r="C69" s="319" t="s">
        <v>73</v>
      </c>
      <c r="D69" s="335">
        <f>D55</f>
        <v>154793.67520307176</v>
      </c>
      <c r="E69" s="335">
        <f t="shared" ref="E69:O69" si="87">E55</f>
        <v>138154.68290723464</v>
      </c>
      <c r="F69" s="335">
        <f t="shared" si="87"/>
        <v>170511.33484334385</v>
      </c>
      <c r="G69" s="335">
        <f t="shared" si="87"/>
        <v>179037.10780875894</v>
      </c>
      <c r="H69" s="335">
        <f t="shared" si="87"/>
        <v>193963.98069846816</v>
      </c>
      <c r="I69" s="335">
        <f t="shared" si="87"/>
        <v>190354.78450545273</v>
      </c>
      <c r="J69" s="335">
        <f t="shared" si="87"/>
        <v>205521.27020774028</v>
      </c>
      <c r="K69" s="335">
        <f t="shared" si="87"/>
        <v>203602.76565243295</v>
      </c>
      <c r="L69" s="335">
        <f t="shared" si="87"/>
        <v>214812.43535202442</v>
      </c>
      <c r="M69" s="335">
        <f t="shared" si="87"/>
        <v>230491.11757955499</v>
      </c>
      <c r="N69" s="335">
        <f t="shared" si="87"/>
        <v>219991.07901408401</v>
      </c>
      <c r="O69" s="335">
        <f t="shared" si="87"/>
        <v>231975.54298208351</v>
      </c>
      <c r="P69" s="333">
        <f t="shared" si="80"/>
        <v>2333209.7767542498</v>
      </c>
      <c r="R69" s="335">
        <f t="shared" ref="R69:AC69" si="88">R55</f>
        <v>148369.26999999999</v>
      </c>
      <c r="S69" s="335">
        <f t="shared" si="88"/>
        <v>118213.66</v>
      </c>
      <c r="T69" s="335">
        <f t="shared" si="88"/>
        <v>168146.83</v>
      </c>
      <c r="U69" s="335">
        <f t="shared" si="88"/>
        <v>170290.55000000002</v>
      </c>
      <c r="V69" s="335">
        <f t="shared" si="88"/>
        <v>206786.54000000004</v>
      </c>
      <c r="W69" s="335">
        <f t="shared" si="88"/>
        <v>232102.98000000004</v>
      </c>
      <c r="X69" s="335">
        <f t="shared" si="88"/>
        <v>204887.84</v>
      </c>
      <c r="Y69" s="335">
        <f t="shared" si="88"/>
        <v>233306.64100001781</v>
      </c>
      <c r="Z69" s="335">
        <f t="shared" si="88"/>
        <v>0</v>
      </c>
      <c r="AA69" s="335">
        <f t="shared" si="88"/>
        <v>0</v>
      </c>
      <c r="AB69" s="335">
        <f t="shared" si="88"/>
        <v>0</v>
      </c>
      <c r="AC69" s="335">
        <f t="shared" si="88"/>
        <v>0</v>
      </c>
      <c r="AD69" s="325">
        <f t="shared" si="82"/>
        <v>1482104.3110000179</v>
      </c>
      <c r="AF69" s="326">
        <f t="shared" si="83"/>
        <v>-6424.4052030717721</v>
      </c>
      <c r="AG69" s="326">
        <f t="shared" si="83"/>
        <v>-19941.022907234641</v>
      </c>
      <c r="AH69" s="326">
        <f t="shared" si="83"/>
        <v>-2364.5048433438642</v>
      </c>
      <c r="AI69" s="326">
        <f t="shared" si="83"/>
        <v>-8746.5578087589238</v>
      </c>
      <c r="AJ69" s="326">
        <f t="shared" si="83"/>
        <v>12822.559301531874</v>
      </c>
      <c r="AK69" s="326">
        <f t="shared" si="83"/>
        <v>41748.195494547312</v>
      </c>
      <c r="AL69" s="326">
        <f t="shared" si="83"/>
        <v>-633.43020774028264</v>
      </c>
      <c r="AM69" s="326">
        <f t="shared" si="83"/>
        <v>29703.875347584864</v>
      </c>
      <c r="AN69" s="326">
        <f t="shared" si="83"/>
        <v>-214812.43535202442</v>
      </c>
      <c r="AO69" s="326">
        <f t="shared" si="83"/>
        <v>-230491.11757955499</v>
      </c>
      <c r="AP69" s="326">
        <f t="shared" si="83"/>
        <v>-219991.07901408401</v>
      </c>
      <c r="AQ69" s="326">
        <f t="shared" si="83"/>
        <v>-231975.54298208351</v>
      </c>
      <c r="AR69" s="325">
        <f t="shared" si="84"/>
        <v>-851105.46575423237</v>
      </c>
      <c r="AT69" s="327">
        <f t="shared" si="86"/>
        <v>0.95849697867407258</v>
      </c>
      <c r="AU69" s="327">
        <f t="shared" si="85"/>
        <v>0.85566162154181746</v>
      </c>
      <c r="AV69" s="327">
        <f t="shared" si="85"/>
        <v>0.9861328582905281</v>
      </c>
      <c r="AW69" s="327">
        <f t="shared" si="85"/>
        <v>0.95114667615105974</v>
      </c>
      <c r="AX69" s="327">
        <f t="shared" si="85"/>
        <v>1.0661079405328637</v>
      </c>
      <c r="AY69" s="327">
        <f t="shared" si="85"/>
        <v>1.2193178154308564</v>
      </c>
      <c r="AZ69" s="327">
        <f t="shared" si="85"/>
        <v>0.99691793356911418</v>
      </c>
      <c r="BA69" s="327">
        <f t="shared" si="85"/>
        <v>1.1458913156331672</v>
      </c>
      <c r="BB69" s="327">
        <f t="shared" si="85"/>
        <v>0</v>
      </c>
      <c r="BC69" s="327">
        <f t="shared" si="85"/>
        <v>0</v>
      </c>
      <c r="BD69" s="327">
        <f t="shared" si="85"/>
        <v>0</v>
      </c>
      <c r="BE69" s="327">
        <f t="shared" si="85"/>
        <v>0</v>
      </c>
      <c r="BF69" s="327">
        <f t="shared" si="85"/>
        <v>0.63522119861069126</v>
      </c>
    </row>
    <row r="70" spans="1:58">
      <c r="C70" s="319" t="s">
        <v>80</v>
      </c>
      <c r="D70" s="335" t="e">
        <f>D56+D62</f>
        <v>#REF!</v>
      </c>
      <c r="E70" s="335" t="e">
        <f t="shared" ref="E70:O70" si="89">E56+E62</f>
        <v>#REF!</v>
      </c>
      <c r="F70" s="335" t="e">
        <f t="shared" si="89"/>
        <v>#REF!</v>
      </c>
      <c r="G70" s="335" t="e">
        <f t="shared" si="89"/>
        <v>#REF!</v>
      </c>
      <c r="H70" s="335" t="e">
        <f t="shared" si="89"/>
        <v>#REF!</v>
      </c>
      <c r="I70" s="335" t="e">
        <f t="shared" si="89"/>
        <v>#REF!</v>
      </c>
      <c r="J70" s="335" t="e">
        <f t="shared" si="89"/>
        <v>#REF!</v>
      </c>
      <c r="K70" s="335" t="e">
        <f t="shared" si="89"/>
        <v>#REF!</v>
      </c>
      <c r="L70" s="335" t="e">
        <f t="shared" si="89"/>
        <v>#REF!</v>
      </c>
      <c r="M70" s="335" t="e">
        <f t="shared" si="89"/>
        <v>#REF!</v>
      </c>
      <c r="N70" s="335" t="e">
        <f t="shared" si="89"/>
        <v>#REF!</v>
      </c>
      <c r="O70" s="335" t="e">
        <f t="shared" si="89"/>
        <v>#REF!</v>
      </c>
      <c r="P70" s="333" t="e">
        <f t="shared" si="80"/>
        <v>#REF!</v>
      </c>
      <c r="R70" s="335" t="e">
        <f t="shared" ref="R70:AC70" si="90">R56+R62</f>
        <v>#REF!</v>
      </c>
      <c r="S70" s="335" t="e">
        <f t="shared" si="90"/>
        <v>#REF!</v>
      </c>
      <c r="T70" s="335" t="e">
        <f t="shared" si="90"/>
        <v>#REF!</v>
      </c>
      <c r="U70" s="335" t="e">
        <f t="shared" si="90"/>
        <v>#REF!</v>
      </c>
      <c r="V70" s="335" t="e">
        <f t="shared" si="90"/>
        <v>#REF!</v>
      </c>
      <c r="W70" s="335" t="e">
        <f t="shared" si="90"/>
        <v>#REF!</v>
      </c>
      <c r="X70" s="335" t="e">
        <f t="shared" si="90"/>
        <v>#REF!</v>
      </c>
      <c r="Y70" s="335" t="e">
        <f t="shared" si="90"/>
        <v>#REF!</v>
      </c>
      <c r="Z70" s="335" t="e">
        <f t="shared" si="90"/>
        <v>#REF!</v>
      </c>
      <c r="AA70" s="335" t="e">
        <f t="shared" si="90"/>
        <v>#REF!</v>
      </c>
      <c r="AB70" s="335" t="e">
        <f t="shared" si="90"/>
        <v>#REF!</v>
      </c>
      <c r="AC70" s="335" t="e">
        <f t="shared" si="90"/>
        <v>#REF!</v>
      </c>
      <c r="AD70" s="325" t="e">
        <f t="shared" si="82"/>
        <v>#REF!</v>
      </c>
      <c r="AF70" s="326" t="e">
        <f t="shared" si="83"/>
        <v>#REF!</v>
      </c>
      <c r="AG70" s="326" t="e">
        <f t="shared" si="83"/>
        <v>#REF!</v>
      </c>
      <c r="AH70" s="326" t="e">
        <f t="shared" si="83"/>
        <v>#REF!</v>
      </c>
      <c r="AI70" s="326" t="e">
        <f t="shared" si="83"/>
        <v>#REF!</v>
      </c>
      <c r="AJ70" s="326" t="e">
        <f t="shared" si="83"/>
        <v>#REF!</v>
      </c>
      <c r="AK70" s="326" t="e">
        <f t="shared" si="83"/>
        <v>#REF!</v>
      </c>
      <c r="AL70" s="326" t="e">
        <f t="shared" si="83"/>
        <v>#REF!</v>
      </c>
      <c r="AM70" s="326" t="e">
        <f t="shared" si="83"/>
        <v>#REF!</v>
      </c>
      <c r="AN70" s="326" t="e">
        <f t="shared" si="83"/>
        <v>#REF!</v>
      </c>
      <c r="AO70" s="326" t="e">
        <f t="shared" si="83"/>
        <v>#REF!</v>
      </c>
      <c r="AP70" s="326" t="e">
        <f t="shared" si="83"/>
        <v>#REF!</v>
      </c>
      <c r="AQ70" s="326" t="e">
        <f t="shared" si="83"/>
        <v>#REF!</v>
      </c>
      <c r="AR70" s="325" t="e">
        <f t="shared" si="84"/>
        <v>#REF!</v>
      </c>
      <c r="AT70" s="327" t="e">
        <f t="shared" si="86"/>
        <v>#REF!</v>
      </c>
      <c r="AU70" s="327" t="e">
        <f t="shared" si="85"/>
        <v>#REF!</v>
      </c>
      <c r="AV70" s="327" t="e">
        <f t="shared" si="85"/>
        <v>#REF!</v>
      </c>
      <c r="AW70" s="327" t="e">
        <f t="shared" si="85"/>
        <v>#REF!</v>
      </c>
      <c r="AX70" s="327" t="e">
        <f t="shared" si="85"/>
        <v>#REF!</v>
      </c>
      <c r="AY70" s="327" t="e">
        <f t="shared" si="85"/>
        <v>#REF!</v>
      </c>
      <c r="AZ70" s="327" t="e">
        <f t="shared" si="85"/>
        <v>#REF!</v>
      </c>
      <c r="BA70" s="327" t="e">
        <f t="shared" si="85"/>
        <v>#REF!</v>
      </c>
      <c r="BB70" s="327" t="e">
        <f t="shared" si="85"/>
        <v>#REF!</v>
      </c>
      <c r="BC70" s="327" t="e">
        <f t="shared" si="85"/>
        <v>#REF!</v>
      </c>
      <c r="BD70" s="327" t="e">
        <f t="shared" si="85"/>
        <v>#REF!</v>
      </c>
      <c r="BE70" s="327" t="e">
        <f t="shared" si="85"/>
        <v>#REF!</v>
      </c>
      <c r="BF70" s="327" t="e">
        <f t="shared" si="85"/>
        <v>#REF!</v>
      </c>
    </row>
    <row r="71" spans="1:58">
      <c r="C71" s="319" t="s">
        <v>63</v>
      </c>
      <c r="D71" s="335" t="e">
        <f>D63</f>
        <v>#REF!</v>
      </c>
      <c r="E71" s="335" t="e">
        <f t="shared" ref="E71:O71" si="91">E63</f>
        <v>#REF!</v>
      </c>
      <c r="F71" s="335" t="e">
        <f t="shared" si="91"/>
        <v>#REF!</v>
      </c>
      <c r="G71" s="335" t="e">
        <f t="shared" si="91"/>
        <v>#REF!</v>
      </c>
      <c r="H71" s="335" t="e">
        <f t="shared" si="91"/>
        <v>#REF!</v>
      </c>
      <c r="I71" s="335" t="e">
        <f t="shared" si="91"/>
        <v>#REF!</v>
      </c>
      <c r="J71" s="335" t="e">
        <f t="shared" si="91"/>
        <v>#REF!</v>
      </c>
      <c r="K71" s="335" t="e">
        <f t="shared" si="91"/>
        <v>#REF!</v>
      </c>
      <c r="L71" s="335" t="e">
        <f t="shared" si="91"/>
        <v>#REF!</v>
      </c>
      <c r="M71" s="335" t="e">
        <f t="shared" si="91"/>
        <v>#REF!</v>
      </c>
      <c r="N71" s="335" t="e">
        <f t="shared" si="91"/>
        <v>#REF!</v>
      </c>
      <c r="O71" s="335" t="e">
        <f t="shared" si="91"/>
        <v>#REF!</v>
      </c>
      <c r="P71" s="333" t="e">
        <f t="shared" si="80"/>
        <v>#REF!</v>
      </c>
      <c r="R71" s="335" t="e">
        <f t="shared" ref="R71:AC71" si="92">R63</f>
        <v>#REF!</v>
      </c>
      <c r="S71" s="335" t="e">
        <f t="shared" si="92"/>
        <v>#REF!</v>
      </c>
      <c r="T71" s="335" t="e">
        <f t="shared" si="92"/>
        <v>#REF!</v>
      </c>
      <c r="U71" s="335" t="e">
        <f t="shared" si="92"/>
        <v>#REF!</v>
      </c>
      <c r="V71" s="335" t="e">
        <f t="shared" si="92"/>
        <v>#REF!</v>
      </c>
      <c r="W71" s="335" t="e">
        <f t="shared" si="92"/>
        <v>#REF!</v>
      </c>
      <c r="X71" s="335" t="e">
        <f t="shared" si="92"/>
        <v>#REF!</v>
      </c>
      <c r="Y71" s="335" t="e">
        <f t="shared" si="92"/>
        <v>#REF!</v>
      </c>
      <c r="Z71" s="335" t="e">
        <f t="shared" si="92"/>
        <v>#REF!</v>
      </c>
      <c r="AA71" s="335" t="e">
        <f t="shared" si="92"/>
        <v>#REF!</v>
      </c>
      <c r="AB71" s="335" t="e">
        <f t="shared" si="92"/>
        <v>#REF!</v>
      </c>
      <c r="AC71" s="335" t="e">
        <f t="shared" si="92"/>
        <v>#REF!</v>
      </c>
      <c r="AD71" s="325" t="e">
        <f t="shared" si="82"/>
        <v>#REF!</v>
      </c>
      <c r="AF71" s="326" t="e">
        <f t="shared" si="83"/>
        <v>#REF!</v>
      </c>
      <c r="AG71" s="326" t="e">
        <f t="shared" si="83"/>
        <v>#REF!</v>
      </c>
      <c r="AH71" s="326" t="e">
        <f t="shared" si="83"/>
        <v>#REF!</v>
      </c>
      <c r="AI71" s="326" t="e">
        <f t="shared" si="83"/>
        <v>#REF!</v>
      </c>
      <c r="AJ71" s="326" t="e">
        <f t="shared" si="83"/>
        <v>#REF!</v>
      </c>
      <c r="AK71" s="326" t="e">
        <f t="shared" si="83"/>
        <v>#REF!</v>
      </c>
      <c r="AL71" s="326" t="e">
        <f t="shared" si="83"/>
        <v>#REF!</v>
      </c>
      <c r="AM71" s="326" t="e">
        <f t="shared" si="83"/>
        <v>#REF!</v>
      </c>
      <c r="AN71" s="326" t="e">
        <f t="shared" si="83"/>
        <v>#REF!</v>
      </c>
      <c r="AO71" s="326" t="e">
        <f t="shared" si="83"/>
        <v>#REF!</v>
      </c>
      <c r="AP71" s="326" t="e">
        <f t="shared" si="83"/>
        <v>#REF!</v>
      </c>
      <c r="AQ71" s="326" t="e">
        <f t="shared" si="83"/>
        <v>#REF!</v>
      </c>
      <c r="AR71" s="325" t="e">
        <f t="shared" si="84"/>
        <v>#REF!</v>
      </c>
      <c r="AT71" s="327" t="e">
        <f t="shared" si="86"/>
        <v>#REF!</v>
      </c>
      <c r="AU71" s="327" t="e">
        <f t="shared" si="85"/>
        <v>#REF!</v>
      </c>
      <c r="AV71" s="327" t="e">
        <f t="shared" si="85"/>
        <v>#REF!</v>
      </c>
      <c r="AW71" s="327" t="e">
        <f t="shared" si="85"/>
        <v>#REF!</v>
      </c>
      <c r="AX71" s="327" t="e">
        <f t="shared" si="85"/>
        <v>#REF!</v>
      </c>
      <c r="AY71" s="327" t="e">
        <f t="shared" si="85"/>
        <v>#REF!</v>
      </c>
      <c r="AZ71" s="327" t="e">
        <f t="shared" si="85"/>
        <v>#REF!</v>
      </c>
      <c r="BA71" s="327" t="e">
        <f t="shared" si="85"/>
        <v>#REF!</v>
      </c>
      <c r="BB71" s="327" t="e">
        <f t="shared" si="85"/>
        <v>#REF!</v>
      </c>
      <c r="BC71" s="327" t="e">
        <f t="shared" si="85"/>
        <v>#REF!</v>
      </c>
      <c r="BD71" s="327" t="e">
        <f t="shared" si="85"/>
        <v>#REF!</v>
      </c>
      <c r="BE71" s="327" t="e">
        <f t="shared" si="85"/>
        <v>#REF!</v>
      </c>
      <c r="BF71" s="327" t="e">
        <f t="shared" si="85"/>
        <v>#REF!</v>
      </c>
    </row>
    <row r="72" spans="1:58">
      <c r="B72" s="318" t="s">
        <v>81</v>
      </c>
      <c r="C72" s="318" t="s">
        <v>47</v>
      </c>
      <c r="D72" s="334" t="e">
        <f>SUM(D67:D71)</f>
        <v>#REF!</v>
      </c>
      <c r="E72" s="334" t="e">
        <f t="shared" ref="E72:P72" si="93">SUM(E67:E71)</f>
        <v>#REF!</v>
      </c>
      <c r="F72" s="334" t="e">
        <f t="shared" si="93"/>
        <v>#REF!</v>
      </c>
      <c r="G72" s="334" t="e">
        <f t="shared" si="93"/>
        <v>#REF!</v>
      </c>
      <c r="H72" s="334" t="e">
        <f t="shared" si="93"/>
        <v>#REF!</v>
      </c>
      <c r="I72" s="334" t="e">
        <f t="shared" si="93"/>
        <v>#REF!</v>
      </c>
      <c r="J72" s="334" t="e">
        <f t="shared" si="93"/>
        <v>#REF!</v>
      </c>
      <c r="K72" s="334" t="e">
        <f t="shared" si="93"/>
        <v>#REF!</v>
      </c>
      <c r="L72" s="334" t="e">
        <f t="shared" si="93"/>
        <v>#REF!</v>
      </c>
      <c r="M72" s="334" t="e">
        <f t="shared" si="93"/>
        <v>#REF!</v>
      </c>
      <c r="N72" s="334" t="e">
        <f t="shared" si="93"/>
        <v>#REF!</v>
      </c>
      <c r="O72" s="334" t="e">
        <f t="shared" si="93"/>
        <v>#REF!</v>
      </c>
      <c r="P72" s="334" t="e">
        <f t="shared" si="93"/>
        <v>#REF!</v>
      </c>
      <c r="R72" s="334" t="e">
        <f t="shared" ref="R72:AD72" si="94">SUM(R67:R71)</f>
        <v>#REF!</v>
      </c>
      <c r="S72" s="334" t="e">
        <f t="shared" si="94"/>
        <v>#REF!</v>
      </c>
      <c r="T72" s="334" t="e">
        <f t="shared" si="94"/>
        <v>#REF!</v>
      </c>
      <c r="U72" s="334" t="e">
        <f t="shared" si="94"/>
        <v>#REF!</v>
      </c>
      <c r="V72" s="334" t="e">
        <f t="shared" si="94"/>
        <v>#REF!</v>
      </c>
      <c r="W72" s="334" t="e">
        <f t="shared" si="94"/>
        <v>#REF!</v>
      </c>
      <c r="X72" s="334" t="e">
        <f t="shared" si="94"/>
        <v>#REF!</v>
      </c>
      <c r="Y72" s="334" t="e">
        <f t="shared" si="94"/>
        <v>#REF!</v>
      </c>
      <c r="Z72" s="334" t="e">
        <f t="shared" si="94"/>
        <v>#REF!</v>
      </c>
      <c r="AA72" s="334" t="e">
        <f t="shared" si="94"/>
        <v>#REF!</v>
      </c>
      <c r="AB72" s="334" t="e">
        <f t="shared" si="94"/>
        <v>#REF!</v>
      </c>
      <c r="AC72" s="334" t="e">
        <f t="shared" si="94"/>
        <v>#REF!</v>
      </c>
      <c r="AD72" s="334" t="e">
        <f t="shared" si="94"/>
        <v>#REF!</v>
      </c>
      <c r="AF72" s="334" t="e">
        <f>SUM(AF67:AF71)</f>
        <v>#REF!</v>
      </c>
      <c r="AG72" s="334" t="e">
        <f t="shared" ref="AG72:AR72" si="95">SUM(AG67:AG71)</f>
        <v>#REF!</v>
      </c>
      <c r="AH72" s="334" t="e">
        <f t="shared" si="95"/>
        <v>#REF!</v>
      </c>
      <c r="AI72" s="334" t="e">
        <f t="shared" si="95"/>
        <v>#REF!</v>
      </c>
      <c r="AJ72" s="334" t="e">
        <f t="shared" si="95"/>
        <v>#REF!</v>
      </c>
      <c r="AK72" s="334" t="e">
        <f t="shared" si="95"/>
        <v>#REF!</v>
      </c>
      <c r="AL72" s="334" t="e">
        <f t="shared" si="95"/>
        <v>#REF!</v>
      </c>
      <c r="AM72" s="334" t="e">
        <f t="shared" si="95"/>
        <v>#REF!</v>
      </c>
      <c r="AN72" s="334" t="e">
        <f t="shared" si="95"/>
        <v>#REF!</v>
      </c>
      <c r="AO72" s="334" t="e">
        <f t="shared" si="95"/>
        <v>#REF!</v>
      </c>
      <c r="AP72" s="334" t="e">
        <f t="shared" si="95"/>
        <v>#REF!</v>
      </c>
      <c r="AQ72" s="334" t="e">
        <f t="shared" si="95"/>
        <v>#REF!</v>
      </c>
      <c r="AR72" s="334" t="e">
        <f t="shared" si="95"/>
        <v>#REF!</v>
      </c>
      <c r="AT72" s="327" t="e">
        <f t="shared" si="86"/>
        <v>#REF!</v>
      </c>
      <c r="AU72" s="327" t="e">
        <f t="shared" si="85"/>
        <v>#REF!</v>
      </c>
      <c r="AV72" s="327" t="e">
        <f t="shared" si="85"/>
        <v>#REF!</v>
      </c>
      <c r="AW72" s="327" t="e">
        <f t="shared" si="85"/>
        <v>#REF!</v>
      </c>
      <c r="AX72" s="327" t="e">
        <f t="shared" si="85"/>
        <v>#REF!</v>
      </c>
      <c r="AY72" s="327" t="e">
        <f t="shared" si="85"/>
        <v>#REF!</v>
      </c>
      <c r="AZ72" s="327" t="e">
        <f t="shared" si="85"/>
        <v>#REF!</v>
      </c>
      <c r="BA72" s="327" t="e">
        <f t="shared" si="85"/>
        <v>#REF!</v>
      </c>
      <c r="BB72" s="327" t="e">
        <f t="shared" si="85"/>
        <v>#REF!</v>
      </c>
      <c r="BC72" s="327" t="e">
        <f t="shared" si="85"/>
        <v>#REF!</v>
      </c>
      <c r="BD72" s="327" t="e">
        <f t="shared" si="85"/>
        <v>#REF!</v>
      </c>
      <c r="BE72" s="327" t="e">
        <f t="shared" si="85"/>
        <v>#REF!</v>
      </c>
      <c r="BF72" s="327" t="e">
        <f t="shared" si="85"/>
        <v>#REF!</v>
      </c>
    </row>
    <row r="73" spans="1:58">
      <c r="D73" s="335"/>
      <c r="E73" s="335"/>
      <c r="F73" s="335"/>
      <c r="G73" s="335"/>
      <c r="H73" s="335"/>
      <c r="I73" s="335"/>
      <c r="J73" s="335"/>
      <c r="K73" s="335"/>
      <c r="L73" s="335"/>
      <c r="M73" s="335"/>
      <c r="N73" s="335"/>
      <c r="O73" s="335"/>
      <c r="P73" s="333"/>
    </row>
    <row r="74" spans="1:58">
      <c r="A74" s="318" t="s">
        <v>82</v>
      </c>
      <c r="D74" s="335"/>
      <c r="E74" s="335"/>
      <c r="F74" s="335"/>
      <c r="G74" s="335"/>
      <c r="H74" s="335"/>
      <c r="I74" s="335"/>
      <c r="J74" s="335"/>
      <c r="K74" s="335"/>
      <c r="L74" s="335"/>
      <c r="M74" s="335"/>
      <c r="N74" s="335"/>
      <c r="O74" s="335"/>
      <c r="P74" s="333"/>
      <c r="R74" s="335"/>
      <c r="S74" s="335"/>
      <c r="T74" s="335"/>
      <c r="U74" s="335"/>
      <c r="V74" s="335"/>
      <c r="W74" s="335"/>
    </row>
    <row r="75" spans="1:58">
      <c r="B75" s="319" t="s">
        <v>70</v>
      </c>
      <c r="D75" s="335"/>
      <c r="E75" s="335"/>
      <c r="F75" s="335"/>
      <c r="G75" s="335"/>
      <c r="H75" s="335"/>
      <c r="I75" s="335"/>
      <c r="J75" s="335"/>
      <c r="K75" s="335"/>
      <c r="L75" s="335"/>
      <c r="M75" s="335"/>
      <c r="N75" s="335"/>
      <c r="O75" s="335"/>
      <c r="P75" s="333"/>
    </row>
    <row r="76" spans="1:58">
      <c r="C76" s="319" t="s">
        <v>71</v>
      </c>
      <c r="D76" s="335">
        <f>SUM(D53:F53)</f>
        <v>0</v>
      </c>
      <c r="E76" s="335"/>
      <c r="F76" s="335"/>
      <c r="G76" s="335">
        <f>SUM(G53:I53)</f>
        <v>0</v>
      </c>
      <c r="H76" s="335"/>
      <c r="I76" s="335"/>
      <c r="J76" s="335">
        <f>SUM(J53:L53)</f>
        <v>0</v>
      </c>
      <c r="K76" s="335"/>
      <c r="L76" s="335"/>
      <c r="M76" s="335">
        <f>SUM(M53:O53)</f>
        <v>0</v>
      </c>
      <c r="N76" s="335"/>
      <c r="O76" s="335"/>
      <c r="P76" s="333">
        <f t="shared" ref="P76:P79" si="96">SUM(D76:O76)</f>
        <v>0</v>
      </c>
      <c r="R76" s="326">
        <f>SUM(R53:T53)</f>
        <v>0</v>
      </c>
      <c r="U76" s="326">
        <f>SUM(U53:W53)</f>
        <v>0</v>
      </c>
      <c r="X76" s="326">
        <f>SUM(X53:Z53)</f>
        <v>0</v>
      </c>
      <c r="AA76" s="326">
        <f>SUM(AA53:AC53)</f>
        <v>0</v>
      </c>
      <c r="AB76" s="326"/>
      <c r="AD76" s="325">
        <f t="shared" ref="AD76:AD79" si="97">SUM(R76:AC76)</f>
        <v>0</v>
      </c>
      <c r="AF76" s="326">
        <f t="shared" ref="AF76:AO79" si="98">R76-D76</f>
        <v>0</v>
      </c>
      <c r="AG76" s="326"/>
      <c r="AH76" s="326"/>
      <c r="AI76" s="326">
        <f t="shared" si="98"/>
        <v>0</v>
      </c>
      <c r="AJ76" s="326"/>
      <c r="AK76" s="326"/>
      <c r="AL76" s="326">
        <f t="shared" si="98"/>
        <v>0</v>
      </c>
      <c r="AM76" s="326"/>
      <c r="AN76" s="326"/>
      <c r="AO76" s="326">
        <f t="shared" si="98"/>
        <v>0</v>
      </c>
      <c r="AP76" s="326"/>
      <c r="AQ76" s="326"/>
      <c r="AR76" s="325">
        <f t="shared" ref="AR76:AR78" si="99">SUM(AF76:AQ76)</f>
        <v>0</v>
      </c>
      <c r="AT76" s="327" t="e">
        <f>R76/D76</f>
        <v>#DIV/0!</v>
      </c>
      <c r="AU76" s="327"/>
      <c r="AV76" s="327"/>
      <c r="AW76" s="327" t="e">
        <f t="shared" ref="AW76:AW80" si="100">U76/G76</f>
        <v>#DIV/0!</v>
      </c>
      <c r="AX76" s="327"/>
      <c r="AY76" s="327"/>
      <c r="AZ76" s="327" t="e">
        <f t="shared" ref="AZ76:AZ80" si="101">X76/J76</f>
        <v>#DIV/0!</v>
      </c>
      <c r="BA76" s="327"/>
      <c r="BB76" s="327"/>
      <c r="BC76" s="327" t="e">
        <f t="shared" ref="BC76:BC80" si="102">AA76/M76</f>
        <v>#DIV/0!</v>
      </c>
      <c r="BD76" s="327"/>
      <c r="BE76" s="327"/>
      <c r="BF76" s="327" t="e">
        <f t="shared" ref="BF76:BF80" si="103">AD76/P76</f>
        <v>#DIV/0!</v>
      </c>
    </row>
    <row r="77" spans="1:58">
      <c r="C77" s="319" t="s">
        <v>72</v>
      </c>
      <c r="D77" s="335">
        <f>SUM(D54:F54)</f>
        <v>0</v>
      </c>
      <c r="E77" s="335"/>
      <c r="F77" s="335"/>
      <c r="G77" s="335">
        <f>SUM(G54:I54)</f>
        <v>0</v>
      </c>
      <c r="H77" s="335"/>
      <c r="I77" s="335"/>
      <c r="J77" s="335">
        <f>SUM(J54:L54)</f>
        <v>0</v>
      </c>
      <c r="K77" s="335"/>
      <c r="L77" s="335"/>
      <c r="M77" s="335">
        <f>SUM(M54:O54)</f>
        <v>0</v>
      </c>
      <c r="N77" s="335"/>
      <c r="O77" s="335"/>
      <c r="P77" s="333">
        <f t="shared" si="96"/>
        <v>0</v>
      </c>
      <c r="R77" s="326">
        <f>SUM(R54:T54)</f>
        <v>0</v>
      </c>
      <c r="U77" s="326">
        <f>SUM(U54:W54)</f>
        <v>0</v>
      </c>
      <c r="X77" s="326">
        <f>SUM(X54:Z54)</f>
        <v>0</v>
      </c>
      <c r="AA77" s="326">
        <f>SUM(AA54:AC54)</f>
        <v>0</v>
      </c>
      <c r="AB77" s="326"/>
      <c r="AD77" s="325">
        <f t="shared" si="97"/>
        <v>0</v>
      </c>
      <c r="AF77" s="326">
        <f t="shared" si="98"/>
        <v>0</v>
      </c>
      <c r="AG77" s="326"/>
      <c r="AH77" s="326"/>
      <c r="AI77" s="326">
        <f t="shared" si="98"/>
        <v>0</v>
      </c>
      <c r="AJ77" s="326"/>
      <c r="AK77" s="326"/>
      <c r="AL77" s="326">
        <f t="shared" si="98"/>
        <v>0</v>
      </c>
      <c r="AM77" s="326"/>
      <c r="AN77" s="326"/>
      <c r="AO77" s="326">
        <f t="shared" si="98"/>
        <v>0</v>
      </c>
      <c r="AP77" s="326"/>
      <c r="AQ77" s="326"/>
      <c r="AR77" s="325">
        <f t="shared" si="99"/>
        <v>0</v>
      </c>
      <c r="AT77" s="327" t="e">
        <f t="shared" ref="AT77:AT80" si="104">R77/D77</f>
        <v>#DIV/0!</v>
      </c>
      <c r="AU77" s="327"/>
      <c r="AV77" s="327"/>
      <c r="AW77" s="327" t="e">
        <f t="shared" si="100"/>
        <v>#DIV/0!</v>
      </c>
      <c r="AX77" s="327"/>
      <c r="AY77" s="327"/>
      <c r="AZ77" s="327" t="e">
        <f t="shared" si="101"/>
        <v>#DIV/0!</v>
      </c>
      <c r="BA77" s="327"/>
      <c r="BB77" s="327"/>
      <c r="BC77" s="327" t="e">
        <f t="shared" si="102"/>
        <v>#DIV/0!</v>
      </c>
      <c r="BD77" s="327"/>
      <c r="BE77" s="327"/>
      <c r="BF77" s="327" t="e">
        <f t="shared" si="103"/>
        <v>#DIV/0!</v>
      </c>
    </row>
    <row r="78" spans="1:58">
      <c r="C78" s="319" t="s">
        <v>73</v>
      </c>
      <c r="D78" s="335">
        <f>SUM(D55:F55)</f>
        <v>463459.69295365026</v>
      </c>
      <c r="E78" s="335"/>
      <c r="F78" s="335"/>
      <c r="G78" s="335">
        <f>SUM(G55:I55)</f>
        <v>563355.87301267986</v>
      </c>
      <c r="H78" s="335"/>
      <c r="I78" s="335"/>
      <c r="J78" s="335">
        <f>SUM(J55:L55)</f>
        <v>623936.47121219768</v>
      </c>
      <c r="K78" s="335"/>
      <c r="L78" s="335"/>
      <c r="M78" s="335">
        <f>SUM(M55:O55)</f>
        <v>682457.73957572249</v>
      </c>
      <c r="N78" s="335"/>
      <c r="O78" s="335"/>
      <c r="P78" s="333">
        <f t="shared" si="96"/>
        <v>2333209.7767542503</v>
      </c>
      <c r="R78" s="326">
        <f>SUM(R55:T55)</f>
        <v>434729.76</v>
      </c>
      <c r="U78" s="326">
        <f>SUM(U55:W55)</f>
        <v>609180.07000000007</v>
      </c>
      <c r="X78" s="326">
        <f>SUM(X55:Z55)</f>
        <v>438194.48100001784</v>
      </c>
      <c r="AA78" s="326">
        <f>SUM(AA55:AC55)</f>
        <v>0</v>
      </c>
      <c r="AB78" s="326"/>
      <c r="AD78" s="325">
        <f t="shared" si="97"/>
        <v>1482104.3110000179</v>
      </c>
      <c r="AF78" s="326">
        <f t="shared" si="98"/>
        <v>-28729.932953650248</v>
      </c>
      <c r="AG78" s="326"/>
      <c r="AH78" s="326"/>
      <c r="AI78" s="326">
        <f t="shared" si="98"/>
        <v>45824.196987320203</v>
      </c>
      <c r="AJ78" s="326"/>
      <c r="AK78" s="326"/>
      <c r="AL78" s="326">
        <f t="shared" si="98"/>
        <v>-185741.99021217984</v>
      </c>
      <c r="AM78" s="326"/>
      <c r="AN78" s="326"/>
      <c r="AO78" s="326">
        <f t="shared" si="98"/>
        <v>-682457.73957572249</v>
      </c>
      <c r="AP78" s="326"/>
      <c r="AQ78" s="326"/>
      <c r="AR78" s="325">
        <f t="shared" si="99"/>
        <v>-851105.46575423237</v>
      </c>
      <c r="AT78" s="327">
        <f t="shared" si="104"/>
        <v>0.93800985632525447</v>
      </c>
      <c r="AU78" s="327"/>
      <c r="AV78" s="327"/>
      <c r="AW78" s="327">
        <f t="shared" si="100"/>
        <v>1.0813414738045852</v>
      </c>
      <c r="AX78" s="327"/>
      <c r="AY78" s="327"/>
      <c r="AZ78" s="327">
        <f t="shared" si="101"/>
        <v>0.70230624625722526</v>
      </c>
      <c r="BA78" s="327"/>
      <c r="BB78" s="327"/>
      <c r="BC78" s="327">
        <f t="shared" si="102"/>
        <v>0</v>
      </c>
      <c r="BD78" s="327"/>
      <c r="BE78" s="327"/>
      <c r="BF78" s="327">
        <f t="shared" si="103"/>
        <v>0.63522119861069115</v>
      </c>
    </row>
    <row r="79" spans="1:58">
      <c r="C79" s="319" t="s">
        <v>80</v>
      </c>
      <c r="D79" s="335">
        <f>SUM(D56:F56)</f>
        <v>41564.885025558011</v>
      </c>
      <c r="E79" s="335"/>
      <c r="F79" s="335"/>
      <c r="G79" s="335">
        <f>SUM(G56:I56)</f>
        <v>50523.966692798611</v>
      </c>
      <c r="H79" s="335"/>
      <c r="I79" s="335"/>
      <c r="J79" s="335">
        <f>SUM(J56:L56)</f>
        <v>55957.072607349648</v>
      </c>
      <c r="K79" s="335"/>
      <c r="L79" s="335"/>
      <c r="M79" s="335">
        <f>SUM(M56:O56)</f>
        <v>61205.489736308038</v>
      </c>
      <c r="N79" s="335"/>
      <c r="O79" s="335"/>
      <c r="P79" s="333">
        <f t="shared" si="96"/>
        <v>209251.41406201432</v>
      </c>
      <c r="R79" s="326">
        <f>SUM(R56:T56)</f>
        <v>71663.185999999987</v>
      </c>
      <c r="U79" s="326">
        <f>SUM(U56:W56)</f>
        <v>349339.95999999996</v>
      </c>
      <c r="X79" s="326">
        <f>SUM(X56:Z56)</f>
        <v>82482.060999997193</v>
      </c>
      <c r="AA79" s="326">
        <f>SUM(AA56:AC56)</f>
        <v>0</v>
      </c>
      <c r="AB79" s="326"/>
      <c r="AD79" s="325">
        <f t="shared" si="97"/>
        <v>503485.20699999714</v>
      </c>
      <c r="AF79" s="326">
        <f>R79-D79</f>
        <v>30098.300974441976</v>
      </c>
      <c r="AG79" s="326"/>
      <c r="AH79" s="326"/>
      <c r="AI79" s="326">
        <f t="shared" si="98"/>
        <v>298815.99330720137</v>
      </c>
      <c r="AJ79" s="326"/>
      <c r="AK79" s="326"/>
      <c r="AL79" s="326">
        <f t="shared" si="98"/>
        <v>26524.988392647545</v>
      </c>
      <c r="AM79" s="326"/>
      <c r="AN79" s="326"/>
      <c r="AO79" s="326">
        <f t="shared" si="98"/>
        <v>-61205.489736308038</v>
      </c>
      <c r="AP79" s="326"/>
      <c r="AQ79" s="326"/>
      <c r="AR79" s="325">
        <f>SUM(AF79:AQ79)</f>
        <v>294233.79293798283</v>
      </c>
      <c r="AT79" s="327">
        <f t="shared" si="104"/>
        <v>1.7241280940855412</v>
      </c>
      <c r="AU79" s="327"/>
      <c r="AV79" s="327"/>
      <c r="AW79" s="327">
        <f t="shared" si="100"/>
        <v>6.9143415069544183</v>
      </c>
      <c r="AX79" s="327"/>
      <c r="AY79" s="327"/>
      <c r="AZ79" s="327">
        <f t="shared" si="101"/>
        <v>1.4740238750295818</v>
      </c>
      <c r="BA79" s="327"/>
      <c r="BB79" s="327"/>
      <c r="BC79" s="327">
        <f t="shared" si="102"/>
        <v>0</v>
      </c>
      <c r="BD79" s="327"/>
      <c r="BE79" s="327"/>
      <c r="BF79" s="327">
        <f t="shared" si="103"/>
        <v>2.4061257089081507</v>
      </c>
    </row>
    <row r="80" spans="1:58">
      <c r="C80" s="318" t="s">
        <v>47</v>
      </c>
      <c r="D80" s="333">
        <f>SUM(D76:D79)</f>
        <v>505024.57797920826</v>
      </c>
      <c r="E80" s="335"/>
      <c r="F80" s="335"/>
      <c r="G80" s="333">
        <f>SUM(G76:G79)</f>
        <v>613879.83970547852</v>
      </c>
      <c r="H80" s="335"/>
      <c r="I80" s="335"/>
      <c r="J80" s="333">
        <f>SUM(J76:J79)</f>
        <v>679893.54381954728</v>
      </c>
      <c r="K80" s="335"/>
      <c r="L80" s="335"/>
      <c r="M80" s="333">
        <f>SUM(M76:M79)</f>
        <v>743663.22931203048</v>
      </c>
      <c r="N80" s="335"/>
      <c r="O80" s="335"/>
      <c r="P80" s="333">
        <f>SUM(P76:P79)</f>
        <v>2542461.1908162646</v>
      </c>
      <c r="R80" s="333">
        <f>SUM(R76:R79)</f>
        <v>506392.946</v>
      </c>
      <c r="U80" s="333">
        <f>SUM(U76:U79)</f>
        <v>958520.03</v>
      </c>
      <c r="X80" s="333">
        <f>SUM(X76:X79)</f>
        <v>520676.54200001503</v>
      </c>
      <c r="AA80" s="333">
        <f>SUM(AA76:AA79)</f>
        <v>0</v>
      </c>
      <c r="AB80" s="333"/>
      <c r="AD80" s="333">
        <f>SUM(AD76:AD79)</f>
        <v>1985589.5180000151</v>
      </c>
      <c r="AF80" s="333">
        <f>SUM(AF76:AF79)</f>
        <v>1368.3680207917278</v>
      </c>
      <c r="AG80" s="326"/>
      <c r="AH80" s="326"/>
      <c r="AI80" s="333">
        <f>SUM(AI76:AI79)</f>
        <v>344640.19029452157</v>
      </c>
      <c r="AJ80" s="326"/>
      <c r="AK80" s="326"/>
      <c r="AL80" s="333">
        <f>SUM(AL76:AL79)</f>
        <v>-159217.00181953231</v>
      </c>
      <c r="AM80" s="326"/>
      <c r="AN80" s="326"/>
      <c r="AO80" s="333">
        <f>SUM(AO76:AO79)</f>
        <v>-743663.22931203048</v>
      </c>
      <c r="AP80" s="326"/>
      <c r="AQ80" s="326"/>
      <c r="AR80" s="333">
        <f>SUM(AR76:AR79)</f>
        <v>-556871.67281624954</v>
      </c>
      <c r="AT80" s="327">
        <f t="shared" si="104"/>
        <v>1.0027095077753783</v>
      </c>
      <c r="AU80" s="327"/>
      <c r="AV80" s="327"/>
      <c r="AW80" s="327">
        <f t="shared" si="100"/>
        <v>1.5614131105199183</v>
      </c>
      <c r="AX80" s="327"/>
      <c r="AY80" s="327"/>
      <c r="AZ80" s="327">
        <f t="shared" si="101"/>
        <v>0.76582068874330933</v>
      </c>
      <c r="BA80" s="327"/>
      <c r="BB80" s="327"/>
      <c r="BC80" s="327">
        <f t="shared" si="102"/>
        <v>0</v>
      </c>
      <c r="BD80" s="327"/>
      <c r="BE80" s="327"/>
      <c r="BF80" s="327">
        <f t="shared" si="103"/>
        <v>0.78097141666203196</v>
      </c>
    </row>
    <row r="81" spans="2:58">
      <c r="D81" s="335"/>
      <c r="E81" s="335"/>
      <c r="F81" s="335"/>
      <c r="G81" s="335"/>
      <c r="H81" s="335"/>
      <c r="I81" s="335"/>
      <c r="J81" s="335"/>
      <c r="K81" s="335"/>
      <c r="L81" s="335"/>
      <c r="M81" s="335"/>
      <c r="N81" s="335"/>
      <c r="O81" s="335"/>
      <c r="P81" s="333"/>
      <c r="AD81" s="318"/>
      <c r="AR81" s="318"/>
    </row>
    <row r="82" spans="2:58">
      <c r="B82" s="319" t="s">
        <v>75</v>
      </c>
      <c r="D82" s="335"/>
      <c r="E82" s="335"/>
      <c r="F82" s="335"/>
      <c r="G82" s="335"/>
      <c r="H82" s="335"/>
      <c r="I82" s="335"/>
      <c r="J82" s="335"/>
      <c r="K82" s="335"/>
      <c r="L82" s="335"/>
      <c r="M82" s="335"/>
      <c r="N82" s="335"/>
      <c r="O82" s="335"/>
      <c r="P82" s="333"/>
      <c r="AD82" s="318"/>
      <c r="AR82" s="318"/>
    </row>
    <row r="83" spans="2:58">
      <c r="C83" s="319" t="s">
        <v>71</v>
      </c>
      <c r="D83" s="335" t="e">
        <f>SUM(D60:F60)</f>
        <v>#REF!</v>
      </c>
      <c r="E83" s="335"/>
      <c r="F83" s="335"/>
      <c r="G83" s="335" t="e">
        <f>SUM(G60:I60)</f>
        <v>#REF!</v>
      </c>
      <c r="H83" s="335"/>
      <c r="I83" s="335"/>
      <c r="J83" s="335" t="e">
        <f>SUM(J60:L60)</f>
        <v>#REF!</v>
      </c>
      <c r="K83" s="335"/>
      <c r="L83" s="335"/>
      <c r="M83" s="335" t="e">
        <f>SUM(M60:O60)</f>
        <v>#REF!</v>
      </c>
      <c r="N83" s="335"/>
      <c r="O83" s="335"/>
      <c r="P83" s="333" t="e">
        <f t="shared" ref="P83:P86" si="105">SUM(D83:O83)</f>
        <v>#REF!</v>
      </c>
      <c r="R83" s="326" t="e">
        <f>SUM(R60:T60)</f>
        <v>#REF!</v>
      </c>
      <c r="U83" s="326" t="e">
        <f>SUM(U60:W60)</f>
        <v>#REF!</v>
      </c>
      <c r="X83" s="326" t="e">
        <f>SUM(X60:Z60)</f>
        <v>#REF!</v>
      </c>
      <c r="AA83" s="326" t="e">
        <f>SUM(AA60:AC60)</f>
        <v>#REF!</v>
      </c>
      <c r="AB83" s="326"/>
      <c r="AD83" s="325" t="e">
        <f t="shared" ref="AD83:AD86" si="106">SUM(R83:AC83)</f>
        <v>#REF!</v>
      </c>
      <c r="AF83" s="326" t="e">
        <f t="shared" ref="AF83:AO86" si="107">R83-D83</f>
        <v>#REF!</v>
      </c>
      <c r="AG83" s="326"/>
      <c r="AH83" s="326"/>
      <c r="AI83" s="326" t="e">
        <f t="shared" si="107"/>
        <v>#REF!</v>
      </c>
      <c r="AJ83" s="326"/>
      <c r="AK83" s="326"/>
      <c r="AL83" s="326" t="e">
        <f t="shared" si="107"/>
        <v>#REF!</v>
      </c>
      <c r="AM83" s="326"/>
      <c r="AN83" s="326"/>
      <c r="AO83" s="326" t="e">
        <f t="shared" si="107"/>
        <v>#REF!</v>
      </c>
      <c r="AP83" s="326"/>
      <c r="AQ83" s="326"/>
      <c r="AR83" s="325" t="e">
        <f t="shared" ref="AR83:AR85" si="108">SUM(AF83:AQ83)</f>
        <v>#REF!</v>
      </c>
      <c r="AT83" s="327" t="e">
        <f>R83/D83</f>
        <v>#REF!</v>
      </c>
      <c r="AU83" s="327"/>
      <c r="AV83" s="327"/>
      <c r="AW83" s="327" t="e">
        <f t="shared" ref="AW83:AW87" si="109">U83/G83</f>
        <v>#REF!</v>
      </c>
      <c r="AX83" s="327"/>
      <c r="AY83" s="327"/>
      <c r="AZ83" s="327" t="e">
        <f t="shared" ref="AZ83:AZ87" si="110">X83/J83</f>
        <v>#REF!</v>
      </c>
      <c r="BA83" s="327"/>
      <c r="BB83" s="327"/>
      <c r="BC83" s="327" t="e">
        <f t="shared" ref="BC83:BC87" si="111">AA83/M83</f>
        <v>#REF!</v>
      </c>
      <c r="BD83" s="327"/>
      <c r="BE83" s="327"/>
      <c r="BF83" s="327" t="e">
        <f t="shared" ref="BF83:BF87" si="112">AD83/P83</f>
        <v>#REF!</v>
      </c>
    </row>
    <row r="84" spans="2:58">
      <c r="C84" s="319" t="s">
        <v>72</v>
      </c>
      <c r="D84" s="335" t="e">
        <f>SUM(D61:F61)</f>
        <v>#REF!</v>
      </c>
      <c r="E84" s="335"/>
      <c r="F84" s="335"/>
      <c r="G84" s="335" t="e">
        <f>SUM(G61:I61)</f>
        <v>#REF!</v>
      </c>
      <c r="H84" s="335"/>
      <c r="I84" s="335"/>
      <c r="J84" s="335" t="e">
        <f>SUM(J61:L61)</f>
        <v>#REF!</v>
      </c>
      <c r="K84" s="335"/>
      <c r="L84" s="335"/>
      <c r="M84" s="335" t="e">
        <f>SUM(M61:O61)</f>
        <v>#REF!</v>
      </c>
      <c r="N84" s="335"/>
      <c r="O84" s="335"/>
      <c r="P84" s="333" t="e">
        <f t="shared" si="105"/>
        <v>#REF!</v>
      </c>
      <c r="R84" s="326" t="e">
        <f>SUM(R61:T61)</f>
        <v>#REF!</v>
      </c>
      <c r="U84" s="326" t="e">
        <f>SUM(U61:W61)</f>
        <v>#REF!</v>
      </c>
      <c r="X84" s="326" t="e">
        <f>SUM(X61:Z61)</f>
        <v>#REF!</v>
      </c>
      <c r="AA84" s="326" t="e">
        <f>SUM(AA61:AC61)</f>
        <v>#REF!</v>
      </c>
      <c r="AB84" s="326"/>
      <c r="AD84" s="325" t="e">
        <f t="shared" si="106"/>
        <v>#REF!</v>
      </c>
      <c r="AF84" s="326" t="e">
        <f t="shared" si="107"/>
        <v>#REF!</v>
      </c>
      <c r="AG84" s="326"/>
      <c r="AH84" s="326"/>
      <c r="AI84" s="326" t="e">
        <f t="shared" si="107"/>
        <v>#REF!</v>
      </c>
      <c r="AJ84" s="326"/>
      <c r="AK84" s="326"/>
      <c r="AL84" s="326" t="e">
        <f t="shared" si="107"/>
        <v>#REF!</v>
      </c>
      <c r="AM84" s="326"/>
      <c r="AN84" s="326"/>
      <c r="AO84" s="326" t="e">
        <f t="shared" si="107"/>
        <v>#REF!</v>
      </c>
      <c r="AP84" s="326"/>
      <c r="AQ84" s="326"/>
      <c r="AR84" s="325" t="e">
        <f t="shared" si="108"/>
        <v>#REF!</v>
      </c>
      <c r="AT84" s="327" t="e">
        <f t="shared" ref="AT84:AT87" si="113">R84/D84</f>
        <v>#REF!</v>
      </c>
      <c r="AU84" s="327"/>
      <c r="AV84" s="327"/>
      <c r="AW84" s="327" t="e">
        <f t="shared" si="109"/>
        <v>#REF!</v>
      </c>
      <c r="AX84" s="327"/>
      <c r="AY84" s="327"/>
      <c r="AZ84" s="327" t="e">
        <f t="shared" si="110"/>
        <v>#REF!</v>
      </c>
      <c r="BA84" s="327"/>
      <c r="BB84" s="327"/>
      <c r="BC84" s="327" t="e">
        <f t="shared" si="111"/>
        <v>#REF!</v>
      </c>
      <c r="BD84" s="327"/>
      <c r="BE84" s="327"/>
      <c r="BF84" s="327" t="e">
        <f t="shared" si="112"/>
        <v>#REF!</v>
      </c>
    </row>
    <row r="85" spans="2:58">
      <c r="C85" s="319" t="s">
        <v>74</v>
      </c>
      <c r="D85" s="335" t="e">
        <f>SUM(D62:F62)</f>
        <v>#REF!</v>
      </c>
      <c r="E85" s="335"/>
      <c r="F85" s="335"/>
      <c r="G85" s="335" t="e">
        <f>SUM(G62:I62)</f>
        <v>#REF!</v>
      </c>
      <c r="H85" s="335"/>
      <c r="I85" s="335"/>
      <c r="J85" s="335" t="e">
        <f>SUM(J62:L62)</f>
        <v>#REF!</v>
      </c>
      <c r="K85" s="335"/>
      <c r="L85" s="335"/>
      <c r="M85" s="335" t="e">
        <f>SUM(M62:O62)</f>
        <v>#REF!</v>
      </c>
      <c r="N85" s="335"/>
      <c r="O85" s="335"/>
      <c r="P85" s="333" t="e">
        <f t="shared" si="105"/>
        <v>#REF!</v>
      </c>
      <c r="R85" s="326" t="e">
        <f>SUM(R62:T62)</f>
        <v>#REF!</v>
      </c>
      <c r="U85" s="326" t="e">
        <f>SUM(U62:W62)</f>
        <v>#REF!</v>
      </c>
      <c r="X85" s="326" t="e">
        <f>SUM(X62:Z62)</f>
        <v>#REF!</v>
      </c>
      <c r="AA85" s="326" t="e">
        <f>SUM(AA62:AC62)</f>
        <v>#REF!</v>
      </c>
      <c r="AB85" s="326"/>
      <c r="AD85" s="325" t="e">
        <f t="shared" si="106"/>
        <v>#REF!</v>
      </c>
      <c r="AF85" s="326" t="e">
        <f t="shared" si="107"/>
        <v>#REF!</v>
      </c>
      <c r="AG85" s="326"/>
      <c r="AH85" s="326"/>
      <c r="AI85" s="326" t="e">
        <f t="shared" si="107"/>
        <v>#REF!</v>
      </c>
      <c r="AJ85" s="326"/>
      <c r="AK85" s="326"/>
      <c r="AL85" s="326" t="e">
        <f t="shared" si="107"/>
        <v>#REF!</v>
      </c>
      <c r="AM85" s="326"/>
      <c r="AN85" s="326"/>
      <c r="AO85" s="326" t="e">
        <f t="shared" si="107"/>
        <v>#REF!</v>
      </c>
      <c r="AP85" s="326"/>
      <c r="AQ85" s="326"/>
      <c r="AR85" s="325" t="e">
        <f t="shared" si="108"/>
        <v>#REF!</v>
      </c>
      <c r="AT85" s="327" t="e">
        <f t="shared" si="113"/>
        <v>#REF!</v>
      </c>
      <c r="AU85" s="327"/>
      <c r="AV85" s="327"/>
      <c r="AW85" s="327" t="e">
        <f t="shared" si="109"/>
        <v>#REF!</v>
      </c>
      <c r="AX85" s="327"/>
      <c r="AY85" s="327"/>
      <c r="AZ85" s="327" t="e">
        <f t="shared" si="110"/>
        <v>#REF!</v>
      </c>
      <c r="BA85" s="327"/>
      <c r="BB85" s="327"/>
      <c r="BC85" s="327" t="e">
        <f t="shared" si="111"/>
        <v>#REF!</v>
      </c>
      <c r="BD85" s="327"/>
      <c r="BE85" s="327"/>
      <c r="BF85" s="327" t="e">
        <f t="shared" si="112"/>
        <v>#REF!</v>
      </c>
    </row>
    <row r="86" spans="2:58">
      <c r="C86" s="319" t="s">
        <v>83</v>
      </c>
      <c r="D86" s="335" t="e">
        <f>SUM(D63:F63)</f>
        <v>#REF!</v>
      </c>
      <c r="E86" s="335"/>
      <c r="F86" s="335"/>
      <c r="G86" s="335" t="e">
        <f>SUM(G63:I63)</f>
        <v>#REF!</v>
      </c>
      <c r="H86" s="335"/>
      <c r="I86" s="335"/>
      <c r="J86" s="335" t="e">
        <f>SUM(J63:L63)</f>
        <v>#REF!</v>
      </c>
      <c r="K86" s="335"/>
      <c r="L86" s="335"/>
      <c r="M86" s="335" t="e">
        <f>SUM(M63:O63)</f>
        <v>#REF!</v>
      </c>
      <c r="N86" s="335"/>
      <c r="O86" s="335"/>
      <c r="P86" s="333" t="e">
        <f t="shared" si="105"/>
        <v>#REF!</v>
      </c>
      <c r="R86" s="326" t="e">
        <f>SUM(R63:T63)</f>
        <v>#REF!</v>
      </c>
      <c r="U86" s="326" t="e">
        <f>SUM(U63:W63)</f>
        <v>#REF!</v>
      </c>
      <c r="X86" s="326" t="e">
        <f>SUM(X63:Z63)</f>
        <v>#REF!</v>
      </c>
      <c r="AA86" s="326" t="e">
        <f>SUM(AA63:AC63)</f>
        <v>#REF!</v>
      </c>
      <c r="AB86" s="326"/>
      <c r="AD86" s="325" t="e">
        <f t="shared" si="106"/>
        <v>#REF!</v>
      </c>
      <c r="AF86" s="326" t="e">
        <f>R86-D86</f>
        <v>#REF!</v>
      </c>
      <c r="AG86" s="326"/>
      <c r="AH86" s="326"/>
      <c r="AI86" s="326" t="e">
        <f t="shared" si="107"/>
        <v>#REF!</v>
      </c>
      <c r="AJ86" s="326"/>
      <c r="AK86" s="326"/>
      <c r="AL86" s="326" t="e">
        <f t="shared" si="107"/>
        <v>#REF!</v>
      </c>
      <c r="AM86" s="326"/>
      <c r="AN86" s="326"/>
      <c r="AO86" s="326" t="e">
        <f t="shared" si="107"/>
        <v>#REF!</v>
      </c>
      <c r="AP86" s="326"/>
      <c r="AQ86" s="326"/>
      <c r="AR86" s="325" t="e">
        <f>SUM(AF86:AQ86)</f>
        <v>#REF!</v>
      </c>
      <c r="AT86" s="327" t="e">
        <f t="shared" si="113"/>
        <v>#REF!</v>
      </c>
      <c r="AU86" s="327"/>
      <c r="AV86" s="327"/>
      <c r="AW86" s="327" t="e">
        <f t="shared" si="109"/>
        <v>#REF!</v>
      </c>
      <c r="AX86" s="327"/>
      <c r="AY86" s="327"/>
      <c r="AZ86" s="327" t="e">
        <f t="shared" si="110"/>
        <v>#REF!</v>
      </c>
      <c r="BA86" s="327"/>
      <c r="BB86" s="327"/>
      <c r="BC86" s="327" t="e">
        <f t="shared" si="111"/>
        <v>#REF!</v>
      </c>
      <c r="BD86" s="327"/>
      <c r="BE86" s="327"/>
      <c r="BF86" s="327" t="e">
        <f t="shared" si="112"/>
        <v>#REF!</v>
      </c>
    </row>
    <row r="87" spans="2:58">
      <c r="C87" s="318" t="s">
        <v>47</v>
      </c>
      <c r="D87" s="333" t="e">
        <f>SUM(D83:D86)</f>
        <v>#REF!</v>
      </c>
      <c r="E87" s="335"/>
      <c r="F87" s="335"/>
      <c r="G87" s="333" t="e">
        <f>SUM(G83:G86)</f>
        <v>#REF!</v>
      </c>
      <c r="H87" s="335"/>
      <c r="I87" s="335"/>
      <c r="J87" s="333" t="e">
        <f>SUM(J83:J86)</f>
        <v>#REF!</v>
      </c>
      <c r="K87" s="335"/>
      <c r="L87" s="335"/>
      <c r="M87" s="333" t="e">
        <f>SUM(M83:M86)</f>
        <v>#REF!</v>
      </c>
      <c r="N87" s="335"/>
      <c r="O87" s="335"/>
      <c r="P87" s="333" t="e">
        <f>SUM(P83:P86)</f>
        <v>#REF!</v>
      </c>
      <c r="R87" s="333" t="e">
        <f>SUM(R83:R86)</f>
        <v>#REF!</v>
      </c>
      <c r="U87" s="333" t="e">
        <f>SUM(U83:U86)</f>
        <v>#REF!</v>
      </c>
      <c r="X87" s="333" t="e">
        <f>SUM(X83:X86)</f>
        <v>#REF!</v>
      </c>
      <c r="AA87" s="333" t="e">
        <f>SUM(AA83:AA86)</f>
        <v>#REF!</v>
      </c>
      <c r="AB87" s="333"/>
      <c r="AD87" s="333" t="e">
        <f>SUM(AD83:AD86)</f>
        <v>#REF!</v>
      </c>
      <c r="AF87" s="333" t="e">
        <f>SUM(AF83:AF86)</f>
        <v>#REF!</v>
      </c>
      <c r="AG87" s="326"/>
      <c r="AH87" s="326"/>
      <c r="AI87" s="333" t="e">
        <f>SUM(AI83:AI86)</f>
        <v>#REF!</v>
      </c>
      <c r="AJ87" s="326"/>
      <c r="AK87" s="326"/>
      <c r="AL87" s="333" t="e">
        <f>SUM(AL83:AL86)</f>
        <v>#REF!</v>
      </c>
      <c r="AM87" s="326"/>
      <c r="AN87" s="326"/>
      <c r="AO87" s="333" t="e">
        <f>SUM(AO83:AO86)</f>
        <v>#REF!</v>
      </c>
      <c r="AP87" s="326"/>
      <c r="AQ87" s="326"/>
      <c r="AR87" s="333" t="e">
        <f>SUM(AR83:AR86)</f>
        <v>#REF!</v>
      </c>
      <c r="AT87" s="327" t="e">
        <f t="shared" si="113"/>
        <v>#REF!</v>
      </c>
      <c r="AU87" s="327"/>
      <c r="AV87" s="327"/>
      <c r="AW87" s="327" t="e">
        <f t="shared" si="109"/>
        <v>#REF!</v>
      </c>
      <c r="AX87" s="327"/>
      <c r="AY87" s="327"/>
      <c r="AZ87" s="327" t="e">
        <f t="shared" si="110"/>
        <v>#REF!</v>
      </c>
      <c r="BA87" s="327"/>
      <c r="BB87" s="327"/>
      <c r="BC87" s="327" t="e">
        <f t="shared" si="111"/>
        <v>#REF!</v>
      </c>
      <c r="BD87" s="327"/>
      <c r="BE87" s="327"/>
      <c r="BF87" s="327" t="e">
        <f t="shared" si="112"/>
        <v>#REF!</v>
      </c>
    </row>
    <row r="88" spans="2:58">
      <c r="D88" s="335"/>
      <c r="E88" s="335"/>
      <c r="F88" s="335"/>
      <c r="G88" s="335"/>
      <c r="H88" s="335"/>
      <c r="I88" s="335"/>
      <c r="J88" s="335"/>
      <c r="K88" s="335"/>
      <c r="L88" s="335"/>
      <c r="M88" s="335"/>
      <c r="N88" s="335"/>
      <c r="O88" s="335"/>
      <c r="P88" s="333"/>
      <c r="AD88" s="318"/>
      <c r="AR88" s="318"/>
    </row>
    <row r="89" spans="2:58">
      <c r="B89" s="319" t="s">
        <v>76</v>
      </c>
      <c r="D89" s="335"/>
      <c r="E89" s="335"/>
      <c r="F89" s="335"/>
      <c r="G89" s="335"/>
      <c r="H89" s="335"/>
      <c r="I89" s="335"/>
      <c r="J89" s="335"/>
      <c r="K89" s="335"/>
      <c r="L89" s="335"/>
      <c r="M89" s="335"/>
      <c r="N89" s="335"/>
      <c r="O89" s="335"/>
      <c r="P89" s="333"/>
      <c r="AD89" s="318"/>
      <c r="AR89" s="318"/>
    </row>
    <row r="90" spans="2:58">
      <c r="C90" s="319" t="s">
        <v>71</v>
      </c>
      <c r="D90" s="335" t="e">
        <f>SUM(D67:F67)</f>
        <v>#REF!</v>
      </c>
      <c r="E90" s="335"/>
      <c r="F90" s="335"/>
      <c r="G90" s="335" t="e">
        <f>SUM(G67:I67)</f>
        <v>#REF!</v>
      </c>
      <c r="H90" s="335"/>
      <c r="I90" s="335"/>
      <c r="J90" s="335" t="e">
        <f>SUM(J67:L67)</f>
        <v>#REF!</v>
      </c>
      <c r="K90" s="335"/>
      <c r="L90" s="335"/>
      <c r="M90" s="335" t="e">
        <f>SUM(M67:O67)</f>
        <v>#REF!</v>
      </c>
      <c r="N90" s="335"/>
      <c r="O90" s="335"/>
      <c r="P90" s="333" t="e">
        <f t="shared" ref="P90:P94" si="114">SUM(D90:O90)</f>
        <v>#REF!</v>
      </c>
      <c r="R90" s="326" t="e">
        <f>SUM(R67:T67)</f>
        <v>#REF!</v>
      </c>
      <c r="U90" s="326" t="e">
        <f>SUM(U67:W67)</f>
        <v>#REF!</v>
      </c>
      <c r="X90" s="326" t="e">
        <f>SUM(X67:Z67)</f>
        <v>#REF!</v>
      </c>
      <c r="AA90" s="326" t="e">
        <f>SUM(AA67:AC67)</f>
        <v>#REF!</v>
      </c>
      <c r="AB90" s="326"/>
      <c r="AD90" s="325" t="e">
        <f t="shared" ref="AD90:AD94" si="115">SUM(R90:AC90)</f>
        <v>#REF!</v>
      </c>
      <c r="AF90" s="326" t="e">
        <f t="shared" ref="AF90:AO94" si="116">R90-D90</f>
        <v>#REF!</v>
      </c>
      <c r="AG90" s="326"/>
      <c r="AH90" s="326"/>
      <c r="AI90" s="326" t="e">
        <f t="shared" si="116"/>
        <v>#REF!</v>
      </c>
      <c r="AJ90" s="326"/>
      <c r="AK90" s="326"/>
      <c r="AL90" s="326" t="e">
        <f t="shared" si="116"/>
        <v>#REF!</v>
      </c>
      <c r="AM90" s="326"/>
      <c r="AN90" s="326"/>
      <c r="AO90" s="326" t="e">
        <f t="shared" si="116"/>
        <v>#REF!</v>
      </c>
      <c r="AP90" s="326"/>
      <c r="AQ90" s="326"/>
      <c r="AR90" s="325" t="e">
        <f t="shared" ref="AR90:AR94" si="117">SUM(AF90:AQ90)</f>
        <v>#REF!</v>
      </c>
      <c r="AT90" s="327" t="e">
        <f>R90/D90</f>
        <v>#REF!</v>
      </c>
      <c r="AU90" s="327"/>
      <c r="AV90" s="327"/>
      <c r="AW90" s="327" t="e">
        <f t="shared" ref="AW90:AW95" si="118">U90/G90</f>
        <v>#REF!</v>
      </c>
      <c r="AX90" s="327"/>
      <c r="AY90" s="327"/>
      <c r="AZ90" s="327" t="e">
        <f t="shared" ref="AZ90:AZ95" si="119">X90/J90</f>
        <v>#REF!</v>
      </c>
      <c r="BA90" s="327"/>
      <c r="BB90" s="327"/>
      <c r="BC90" s="327" t="e">
        <f t="shared" ref="BC90:BC95" si="120">AA90/M90</f>
        <v>#REF!</v>
      </c>
      <c r="BD90" s="327"/>
      <c r="BE90" s="327"/>
      <c r="BF90" s="327" t="e">
        <f t="shared" ref="BF90:BF95" si="121">AD90/P90</f>
        <v>#REF!</v>
      </c>
    </row>
    <row r="91" spans="2:58">
      <c r="C91" s="319" t="s">
        <v>72</v>
      </c>
      <c r="D91" s="335" t="e">
        <f>SUM(D68:F68)</f>
        <v>#REF!</v>
      </c>
      <c r="E91" s="335"/>
      <c r="F91" s="335"/>
      <c r="G91" s="335" t="e">
        <f>SUM(G68:I68)</f>
        <v>#REF!</v>
      </c>
      <c r="H91" s="335"/>
      <c r="I91" s="335"/>
      <c r="J91" s="335" t="e">
        <f>SUM(J68:L68)</f>
        <v>#REF!</v>
      </c>
      <c r="K91" s="335"/>
      <c r="L91" s="335"/>
      <c r="M91" s="335" t="e">
        <f>SUM(M68:O68)</f>
        <v>#REF!</v>
      </c>
      <c r="N91" s="335"/>
      <c r="O91" s="335"/>
      <c r="P91" s="333" t="e">
        <f t="shared" si="114"/>
        <v>#REF!</v>
      </c>
      <c r="R91" s="326" t="e">
        <f>SUM(R68:T68)</f>
        <v>#REF!</v>
      </c>
      <c r="U91" s="326" t="e">
        <f>SUM(U68:W68)</f>
        <v>#REF!</v>
      </c>
      <c r="X91" s="326" t="e">
        <f>SUM(X68:Z68)</f>
        <v>#REF!</v>
      </c>
      <c r="AA91" s="326" t="e">
        <f>SUM(AA68:AC68)</f>
        <v>#REF!</v>
      </c>
      <c r="AB91" s="326"/>
      <c r="AD91" s="325" t="e">
        <f t="shared" si="115"/>
        <v>#REF!</v>
      </c>
      <c r="AF91" s="326" t="e">
        <f t="shared" si="116"/>
        <v>#REF!</v>
      </c>
      <c r="AG91" s="326"/>
      <c r="AH91" s="326"/>
      <c r="AI91" s="326" t="e">
        <f t="shared" si="116"/>
        <v>#REF!</v>
      </c>
      <c r="AJ91" s="326"/>
      <c r="AK91" s="326"/>
      <c r="AL91" s="326" t="e">
        <f t="shared" si="116"/>
        <v>#REF!</v>
      </c>
      <c r="AM91" s="326"/>
      <c r="AN91" s="326"/>
      <c r="AO91" s="326" t="e">
        <f t="shared" si="116"/>
        <v>#REF!</v>
      </c>
      <c r="AP91" s="326"/>
      <c r="AQ91" s="326"/>
      <c r="AR91" s="325" t="e">
        <f t="shared" si="117"/>
        <v>#REF!</v>
      </c>
      <c r="AT91" s="327" t="e">
        <f t="shared" ref="AT91:AT95" si="122">R91/D91</f>
        <v>#REF!</v>
      </c>
      <c r="AU91" s="327"/>
      <c r="AV91" s="327"/>
      <c r="AW91" s="327" t="e">
        <f t="shared" si="118"/>
        <v>#REF!</v>
      </c>
      <c r="AX91" s="327"/>
      <c r="AY91" s="327"/>
      <c r="AZ91" s="327" t="e">
        <f t="shared" si="119"/>
        <v>#REF!</v>
      </c>
      <c r="BA91" s="327"/>
      <c r="BB91" s="327"/>
      <c r="BC91" s="327" t="e">
        <f t="shared" si="120"/>
        <v>#REF!</v>
      </c>
      <c r="BD91" s="327"/>
      <c r="BE91" s="327"/>
      <c r="BF91" s="327" t="e">
        <f t="shared" si="121"/>
        <v>#REF!</v>
      </c>
    </row>
    <row r="92" spans="2:58">
      <c r="C92" s="319" t="s">
        <v>73</v>
      </c>
      <c r="D92" s="335">
        <f>SUM(D69:F69)</f>
        <v>463459.69295365026</v>
      </c>
      <c r="E92" s="335"/>
      <c r="F92" s="335"/>
      <c r="G92" s="335">
        <f>SUM(G69:I69)</f>
        <v>563355.87301267986</v>
      </c>
      <c r="H92" s="335"/>
      <c r="I92" s="335"/>
      <c r="J92" s="335">
        <f>SUM(J69:L69)</f>
        <v>623936.47121219768</v>
      </c>
      <c r="K92" s="335"/>
      <c r="L92" s="335"/>
      <c r="M92" s="335">
        <f>SUM(M69:O69)</f>
        <v>682457.73957572249</v>
      </c>
      <c r="N92" s="335"/>
      <c r="O92" s="335"/>
      <c r="P92" s="333">
        <f t="shared" si="114"/>
        <v>2333209.7767542503</v>
      </c>
      <c r="R92" s="326">
        <f>SUM(R69:T69)</f>
        <v>434729.76</v>
      </c>
      <c r="U92" s="326">
        <f>SUM(U69:W69)</f>
        <v>609180.07000000007</v>
      </c>
      <c r="X92" s="326">
        <f>SUM(X69:Z69)</f>
        <v>438194.48100001784</v>
      </c>
      <c r="AA92" s="326">
        <f>SUM(AA69:AC69)</f>
        <v>0</v>
      </c>
      <c r="AB92" s="326"/>
      <c r="AD92" s="325">
        <f t="shared" si="115"/>
        <v>1482104.3110000179</v>
      </c>
      <c r="AF92" s="326">
        <f t="shared" si="116"/>
        <v>-28729.932953650248</v>
      </c>
      <c r="AG92" s="326"/>
      <c r="AH92" s="326"/>
      <c r="AI92" s="326">
        <f t="shared" si="116"/>
        <v>45824.196987320203</v>
      </c>
      <c r="AJ92" s="326"/>
      <c r="AK92" s="326"/>
      <c r="AL92" s="326">
        <f t="shared" si="116"/>
        <v>-185741.99021217984</v>
      </c>
      <c r="AM92" s="326"/>
      <c r="AN92" s="326"/>
      <c r="AO92" s="326">
        <f t="shared" si="116"/>
        <v>-682457.73957572249</v>
      </c>
      <c r="AP92" s="326"/>
      <c r="AQ92" s="326"/>
      <c r="AR92" s="325">
        <f t="shared" si="117"/>
        <v>-851105.46575423237</v>
      </c>
      <c r="AT92" s="327">
        <f t="shared" si="122"/>
        <v>0.93800985632525447</v>
      </c>
      <c r="AU92" s="327"/>
      <c r="AV92" s="327"/>
      <c r="AW92" s="327">
        <f t="shared" si="118"/>
        <v>1.0813414738045852</v>
      </c>
      <c r="AX92" s="327"/>
      <c r="AY92" s="327"/>
      <c r="AZ92" s="327">
        <f t="shared" si="119"/>
        <v>0.70230624625722526</v>
      </c>
      <c r="BA92" s="327"/>
      <c r="BB92" s="327"/>
      <c r="BC92" s="327">
        <f t="shared" si="120"/>
        <v>0</v>
      </c>
      <c r="BD92" s="327"/>
      <c r="BE92" s="327"/>
      <c r="BF92" s="327">
        <f t="shared" si="121"/>
        <v>0.63522119861069115</v>
      </c>
    </row>
    <row r="93" spans="2:58">
      <c r="C93" s="319" t="s">
        <v>74</v>
      </c>
      <c r="D93" s="335" t="e">
        <f>SUM(D70:F70)</f>
        <v>#REF!</v>
      </c>
      <c r="E93" s="335"/>
      <c r="F93" s="335"/>
      <c r="G93" s="335" t="e">
        <f>SUM(G70:I70)</f>
        <v>#REF!</v>
      </c>
      <c r="H93" s="335"/>
      <c r="I93" s="335"/>
      <c r="J93" s="335" t="e">
        <f>SUM(J70:L70)</f>
        <v>#REF!</v>
      </c>
      <c r="K93" s="335"/>
      <c r="L93" s="335"/>
      <c r="M93" s="335" t="e">
        <f>SUM(M70:O70)</f>
        <v>#REF!</v>
      </c>
      <c r="N93" s="335"/>
      <c r="O93" s="335"/>
      <c r="P93" s="333" t="e">
        <f t="shared" si="114"/>
        <v>#REF!</v>
      </c>
      <c r="R93" s="326" t="e">
        <f t="shared" ref="R93:R94" si="123">SUM(R70:T70)</f>
        <v>#REF!</v>
      </c>
      <c r="U93" s="326" t="e">
        <f t="shared" ref="U93:U94" si="124">SUM(U70:W70)</f>
        <v>#REF!</v>
      </c>
      <c r="X93" s="326" t="e">
        <f t="shared" ref="X93:X94" si="125">SUM(X70:Z70)</f>
        <v>#REF!</v>
      </c>
      <c r="AA93" s="326" t="e">
        <f t="shared" ref="AA93:AA94" si="126">SUM(AA70:AC70)</f>
        <v>#REF!</v>
      </c>
      <c r="AB93" s="326"/>
      <c r="AD93" s="325" t="e">
        <f t="shared" si="115"/>
        <v>#REF!</v>
      </c>
      <c r="AF93" s="326" t="e">
        <f t="shared" si="116"/>
        <v>#REF!</v>
      </c>
      <c r="AG93" s="326"/>
      <c r="AH93" s="326"/>
      <c r="AI93" s="326" t="e">
        <f t="shared" si="116"/>
        <v>#REF!</v>
      </c>
      <c r="AJ93" s="326"/>
      <c r="AK93" s="326"/>
      <c r="AL93" s="326" t="e">
        <f t="shared" si="116"/>
        <v>#REF!</v>
      </c>
      <c r="AM93" s="326"/>
      <c r="AN93" s="326"/>
      <c r="AO93" s="326" t="e">
        <f t="shared" si="116"/>
        <v>#REF!</v>
      </c>
      <c r="AP93" s="326"/>
      <c r="AQ93" s="326"/>
      <c r="AR93" s="325" t="e">
        <f t="shared" si="117"/>
        <v>#REF!</v>
      </c>
      <c r="AT93" s="327" t="e">
        <f t="shared" si="122"/>
        <v>#REF!</v>
      </c>
      <c r="AU93" s="327"/>
      <c r="AV93" s="327"/>
      <c r="AW93" s="327" t="e">
        <f t="shared" si="118"/>
        <v>#REF!</v>
      </c>
      <c r="AX93" s="327"/>
      <c r="AY93" s="327"/>
      <c r="AZ93" s="327" t="e">
        <f t="shared" si="119"/>
        <v>#REF!</v>
      </c>
      <c r="BA93" s="327"/>
      <c r="BB93" s="327"/>
      <c r="BC93" s="327" t="e">
        <f t="shared" si="120"/>
        <v>#REF!</v>
      </c>
      <c r="BD93" s="327"/>
      <c r="BE93" s="327"/>
      <c r="BF93" s="327" t="e">
        <f t="shared" si="121"/>
        <v>#REF!</v>
      </c>
    </row>
    <row r="94" spans="2:58">
      <c r="C94" s="319" t="s">
        <v>83</v>
      </c>
      <c r="D94" s="335" t="e">
        <f>SUM(D71:F71)</f>
        <v>#REF!</v>
      </c>
      <c r="E94" s="335"/>
      <c r="F94" s="335"/>
      <c r="G94" s="335" t="e">
        <f>SUM(G71:I71)</f>
        <v>#REF!</v>
      </c>
      <c r="H94" s="335"/>
      <c r="I94" s="335"/>
      <c r="J94" s="335" t="e">
        <f>SUM(J71:L71)</f>
        <v>#REF!</v>
      </c>
      <c r="K94" s="335"/>
      <c r="L94" s="335"/>
      <c r="M94" s="335" t="e">
        <f>SUM(M71:O71)</f>
        <v>#REF!</v>
      </c>
      <c r="N94" s="335"/>
      <c r="O94" s="335"/>
      <c r="P94" s="333" t="e">
        <f t="shared" si="114"/>
        <v>#REF!</v>
      </c>
      <c r="R94" s="326" t="e">
        <f t="shared" si="123"/>
        <v>#REF!</v>
      </c>
      <c r="U94" s="326" t="e">
        <f t="shared" si="124"/>
        <v>#REF!</v>
      </c>
      <c r="X94" s="326" t="e">
        <f t="shared" si="125"/>
        <v>#REF!</v>
      </c>
      <c r="AA94" s="326" t="e">
        <f t="shared" si="126"/>
        <v>#REF!</v>
      </c>
      <c r="AB94" s="326"/>
      <c r="AD94" s="325" t="e">
        <f t="shared" si="115"/>
        <v>#REF!</v>
      </c>
      <c r="AF94" s="326" t="e">
        <f t="shared" si="116"/>
        <v>#REF!</v>
      </c>
      <c r="AG94" s="326"/>
      <c r="AH94" s="326"/>
      <c r="AI94" s="326" t="e">
        <f t="shared" si="116"/>
        <v>#REF!</v>
      </c>
      <c r="AJ94" s="326"/>
      <c r="AK94" s="326"/>
      <c r="AL94" s="326" t="e">
        <f t="shared" si="116"/>
        <v>#REF!</v>
      </c>
      <c r="AM94" s="326"/>
      <c r="AN94" s="326"/>
      <c r="AO94" s="326" t="e">
        <f t="shared" si="116"/>
        <v>#REF!</v>
      </c>
      <c r="AP94" s="326"/>
      <c r="AQ94" s="326"/>
      <c r="AR94" s="325" t="e">
        <f t="shared" si="117"/>
        <v>#REF!</v>
      </c>
      <c r="AT94" s="327" t="e">
        <f t="shared" si="122"/>
        <v>#REF!</v>
      </c>
      <c r="AU94" s="327"/>
      <c r="AV94" s="327"/>
      <c r="AW94" s="327" t="e">
        <f t="shared" si="118"/>
        <v>#REF!</v>
      </c>
      <c r="AX94" s="327"/>
      <c r="AY94" s="327"/>
      <c r="AZ94" s="327" t="e">
        <f t="shared" si="119"/>
        <v>#REF!</v>
      </c>
      <c r="BA94" s="327"/>
      <c r="BB94" s="327"/>
      <c r="BC94" s="327" t="e">
        <f t="shared" si="120"/>
        <v>#REF!</v>
      </c>
      <c r="BD94" s="327"/>
      <c r="BE94" s="327"/>
      <c r="BF94" s="327" t="e">
        <f t="shared" si="121"/>
        <v>#REF!</v>
      </c>
    </row>
    <row r="95" spans="2:58">
      <c r="C95" s="318" t="s">
        <v>47</v>
      </c>
      <c r="D95" s="333" t="e">
        <f>SUM(D90:D94)</f>
        <v>#REF!</v>
      </c>
      <c r="E95" s="335"/>
      <c r="F95" s="335"/>
      <c r="G95" s="333" t="e">
        <f>SUM(G90:G94)</f>
        <v>#REF!</v>
      </c>
      <c r="H95" s="335"/>
      <c r="I95" s="335"/>
      <c r="J95" s="333" t="e">
        <f>SUM(J90:J94)</f>
        <v>#REF!</v>
      </c>
      <c r="K95" s="335"/>
      <c r="L95" s="335"/>
      <c r="M95" s="333" t="e">
        <f>SUM(M90:M94)</f>
        <v>#REF!</v>
      </c>
      <c r="N95" s="335"/>
      <c r="O95" s="335"/>
      <c r="P95" s="333" t="e">
        <f>SUM(P90:P94)</f>
        <v>#REF!</v>
      </c>
      <c r="R95" s="333" t="e">
        <f>SUM(R90:R94)</f>
        <v>#REF!</v>
      </c>
      <c r="U95" s="333" t="e">
        <f>SUM(U90:U94)</f>
        <v>#REF!</v>
      </c>
      <c r="X95" s="333" t="e">
        <f>SUM(X90:X94)</f>
        <v>#REF!</v>
      </c>
      <c r="AA95" s="333" t="e">
        <f>SUM(AA90:AA94)</f>
        <v>#REF!</v>
      </c>
      <c r="AB95" s="333"/>
      <c r="AD95" s="333" t="e">
        <f>SUM(AD90:AD94)</f>
        <v>#REF!</v>
      </c>
      <c r="AF95" s="333" t="e">
        <f>SUM(AF90:AF94)</f>
        <v>#REF!</v>
      </c>
      <c r="AG95" s="326"/>
      <c r="AH95" s="326"/>
      <c r="AI95" s="333" t="e">
        <f>SUM(AI90:AI94)</f>
        <v>#REF!</v>
      </c>
      <c r="AJ95" s="326"/>
      <c r="AK95" s="326"/>
      <c r="AL95" s="333" t="e">
        <f>SUM(AL90:AL94)</f>
        <v>#REF!</v>
      </c>
      <c r="AM95" s="326"/>
      <c r="AN95" s="326"/>
      <c r="AO95" s="333" t="e">
        <f>SUM(AO90:AO94)</f>
        <v>#REF!</v>
      </c>
      <c r="AP95" s="326"/>
      <c r="AQ95" s="326"/>
      <c r="AR95" s="333" t="e">
        <f>SUM(AR90:AR94)</f>
        <v>#REF!</v>
      </c>
      <c r="AT95" s="327" t="e">
        <f t="shared" si="122"/>
        <v>#REF!</v>
      </c>
      <c r="AU95" s="327"/>
      <c r="AV95" s="327"/>
      <c r="AW95" s="327" t="e">
        <f t="shared" si="118"/>
        <v>#REF!</v>
      </c>
      <c r="AX95" s="327"/>
      <c r="AY95" s="327"/>
      <c r="AZ95" s="327" t="e">
        <f t="shared" si="119"/>
        <v>#REF!</v>
      </c>
      <c r="BA95" s="327"/>
      <c r="BB95" s="327"/>
      <c r="BC95" s="327" t="e">
        <f t="shared" si="120"/>
        <v>#REF!</v>
      </c>
      <c r="BD95" s="327"/>
      <c r="BE95" s="327"/>
      <c r="BF95" s="327" t="e">
        <f t="shared" si="121"/>
        <v>#REF!</v>
      </c>
    </row>
    <row r="106" spans="27:28">
      <c r="AA106" s="324"/>
      <c r="AB106" s="32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30</vt:i4>
      </vt:variant>
    </vt:vector>
  </HeadingPairs>
  <TitlesOfParts>
    <vt:vector size="39" baseType="lpstr">
      <vt:lpstr>Current month</vt:lpstr>
      <vt:lpstr>Revenue Summary</vt:lpstr>
      <vt:lpstr>VN_Graphs</vt:lpstr>
      <vt:lpstr>VN_YouTube Performance</vt:lpstr>
      <vt:lpstr>VN_Data</vt:lpstr>
      <vt:lpstr>Playback</vt:lpstr>
      <vt:lpstr>Past data</vt:lpstr>
      <vt:lpstr>2018 VN YouTube View</vt:lpstr>
      <vt:lpstr>2018 Summary</vt:lpstr>
      <vt:lpstr>PAST_TH_Actual_BD_2017</vt:lpstr>
      <vt:lpstr>PAST_TH_Actual_YT_2017</vt:lpstr>
      <vt:lpstr>PAST_VN_Actual_APP_2017</vt:lpstr>
      <vt:lpstr>PAST_VN_Actual_BD_2017</vt:lpstr>
      <vt:lpstr>PAST_VN_Actual_RBT_2017</vt:lpstr>
      <vt:lpstr>PAST_VN_Actual_YT_2017</vt:lpstr>
      <vt:lpstr>RS_TH_Actual_APP</vt:lpstr>
      <vt:lpstr>RS_TH_Actual_BD</vt:lpstr>
      <vt:lpstr>RS_TH_Actual_RBT</vt:lpstr>
      <vt:lpstr>RS_TH_Actual_YT</vt:lpstr>
      <vt:lpstr>RS_TH_Forecast_APP</vt:lpstr>
      <vt:lpstr>RS_TH_Forecast_BD</vt:lpstr>
      <vt:lpstr>RS_TH_Forecast_RBT</vt:lpstr>
      <vt:lpstr>RS_TH_Forecast_YT</vt:lpstr>
      <vt:lpstr>RS_TH_Target_APP</vt:lpstr>
      <vt:lpstr>RS_TH_Target_BD</vt:lpstr>
      <vt:lpstr>RS_TH_Target_RBT</vt:lpstr>
      <vt:lpstr>RS_TH_Target_YT</vt:lpstr>
      <vt:lpstr>RS_VN_Actual_APP</vt:lpstr>
      <vt:lpstr>RS_VN_Actual_BD</vt:lpstr>
      <vt:lpstr>RS_VN_Actual_RBT</vt:lpstr>
      <vt:lpstr>RS_VN_Actual_YT</vt:lpstr>
      <vt:lpstr>RS_VN_Forecast_APP</vt:lpstr>
      <vt:lpstr>RS_VN_Forecast_BD</vt:lpstr>
      <vt:lpstr>RS_VN_Forecast_RBT</vt:lpstr>
      <vt:lpstr>RS_VN_Forecast_YT</vt:lpstr>
      <vt:lpstr>RS_VN_Target_APP</vt:lpstr>
      <vt:lpstr>RS_VN_Target_BD</vt:lpstr>
      <vt:lpstr>RS_VN_Target_RBT</vt:lpstr>
      <vt:lpstr>RS_VN_Target_YT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 Tran Hoang Giang</dc:creator>
  <cp:lastModifiedBy>Do Tran Hoang Giang</cp:lastModifiedBy>
  <dcterms:created xsi:type="dcterms:W3CDTF">2018-01-23T02:50:22Z</dcterms:created>
  <dcterms:modified xsi:type="dcterms:W3CDTF">2018-09-17T09:43:21Z</dcterms:modified>
</cp:coreProperties>
</file>